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codeName="ThisWorkbook" defaultThemeVersion="124226"/>
  <mc:AlternateContent xmlns:mc="http://schemas.openxmlformats.org/markup-compatibility/2006">
    <mc:Choice Requires="x15">
      <x15ac:absPath xmlns:x15ac="http://schemas.microsoft.com/office/spreadsheetml/2010/11/ac" url="C:\Users\4014924\Desktop\"/>
    </mc:Choice>
  </mc:AlternateContent>
  <xr:revisionPtr revIDLastSave="0" documentId="8_{5B0E5011-6504-469F-AAA8-8392E3106AF0}" xr6:coauthVersionLast="47" xr6:coauthVersionMax="47" xr10:uidLastSave="{00000000-0000-0000-0000-000000000000}"/>
  <workbookProtection workbookPassword="CA35" lockStructure="1"/>
  <bookViews>
    <workbookView xWindow="-110" yWindow="-110" windowWidth="19420" windowHeight="10420" tabRatio="662" activeTab="1" xr2:uid="{00000000-000D-0000-FFFF-FFFF00000000}"/>
  </bookViews>
  <sheets>
    <sheet name="Introduction" sheetId="29" r:id="rId1"/>
    <sheet name="Overview" sheetId="1" r:id="rId2"/>
    <sheet name="Sequencing" sheetId="7" r:id="rId3"/>
    <sheet name="Additional Details" sheetId="25" r:id="rId4"/>
    <sheet name="Programming Board Setup" sheetId="28" r:id="rId5"/>
    <sheet name="Script Generator" sheetId="17" r:id="rId6"/>
    <sheet name="VID Tables" sheetId="2" state="hidden" r:id="rId7"/>
    <sheet name="register map" sheetId="4" state="hidden" r:id="rId8"/>
    <sheet name="Device Trims" sheetId="8" state="hidden" r:id="rId9"/>
    <sheet name="Logical Group Generator" sheetId="15" state="hidden" r:id="rId10"/>
  </sheets>
  <definedNames>
    <definedName name="_xlnm._FilterDatabase" localSheetId="9" hidden="1">'Logical Group Generator'!$B$2:$W$744</definedName>
    <definedName name="_xlnm._FilterDatabase" localSheetId="7" hidden="1">'register map'!$A$1:$X$902</definedName>
    <definedName name="list" localSheetId="4">'Programming Board Setup'!$J$5</definedName>
    <definedName name="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2" i="8" l="1"/>
  <c r="G61" i="8"/>
  <c r="G60" i="8"/>
  <c r="G59" i="8"/>
  <c r="G58" i="8"/>
  <c r="G57" i="8"/>
  <c r="E56" i="8"/>
  <c r="G56" i="8" s="1"/>
  <c r="G55" i="8"/>
  <c r="G54" i="8"/>
  <c r="G53" i="8"/>
  <c r="G52" i="8"/>
  <c r="G51" i="8"/>
  <c r="G50" i="8"/>
  <c r="E49" i="8"/>
  <c r="G49" i="8" s="1"/>
  <c r="G48" i="8"/>
  <c r="G47" i="8"/>
  <c r="G46" i="8"/>
  <c r="G45" i="8"/>
  <c r="G44" i="8"/>
  <c r="G43" i="8"/>
  <c r="E42" i="8"/>
  <c r="G42" i="8" s="1"/>
  <c r="G41" i="8"/>
  <c r="G40" i="8"/>
  <c r="G39" i="8"/>
  <c r="G38" i="8"/>
  <c r="E38" i="8"/>
  <c r="G37" i="8"/>
  <c r="E37" i="8"/>
  <c r="G36" i="8"/>
  <c r="E36" i="8"/>
  <c r="G35" i="8"/>
  <c r="G34" i="8"/>
  <c r="G33" i="8"/>
  <c r="E32" i="8"/>
  <c r="G32" i="8" s="1"/>
  <c r="E31" i="8"/>
  <c r="G31" i="8" s="1"/>
  <c r="G30" i="8"/>
  <c r="E30" i="8"/>
  <c r="G29" i="8"/>
  <c r="G28" i="8"/>
  <c r="G27" i="8"/>
  <c r="G26" i="8"/>
  <c r="E26" i="8"/>
  <c r="G25" i="8"/>
  <c r="E25" i="8"/>
  <c r="E24" i="8"/>
  <c r="G24" i="8" s="1"/>
  <c r="G23" i="8"/>
  <c r="G22" i="8"/>
  <c r="G21" i="8"/>
  <c r="G20" i="8"/>
  <c r="G19" i="8"/>
  <c r="G18" i="8"/>
  <c r="G17" i="8"/>
  <c r="G16" i="8"/>
  <c r="G15" i="8"/>
  <c r="G14" i="8"/>
  <c r="G13" i="8"/>
  <c r="G12" i="8"/>
  <c r="G11" i="8"/>
  <c r="G10" i="8"/>
  <c r="G9" i="8"/>
  <c r="G8" i="8"/>
  <c r="G7" i="8"/>
  <c r="G6" i="8"/>
  <c r="G5" i="8"/>
  <c r="G4" i="8"/>
  <c r="G3" i="8"/>
  <c r="G2" i="8"/>
  <c r="V843" i="4"/>
  <c r="W725" i="4"/>
  <c r="V725" i="4"/>
  <c r="V714" i="4"/>
  <c r="V710" i="4"/>
  <c r="V704" i="4"/>
  <c r="V703" i="4"/>
  <c r="V696" i="4"/>
  <c r="V693" i="4"/>
  <c r="V682" i="4"/>
  <c r="V678" i="4"/>
  <c r="V672" i="4"/>
  <c r="V671" i="4"/>
  <c r="V664" i="4"/>
  <c r="V661" i="4"/>
  <c r="V650" i="4"/>
  <c r="V646" i="4"/>
  <c r="V640" i="4"/>
  <c r="V639" i="4"/>
  <c r="V632" i="4"/>
  <c r="V630" i="4"/>
  <c r="V629" i="4"/>
  <c r="V628" i="4"/>
  <c r="V627" i="4"/>
  <c r="V625" i="4"/>
  <c r="V624" i="4"/>
  <c r="V623" i="4"/>
  <c r="V621" i="4"/>
  <c r="V620" i="4"/>
  <c r="V619" i="4"/>
  <c r="V618" i="4"/>
  <c r="V617" i="4"/>
  <c r="V616" i="4"/>
  <c r="V615" i="4"/>
  <c r="V614" i="4"/>
  <c r="V604" i="4"/>
  <c r="V603" i="4"/>
  <c r="L602" i="4"/>
  <c r="V601" i="4"/>
  <c r="V600" i="4"/>
  <c r="V599" i="4"/>
  <c r="V598" i="4"/>
  <c r="V597" i="4"/>
  <c r="L596" i="4"/>
  <c r="V595" i="4"/>
  <c r="V594" i="4"/>
  <c r="V593" i="4"/>
  <c r="V592" i="4"/>
  <c r="V591" i="4"/>
  <c r="V590" i="4"/>
  <c r="V589" i="4"/>
  <c r="V588" i="4"/>
  <c r="L587" i="4"/>
  <c r="V585" i="4"/>
  <c r="V584" i="4"/>
  <c r="L583" i="4"/>
  <c r="V581" i="4"/>
  <c r="V580" i="4"/>
  <c r="V579" i="4"/>
  <c r="V578" i="4"/>
  <c r="L577" i="4"/>
  <c r="V576" i="4"/>
  <c r="V575" i="4"/>
  <c r="V574" i="4"/>
  <c r="V573" i="4"/>
  <c r="V572" i="4"/>
  <c r="V571" i="4"/>
  <c r="V570" i="4"/>
  <c r="V569" i="4"/>
  <c r="L568" i="4"/>
  <c r="V567" i="4"/>
  <c r="V566" i="4"/>
  <c r="V565" i="4"/>
  <c r="V564" i="4"/>
  <c r="L563" i="4"/>
  <c r="V562" i="4"/>
  <c r="V559" i="4"/>
  <c r="V558" i="4"/>
  <c r="V557" i="4"/>
  <c r="L556" i="4"/>
  <c r="V555" i="4"/>
  <c r="V554" i="4"/>
  <c r="V553" i="4"/>
  <c r="V552" i="4"/>
  <c r="V551" i="4"/>
  <c r="V550" i="4"/>
  <c r="V549" i="4"/>
  <c r="V548" i="4"/>
  <c r="L547" i="4"/>
  <c r="V545" i="4"/>
  <c r="V544" i="4"/>
  <c r="L543" i="4"/>
  <c r="V539" i="4"/>
  <c r="V538" i="4"/>
  <c r="V537" i="4"/>
  <c r="L536" i="4"/>
  <c r="V535" i="4"/>
  <c r="V534" i="4"/>
  <c r="V533" i="4"/>
  <c r="V532" i="4"/>
  <c r="V531" i="4"/>
  <c r="V530" i="4"/>
  <c r="V529" i="4"/>
  <c r="V528" i="4"/>
  <c r="L527" i="4"/>
  <c r="V526" i="4"/>
  <c r="V525" i="4"/>
  <c r="V524" i="4"/>
  <c r="L523" i="4"/>
  <c r="V521" i="4"/>
  <c r="V520" i="4"/>
  <c r="V519" i="4"/>
  <c r="V518" i="4"/>
  <c r="L517" i="4"/>
  <c r="V516" i="4"/>
  <c r="V515" i="4"/>
  <c r="V514" i="4"/>
  <c r="V513" i="4"/>
  <c r="V512" i="4"/>
  <c r="V511" i="4"/>
  <c r="V510" i="4"/>
  <c r="V509" i="4"/>
  <c r="L508" i="4"/>
  <c r="V506" i="4"/>
  <c r="V505" i="4"/>
  <c r="L504" i="4"/>
  <c r="V502" i="4"/>
  <c r="V501" i="4"/>
  <c r="V500" i="4"/>
  <c r="V499" i="4"/>
  <c r="L498" i="4"/>
  <c r="V497" i="4"/>
  <c r="V496" i="4"/>
  <c r="V495" i="4"/>
  <c r="V494" i="4"/>
  <c r="V493" i="4"/>
  <c r="V492" i="4"/>
  <c r="V491" i="4"/>
  <c r="V490" i="4"/>
  <c r="L489" i="4"/>
  <c r="V487" i="4"/>
  <c r="V486" i="4"/>
  <c r="L485" i="4"/>
  <c r="V483" i="4"/>
  <c r="V482" i="4"/>
  <c r="V481" i="4"/>
  <c r="V480" i="4"/>
  <c r="L479" i="4"/>
  <c r="V478" i="4"/>
  <c r="V477" i="4"/>
  <c r="V476" i="4"/>
  <c r="V475" i="4"/>
  <c r="V474" i="4"/>
  <c r="V473" i="4"/>
  <c r="V472" i="4"/>
  <c r="V471" i="4"/>
  <c r="L470" i="4"/>
  <c r="V468" i="4"/>
  <c r="V467" i="4"/>
  <c r="L466" i="4"/>
  <c r="V464" i="4"/>
  <c r="V463" i="4"/>
  <c r="V462" i="4"/>
  <c r="V461" i="4"/>
  <c r="L460" i="4"/>
  <c r="V459" i="4"/>
  <c r="V458" i="4"/>
  <c r="V457" i="4"/>
  <c r="V456" i="4"/>
  <c r="V455" i="4"/>
  <c r="V454" i="4"/>
  <c r="V453" i="4"/>
  <c r="V452" i="4"/>
  <c r="L451" i="4"/>
  <c r="V449" i="4"/>
  <c r="V448" i="4"/>
  <c r="L447" i="4"/>
  <c r="V445" i="4"/>
  <c r="V444" i="4"/>
  <c r="V443" i="4"/>
  <c r="V442" i="4"/>
  <c r="L441" i="4"/>
  <c r="V440" i="4"/>
  <c r="V439" i="4"/>
  <c r="V438" i="4"/>
  <c r="V437" i="4"/>
  <c r="V436" i="4"/>
  <c r="V435" i="4"/>
  <c r="V434" i="4"/>
  <c r="V433" i="4"/>
  <c r="L432" i="4"/>
  <c r="V430" i="4"/>
  <c r="V429" i="4"/>
  <c r="L428" i="4"/>
  <c r="V426" i="4"/>
  <c r="V425" i="4"/>
  <c r="V424" i="4"/>
  <c r="V423" i="4"/>
  <c r="L422" i="4"/>
  <c r="V421" i="4"/>
  <c r="V420" i="4"/>
  <c r="V419" i="4"/>
  <c r="V418" i="4"/>
  <c r="V417" i="4"/>
  <c r="V416" i="4"/>
  <c r="V415" i="4"/>
  <c r="V414" i="4"/>
  <c r="L413" i="4"/>
  <c r="V411" i="4"/>
  <c r="V410" i="4"/>
  <c r="V407" i="4"/>
  <c r="V406" i="4"/>
  <c r="V405" i="4"/>
  <c r="V404" i="4"/>
  <c r="V402" i="4"/>
  <c r="V401" i="4"/>
  <c r="V400" i="4"/>
  <c r="V399" i="4"/>
  <c r="V398" i="4"/>
  <c r="V397" i="4"/>
  <c r="V396" i="4"/>
  <c r="V395" i="4"/>
  <c r="V288" i="4"/>
  <c r="V287" i="4"/>
  <c r="V285" i="4"/>
  <c r="V280" i="4"/>
  <c r="V276" i="4"/>
  <c r="V275" i="4"/>
  <c r="V274" i="4"/>
  <c r="V273" i="4"/>
  <c r="V272" i="4"/>
  <c r="V271" i="4"/>
  <c r="V270" i="4"/>
  <c r="V269" i="4"/>
  <c r="V267" i="4"/>
  <c r="V266" i="4"/>
  <c r="V265" i="4"/>
  <c r="V264" i="4"/>
  <c r="V263" i="4"/>
  <c r="V262" i="4"/>
  <c r="V261" i="4"/>
  <c r="V260" i="4"/>
  <c r="V258" i="4"/>
  <c r="V257" i="4"/>
  <c r="V256" i="4"/>
  <c r="V255" i="4"/>
  <c r="V254" i="4"/>
  <c r="V253" i="4"/>
  <c r="V252" i="4"/>
  <c r="V251" i="4"/>
  <c r="V249" i="4"/>
  <c r="V248" i="4"/>
  <c r="V247" i="4"/>
  <c r="V246" i="4"/>
  <c r="V245" i="4"/>
  <c r="V244" i="4"/>
  <c r="V243" i="4"/>
  <c r="V242" i="4"/>
  <c r="V240" i="4"/>
  <c r="V239" i="4"/>
  <c r="V238" i="4"/>
  <c r="V237" i="4"/>
  <c r="V236" i="4"/>
  <c r="V235" i="4"/>
  <c r="V234" i="4"/>
  <c r="V233" i="4"/>
  <c r="V231" i="4"/>
  <c r="V230" i="4"/>
  <c r="V229" i="4"/>
  <c r="V228" i="4"/>
  <c r="V227" i="4"/>
  <c r="V226" i="4"/>
  <c r="V225" i="4"/>
  <c r="V224" i="4"/>
  <c r="V222" i="4"/>
  <c r="V221" i="4"/>
  <c r="V220" i="4"/>
  <c r="V219" i="4"/>
  <c r="V218" i="4"/>
  <c r="V217" i="4"/>
  <c r="V216" i="4"/>
  <c r="V215" i="4"/>
  <c r="V213" i="4"/>
  <c r="V212" i="4"/>
  <c r="V211" i="4"/>
  <c r="V210" i="4"/>
  <c r="V209" i="4"/>
  <c r="V208" i="4"/>
  <c r="V207" i="4"/>
  <c r="V206" i="4"/>
  <c r="V204" i="4"/>
  <c r="V203" i="4"/>
  <c r="V202" i="4"/>
  <c r="V201" i="4"/>
  <c r="V200" i="4"/>
  <c r="V199" i="4"/>
  <c r="V198" i="4"/>
  <c r="V197" i="4"/>
  <c r="V192" i="4"/>
  <c r="V191" i="4"/>
  <c r="V190" i="4"/>
  <c r="V189" i="4"/>
  <c r="V188" i="4"/>
  <c r="V186" i="4"/>
  <c r="V185" i="4"/>
  <c r="V184" i="4"/>
  <c r="V183" i="4"/>
  <c r="V182" i="4"/>
  <c r="V181" i="4"/>
  <c r="V180" i="4"/>
  <c r="V179" i="4"/>
  <c r="V177" i="4"/>
  <c r="V176" i="4"/>
  <c r="V175" i="4"/>
  <c r="V174" i="4"/>
  <c r="V173" i="4"/>
  <c r="V172" i="4"/>
  <c r="V171" i="4"/>
  <c r="V170" i="4"/>
  <c r="V168" i="4"/>
  <c r="V167" i="4"/>
  <c r="V166" i="4"/>
  <c r="V165" i="4"/>
  <c r="V164" i="4"/>
  <c r="V163" i="4"/>
  <c r="V162" i="4"/>
  <c r="V161" i="4"/>
  <c r="V159" i="4"/>
  <c r="V158" i="4"/>
  <c r="V157" i="4"/>
  <c r="V156" i="4"/>
  <c r="V141" i="4"/>
  <c r="V140" i="4"/>
  <c r="V139" i="4"/>
  <c r="V136" i="4"/>
  <c r="V135" i="4"/>
  <c r="V134" i="4"/>
  <c r="V133" i="4"/>
  <c r="V132" i="4"/>
  <c r="V131" i="4"/>
  <c r="V119" i="4"/>
  <c r="V113" i="4"/>
  <c r="V107" i="4"/>
  <c r="V104" i="4"/>
  <c r="V101" i="4"/>
  <c r="V93" i="4"/>
  <c r="V90" i="4"/>
  <c r="V89" i="4"/>
  <c r="V88" i="4"/>
  <c r="V86" i="4"/>
  <c r="V85" i="4"/>
  <c r="V84" i="4"/>
  <c r="V83" i="4"/>
  <c r="V81" i="4"/>
  <c r="V80" i="4"/>
  <c r="V79" i="4"/>
  <c r="V78" i="4"/>
  <c r="V75" i="4"/>
  <c r="V72" i="4"/>
  <c r="V69" i="4"/>
  <c r="V66" i="4"/>
  <c r="V63" i="4"/>
  <c r="V61" i="4"/>
  <c r="V60" i="4"/>
  <c r="V57" i="4"/>
  <c r="V55" i="4"/>
  <c r="V54" i="4"/>
  <c r="V51" i="4"/>
  <c r="V49" i="4"/>
  <c r="V48" i="4"/>
  <c r="V45" i="4"/>
  <c r="V39" i="4"/>
  <c r="V36" i="4"/>
  <c r="V33" i="4"/>
  <c r="V9" i="4"/>
  <c r="V3" i="4"/>
  <c r="E1" i="8" s="1"/>
  <c r="G1" i="8" s="1"/>
  <c r="B8" i="2"/>
  <c r="B6" i="2"/>
  <c r="R807" i="17"/>
  <c r="R806" i="17"/>
  <c r="R805" i="17"/>
  <c r="R804" i="17"/>
  <c r="R803" i="17"/>
  <c r="R802" i="17"/>
  <c r="R801" i="17"/>
  <c r="D801" i="17"/>
  <c r="R800" i="17"/>
  <c r="D800" i="17"/>
  <c r="R799" i="17"/>
  <c r="D799" i="17"/>
  <c r="R798" i="17"/>
  <c r="D798" i="17"/>
  <c r="R797" i="17"/>
  <c r="D797" i="17"/>
  <c r="R796" i="17"/>
  <c r="D796" i="17"/>
  <c r="R795" i="17"/>
  <c r="D795" i="17"/>
  <c r="R794" i="17"/>
  <c r="D794" i="17"/>
  <c r="R793" i="17"/>
  <c r="D793" i="17"/>
  <c r="R792" i="17"/>
  <c r="D792" i="17"/>
  <c r="R791" i="17"/>
  <c r="D791" i="17"/>
  <c r="R790" i="17"/>
  <c r="D790" i="17"/>
  <c r="R789" i="17"/>
  <c r="D789" i="17"/>
  <c r="R788" i="17"/>
  <c r="D788" i="17"/>
  <c r="R787" i="17"/>
  <c r="D787" i="17"/>
  <c r="R786" i="17"/>
  <c r="D786" i="17"/>
  <c r="R785" i="17"/>
  <c r="D785" i="17"/>
  <c r="R784" i="17"/>
  <c r="D784" i="17"/>
  <c r="R783" i="17"/>
  <c r="D783" i="17"/>
  <c r="R782" i="17"/>
  <c r="D782" i="17"/>
  <c r="R781" i="17"/>
  <c r="D781" i="17"/>
  <c r="R780" i="17"/>
  <c r="D780" i="17"/>
  <c r="R779" i="17"/>
  <c r="D779" i="17"/>
  <c r="R778" i="17"/>
  <c r="D778" i="17"/>
  <c r="R777" i="17"/>
  <c r="D777" i="17"/>
  <c r="R776" i="17"/>
  <c r="D776" i="17"/>
  <c r="R775" i="17"/>
  <c r="D775" i="17"/>
  <c r="R774" i="17"/>
  <c r="D774" i="17"/>
  <c r="R773" i="17"/>
  <c r="D773" i="17"/>
  <c r="R772" i="17"/>
  <c r="D772" i="17"/>
  <c r="R771" i="17"/>
  <c r="D771" i="17"/>
  <c r="R770" i="17"/>
  <c r="D770" i="17"/>
  <c r="R769" i="17"/>
  <c r="D769" i="17"/>
  <c r="R768" i="17"/>
  <c r="R767" i="17"/>
  <c r="R766" i="17"/>
  <c r="R765" i="17"/>
  <c r="R764" i="17"/>
  <c r="R763" i="17"/>
  <c r="R762" i="17"/>
  <c r="R761" i="17"/>
  <c r="R760" i="17"/>
  <c r="R759" i="17"/>
  <c r="R758" i="17"/>
  <c r="R757" i="17"/>
  <c r="R756" i="17"/>
  <c r="R755" i="17"/>
  <c r="R754" i="17"/>
  <c r="R753" i="17"/>
  <c r="R752" i="17"/>
  <c r="R751" i="17"/>
  <c r="R750" i="17"/>
  <c r="R749" i="17"/>
  <c r="R748" i="17"/>
  <c r="R747" i="17"/>
  <c r="R746" i="17"/>
  <c r="R745" i="17"/>
  <c r="B2" i="17"/>
  <c r="Q24" i="28"/>
  <c r="N24" i="28"/>
  <c r="Q23" i="28"/>
  <c r="N23" i="28"/>
  <c r="Q22" i="28"/>
  <c r="N22" i="28"/>
  <c r="Q21" i="28"/>
  <c r="N21" i="28"/>
  <c r="Q20" i="28"/>
  <c r="N20" i="28"/>
  <c r="Q19" i="28"/>
  <c r="N19" i="28"/>
  <c r="Q17" i="28"/>
  <c r="N17" i="28"/>
  <c r="J17" i="28"/>
  <c r="Q16" i="28"/>
  <c r="N16" i="28"/>
  <c r="J16" i="28"/>
  <c r="Q15" i="28"/>
  <c r="N15" i="28"/>
  <c r="J15" i="28"/>
  <c r="Q14" i="28"/>
  <c r="N14" i="28"/>
  <c r="J14" i="28"/>
  <c r="Q13" i="28"/>
  <c r="N13" i="28"/>
  <c r="J13" i="28"/>
  <c r="Q12" i="28"/>
  <c r="N12" i="28"/>
  <c r="J12" i="28"/>
  <c r="Q11" i="28"/>
  <c r="N11" i="28"/>
  <c r="J11" i="28"/>
  <c r="D11" i="28"/>
  <c r="Q10" i="28"/>
  <c r="N10" i="28"/>
  <c r="J10" i="28"/>
  <c r="Q9" i="28"/>
  <c r="N9" i="28"/>
  <c r="J9" i="28"/>
  <c r="T8" i="28"/>
  <c r="Q8" i="28"/>
  <c r="N8" i="28"/>
  <c r="J8" i="28"/>
  <c r="C8" i="28"/>
  <c r="T7" i="28"/>
  <c r="Q7" i="28"/>
  <c r="N7" i="28"/>
  <c r="J7" i="28"/>
  <c r="C7" i="28"/>
  <c r="T6" i="28"/>
  <c r="Q6" i="28"/>
  <c r="O6" i="28" a="1"/>
  <c r="O6" i="28" s="1"/>
  <c r="N6" i="28"/>
  <c r="J6" i="28"/>
  <c r="V160" i="25"/>
  <c r="U160" i="25"/>
  <c r="V159" i="25"/>
  <c r="U159" i="25"/>
  <c r="V158" i="25"/>
  <c r="U158" i="25"/>
  <c r="V157" i="25"/>
  <c r="U157" i="25"/>
  <c r="V156" i="25"/>
  <c r="U156" i="25"/>
  <c r="V155" i="25"/>
  <c r="U155" i="25"/>
  <c r="V154" i="25"/>
  <c r="U154" i="25"/>
  <c r="V153" i="25"/>
  <c r="U153" i="25"/>
  <c r="V152" i="25"/>
  <c r="U152" i="25"/>
  <c r="V151" i="25"/>
  <c r="U151" i="25"/>
  <c r="V150" i="25"/>
  <c r="U150" i="25"/>
  <c r="V149" i="25"/>
  <c r="U149" i="25"/>
  <c r="V148" i="25"/>
  <c r="U148" i="25"/>
  <c r="V147" i="25"/>
  <c r="U147" i="25"/>
  <c r="V146" i="25"/>
  <c r="U146" i="25"/>
  <c r="V145" i="25"/>
  <c r="U145" i="25"/>
  <c r="V144" i="25"/>
  <c r="U144" i="25"/>
  <c r="V143" i="25"/>
  <c r="U143" i="25"/>
  <c r="V142" i="25"/>
  <c r="U142" i="25"/>
  <c r="V141" i="25"/>
  <c r="U141" i="25"/>
  <c r="V140" i="25"/>
  <c r="U140" i="25"/>
  <c r="V139" i="25"/>
  <c r="U139" i="25"/>
  <c r="V138" i="25"/>
  <c r="U138" i="25"/>
  <c r="V137" i="25"/>
  <c r="U137" i="25"/>
  <c r="V136" i="25"/>
  <c r="U136" i="25"/>
  <c r="U135" i="25"/>
  <c r="V902" i="4" s="1"/>
  <c r="V134" i="25"/>
  <c r="U134" i="25"/>
  <c r="V133" i="25"/>
  <c r="U133" i="25"/>
  <c r="V132" i="25"/>
  <c r="U132" i="25"/>
  <c r="V131" i="25"/>
  <c r="U131" i="25"/>
  <c r="V130" i="25"/>
  <c r="U130" i="25"/>
  <c r="V129" i="25"/>
  <c r="U129" i="25"/>
  <c r="V128" i="25"/>
  <c r="U128" i="25"/>
  <c r="V127" i="25"/>
  <c r="U127" i="25"/>
  <c r="V126" i="25"/>
  <c r="U126" i="25"/>
  <c r="V125" i="25"/>
  <c r="U125" i="25"/>
  <c r="V124" i="25"/>
  <c r="U124" i="25"/>
  <c r="V123" i="25"/>
  <c r="U123" i="25"/>
  <c r="V122" i="25"/>
  <c r="U122" i="25"/>
  <c r="V121" i="25"/>
  <c r="U121" i="25"/>
  <c r="V120" i="25"/>
  <c r="U120" i="25"/>
  <c r="V119" i="25"/>
  <c r="U119" i="25"/>
  <c r="V118" i="25"/>
  <c r="U118" i="25"/>
  <c r="V117" i="25"/>
  <c r="U117" i="25"/>
  <c r="V116" i="25"/>
  <c r="U116" i="25"/>
  <c r="V115" i="25"/>
  <c r="U115" i="25"/>
  <c r="V114" i="25"/>
  <c r="U114" i="25"/>
  <c r="V113" i="25"/>
  <c r="U113" i="25"/>
  <c r="V112" i="25"/>
  <c r="U112" i="25"/>
  <c r="V111" i="25"/>
  <c r="U111" i="25"/>
  <c r="V110" i="25"/>
  <c r="U110" i="25"/>
  <c r="V109" i="25"/>
  <c r="U109" i="25"/>
  <c r="V108" i="25"/>
  <c r="U108" i="25"/>
  <c r="V107" i="25"/>
  <c r="U107" i="25"/>
  <c r="V106" i="25"/>
  <c r="U106" i="25"/>
  <c r="V105" i="25"/>
  <c r="U105" i="25"/>
  <c r="V104" i="25"/>
  <c r="U104" i="25"/>
  <c r="V103" i="25"/>
  <c r="U103" i="25"/>
  <c r="V102" i="25"/>
  <c r="U102" i="25"/>
  <c r="V101" i="25"/>
  <c r="U101" i="25"/>
  <c r="V100" i="25"/>
  <c r="U100" i="25"/>
  <c r="V99" i="25"/>
  <c r="U99" i="25"/>
  <c r="V98" i="25"/>
  <c r="U98" i="25"/>
  <c r="V97" i="25"/>
  <c r="U97" i="25"/>
  <c r="V96" i="25"/>
  <c r="U96" i="25"/>
  <c r="V95" i="25"/>
  <c r="U95" i="25"/>
  <c r="V94" i="25"/>
  <c r="U94" i="25"/>
  <c r="V93" i="25"/>
  <c r="U93" i="25"/>
  <c r="V92" i="25"/>
  <c r="U92" i="25"/>
  <c r="V91" i="25"/>
  <c r="U91" i="25"/>
  <c r="V90" i="25"/>
  <c r="U90" i="25"/>
  <c r="V89" i="25"/>
  <c r="U89" i="25"/>
  <c r="V88" i="25"/>
  <c r="U88" i="25"/>
  <c r="V87" i="25"/>
  <c r="U87" i="25"/>
  <c r="V86" i="25"/>
  <c r="U86" i="25"/>
  <c r="V85" i="25"/>
  <c r="U85" i="25"/>
  <c r="V84" i="25"/>
  <c r="U84" i="25"/>
  <c r="V83" i="25"/>
  <c r="U83" i="25"/>
  <c r="V82" i="25"/>
  <c r="U82" i="25"/>
  <c r="V81" i="25"/>
  <c r="U81" i="25"/>
  <c r="V80" i="25"/>
  <c r="U80" i="25"/>
  <c r="V79" i="25"/>
  <c r="U79" i="25"/>
  <c r="V78" i="25"/>
  <c r="U78" i="25"/>
  <c r="V77" i="25"/>
  <c r="U77" i="25"/>
  <c r="V76" i="25"/>
  <c r="U76" i="25"/>
  <c r="V75" i="25"/>
  <c r="U75" i="25"/>
  <c r="V74" i="25"/>
  <c r="U74" i="25"/>
  <c r="V73" i="25"/>
  <c r="U73" i="25"/>
  <c r="V72" i="25"/>
  <c r="U72" i="25"/>
  <c r="V71" i="25"/>
  <c r="U71" i="25"/>
  <c r="V70" i="25"/>
  <c r="U70" i="25"/>
  <c r="V69" i="25"/>
  <c r="U69" i="25"/>
  <c r="V68" i="25"/>
  <c r="U68" i="25"/>
  <c r="V67" i="25"/>
  <c r="U67" i="25"/>
  <c r="V66" i="25"/>
  <c r="U66" i="25"/>
  <c r="V65" i="25"/>
  <c r="U65" i="25"/>
  <c r="V64" i="25"/>
  <c r="U64" i="25"/>
  <c r="V63" i="25"/>
  <c r="U63" i="25"/>
  <c r="V62" i="25"/>
  <c r="U62" i="25"/>
  <c r="V61" i="25"/>
  <c r="U61" i="25"/>
  <c r="V60" i="25"/>
  <c r="U60" i="25"/>
  <c r="V59" i="25"/>
  <c r="U59" i="25"/>
  <c r="V58" i="25"/>
  <c r="U58" i="25"/>
  <c r="V57" i="25"/>
  <c r="U57" i="25"/>
  <c r="V56" i="25"/>
  <c r="U56" i="25"/>
  <c r="V55" i="25"/>
  <c r="U55" i="25"/>
  <c r="V54" i="25"/>
  <c r="U54" i="25"/>
  <c r="V53" i="25"/>
  <c r="U53" i="25"/>
  <c r="V52" i="25"/>
  <c r="U52" i="25"/>
  <c r="V51" i="25"/>
  <c r="U51" i="25"/>
  <c r="V50" i="25"/>
  <c r="U50" i="25"/>
  <c r="D43" i="25"/>
  <c r="Q15" i="25"/>
  <c r="Q14" i="25"/>
  <c r="Q13" i="25"/>
  <c r="Q12" i="25"/>
  <c r="W36" i="7"/>
  <c r="W35" i="7"/>
  <c r="W34" i="7"/>
  <c r="W33" i="7"/>
  <c r="B31" i="7"/>
  <c r="B15" i="7"/>
  <c r="J12" i="7" s="1"/>
  <c r="I12" i="7" s="1"/>
  <c r="B14" i="7"/>
  <c r="J10" i="7"/>
  <c r="I10" i="7"/>
  <c r="AY8" i="7"/>
  <c r="BF5" i="7"/>
  <c r="BF4" i="7"/>
  <c r="K49" i="1"/>
  <c r="K48" i="1"/>
  <c r="K47" i="1"/>
  <c r="K46" i="1"/>
  <c r="K44" i="1"/>
  <c r="K43" i="1"/>
  <c r="B43" i="1"/>
  <c r="K42" i="1"/>
  <c r="B42" i="1"/>
  <c r="K41" i="1"/>
  <c r="K39" i="1"/>
  <c r="B38" i="1"/>
  <c r="K38" i="1" s="1"/>
  <c r="K37" i="1"/>
  <c r="B37" i="1"/>
  <c r="K36" i="1"/>
  <c r="B36" i="1"/>
  <c r="W14" i="1" s="1"/>
  <c r="K35" i="1"/>
  <c r="B34" i="1"/>
  <c r="K34" i="1" s="1"/>
  <c r="K33" i="1"/>
  <c r="E30" i="1"/>
  <c r="V129" i="4" s="1"/>
  <c r="E29" i="1"/>
  <c r="V128" i="4" s="1"/>
  <c r="E28" i="1"/>
  <c r="V126" i="4" s="1"/>
  <c r="E27" i="1"/>
  <c r="V125" i="4" s="1"/>
  <c r="E26" i="1"/>
  <c r="V286" i="4" s="1"/>
  <c r="C25" i="1"/>
  <c r="N18" i="28" s="1"/>
  <c r="B25" i="1"/>
  <c r="K24" i="1"/>
  <c r="J24" i="1"/>
  <c r="T13" i="1" s="1"/>
  <c r="T20" i="1" s="1"/>
  <c r="B24" i="1"/>
  <c r="K23" i="1"/>
  <c r="J23" i="1"/>
  <c r="E23" i="1"/>
  <c r="V120" i="4" s="1"/>
  <c r="K22" i="1"/>
  <c r="J22" i="1"/>
  <c r="K21" i="1"/>
  <c r="J21" i="1"/>
  <c r="E21" i="1"/>
  <c r="V114" i="4" s="1"/>
  <c r="K20" i="1"/>
  <c r="J20" i="1"/>
  <c r="K19" i="1"/>
  <c r="J19" i="1"/>
  <c r="E19" i="1"/>
  <c r="V108" i="4" s="1"/>
  <c r="K18" i="1"/>
  <c r="J18" i="1"/>
  <c r="K17" i="1"/>
  <c r="J17" i="1"/>
  <c r="E17" i="1"/>
  <c r="AL16" i="1"/>
  <c r="AI16" i="1"/>
  <c r="K16" i="1"/>
  <c r="J16" i="1"/>
  <c r="E16" i="1"/>
  <c r="V105" i="4" s="1"/>
  <c r="B16" i="1"/>
  <c r="AL15" i="1"/>
  <c r="AI15" i="1"/>
  <c r="K15" i="1"/>
  <c r="P14" i="1" s="1"/>
  <c r="J15" i="1"/>
  <c r="P13" i="1" s="1"/>
  <c r="P20" i="1" s="1"/>
  <c r="E15" i="1"/>
  <c r="V37" i="4" s="1"/>
  <c r="AL14" i="1"/>
  <c r="AI14" i="1"/>
  <c r="AD14" i="1"/>
  <c r="T14" i="1"/>
  <c r="K14" i="1"/>
  <c r="J14" i="1"/>
  <c r="B14" i="1"/>
  <c r="AL13" i="1"/>
  <c r="AI13" i="1"/>
  <c r="V546" i="4" s="1"/>
  <c r="AD13" i="1"/>
  <c r="O13" i="1"/>
  <c r="K13" i="1"/>
  <c r="O14" i="1" s="1"/>
  <c r="J13" i="1"/>
  <c r="F13" i="1"/>
  <c r="E13" i="1"/>
  <c r="V34" i="4" s="1"/>
  <c r="J9" i="1"/>
  <c r="V892" i="4" s="1"/>
  <c r="K6" i="1"/>
  <c r="D6" i="1"/>
  <c r="O20" i="1" l="1"/>
  <c r="I16" i="7"/>
  <c r="O7" i="28" a="1"/>
  <c r="O7" i="28" s="1"/>
  <c r="E22" i="1"/>
  <c r="V117" i="4" s="1"/>
  <c r="R6" i="28" a="1"/>
  <c r="R6" i="28" s="1"/>
  <c r="R9" i="28" s="1" a="1"/>
  <c r="R9" i="28" s="1"/>
  <c r="E14" i="1"/>
  <c r="V102" i="4" s="1"/>
  <c r="T9" i="28"/>
  <c r="T25" i="28" s="1"/>
  <c r="Q18" i="28"/>
  <c r="K6" i="28" a="1"/>
  <c r="K6" i="28" s="1"/>
  <c r="B32" i="7"/>
  <c r="V8" i="4"/>
  <c r="V6" i="4"/>
  <c r="V901" i="4"/>
  <c r="R7" i="28" a="1"/>
  <c r="R7" i="28" s="1"/>
  <c r="J18" i="28"/>
  <c r="V43" i="4"/>
  <c r="V40" i="4"/>
  <c r="E18" i="1"/>
  <c r="V46" i="4" s="1"/>
  <c r="W13" i="1"/>
  <c r="K7" i="28" a="1"/>
  <c r="K7" i="28" s="1"/>
  <c r="R8" i="28" a="1"/>
  <c r="R8" i="28" s="1"/>
  <c r="E20" i="1"/>
  <c r="V111" i="4" s="1"/>
  <c r="E24" i="1"/>
  <c r="V123" i="4" s="1"/>
  <c r="B66" i="15" a="1"/>
  <c r="B66" i="15" s="1"/>
  <c r="B36" i="15" a="1"/>
  <c r="B36" i="15" s="1"/>
  <c r="B28" i="15" a="1"/>
  <c r="B28" i="15" s="1"/>
  <c r="B20" i="15" a="1"/>
  <c r="B20" i="15" s="1"/>
  <c r="B117" i="15" a="1"/>
  <c r="B117" i="15" s="1"/>
  <c r="B31" i="15" a="1"/>
  <c r="B31" i="15" s="1"/>
  <c r="B39" i="15" a="1"/>
  <c r="B39" i="15" s="1"/>
  <c r="B7" i="15" a="1"/>
  <c r="B7" i="15" s="1"/>
  <c r="B4" i="15" a="1"/>
  <c r="B4" i="15" s="1"/>
  <c r="B15" i="15" a="1"/>
  <c r="B15" i="15" s="1"/>
  <c r="B12" i="15" a="1"/>
  <c r="B12" i="15" s="1"/>
  <c r="B85" i="15" a="1"/>
  <c r="B85" i="15" s="1"/>
  <c r="B23" i="15" a="1"/>
  <c r="B23" i="15" s="1"/>
  <c r="B53" i="15" a="1"/>
  <c r="B53" i="15" s="1"/>
  <c r="B130" i="15" a="1"/>
  <c r="B130" i="15" s="1"/>
  <c r="B6" i="15" a="1"/>
  <c r="B6" i="15" s="1"/>
  <c r="B14" i="15" a="1"/>
  <c r="B14" i="15" s="1"/>
  <c r="B22" i="15" a="1"/>
  <c r="B22" i="15" s="1"/>
  <c r="B30" i="15" a="1"/>
  <c r="B30" i="15" s="1"/>
  <c r="B38" i="15" a="1"/>
  <c r="B38" i="15" s="1"/>
  <c r="B74" i="15" a="1"/>
  <c r="B74" i="15" s="1"/>
  <c r="B106" i="15" a="1"/>
  <c r="B106" i="15" s="1"/>
  <c r="B138" i="15" a="1"/>
  <c r="B138" i="15" s="1"/>
  <c r="B215" i="15" a="1"/>
  <c r="B215" i="15" s="1"/>
  <c r="B5" i="15" a="1"/>
  <c r="B5" i="15" s="1"/>
  <c r="B13" i="15" a="1"/>
  <c r="B13" i="15" s="1"/>
  <c r="B21" i="15" a="1"/>
  <c r="B21" i="15" s="1"/>
  <c r="B29" i="15" a="1"/>
  <c r="B29" i="15" s="1"/>
  <c r="B37" i="15" a="1"/>
  <c r="B37" i="15" s="1"/>
  <c r="B45" i="15" a="1"/>
  <c r="B45" i="15" s="1"/>
  <c r="B49" i="15" a="1"/>
  <c r="B49" i="15" s="1"/>
  <c r="B77" i="15" a="1"/>
  <c r="B77" i="15" s="1"/>
  <c r="B109" i="15" a="1"/>
  <c r="B109" i="15" s="1"/>
  <c r="B141" i="15" a="1"/>
  <c r="B141" i="15" s="1"/>
  <c r="B159" i="15" a="1"/>
  <c r="B159" i="15" s="1"/>
  <c r="B98" i="15" a="1"/>
  <c r="B98" i="15" s="1"/>
  <c r="B739" i="15" a="1"/>
  <c r="B739" i="15" s="1"/>
  <c r="B731" i="15" a="1"/>
  <c r="B731" i="15" s="1"/>
  <c r="B723" i="15" a="1"/>
  <c r="B723" i="15" s="1"/>
  <c r="B740" i="15" a="1"/>
  <c r="B740" i="15" s="1"/>
  <c r="B732" i="15" a="1"/>
  <c r="B732" i="15" s="1"/>
  <c r="B724" i="15" a="1"/>
  <c r="B724" i="15" s="1"/>
  <c r="B716" i="15" a="1"/>
  <c r="B716" i="15" s="1"/>
  <c r="B741" i="15" a="1"/>
  <c r="B741" i="15" s="1"/>
  <c r="B733" i="15" a="1"/>
  <c r="B733" i="15" s="1"/>
  <c r="B725" i="15" a="1"/>
  <c r="B725" i="15" s="1"/>
  <c r="B717" i="15" a="1"/>
  <c r="B717" i="15" s="1"/>
  <c r="B736" i="15" a="1"/>
  <c r="B736" i="15" s="1"/>
  <c r="B718" i="15" a="1"/>
  <c r="B718" i="15" s="1"/>
  <c r="B713" i="15" a="1"/>
  <c r="B713" i="15" s="1"/>
  <c r="B742" i="15" a="1"/>
  <c r="B742" i="15" s="1"/>
  <c r="B727" i="15" a="1"/>
  <c r="B727" i="15" s="1"/>
  <c r="B714" i="15" a="1"/>
  <c r="B714" i="15" s="1"/>
  <c r="B744" i="15" a="1"/>
  <c r="B744" i="15" s="1"/>
  <c r="B737" i="15" a="1"/>
  <c r="B737" i="15" s="1"/>
  <c r="B715" i="15" a="1"/>
  <c r="B715" i="15" s="1"/>
  <c r="B728" i="15" a="1"/>
  <c r="B728" i="15" s="1"/>
  <c r="B708" i="15" a="1"/>
  <c r="B708" i="15" s="1"/>
  <c r="B743" i="15" a="1"/>
  <c r="B743" i="15" s="1"/>
  <c r="B729" i="15" a="1"/>
  <c r="B729" i="15" s="1"/>
  <c r="B721" i="15" a="1"/>
  <c r="B721" i="15" s="1"/>
  <c r="B735" i="15" a="1"/>
  <c r="B735" i="15" s="1"/>
  <c r="B720" i="15" a="1"/>
  <c r="B720" i="15" s="1"/>
  <c r="B711" i="15" a="1"/>
  <c r="B711" i="15" s="1"/>
  <c r="B722" i="15" a="1"/>
  <c r="B722" i="15" s="1"/>
  <c r="B709" i="15" a="1"/>
  <c r="B709" i="15" s="1"/>
  <c r="B706" i="15" a="1"/>
  <c r="B706" i="15" s="1"/>
  <c r="B701" i="15" a="1"/>
  <c r="B701" i="15" s="1"/>
  <c r="B693" i="15" a="1"/>
  <c r="B693" i="15" s="1"/>
  <c r="B726" i="15" a="1"/>
  <c r="B726" i="15" s="1"/>
  <c r="B702" i="15" a="1"/>
  <c r="B702" i="15" s="1"/>
  <c r="B694" i="15" a="1"/>
  <c r="B694" i="15" s="1"/>
  <c r="B686" i="15" a="1"/>
  <c r="B686" i="15" s="1"/>
  <c r="B712" i="15" a="1"/>
  <c r="B712" i="15" s="1"/>
  <c r="B703" i="15" a="1"/>
  <c r="B703" i="15" s="1"/>
  <c r="B695" i="15" a="1"/>
  <c r="B695" i="15" s="1"/>
  <c r="B687" i="15" a="1"/>
  <c r="B687" i="15" s="1"/>
  <c r="B730" i="15" a="1"/>
  <c r="B730" i="15" s="1"/>
  <c r="B704" i="15" a="1"/>
  <c r="B704" i="15" s="1"/>
  <c r="B696" i="15" a="1"/>
  <c r="B696" i="15" s="1"/>
  <c r="B688" i="15" a="1"/>
  <c r="B688" i="15" s="1"/>
  <c r="B719" i="15" a="1"/>
  <c r="B719" i="15" s="1"/>
  <c r="B710" i="15" a="1"/>
  <c r="B710" i="15" s="1"/>
  <c r="B705" i="15" a="1"/>
  <c r="B705" i="15" s="1"/>
  <c r="B698" i="15" a="1"/>
  <c r="B698" i="15" s="1"/>
  <c r="B690" i="15" a="1"/>
  <c r="B690" i="15" s="1"/>
  <c r="B738" i="15" a="1"/>
  <c r="B738" i="15" s="1"/>
  <c r="B699" i="15" a="1"/>
  <c r="B699" i="15" s="1"/>
  <c r="B691" i="15" a="1"/>
  <c r="B691" i="15" s="1"/>
  <c r="B734" i="15" a="1"/>
  <c r="B734" i="15" s="1"/>
  <c r="B685" i="15" a="1"/>
  <c r="B685" i="15" s="1"/>
  <c r="B677" i="15" a="1"/>
  <c r="B677" i="15" s="1"/>
  <c r="B670" i="15" a="1"/>
  <c r="B670" i="15" s="1"/>
  <c r="B678" i="15" a="1"/>
  <c r="B678" i="15" s="1"/>
  <c r="B671" i="15" a="1"/>
  <c r="B671" i="15" s="1"/>
  <c r="B679" i="15" a="1"/>
  <c r="B679" i="15" s="1"/>
  <c r="B672" i="15" a="1"/>
  <c r="B672" i="15" s="1"/>
  <c r="B692" i="15" a="1"/>
  <c r="B692" i="15" s="1"/>
  <c r="B689" i="15" a="1"/>
  <c r="B689" i="15" s="1"/>
  <c r="B680" i="15" a="1"/>
  <c r="B680" i="15" s="1"/>
  <c r="B700" i="15" a="1"/>
  <c r="B700" i="15" s="1"/>
  <c r="B682" i="15" a="1"/>
  <c r="B682" i="15" s="1"/>
  <c r="B674" i="15" a="1"/>
  <c r="B674" i="15" s="1"/>
  <c r="B707" i="15" a="1"/>
  <c r="B707" i="15" s="1"/>
  <c r="B697" i="15" a="1"/>
  <c r="B697" i="15" s="1"/>
  <c r="B683" i="15" a="1"/>
  <c r="B683" i="15" s="1"/>
  <c r="B675" i="15" a="1"/>
  <c r="B675" i="15" s="1"/>
  <c r="B668" i="15" a="1"/>
  <c r="B668" i="15" s="1"/>
  <c r="B665" i="15" a="1"/>
  <c r="B665" i="15" s="1"/>
  <c r="B658" i="15" a="1"/>
  <c r="B658" i="15" s="1"/>
  <c r="B651" i="15" a="1"/>
  <c r="B651" i="15" s="1"/>
  <c r="B676" i="15" a="1"/>
  <c r="B676" i="15" s="1"/>
  <c r="B659" i="15" a="1"/>
  <c r="B659" i="15" s="1"/>
  <c r="B652" i="15" a="1"/>
  <c r="B652" i="15" s="1"/>
  <c r="B644" i="15" a="1"/>
  <c r="B644" i="15" s="1"/>
  <c r="B673" i="15" a="1"/>
  <c r="B673" i="15" s="1"/>
  <c r="B660" i="15" a="1"/>
  <c r="B660" i="15" s="1"/>
  <c r="B653" i="15" a="1"/>
  <c r="B653" i="15" s="1"/>
  <c r="B645" i="15" a="1"/>
  <c r="B645" i="15" s="1"/>
  <c r="B684" i="15" a="1"/>
  <c r="B684" i="15" s="1"/>
  <c r="B661" i="15" a="1"/>
  <c r="B661" i="15" s="1"/>
  <c r="B646" i="15" a="1"/>
  <c r="B646" i="15" s="1"/>
  <c r="B669" i="15" a="1"/>
  <c r="B669" i="15" s="1"/>
  <c r="B663" i="15" a="1"/>
  <c r="B663" i="15" s="1"/>
  <c r="B655" i="15" a="1"/>
  <c r="B655" i="15" s="1"/>
  <c r="B648" i="15" a="1"/>
  <c r="B648" i="15" s="1"/>
  <c r="B667" i="15" a="1"/>
  <c r="B667" i="15" s="1"/>
  <c r="B664" i="15" a="1"/>
  <c r="B664" i="15" s="1"/>
  <c r="B656" i="15" a="1"/>
  <c r="B656" i="15" s="1"/>
  <c r="B649" i="15" a="1"/>
  <c r="B649" i="15" s="1"/>
  <c r="B636" i="15" a="1"/>
  <c r="B636" i="15" s="1"/>
  <c r="B629" i="15" a="1"/>
  <c r="B629" i="15" s="1"/>
  <c r="B621" i="15" a="1"/>
  <c r="B621" i="15" s="1"/>
  <c r="B666" i="15" a="1"/>
  <c r="B666" i="15" s="1"/>
  <c r="B637" i="15" a="1"/>
  <c r="B637" i="15" s="1"/>
  <c r="B630" i="15" a="1"/>
  <c r="B630" i="15" s="1"/>
  <c r="B622" i="15" a="1"/>
  <c r="B622" i="15" s="1"/>
  <c r="B681" i="15" a="1"/>
  <c r="B681" i="15" s="1"/>
  <c r="B638" i="15" a="1"/>
  <c r="B638" i="15" s="1"/>
  <c r="B631" i="15" a="1"/>
  <c r="B631" i="15" s="1"/>
  <c r="B623" i="15" a="1"/>
  <c r="B623" i="15" s="1"/>
  <c r="B657" i="15" a="1"/>
  <c r="B657" i="15" s="1"/>
  <c r="B650" i="15" a="1"/>
  <c r="B650" i="15" s="1"/>
  <c r="B639" i="15" a="1"/>
  <c r="B639" i="15" s="1"/>
  <c r="B632" i="15" a="1"/>
  <c r="B632" i="15" s="1"/>
  <c r="B624" i="15" a="1"/>
  <c r="B624" i="15" s="1"/>
  <c r="B641" i="15" a="1"/>
  <c r="B641" i="15" s="1"/>
  <c r="B634" i="15" a="1"/>
  <c r="B634" i="15" s="1"/>
  <c r="B626" i="15" a="1"/>
  <c r="B626" i="15" s="1"/>
  <c r="B618" i="15" a="1"/>
  <c r="B618" i="15" s="1"/>
  <c r="B662" i="15" a="1"/>
  <c r="B662" i="15" s="1"/>
  <c r="B642" i="15" a="1"/>
  <c r="B642" i="15" s="1"/>
  <c r="B627" i="15" a="1"/>
  <c r="B627" i="15" s="1"/>
  <c r="B619" i="15" a="1"/>
  <c r="B619" i="15" s="1"/>
  <c r="B616" i="15" a="1"/>
  <c r="B616" i="15" s="1"/>
  <c r="B608" i="15" a="1"/>
  <c r="B608" i="15" s="1"/>
  <c r="B600" i="15" a="1"/>
  <c r="B600" i="15" s="1"/>
  <c r="B592" i="15" a="1"/>
  <c r="B592" i="15" s="1"/>
  <c r="B584" i="15" a="1"/>
  <c r="B584" i="15" s="1"/>
  <c r="B576" i="15" a="1"/>
  <c r="B576" i="15" s="1"/>
  <c r="B620" i="15" a="1"/>
  <c r="B620" i="15" s="1"/>
  <c r="B617" i="15" a="1"/>
  <c r="B617" i="15" s="1"/>
  <c r="B609" i="15" a="1"/>
  <c r="B609" i="15" s="1"/>
  <c r="B601" i="15" a="1"/>
  <c r="B601" i="15" s="1"/>
  <c r="B593" i="15" a="1"/>
  <c r="B593" i="15" s="1"/>
  <c r="B585" i="15" a="1"/>
  <c r="B585" i="15" s="1"/>
  <c r="B577" i="15" a="1"/>
  <c r="B577" i="15" s="1"/>
  <c r="B569" i="15" a="1"/>
  <c r="B569" i="15" s="1"/>
  <c r="B610" i="15" a="1"/>
  <c r="B610" i="15" s="1"/>
  <c r="B602" i="15" a="1"/>
  <c r="B602" i="15" s="1"/>
  <c r="B594" i="15" a="1"/>
  <c r="B594" i="15" s="1"/>
  <c r="B586" i="15" a="1"/>
  <c r="B586" i="15" s="1"/>
  <c r="B578" i="15" a="1"/>
  <c r="B578" i="15" s="1"/>
  <c r="B570" i="15" a="1"/>
  <c r="B570" i="15" s="1"/>
  <c r="B635" i="15" a="1"/>
  <c r="B635" i="15" s="1"/>
  <c r="B628" i="15" a="1"/>
  <c r="B628" i="15" s="1"/>
  <c r="B611" i="15" a="1"/>
  <c r="B611" i="15" s="1"/>
  <c r="B603" i="15" a="1"/>
  <c r="B603" i="15" s="1"/>
  <c r="B595" i="15" a="1"/>
  <c r="B595" i="15" s="1"/>
  <c r="B587" i="15" a="1"/>
  <c r="B587" i="15" s="1"/>
  <c r="B579" i="15" a="1"/>
  <c r="B579" i="15" s="1"/>
  <c r="B643" i="15" a="1"/>
  <c r="B643" i="15" s="1"/>
  <c r="B613" i="15" a="1"/>
  <c r="B613" i="15" s="1"/>
  <c r="B605" i="15" a="1"/>
  <c r="B605" i="15" s="1"/>
  <c r="B597" i="15" a="1"/>
  <c r="B597" i="15" s="1"/>
  <c r="B589" i="15" a="1"/>
  <c r="B589" i="15" s="1"/>
  <c r="B581" i="15" a="1"/>
  <c r="B581" i="15" s="1"/>
  <c r="B573" i="15" a="1"/>
  <c r="B573" i="15" s="1"/>
  <c r="B647" i="15" a="1"/>
  <c r="B647" i="15" s="1"/>
  <c r="B640" i="15" a="1"/>
  <c r="B640" i="15" s="1"/>
  <c r="B633" i="15" a="1"/>
  <c r="B633" i="15" s="1"/>
  <c r="B614" i="15" a="1"/>
  <c r="B614" i="15" s="1"/>
  <c r="B606" i="15" a="1"/>
  <c r="B606" i="15" s="1"/>
  <c r="B598" i="15" a="1"/>
  <c r="B598" i="15" s="1"/>
  <c r="B590" i="15" a="1"/>
  <c r="B590" i="15" s="1"/>
  <c r="B582" i="15" a="1"/>
  <c r="B582" i="15" s="1"/>
  <c r="B574" i="15" a="1"/>
  <c r="B574" i="15" s="1"/>
  <c r="B612" i="15" a="1"/>
  <c r="B612" i="15" s="1"/>
  <c r="B580" i="15" a="1"/>
  <c r="B580" i="15" s="1"/>
  <c r="B575" i="15" a="1"/>
  <c r="B575" i="15" s="1"/>
  <c r="B563" i="15" a="1"/>
  <c r="B563" i="15" s="1"/>
  <c r="B555" i="15" a="1"/>
  <c r="B555" i="15" s="1"/>
  <c r="B547" i="15" a="1"/>
  <c r="B547" i="15" s="1"/>
  <c r="B539" i="15" a="1"/>
  <c r="B539" i="15" s="1"/>
  <c r="B531" i="15" a="1"/>
  <c r="B531" i="15" s="1"/>
  <c r="B591" i="15" a="1"/>
  <c r="B591" i="15" s="1"/>
  <c r="B564" i="15" a="1"/>
  <c r="B564" i="15" s="1"/>
  <c r="B556" i="15" a="1"/>
  <c r="B556" i="15" s="1"/>
  <c r="B548" i="15" a="1"/>
  <c r="B548" i="15" s="1"/>
  <c r="B540" i="15" a="1"/>
  <c r="B540" i="15" s="1"/>
  <c r="B532" i="15" a="1"/>
  <c r="B532" i="15" s="1"/>
  <c r="B588" i="15" a="1"/>
  <c r="B588" i="15" s="1"/>
  <c r="B572" i="15" a="1"/>
  <c r="B572" i="15" s="1"/>
  <c r="B571" i="15" a="1"/>
  <c r="B571" i="15" s="1"/>
  <c r="B565" i="15" a="1"/>
  <c r="B565" i="15" s="1"/>
  <c r="B557" i="15" a="1"/>
  <c r="B557" i="15" s="1"/>
  <c r="B549" i="15" a="1"/>
  <c r="B549" i="15" s="1"/>
  <c r="B541" i="15" a="1"/>
  <c r="B541" i="15" s="1"/>
  <c r="B533" i="15" a="1"/>
  <c r="B533" i="15" s="1"/>
  <c r="B599" i="15" a="1"/>
  <c r="B599" i="15" s="1"/>
  <c r="B566" i="15" a="1"/>
  <c r="B566" i="15" s="1"/>
  <c r="B558" i="15" a="1"/>
  <c r="B558" i="15" s="1"/>
  <c r="B550" i="15" a="1"/>
  <c r="B550" i="15" s="1"/>
  <c r="B542" i="15" a="1"/>
  <c r="B542" i="15" s="1"/>
  <c r="B534" i="15" a="1"/>
  <c r="B534" i="15" s="1"/>
  <c r="B607" i="15" a="1"/>
  <c r="B607" i="15" s="1"/>
  <c r="B568" i="15" a="1"/>
  <c r="B568" i="15" s="1"/>
  <c r="B560" i="15" a="1"/>
  <c r="B560" i="15" s="1"/>
  <c r="B552" i="15" a="1"/>
  <c r="B552" i="15" s="1"/>
  <c r="B544" i="15" a="1"/>
  <c r="B544" i="15" s="1"/>
  <c r="B536" i="15" a="1"/>
  <c r="B536" i="15" s="1"/>
  <c r="B654" i="15" a="1"/>
  <c r="B654" i="15" s="1"/>
  <c r="B625" i="15" a="1"/>
  <c r="B625" i="15" s="1"/>
  <c r="B604" i="15" a="1"/>
  <c r="B604" i="15" s="1"/>
  <c r="B561" i="15" a="1"/>
  <c r="B561" i="15" s="1"/>
  <c r="B553" i="15" a="1"/>
  <c r="B553" i="15" s="1"/>
  <c r="B545" i="15" a="1"/>
  <c r="B545" i="15" s="1"/>
  <c r="B537" i="15" a="1"/>
  <c r="B537" i="15" s="1"/>
  <c r="B529" i="15" a="1"/>
  <c r="B529" i="15" s="1"/>
  <c r="B567" i="15" a="1"/>
  <c r="B567" i="15" s="1"/>
  <c r="B535" i="15" a="1"/>
  <c r="B535" i="15" s="1"/>
  <c r="B528" i="15" a="1"/>
  <c r="B528" i="15" s="1"/>
  <c r="B523" i="15" a="1"/>
  <c r="B523" i="15" s="1"/>
  <c r="B515" i="15" a="1"/>
  <c r="B515" i="15" s="1"/>
  <c r="B507" i="15" a="1"/>
  <c r="B507" i="15" s="1"/>
  <c r="B499" i="15" a="1"/>
  <c r="B499" i="15" s="1"/>
  <c r="B491" i="15" a="1"/>
  <c r="B491" i="15" s="1"/>
  <c r="B615" i="15" a="1"/>
  <c r="B615" i="15" s="1"/>
  <c r="B546" i="15" a="1"/>
  <c r="B546" i="15" s="1"/>
  <c r="B527" i="15" a="1"/>
  <c r="B527" i="15" s="1"/>
  <c r="B524" i="15" a="1"/>
  <c r="B524" i="15" s="1"/>
  <c r="B516" i="15" a="1"/>
  <c r="B516" i="15" s="1"/>
  <c r="B508" i="15" a="1"/>
  <c r="B508" i="15" s="1"/>
  <c r="B500" i="15" a="1"/>
  <c r="B500" i="15" s="1"/>
  <c r="B492" i="15" a="1"/>
  <c r="B492" i="15" s="1"/>
  <c r="B484" i="15" a="1"/>
  <c r="B484" i="15" s="1"/>
  <c r="B543" i="15" a="1"/>
  <c r="B543" i="15" s="1"/>
  <c r="B525" i="15" a="1"/>
  <c r="B525" i="15" s="1"/>
  <c r="B517" i="15" a="1"/>
  <c r="B517" i="15" s="1"/>
  <c r="B509" i="15" a="1"/>
  <c r="B509" i="15" s="1"/>
  <c r="B501" i="15" a="1"/>
  <c r="B501" i="15" s="1"/>
  <c r="B493" i="15" a="1"/>
  <c r="B493" i="15" s="1"/>
  <c r="B485" i="15" a="1"/>
  <c r="B485" i="15" s="1"/>
  <c r="B554" i="15" a="1"/>
  <c r="B554" i="15" s="1"/>
  <c r="B526" i="15" a="1"/>
  <c r="B526" i="15" s="1"/>
  <c r="B518" i="15" a="1"/>
  <c r="B518" i="15" s="1"/>
  <c r="B510" i="15" a="1"/>
  <c r="B510" i="15" s="1"/>
  <c r="B502" i="15" a="1"/>
  <c r="B502" i="15" s="1"/>
  <c r="B494" i="15" a="1"/>
  <c r="B494" i="15" s="1"/>
  <c r="B486" i="15" a="1"/>
  <c r="B486" i="15" s="1"/>
  <c r="B562" i="15" a="1"/>
  <c r="B562" i="15" s="1"/>
  <c r="B520" i="15" a="1"/>
  <c r="B520" i="15" s="1"/>
  <c r="B512" i="15" a="1"/>
  <c r="B512" i="15" s="1"/>
  <c r="B504" i="15" a="1"/>
  <c r="B504" i="15" s="1"/>
  <c r="B496" i="15" a="1"/>
  <c r="B496" i="15" s="1"/>
  <c r="B488" i="15" a="1"/>
  <c r="B488" i="15" s="1"/>
  <c r="B559" i="15" a="1"/>
  <c r="B559" i="15" s="1"/>
  <c r="B530" i="15" a="1"/>
  <c r="B530" i="15" s="1"/>
  <c r="B521" i="15" a="1"/>
  <c r="B521" i="15" s="1"/>
  <c r="B513" i="15" a="1"/>
  <c r="B513" i="15" s="1"/>
  <c r="B505" i="15" a="1"/>
  <c r="B505" i="15" s="1"/>
  <c r="B497" i="15" a="1"/>
  <c r="B497" i="15" s="1"/>
  <c r="B489" i="15" a="1"/>
  <c r="B489" i="15" s="1"/>
  <c r="B551" i="15" a="1"/>
  <c r="B551" i="15" s="1"/>
  <c r="B519" i="15" a="1"/>
  <c r="B519" i="15" s="1"/>
  <c r="B487" i="15" a="1"/>
  <c r="B487" i="15" s="1"/>
  <c r="B483" i="15" a="1"/>
  <c r="B483" i="15" s="1"/>
  <c r="B475" i="15" a="1"/>
  <c r="B475" i="15" s="1"/>
  <c r="B467" i="15" a="1"/>
  <c r="B467" i="15" s="1"/>
  <c r="B459" i="15" a="1"/>
  <c r="B459" i="15" s="1"/>
  <c r="B451" i="15" a="1"/>
  <c r="B451" i="15" s="1"/>
  <c r="B443" i="15" a="1"/>
  <c r="B443" i="15" s="1"/>
  <c r="B498" i="15" a="1"/>
  <c r="B498" i="15" s="1"/>
  <c r="B476" i="15" a="1"/>
  <c r="B476" i="15" s="1"/>
  <c r="B468" i="15" a="1"/>
  <c r="B468" i="15" s="1"/>
  <c r="B460" i="15" a="1"/>
  <c r="B460" i="15" s="1"/>
  <c r="B452" i="15" a="1"/>
  <c r="B452" i="15" s="1"/>
  <c r="B444" i="15" a="1"/>
  <c r="B444" i="15" s="1"/>
  <c r="B596" i="15" a="1"/>
  <c r="B596" i="15" s="1"/>
  <c r="B495" i="15" a="1"/>
  <c r="B495" i="15" s="1"/>
  <c r="B477" i="15" a="1"/>
  <c r="B477" i="15" s="1"/>
  <c r="B469" i="15" a="1"/>
  <c r="B469" i="15" s="1"/>
  <c r="B461" i="15" a="1"/>
  <c r="B461" i="15" s="1"/>
  <c r="B453" i="15" a="1"/>
  <c r="B453" i="15" s="1"/>
  <c r="B445" i="15" a="1"/>
  <c r="B445" i="15" s="1"/>
  <c r="B538" i="15" a="1"/>
  <c r="B538" i="15" s="1"/>
  <c r="B506" i="15" a="1"/>
  <c r="B506" i="15" s="1"/>
  <c r="B478" i="15" a="1"/>
  <c r="B478" i="15" s="1"/>
  <c r="B470" i="15" a="1"/>
  <c r="B470" i="15" s="1"/>
  <c r="B462" i="15" a="1"/>
  <c r="B462" i="15" s="1"/>
  <c r="B454" i="15" a="1"/>
  <c r="B454" i="15" s="1"/>
  <c r="B446" i="15" a="1"/>
  <c r="B446" i="15" s="1"/>
  <c r="B514" i="15" a="1"/>
  <c r="B514" i="15" s="1"/>
  <c r="B480" i="15" a="1"/>
  <c r="B480" i="15" s="1"/>
  <c r="B472" i="15" a="1"/>
  <c r="B472" i="15" s="1"/>
  <c r="B464" i="15" a="1"/>
  <c r="B464" i="15" s="1"/>
  <c r="B456" i="15" a="1"/>
  <c r="B456" i="15" s="1"/>
  <c r="B448" i="15" a="1"/>
  <c r="B448" i="15" s="1"/>
  <c r="B440" i="15" a="1"/>
  <c r="B440" i="15" s="1"/>
  <c r="B511" i="15" a="1"/>
  <c r="B511" i="15" s="1"/>
  <c r="B481" i="15" a="1"/>
  <c r="B481" i="15" s="1"/>
  <c r="B473" i="15" a="1"/>
  <c r="B473" i="15" s="1"/>
  <c r="B465" i="15" a="1"/>
  <c r="B465" i="15" s="1"/>
  <c r="B457" i="15" a="1"/>
  <c r="B457" i="15" s="1"/>
  <c r="B449" i="15" a="1"/>
  <c r="B449" i="15" s="1"/>
  <c r="B441" i="15" a="1"/>
  <c r="B441" i="15" s="1"/>
  <c r="B503" i="15" a="1"/>
  <c r="B503" i="15" s="1"/>
  <c r="B471" i="15" a="1"/>
  <c r="B471" i="15" s="1"/>
  <c r="B438" i="15" a="1"/>
  <c r="B438" i="15" s="1"/>
  <c r="B430" i="15" a="1"/>
  <c r="B430" i="15" s="1"/>
  <c r="B422" i="15" a="1"/>
  <c r="B422" i="15" s="1"/>
  <c r="B414" i="15" a="1"/>
  <c r="B414" i="15" s="1"/>
  <c r="B406" i="15" a="1"/>
  <c r="B406" i="15" s="1"/>
  <c r="B482" i="15" a="1"/>
  <c r="B482" i="15" s="1"/>
  <c r="B450" i="15" a="1"/>
  <c r="B450" i="15" s="1"/>
  <c r="B431" i="15" a="1"/>
  <c r="B431" i="15" s="1"/>
  <c r="B423" i="15" a="1"/>
  <c r="B423" i="15" s="1"/>
  <c r="B415" i="15" a="1"/>
  <c r="B415" i="15" s="1"/>
  <c r="B407" i="15" a="1"/>
  <c r="B407" i="15" s="1"/>
  <c r="B399" i="15" a="1"/>
  <c r="B399" i="15" s="1"/>
  <c r="B479" i="15" a="1"/>
  <c r="B479" i="15" s="1"/>
  <c r="B447" i="15" a="1"/>
  <c r="B447" i="15" s="1"/>
  <c r="B439" i="15" a="1"/>
  <c r="B439" i="15" s="1"/>
  <c r="B432" i="15" a="1"/>
  <c r="B432" i="15" s="1"/>
  <c r="B424" i="15" a="1"/>
  <c r="B424" i="15" s="1"/>
  <c r="B416" i="15" a="1"/>
  <c r="B416" i="15" s="1"/>
  <c r="B408" i="15" a="1"/>
  <c r="B408" i="15" s="1"/>
  <c r="B400" i="15" a="1"/>
  <c r="B400" i="15" s="1"/>
  <c r="B583" i="15" a="1"/>
  <c r="B583" i="15" s="1"/>
  <c r="B490" i="15" a="1"/>
  <c r="B490" i="15" s="1"/>
  <c r="B458" i="15" a="1"/>
  <c r="B458" i="15" s="1"/>
  <c r="B442" i="15" a="1"/>
  <c r="B442" i="15" s="1"/>
  <c r="B433" i="15" a="1"/>
  <c r="B433" i="15" s="1"/>
  <c r="B425" i="15" a="1"/>
  <c r="B425" i="15" s="1"/>
  <c r="B417" i="15" a="1"/>
  <c r="B417" i="15" s="1"/>
  <c r="B409" i="15" a="1"/>
  <c r="B409" i="15" s="1"/>
  <c r="B522" i="15" a="1"/>
  <c r="B522" i="15" s="1"/>
  <c r="B466" i="15" a="1"/>
  <c r="B466" i="15" s="1"/>
  <c r="B435" i="15" a="1"/>
  <c r="B435" i="15" s="1"/>
  <c r="B427" i="15" a="1"/>
  <c r="B427" i="15" s="1"/>
  <c r="B419" i="15" a="1"/>
  <c r="B419" i="15" s="1"/>
  <c r="B411" i="15" a="1"/>
  <c r="B411" i="15" s="1"/>
  <c r="B403" i="15" a="1"/>
  <c r="B403" i="15" s="1"/>
  <c r="B463" i="15" a="1"/>
  <c r="B463" i="15" s="1"/>
  <c r="B436" i="15" a="1"/>
  <c r="B436" i="15" s="1"/>
  <c r="B428" i="15" a="1"/>
  <c r="B428" i="15" s="1"/>
  <c r="B420" i="15" a="1"/>
  <c r="B420" i="15" s="1"/>
  <c r="B412" i="15" a="1"/>
  <c r="B412" i="15" s="1"/>
  <c r="B404" i="15" a="1"/>
  <c r="B404" i="15" s="1"/>
  <c r="B418" i="15" a="1"/>
  <c r="B418" i="15" s="1"/>
  <c r="B394" i="15" a="1"/>
  <c r="B394" i="15" s="1"/>
  <c r="B386" i="15" a="1"/>
  <c r="B386" i="15" s="1"/>
  <c r="B378" i="15" a="1"/>
  <c r="B378" i="15" s="1"/>
  <c r="B370" i="15" a="1"/>
  <c r="B370" i="15" s="1"/>
  <c r="B362" i="15" a="1"/>
  <c r="B362" i="15" s="1"/>
  <c r="B354" i="15" a="1"/>
  <c r="B354" i="15" s="1"/>
  <c r="B429" i="15" a="1"/>
  <c r="B429" i="15" s="1"/>
  <c r="B395" i="15" a="1"/>
  <c r="B395" i="15" s="1"/>
  <c r="B387" i="15" a="1"/>
  <c r="B387" i="15" s="1"/>
  <c r="B379" i="15" a="1"/>
  <c r="B379" i="15" s="1"/>
  <c r="B371" i="15" a="1"/>
  <c r="B371" i="15" s="1"/>
  <c r="B363" i="15" a="1"/>
  <c r="B363" i="15" s="1"/>
  <c r="B355" i="15" a="1"/>
  <c r="B355" i="15" s="1"/>
  <c r="B426" i="15" a="1"/>
  <c r="B426" i="15" s="1"/>
  <c r="B398" i="15" a="1"/>
  <c r="B398" i="15" s="1"/>
  <c r="B396" i="15" a="1"/>
  <c r="B396" i="15" s="1"/>
  <c r="B388" i="15" a="1"/>
  <c r="B388" i="15" s="1"/>
  <c r="B380" i="15" a="1"/>
  <c r="B380" i="15" s="1"/>
  <c r="B372" i="15" a="1"/>
  <c r="B372" i="15" s="1"/>
  <c r="B364" i="15" a="1"/>
  <c r="B364" i="15" s="1"/>
  <c r="B356" i="15" a="1"/>
  <c r="B356" i="15" s="1"/>
  <c r="B474" i="15" a="1"/>
  <c r="B474" i="15" s="1"/>
  <c r="B437" i="15" a="1"/>
  <c r="B437" i="15" s="1"/>
  <c r="B405" i="15" a="1"/>
  <c r="B405" i="15" s="1"/>
  <c r="B389" i="15" a="1"/>
  <c r="B389" i="15" s="1"/>
  <c r="B381" i="15" a="1"/>
  <c r="B381" i="15" s="1"/>
  <c r="B373" i="15" a="1"/>
  <c r="B373" i="15" s="1"/>
  <c r="B365" i="15" a="1"/>
  <c r="B365" i="15" s="1"/>
  <c r="B357" i="15" a="1"/>
  <c r="B357" i="15" s="1"/>
  <c r="B413" i="15" a="1"/>
  <c r="B413" i="15" s="1"/>
  <c r="B391" i="15" a="1"/>
  <c r="B391" i="15" s="1"/>
  <c r="B383" i="15" a="1"/>
  <c r="B383" i="15" s="1"/>
  <c r="B375" i="15" a="1"/>
  <c r="B375" i="15" s="1"/>
  <c r="B367" i="15" a="1"/>
  <c r="B367" i="15" s="1"/>
  <c r="B359" i="15" a="1"/>
  <c r="B359" i="15" s="1"/>
  <c r="B455" i="15" a="1"/>
  <c r="B455" i="15" s="1"/>
  <c r="B410" i="15" a="1"/>
  <c r="B410" i="15" s="1"/>
  <c r="B397" i="15" a="1"/>
  <c r="B397" i="15" s="1"/>
  <c r="B392" i="15" a="1"/>
  <c r="B392" i="15" s="1"/>
  <c r="B384" i="15" a="1"/>
  <c r="B384" i="15" s="1"/>
  <c r="B376" i="15" a="1"/>
  <c r="B376" i="15" s="1"/>
  <c r="B368" i="15" a="1"/>
  <c r="B368" i="15" s="1"/>
  <c r="B360" i="15" a="1"/>
  <c r="B360" i="15" s="1"/>
  <c r="B390" i="15" a="1"/>
  <c r="B390" i="15" s="1"/>
  <c r="B358" i="15" a="1"/>
  <c r="B358" i="15" s="1"/>
  <c r="B351" i="15" a="1"/>
  <c r="B351" i="15" s="1"/>
  <c r="B343" i="15" a="1"/>
  <c r="B343" i="15" s="1"/>
  <c r="B335" i="15" a="1"/>
  <c r="B335" i="15" s="1"/>
  <c r="B327" i="15" a="1"/>
  <c r="B327" i="15" s="1"/>
  <c r="B319" i="15" a="1"/>
  <c r="B319" i="15" s="1"/>
  <c r="B311" i="15" a="1"/>
  <c r="B311" i="15" s="1"/>
  <c r="B303" i="15" a="1"/>
  <c r="B303" i="15" s="1"/>
  <c r="B295" i="15" a="1"/>
  <c r="B295" i="15" s="1"/>
  <c r="B287" i="15" a="1"/>
  <c r="B287" i="15" s="1"/>
  <c r="B279" i="15" a="1"/>
  <c r="B279" i="15" s="1"/>
  <c r="B271" i="15" a="1"/>
  <c r="B271" i="15" s="1"/>
  <c r="B263" i="15" a="1"/>
  <c r="B263" i="15" s="1"/>
  <c r="B255" i="15" a="1"/>
  <c r="B255" i="15" s="1"/>
  <c r="B421" i="15" a="1"/>
  <c r="B421" i="15" s="1"/>
  <c r="B369" i="15" a="1"/>
  <c r="B369" i="15" s="1"/>
  <c r="B352" i="15" a="1"/>
  <c r="B352" i="15" s="1"/>
  <c r="B344" i="15" a="1"/>
  <c r="B344" i="15" s="1"/>
  <c r="B336" i="15" a="1"/>
  <c r="B336" i="15" s="1"/>
  <c r="B328" i="15" a="1"/>
  <c r="B328" i="15" s="1"/>
  <c r="B320" i="15" a="1"/>
  <c r="B320" i="15" s="1"/>
  <c r="B312" i="15" a="1"/>
  <c r="B312" i="15" s="1"/>
  <c r="B304" i="15" a="1"/>
  <c r="B304" i="15" s="1"/>
  <c r="B296" i="15" a="1"/>
  <c r="B296" i="15" s="1"/>
  <c r="B288" i="15" a="1"/>
  <c r="B288" i="15" s="1"/>
  <c r="B280" i="15" a="1"/>
  <c r="B280" i="15" s="1"/>
  <c r="B272" i="15" a="1"/>
  <c r="B272" i="15" s="1"/>
  <c r="B264" i="15" a="1"/>
  <c r="B264" i="15" s="1"/>
  <c r="B256" i="15" a="1"/>
  <c r="B256" i="15" s="1"/>
  <c r="B366" i="15" a="1"/>
  <c r="B366" i="15" s="1"/>
  <c r="B345" i="15" a="1"/>
  <c r="B345" i="15" s="1"/>
  <c r="B337" i="15" a="1"/>
  <c r="B337" i="15" s="1"/>
  <c r="B329" i="15" a="1"/>
  <c r="B329" i="15" s="1"/>
  <c r="B321" i="15" a="1"/>
  <c r="B321" i="15" s="1"/>
  <c r="B313" i="15" a="1"/>
  <c r="B313" i="15" s="1"/>
  <c r="B305" i="15" a="1"/>
  <c r="B305" i="15" s="1"/>
  <c r="B297" i="15" a="1"/>
  <c r="B297" i="15" s="1"/>
  <c r="B289" i="15" a="1"/>
  <c r="B289" i="15" s="1"/>
  <c r="B281" i="15" a="1"/>
  <c r="B281" i="15" s="1"/>
  <c r="B273" i="15" a="1"/>
  <c r="B273" i="15" s="1"/>
  <c r="B265" i="15" a="1"/>
  <c r="B265" i="15" s="1"/>
  <c r="B257" i="15" a="1"/>
  <c r="B257" i="15" s="1"/>
  <c r="B377" i="15" a="1"/>
  <c r="B377" i="15" s="1"/>
  <c r="B346" i="15" a="1"/>
  <c r="B346" i="15" s="1"/>
  <c r="B338" i="15" a="1"/>
  <c r="B338" i="15" s="1"/>
  <c r="B330" i="15" a="1"/>
  <c r="B330" i="15" s="1"/>
  <c r="B322" i="15" a="1"/>
  <c r="B322" i="15" s="1"/>
  <c r="B314" i="15" a="1"/>
  <c r="B314" i="15" s="1"/>
  <c r="B306" i="15" a="1"/>
  <c r="B306" i="15" s="1"/>
  <c r="B298" i="15" a="1"/>
  <c r="B298" i="15" s="1"/>
  <c r="B290" i="15" a="1"/>
  <c r="B290" i="15" s="1"/>
  <c r="B282" i="15" a="1"/>
  <c r="B282" i="15" s="1"/>
  <c r="B274" i="15" a="1"/>
  <c r="B274" i="15" s="1"/>
  <c r="B266" i="15" a="1"/>
  <c r="B266" i="15" s="1"/>
  <c r="B258" i="15" a="1"/>
  <c r="B258" i="15" s="1"/>
  <c r="B385" i="15" a="1"/>
  <c r="B385" i="15" s="1"/>
  <c r="B348" i="15" a="1"/>
  <c r="B348" i="15" s="1"/>
  <c r="B340" i="15" a="1"/>
  <c r="B340" i="15" s="1"/>
  <c r="B332" i="15" a="1"/>
  <c r="B332" i="15" s="1"/>
  <c r="B324" i="15" a="1"/>
  <c r="B324" i="15" s="1"/>
  <c r="B316" i="15" a="1"/>
  <c r="B316" i="15" s="1"/>
  <c r="B308" i="15" a="1"/>
  <c r="B308" i="15" s="1"/>
  <c r="B300" i="15" a="1"/>
  <c r="B300" i="15" s="1"/>
  <c r="B292" i="15" a="1"/>
  <c r="B292" i="15" s="1"/>
  <c r="B284" i="15" a="1"/>
  <c r="B284" i="15" s="1"/>
  <c r="B276" i="15" a="1"/>
  <c r="B276" i="15" s="1"/>
  <c r="B268" i="15" a="1"/>
  <c r="B268" i="15" s="1"/>
  <c r="B260" i="15" a="1"/>
  <c r="B260" i="15" s="1"/>
  <c r="B252" i="15" a="1"/>
  <c r="B252" i="15" s="1"/>
  <c r="B434" i="15" a="1"/>
  <c r="B434" i="15" s="1"/>
  <c r="B401" i="15" a="1"/>
  <c r="B401" i="15" s="1"/>
  <c r="B382" i="15" a="1"/>
  <c r="B382" i="15" s="1"/>
  <c r="B353" i="15" a="1"/>
  <c r="B353" i="15" s="1"/>
  <c r="B349" i="15" a="1"/>
  <c r="B349" i="15" s="1"/>
  <c r="B341" i="15" a="1"/>
  <c r="B341" i="15" s="1"/>
  <c r="B333" i="15" a="1"/>
  <c r="B333" i="15" s="1"/>
  <c r="B325" i="15" a="1"/>
  <c r="B325" i="15" s="1"/>
  <c r="B317" i="15" a="1"/>
  <c r="B317" i="15" s="1"/>
  <c r="B309" i="15" a="1"/>
  <c r="B309" i="15" s="1"/>
  <c r="B301" i="15" a="1"/>
  <c r="B301" i="15" s="1"/>
  <c r="B293" i="15" a="1"/>
  <c r="B293" i="15" s="1"/>
  <c r="B285" i="15" a="1"/>
  <c r="B285" i="15" s="1"/>
  <c r="B277" i="15" a="1"/>
  <c r="B277" i="15" s="1"/>
  <c r="B269" i="15" a="1"/>
  <c r="B269" i="15" s="1"/>
  <c r="B261" i="15" a="1"/>
  <c r="B261" i="15" s="1"/>
  <c r="B253" i="15" a="1"/>
  <c r="B253" i="15" s="1"/>
  <c r="B347" i="15" a="1"/>
  <c r="B347" i="15" s="1"/>
  <c r="B315" i="15" a="1"/>
  <c r="B315" i="15" s="1"/>
  <c r="B283" i="15" a="1"/>
  <c r="B283" i="15" s="1"/>
  <c r="B243" i="15" a="1"/>
  <c r="B243" i="15" s="1"/>
  <c r="B235" i="15" a="1"/>
  <c r="B235" i="15" s="1"/>
  <c r="B227" i="15" a="1"/>
  <c r="B227" i="15" s="1"/>
  <c r="B219" i="15" a="1"/>
  <c r="B219" i="15" s="1"/>
  <c r="B211" i="15" a="1"/>
  <c r="B211" i="15" s="1"/>
  <c r="B203" i="15" a="1"/>
  <c r="B203" i="15" s="1"/>
  <c r="B195" i="15" a="1"/>
  <c r="B195" i="15" s="1"/>
  <c r="B187" i="15" a="1"/>
  <c r="B187" i="15" s="1"/>
  <c r="B179" i="15" a="1"/>
  <c r="B179" i="15" s="1"/>
  <c r="B171" i="15" a="1"/>
  <c r="B171" i="15" s="1"/>
  <c r="B361" i="15" a="1"/>
  <c r="B361" i="15" s="1"/>
  <c r="B326" i="15" a="1"/>
  <c r="B326" i="15" s="1"/>
  <c r="B294" i="15" a="1"/>
  <c r="B294" i="15" s="1"/>
  <c r="B262" i="15" a="1"/>
  <c r="B262" i="15" s="1"/>
  <c r="B250" i="15" a="1"/>
  <c r="B250" i="15" s="1"/>
  <c r="B244" i="15" a="1"/>
  <c r="B244" i="15" s="1"/>
  <c r="B236" i="15" a="1"/>
  <c r="B236" i="15" s="1"/>
  <c r="B228" i="15" a="1"/>
  <c r="B228" i="15" s="1"/>
  <c r="B220" i="15" a="1"/>
  <c r="B220" i="15" s="1"/>
  <c r="B212" i="15" a="1"/>
  <c r="B212" i="15" s="1"/>
  <c r="B204" i="15" a="1"/>
  <c r="B204" i="15" s="1"/>
  <c r="B196" i="15" a="1"/>
  <c r="B196" i="15" s="1"/>
  <c r="B188" i="15" a="1"/>
  <c r="B188" i="15" s="1"/>
  <c r="B180" i="15" a="1"/>
  <c r="B180" i="15" s="1"/>
  <c r="B172" i="15" a="1"/>
  <c r="B172" i="15" s="1"/>
  <c r="B164" i="15" a="1"/>
  <c r="B164" i="15" s="1"/>
  <c r="B402" i="15" a="1"/>
  <c r="B402" i="15" s="1"/>
  <c r="B323" i="15" a="1"/>
  <c r="B323" i="15" s="1"/>
  <c r="B291" i="15" a="1"/>
  <c r="B291" i="15" s="1"/>
  <c r="B259" i="15" a="1"/>
  <c r="B259" i="15" s="1"/>
  <c r="B245" i="15" a="1"/>
  <c r="B245" i="15" s="1"/>
  <c r="B237" i="15" a="1"/>
  <c r="B237" i="15" s="1"/>
  <c r="B229" i="15" a="1"/>
  <c r="B229" i="15" s="1"/>
  <c r="B221" i="15" a="1"/>
  <c r="B221" i="15" s="1"/>
  <c r="B213" i="15" a="1"/>
  <c r="B213" i="15" s="1"/>
  <c r="B205" i="15" a="1"/>
  <c r="B205" i="15" s="1"/>
  <c r="B197" i="15" a="1"/>
  <c r="B197" i="15" s="1"/>
  <c r="B189" i="15" a="1"/>
  <c r="B189" i="15" s="1"/>
  <c r="B181" i="15" a="1"/>
  <c r="B181" i="15" s="1"/>
  <c r="B173" i="15" a="1"/>
  <c r="B173" i="15" s="1"/>
  <c r="B393" i="15" a="1"/>
  <c r="B393" i="15" s="1"/>
  <c r="B334" i="15" a="1"/>
  <c r="B334" i="15" s="1"/>
  <c r="B302" i="15" a="1"/>
  <c r="B302" i="15" s="1"/>
  <c r="B270" i="15" a="1"/>
  <c r="B270" i="15" s="1"/>
  <c r="B246" i="15" a="1"/>
  <c r="B246" i="15" s="1"/>
  <c r="B238" i="15" a="1"/>
  <c r="B238" i="15" s="1"/>
  <c r="B230" i="15" a="1"/>
  <c r="B230" i="15" s="1"/>
  <c r="B222" i="15" a="1"/>
  <c r="B222" i="15" s="1"/>
  <c r="B214" i="15" a="1"/>
  <c r="B214" i="15" s="1"/>
  <c r="B206" i="15" a="1"/>
  <c r="B206" i="15" s="1"/>
  <c r="B198" i="15" a="1"/>
  <c r="B198" i="15" s="1"/>
  <c r="B190" i="15" a="1"/>
  <c r="B190" i="15" s="1"/>
  <c r="B182" i="15" a="1"/>
  <c r="B182" i="15" s="1"/>
  <c r="B174" i="15" a="1"/>
  <c r="B174" i="15" s="1"/>
  <c r="B342" i="15" a="1"/>
  <c r="B342" i="15" s="1"/>
  <c r="B310" i="15" a="1"/>
  <c r="B310" i="15" s="1"/>
  <c r="B278" i="15" a="1"/>
  <c r="B278" i="15" s="1"/>
  <c r="B248" i="15" a="1"/>
  <c r="B248" i="15" s="1"/>
  <c r="B240" i="15" a="1"/>
  <c r="B240" i="15" s="1"/>
  <c r="B232" i="15" a="1"/>
  <c r="B232" i="15" s="1"/>
  <c r="B224" i="15" a="1"/>
  <c r="B224" i="15" s="1"/>
  <c r="B216" i="15" a="1"/>
  <c r="B216" i="15" s="1"/>
  <c r="B208" i="15" a="1"/>
  <c r="B208" i="15" s="1"/>
  <c r="B200" i="15" a="1"/>
  <c r="B200" i="15" s="1"/>
  <c r="B192" i="15" a="1"/>
  <c r="B192" i="15" s="1"/>
  <c r="B184" i="15" a="1"/>
  <c r="B184" i="15" s="1"/>
  <c r="B176" i="15" a="1"/>
  <c r="B176" i="15" s="1"/>
  <c r="B168" i="15" a="1"/>
  <c r="B168" i="15" s="1"/>
  <c r="B374" i="15" a="1"/>
  <c r="B374" i="15" s="1"/>
  <c r="B339" i="15" a="1"/>
  <c r="B339" i="15" s="1"/>
  <c r="B307" i="15" a="1"/>
  <c r="B307" i="15" s="1"/>
  <c r="B275" i="15" a="1"/>
  <c r="B275" i="15" s="1"/>
  <c r="B249" i="15" a="1"/>
  <c r="B249" i="15" s="1"/>
  <c r="B241" i="15" a="1"/>
  <c r="B241" i="15" s="1"/>
  <c r="B233" i="15" a="1"/>
  <c r="B233" i="15" s="1"/>
  <c r="B225" i="15" a="1"/>
  <c r="B225" i="15" s="1"/>
  <c r="B217" i="15" a="1"/>
  <c r="B217" i="15" s="1"/>
  <c r="B209" i="15" a="1"/>
  <c r="B209" i="15" s="1"/>
  <c r="B201" i="15" a="1"/>
  <c r="B201" i="15" s="1"/>
  <c r="B193" i="15" a="1"/>
  <c r="B193" i="15" s="1"/>
  <c r="B185" i="15" a="1"/>
  <c r="B185" i="15" s="1"/>
  <c r="B177" i="15" a="1"/>
  <c r="B177" i="15" s="1"/>
  <c r="B169" i="15" a="1"/>
  <c r="B169" i="15" s="1"/>
  <c r="B267" i="15" a="1"/>
  <c r="B267" i="15" s="1"/>
  <c r="B223" i="15" a="1"/>
  <c r="B223" i="15" s="1"/>
  <c r="B191" i="15" a="1"/>
  <c r="B191" i="15" s="1"/>
  <c r="B163" i="15" a="1"/>
  <c r="B163" i="15" s="1"/>
  <c r="B155" i="15" a="1"/>
  <c r="B155" i="15" s="1"/>
  <c r="B147" i="15" a="1"/>
  <c r="B147" i="15" s="1"/>
  <c r="B350" i="15" a="1"/>
  <c r="B350" i="15" s="1"/>
  <c r="B234" i="15" a="1"/>
  <c r="B234" i="15" s="1"/>
  <c r="B202" i="15" a="1"/>
  <c r="B202" i="15" s="1"/>
  <c r="B167" i="15" a="1"/>
  <c r="B167" i="15" s="1"/>
  <c r="B162" i="15" a="1"/>
  <c r="B162" i="15" s="1"/>
  <c r="B156" i="15" a="1"/>
  <c r="B156" i="15" s="1"/>
  <c r="B148" i="15" a="1"/>
  <c r="B148" i="15" s="1"/>
  <c r="B299" i="15" a="1"/>
  <c r="B299" i="15" s="1"/>
  <c r="B251" i="15" a="1"/>
  <c r="B251" i="15" s="1"/>
  <c r="B231" i="15" a="1"/>
  <c r="B231" i="15" s="1"/>
  <c r="B199" i="15" a="1"/>
  <c r="B199" i="15" s="1"/>
  <c r="B157" i="15" a="1"/>
  <c r="B157" i="15" s="1"/>
  <c r="B149" i="15" a="1"/>
  <c r="B149" i="15" s="1"/>
  <c r="B254" i="15" a="1"/>
  <c r="B254" i="15" s="1"/>
  <c r="B242" i="15" a="1"/>
  <c r="B242" i="15" s="1"/>
  <c r="B210" i="15" a="1"/>
  <c r="B210" i="15" s="1"/>
  <c r="B178" i="15" a="1"/>
  <c r="B178" i="15" s="1"/>
  <c r="B158" i="15" a="1"/>
  <c r="B158" i="15" s="1"/>
  <c r="B331" i="15" a="1"/>
  <c r="B331" i="15" s="1"/>
  <c r="B239" i="15" a="1"/>
  <c r="B239" i="15" s="1"/>
  <c r="B207" i="15" a="1"/>
  <c r="B207" i="15" s="1"/>
  <c r="B175" i="15" a="1"/>
  <c r="B175" i="15" s="1"/>
  <c r="B286" i="15" a="1"/>
  <c r="B286" i="15" s="1"/>
  <c r="B218" i="15" a="1"/>
  <c r="B218" i="15" s="1"/>
  <c r="B186" i="15" a="1"/>
  <c r="B186" i="15" s="1"/>
  <c r="B160" i="15" a="1"/>
  <c r="B160" i="15" s="1"/>
  <c r="B152" i="15" a="1"/>
  <c r="B152" i="15" s="1"/>
  <c r="B151" i="15" a="1"/>
  <c r="B151" i="15" s="1"/>
  <c r="B142" i="15" a="1"/>
  <c r="B142" i="15" s="1"/>
  <c r="B134" i="15" a="1"/>
  <c r="B134" i="15" s="1"/>
  <c r="B126" i="15" a="1"/>
  <c r="B126" i="15" s="1"/>
  <c r="B118" i="15" a="1"/>
  <c r="B118" i="15" s="1"/>
  <c r="B110" i="15" a="1"/>
  <c r="B110" i="15" s="1"/>
  <c r="B102" i="15" a="1"/>
  <c r="B102" i="15" s="1"/>
  <c r="B94" i="15" a="1"/>
  <c r="B94" i="15" s="1"/>
  <c r="B86" i="15" a="1"/>
  <c r="B86" i="15" s="1"/>
  <c r="B78" i="15" a="1"/>
  <c r="B78" i="15" s="1"/>
  <c r="B70" i="15" a="1"/>
  <c r="B70" i="15" s="1"/>
  <c r="B62" i="15" a="1"/>
  <c r="B62" i="15" s="1"/>
  <c r="B54" i="15" a="1"/>
  <c r="B54" i="15" s="1"/>
  <c r="B46" i="15" a="1"/>
  <c r="B46" i="15" s="1"/>
  <c r="B318" i="15" a="1"/>
  <c r="B318" i="15" s="1"/>
  <c r="B153" i="15" a="1"/>
  <c r="B153" i="15" s="1"/>
  <c r="B143" i="15" a="1"/>
  <c r="B143" i="15" s="1"/>
  <c r="B135" i="15" a="1"/>
  <c r="B135" i="15" s="1"/>
  <c r="B127" i="15" a="1"/>
  <c r="B127" i="15" s="1"/>
  <c r="B119" i="15" a="1"/>
  <c r="B119" i="15" s="1"/>
  <c r="B111" i="15" a="1"/>
  <c r="B111" i="15" s="1"/>
  <c r="B103" i="15" a="1"/>
  <c r="B103" i="15" s="1"/>
  <c r="B95" i="15" a="1"/>
  <c r="B95" i="15" s="1"/>
  <c r="B87" i="15" a="1"/>
  <c r="B87" i="15" s="1"/>
  <c r="B79" i="15" a="1"/>
  <c r="B79" i="15" s="1"/>
  <c r="B71" i="15" a="1"/>
  <c r="B71" i="15" s="1"/>
  <c r="B63" i="15" a="1"/>
  <c r="B63" i="15" s="1"/>
  <c r="B55" i="15" a="1"/>
  <c r="B55" i="15" s="1"/>
  <c r="B47" i="15" a="1"/>
  <c r="B47" i="15" s="1"/>
  <c r="B183" i="15" a="1"/>
  <c r="B183" i="15" s="1"/>
  <c r="B166" i="15" a="1"/>
  <c r="B166" i="15" s="1"/>
  <c r="B144" i="15" a="1"/>
  <c r="B144" i="15" s="1"/>
  <c r="B136" i="15" a="1"/>
  <c r="B136" i="15" s="1"/>
  <c r="B128" i="15" a="1"/>
  <c r="B128" i="15" s="1"/>
  <c r="B120" i="15" a="1"/>
  <c r="B120" i="15" s="1"/>
  <c r="B112" i="15" a="1"/>
  <c r="B112" i="15" s="1"/>
  <c r="B104" i="15" a="1"/>
  <c r="B104" i="15" s="1"/>
  <c r="B96" i="15" a="1"/>
  <c r="B96" i="15" s="1"/>
  <c r="B88" i="15" a="1"/>
  <c r="B88" i="15" s="1"/>
  <c r="B80" i="15" a="1"/>
  <c r="B80" i="15" s="1"/>
  <c r="B72" i="15" a="1"/>
  <c r="B72" i="15" s="1"/>
  <c r="B64" i="15" a="1"/>
  <c r="B64" i="15" s="1"/>
  <c r="B56" i="15" a="1"/>
  <c r="B56" i="15" s="1"/>
  <c r="B194" i="15" a="1"/>
  <c r="B194" i="15" s="1"/>
  <c r="B150" i="15" a="1"/>
  <c r="B150" i="15" s="1"/>
  <c r="B145" i="15" a="1"/>
  <c r="B145" i="15" s="1"/>
  <c r="B137" i="15" a="1"/>
  <c r="B137" i="15" s="1"/>
  <c r="B129" i="15" a="1"/>
  <c r="B129" i="15" s="1"/>
  <c r="B121" i="15" a="1"/>
  <c r="B121" i="15" s="1"/>
  <c r="B113" i="15" a="1"/>
  <c r="B113" i="15" s="1"/>
  <c r="B105" i="15" a="1"/>
  <c r="B105" i="15" s="1"/>
  <c r="B97" i="15" a="1"/>
  <c r="B97" i="15" s="1"/>
  <c r="B89" i="15" a="1"/>
  <c r="B89" i="15" s="1"/>
  <c r="B81" i="15" a="1"/>
  <c r="B81" i="15" s="1"/>
  <c r="B73" i="15" a="1"/>
  <c r="B73" i="15" s="1"/>
  <c r="B65" i="15" a="1"/>
  <c r="B65" i="15" s="1"/>
  <c r="B57" i="15" a="1"/>
  <c r="B57" i="15" s="1"/>
  <c r="B226" i="15" a="1"/>
  <c r="B226" i="15" s="1"/>
  <c r="B139" i="15" a="1"/>
  <c r="B139" i="15" s="1"/>
  <c r="B131" i="15" a="1"/>
  <c r="B131" i="15" s="1"/>
  <c r="B123" i="15" a="1"/>
  <c r="B123" i="15" s="1"/>
  <c r="B115" i="15" a="1"/>
  <c r="B115" i="15" s="1"/>
  <c r="B107" i="15" a="1"/>
  <c r="B107" i="15" s="1"/>
  <c r="B99" i="15" a="1"/>
  <c r="B99" i="15" s="1"/>
  <c r="B91" i="15" a="1"/>
  <c r="B91" i="15" s="1"/>
  <c r="B83" i="15" a="1"/>
  <c r="B83" i="15" s="1"/>
  <c r="B75" i="15" a="1"/>
  <c r="B75" i="15" s="1"/>
  <c r="B67" i="15" a="1"/>
  <c r="B67" i="15" s="1"/>
  <c r="B59" i="15" a="1"/>
  <c r="B59" i="15" s="1"/>
  <c r="B51" i="15" a="1"/>
  <c r="B51" i="15" s="1"/>
  <c r="B247" i="15" a="1"/>
  <c r="B247" i="15" s="1"/>
  <c r="B170" i="15" a="1"/>
  <c r="B170" i="15" s="1"/>
  <c r="B161" i="15" a="1"/>
  <c r="B161" i="15" s="1"/>
  <c r="B154" i="15" a="1"/>
  <c r="B154" i="15" s="1"/>
  <c r="B140" i="15" a="1"/>
  <c r="B140" i="15" s="1"/>
  <c r="B132" i="15" a="1"/>
  <c r="B132" i="15" s="1"/>
  <c r="B124" i="15" a="1"/>
  <c r="B124" i="15" s="1"/>
  <c r="B116" i="15" a="1"/>
  <c r="B116" i="15" s="1"/>
  <c r="B108" i="15" a="1"/>
  <c r="B108" i="15" s="1"/>
  <c r="B100" i="15" a="1"/>
  <c r="B100" i="15" s="1"/>
  <c r="B92" i="15" a="1"/>
  <c r="B92" i="15" s="1"/>
  <c r="B84" i="15" a="1"/>
  <c r="B84" i="15" s="1"/>
  <c r="B76" i="15" a="1"/>
  <c r="B76" i="15" s="1"/>
  <c r="B68" i="15" a="1"/>
  <c r="B68" i="15" s="1"/>
  <c r="B60" i="15" a="1"/>
  <c r="B60" i="15" s="1"/>
  <c r="B52" i="15" a="1"/>
  <c r="B52" i="15" s="1"/>
  <c r="B44" i="15" a="1"/>
  <c r="B44" i="15" s="1"/>
  <c r="B3" i="15" a="1"/>
  <c r="B3" i="15" s="1"/>
  <c r="B11" i="15" a="1"/>
  <c r="B11" i="15" s="1"/>
  <c r="B19" i="15" a="1"/>
  <c r="B19" i="15" s="1"/>
  <c r="B27" i="15" a="1"/>
  <c r="B27" i="15" s="1"/>
  <c r="B35" i="15" a="1"/>
  <c r="B35" i="15" s="1"/>
  <c r="B43" i="15" a="1"/>
  <c r="B43" i="15" s="1"/>
  <c r="B69" i="15" a="1"/>
  <c r="B69" i="15" s="1"/>
  <c r="B101" i="15" a="1"/>
  <c r="B101" i="15" s="1"/>
  <c r="B133" i="15" a="1"/>
  <c r="B133" i="15" s="1"/>
  <c r="B165" i="15" a="1"/>
  <c r="B165" i="15" s="1"/>
  <c r="B10" i="15" a="1"/>
  <c r="B10" i="15" s="1"/>
  <c r="B18" i="15" a="1"/>
  <c r="B18" i="15" s="1"/>
  <c r="B26" i="15" a="1"/>
  <c r="B26" i="15" s="1"/>
  <c r="B34" i="15" a="1"/>
  <c r="B34" i="15" s="1"/>
  <c r="B42" i="15" a="1"/>
  <c r="B42" i="15" s="1"/>
  <c r="B50" i="15" a="1"/>
  <c r="B50" i="15" s="1"/>
  <c r="B58" i="15" a="1"/>
  <c r="B58" i="15" s="1"/>
  <c r="B90" i="15" a="1"/>
  <c r="B90" i="15" s="1"/>
  <c r="B122" i="15" a="1"/>
  <c r="B122" i="15" s="1"/>
  <c r="B9" i="15" a="1"/>
  <c r="B9" i="15" s="1"/>
  <c r="B17" i="15" a="1"/>
  <c r="B17" i="15" s="1"/>
  <c r="B25" i="15" a="1"/>
  <c r="B25" i="15" s="1"/>
  <c r="B33" i="15" a="1"/>
  <c r="B33" i="15" s="1"/>
  <c r="B41" i="15" a="1"/>
  <c r="B41" i="15" s="1"/>
  <c r="B61" i="15" a="1"/>
  <c r="B61" i="15" s="1"/>
  <c r="B93" i="15" a="1"/>
  <c r="B93" i="15" s="1"/>
  <c r="B125" i="15" a="1"/>
  <c r="B125" i="15" s="1"/>
  <c r="B8" i="15" a="1"/>
  <c r="B8" i="15" s="1"/>
  <c r="B16" i="15" a="1"/>
  <c r="B16" i="15" s="1"/>
  <c r="B24" i="15" a="1"/>
  <c r="B24" i="15" s="1"/>
  <c r="B32" i="15" a="1"/>
  <c r="B32" i="15" s="1"/>
  <c r="B40" i="15" a="1"/>
  <c r="B40" i="15" s="1"/>
  <c r="B48" i="15" a="1"/>
  <c r="B48" i="15" s="1"/>
  <c r="B82" i="15" a="1"/>
  <c r="B82" i="15" s="1"/>
  <c r="B114" i="15" a="1"/>
  <c r="B114" i="15" s="1"/>
  <c r="B146" i="15" a="1"/>
  <c r="B146" i="15" s="1"/>
  <c r="C8" i="15" l="1"/>
  <c r="C105" i="15"/>
  <c r="C125" i="15"/>
  <c r="C93" i="15"/>
  <c r="C40" i="15"/>
  <c r="C41" i="15"/>
  <c r="C50" i="15"/>
  <c r="C101" i="15"/>
  <c r="C44" i="15"/>
  <c r="C108" i="15"/>
  <c r="C247" i="15"/>
  <c r="C107" i="15"/>
  <c r="C73" i="15"/>
  <c r="C137" i="15"/>
  <c r="C88" i="15"/>
  <c r="C166" i="15"/>
  <c r="C95" i="15"/>
  <c r="C318" i="15"/>
  <c r="C102" i="15"/>
  <c r="C160" i="15"/>
  <c r="C158" i="15"/>
  <c r="C231" i="15"/>
  <c r="C234" i="15"/>
  <c r="C169" i="15"/>
  <c r="C233" i="15"/>
  <c r="C176" i="15"/>
  <c r="C240" i="15"/>
  <c r="C198" i="15"/>
  <c r="C302" i="15"/>
  <c r="C213" i="15"/>
  <c r="C402" i="15"/>
  <c r="C220" i="15"/>
  <c r="C361" i="15"/>
  <c r="C227" i="15"/>
  <c r="C269" i="15"/>
  <c r="C333" i="15"/>
  <c r="C260" i="15"/>
  <c r="C324" i="15"/>
  <c r="C282" i="15"/>
  <c r="C346" i="15"/>
  <c r="C305" i="15"/>
  <c r="C264" i="15"/>
  <c r="C328" i="15"/>
  <c r="C271" i="15"/>
  <c r="C335" i="15"/>
  <c r="C384" i="15"/>
  <c r="C383" i="15"/>
  <c r="C405" i="15"/>
  <c r="C396" i="15"/>
  <c r="C395" i="15"/>
  <c r="C418" i="15"/>
  <c r="C411" i="15"/>
  <c r="C425" i="15"/>
  <c r="C416" i="15"/>
  <c r="C415" i="15"/>
  <c r="C430" i="15"/>
  <c r="C473" i="15"/>
  <c r="C480" i="15"/>
  <c r="C538" i="15"/>
  <c r="C444" i="15"/>
  <c r="C459" i="15"/>
  <c r="C497" i="15"/>
  <c r="C504" i="15"/>
  <c r="C518" i="15"/>
  <c r="C525" i="15"/>
  <c r="C527" i="15"/>
  <c r="C528" i="15"/>
  <c r="C604" i="15"/>
  <c r="C607" i="15"/>
  <c r="C541" i="15"/>
  <c r="C540" i="15"/>
  <c r="C555" i="15"/>
  <c r="C598" i="15"/>
  <c r="C589" i="15"/>
  <c r="C603" i="15"/>
  <c r="C602" i="15"/>
  <c r="C617" i="15"/>
  <c r="C619" i="15"/>
  <c r="C624" i="15"/>
  <c r="C681" i="15"/>
  <c r="C649" i="15"/>
  <c r="C646" i="15"/>
  <c r="C652" i="15"/>
  <c r="C683" i="15"/>
  <c r="C692" i="15"/>
  <c r="C734" i="15"/>
  <c r="C719" i="15"/>
  <c r="C712" i="15"/>
  <c r="C709" i="15"/>
  <c r="C708" i="15"/>
  <c r="C713" i="15"/>
  <c r="C724" i="15"/>
  <c r="C141" i="15"/>
  <c r="C13" i="15"/>
  <c r="C22" i="15"/>
  <c r="C15" i="15"/>
  <c r="C36" i="15"/>
  <c r="C27" i="15"/>
  <c r="C127" i="15"/>
  <c r="C19" i="15"/>
  <c r="C165" i="15"/>
  <c r="C32" i="15"/>
  <c r="C33" i="15"/>
  <c r="C42" i="15"/>
  <c r="C69" i="15"/>
  <c r="C52" i="15"/>
  <c r="C116" i="15"/>
  <c r="C51" i="15"/>
  <c r="C115" i="15"/>
  <c r="C81" i="15"/>
  <c r="C145" i="15"/>
  <c r="C96" i="15"/>
  <c r="C183" i="15"/>
  <c r="C103" i="15"/>
  <c r="C46" i="15"/>
  <c r="C110" i="15"/>
  <c r="C186" i="15"/>
  <c r="C178" i="15"/>
  <c r="C251" i="15"/>
  <c r="C350" i="15"/>
  <c r="C177" i="15"/>
  <c r="C241" i="15"/>
  <c r="C184" i="15"/>
  <c r="C248" i="15"/>
  <c r="C206" i="15"/>
  <c r="C334" i="15"/>
  <c r="C221" i="15"/>
  <c r="C164" i="15"/>
  <c r="C228" i="15"/>
  <c r="C171" i="15"/>
  <c r="C235" i="15"/>
  <c r="C277" i="15"/>
  <c r="C341" i="15"/>
  <c r="C268" i="15"/>
  <c r="C332" i="15"/>
  <c r="C290" i="15"/>
  <c r="C377" i="15"/>
  <c r="C313" i="15"/>
  <c r="C272" i="15"/>
  <c r="C336" i="15"/>
  <c r="C279" i="15"/>
  <c r="C343" i="15"/>
  <c r="C392" i="15"/>
  <c r="C391" i="15"/>
  <c r="C437" i="15"/>
  <c r="C398" i="15"/>
  <c r="C429" i="15"/>
  <c r="C404" i="15"/>
  <c r="C419" i="15"/>
  <c r="C433" i="15"/>
  <c r="C424" i="15"/>
  <c r="C423" i="15"/>
  <c r="C438" i="15"/>
  <c r="C481" i="15"/>
  <c r="C514" i="15"/>
  <c r="C445" i="15"/>
  <c r="C452" i="15"/>
  <c r="C467" i="15"/>
  <c r="C505" i="15"/>
  <c r="C512" i="15"/>
  <c r="C526" i="15"/>
  <c r="C543" i="15"/>
  <c r="C546" i="15"/>
  <c r="C535" i="15"/>
  <c r="C625" i="15"/>
  <c r="C534" i="15"/>
  <c r="C549" i="15"/>
  <c r="C548" i="15"/>
  <c r="C563" i="15"/>
  <c r="C606" i="15"/>
  <c r="C597" i="15"/>
  <c r="C611" i="15"/>
  <c r="C610" i="15"/>
  <c r="C620" i="15"/>
  <c r="C627" i="15"/>
  <c r="C632" i="15"/>
  <c r="C622" i="15"/>
  <c r="C656" i="15"/>
  <c r="C661" i="15"/>
  <c r="C659" i="15"/>
  <c r="C697" i="15"/>
  <c r="C672" i="15"/>
  <c r="C691" i="15"/>
  <c r="C688" i="15"/>
  <c r="C686" i="15"/>
  <c r="C722" i="15"/>
  <c r="C728" i="15"/>
  <c r="C718" i="15"/>
  <c r="C732" i="15"/>
  <c r="C109" i="15"/>
  <c r="C5" i="15"/>
  <c r="C14" i="15"/>
  <c r="C4" i="15"/>
  <c r="C66" i="15"/>
  <c r="C139" i="15"/>
  <c r="C114" i="15"/>
  <c r="C154" i="15"/>
  <c r="C48" i="15"/>
  <c r="C24" i="15"/>
  <c r="C25" i="15"/>
  <c r="C34" i="15"/>
  <c r="C43" i="15"/>
  <c r="C60" i="15"/>
  <c r="C124" i="15"/>
  <c r="C59" i="15"/>
  <c r="C123" i="15"/>
  <c r="C89" i="15"/>
  <c r="C150" i="15"/>
  <c r="C104" i="15"/>
  <c r="C47" i="15"/>
  <c r="C111" i="15"/>
  <c r="C54" i="15"/>
  <c r="C118" i="15"/>
  <c r="C218" i="15"/>
  <c r="C210" i="15"/>
  <c r="C299" i="15"/>
  <c r="C147" i="15"/>
  <c r="C185" i="15"/>
  <c r="C249" i="15"/>
  <c r="C192" i="15"/>
  <c r="C278" i="15"/>
  <c r="C214" i="15"/>
  <c r="C393" i="15"/>
  <c r="C229" i="15"/>
  <c r="C172" i="15"/>
  <c r="C236" i="15"/>
  <c r="C179" i="15"/>
  <c r="C243" i="15"/>
  <c r="C285" i="15"/>
  <c r="C349" i="15"/>
  <c r="C276" i="15"/>
  <c r="C340" i="15"/>
  <c r="C298" i="15"/>
  <c r="C257" i="15"/>
  <c r="C321" i="15"/>
  <c r="C280" i="15"/>
  <c r="C344" i="15"/>
  <c r="C287" i="15"/>
  <c r="C351" i="15"/>
  <c r="C397" i="15"/>
  <c r="C413" i="15"/>
  <c r="C474" i="15"/>
  <c r="C426" i="15"/>
  <c r="C354" i="15"/>
  <c r="C412" i="15"/>
  <c r="C427" i="15"/>
  <c r="C442" i="15"/>
  <c r="C432" i="15"/>
  <c r="C431" i="15"/>
  <c r="C471" i="15"/>
  <c r="C511" i="15"/>
  <c r="C446" i="15"/>
  <c r="C453" i="15"/>
  <c r="C460" i="15"/>
  <c r="C475" i="15"/>
  <c r="C513" i="15"/>
  <c r="C520" i="15"/>
  <c r="C554" i="15"/>
  <c r="C484" i="15"/>
  <c r="C615" i="15"/>
  <c r="C567" i="15"/>
  <c r="C654" i="15"/>
  <c r="C542" i="15"/>
  <c r="C557" i="15"/>
  <c r="C556" i="15"/>
  <c r="C575" i="15"/>
  <c r="C614" i="15"/>
  <c r="C605" i="15"/>
  <c r="C628" i="15"/>
  <c r="C569" i="15"/>
  <c r="C576" i="15"/>
  <c r="C642" i="15"/>
  <c r="C639" i="15"/>
  <c r="C630" i="15"/>
  <c r="C664" i="15"/>
  <c r="C684" i="15"/>
  <c r="C676" i="15"/>
  <c r="C707" i="15"/>
  <c r="C679" i="15"/>
  <c r="C699" i="15"/>
  <c r="C696" i="15"/>
  <c r="C694" i="15"/>
  <c r="C711" i="15"/>
  <c r="C715" i="15"/>
  <c r="C736" i="15"/>
  <c r="C740" i="15"/>
  <c r="C77" i="15"/>
  <c r="C215" i="15"/>
  <c r="C6" i="15"/>
  <c r="C7" i="15"/>
  <c r="C9" i="15"/>
  <c r="C56" i="15"/>
  <c r="C122" i="15"/>
  <c r="C82" i="15"/>
  <c r="C16" i="15"/>
  <c r="C17" i="15"/>
  <c r="C26" i="15"/>
  <c r="C35" i="15"/>
  <c r="C68" i="15"/>
  <c r="C132" i="15"/>
  <c r="C67" i="15"/>
  <c r="C131" i="15"/>
  <c r="C97" i="15"/>
  <c r="C194" i="15"/>
  <c r="C112" i="15"/>
  <c r="C55" i="15"/>
  <c r="C119" i="15"/>
  <c r="C62" i="15"/>
  <c r="C126" i="15"/>
  <c r="C286" i="15"/>
  <c r="C242" i="15"/>
  <c r="C148" i="15"/>
  <c r="C155" i="15"/>
  <c r="C193" i="15"/>
  <c r="C275" i="15"/>
  <c r="C200" i="15"/>
  <c r="C310" i="15"/>
  <c r="C222" i="15"/>
  <c r="C173" i="15"/>
  <c r="C237" i="15"/>
  <c r="C180" i="15"/>
  <c r="C244" i="15"/>
  <c r="C187" i="15"/>
  <c r="C283" i="15"/>
  <c r="C293" i="15"/>
  <c r="C353" i="15"/>
  <c r="C284" i="15"/>
  <c r="C348" i="15"/>
  <c r="C306" i="15"/>
  <c r="C265" i="15"/>
  <c r="C329" i="15"/>
  <c r="C288" i="15"/>
  <c r="C352" i="15"/>
  <c r="C295" i="15"/>
  <c r="C358" i="15"/>
  <c r="C410" i="15"/>
  <c r="C357" i="15"/>
  <c r="C356" i="15"/>
  <c r="C355" i="15"/>
  <c r="C362" i="15"/>
  <c r="C420" i="15"/>
  <c r="C435" i="15"/>
  <c r="C458" i="15"/>
  <c r="C439" i="15"/>
  <c r="C450" i="15"/>
  <c r="C503" i="15"/>
  <c r="C440" i="15"/>
  <c r="C454" i="15"/>
  <c r="C461" i="15"/>
  <c r="C468" i="15"/>
  <c r="C483" i="15"/>
  <c r="C521" i="15"/>
  <c r="C562" i="15"/>
  <c r="C485" i="15"/>
  <c r="C492" i="15"/>
  <c r="C491" i="15"/>
  <c r="C529" i="15"/>
  <c r="C536" i="15"/>
  <c r="C550" i="15"/>
  <c r="C565" i="15"/>
  <c r="C564" i="15"/>
  <c r="C580" i="15"/>
  <c r="C633" i="15"/>
  <c r="C613" i="15"/>
  <c r="C635" i="15"/>
  <c r="C577" i="15"/>
  <c r="C584" i="15"/>
  <c r="C662" i="15"/>
  <c r="C650" i="15"/>
  <c r="C637" i="15"/>
  <c r="C667" i="15"/>
  <c r="C645" i="15"/>
  <c r="C651" i="15"/>
  <c r="C674" i="15"/>
  <c r="C671" i="15"/>
  <c r="C738" i="15"/>
  <c r="C704" i="15"/>
  <c r="C702" i="15"/>
  <c r="C720" i="15"/>
  <c r="C737" i="15"/>
  <c r="C717" i="15"/>
  <c r="C723" i="15"/>
  <c r="C49" i="15"/>
  <c r="C138" i="15"/>
  <c r="C130" i="15"/>
  <c r="C39" i="15"/>
  <c r="O8" i="28" a="1"/>
  <c r="O8" i="28" s="1"/>
  <c r="C18" i="15"/>
  <c r="C120" i="15"/>
  <c r="C175" i="15"/>
  <c r="C254" i="15"/>
  <c r="C156" i="15"/>
  <c r="C163" i="15"/>
  <c r="C201" i="15"/>
  <c r="C307" i="15"/>
  <c r="C208" i="15"/>
  <c r="C342" i="15"/>
  <c r="C230" i="15"/>
  <c r="C181" i="15"/>
  <c r="C245" i="15"/>
  <c r="C188" i="15"/>
  <c r="C250" i="15"/>
  <c r="C195" i="15"/>
  <c r="C315" i="15"/>
  <c r="C301" i="15"/>
  <c r="C382" i="15"/>
  <c r="C292" i="15"/>
  <c r="C385" i="15"/>
  <c r="C314" i="15"/>
  <c r="C273" i="15"/>
  <c r="C337" i="15"/>
  <c r="C296" i="15"/>
  <c r="C369" i="15"/>
  <c r="C303" i="15"/>
  <c r="C390" i="15"/>
  <c r="C455" i="15"/>
  <c r="C365" i="15"/>
  <c r="C364" i="15"/>
  <c r="C363" i="15"/>
  <c r="C370" i="15"/>
  <c r="C428" i="15"/>
  <c r="C466" i="15"/>
  <c r="C490" i="15"/>
  <c r="C447" i="15"/>
  <c r="C482" i="15"/>
  <c r="C441" i="15"/>
  <c r="C448" i="15"/>
  <c r="C462" i="15"/>
  <c r="C469" i="15"/>
  <c r="C476" i="15"/>
  <c r="C487" i="15"/>
  <c r="C530" i="15"/>
  <c r="C486" i="15"/>
  <c r="C493" i="15"/>
  <c r="C500" i="15"/>
  <c r="C499" i="15"/>
  <c r="C537" i="15"/>
  <c r="C544" i="15"/>
  <c r="C558" i="15"/>
  <c r="C571" i="15"/>
  <c r="C591" i="15"/>
  <c r="C612" i="15"/>
  <c r="C640" i="15"/>
  <c r="C643" i="15"/>
  <c r="C570" i="15"/>
  <c r="C585" i="15"/>
  <c r="C592" i="15"/>
  <c r="C618" i="15"/>
  <c r="C657" i="15"/>
  <c r="C666" i="15"/>
  <c r="C648" i="15"/>
  <c r="C653" i="15"/>
  <c r="C658" i="15"/>
  <c r="C682" i="15"/>
  <c r="C678" i="15"/>
  <c r="C690" i="15"/>
  <c r="C730" i="15"/>
  <c r="C726" i="15"/>
  <c r="C735" i="15"/>
  <c r="C744" i="15"/>
  <c r="C725" i="15"/>
  <c r="C731" i="15"/>
  <c r="C45" i="15"/>
  <c r="C106" i="15"/>
  <c r="C53" i="15"/>
  <c r="C31" i="15"/>
  <c r="R10" i="28" a="1"/>
  <c r="R10" i="28" s="1"/>
  <c r="K8" i="28" a="1"/>
  <c r="K8" i="28" s="1"/>
  <c r="C76" i="15"/>
  <c r="C63" i="15"/>
  <c r="C10" i="15"/>
  <c r="C226" i="15"/>
  <c r="C113" i="15"/>
  <c r="C64" i="15"/>
  <c r="C128" i="15"/>
  <c r="C71" i="15"/>
  <c r="C135" i="15"/>
  <c r="C78" i="15"/>
  <c r="C142" i="15"/>
  <c r="C207" i="15"/>
  <c r="C149" i="15"/>
  <c r="C162" i="15"/>
  <c r="C191" i="15"/>
  <c r="C209" i="15"/>
  <c r="C339" i="15"/>
  <c r="C216" i="15"/>
  <c r="C174" i="15"/>
  <c r="C238" i="15"/>
  <c r="C189" i="15"/>
  <c r="C259" i="15"/>
  <c r="C196" i="15"/>
  <c r="C262" i="15"/>
  <c r="C203" i="15"/>
  <c r="C347" i="15"/>
  <c r="C309" i="15"/>
  <c r="C401" i="15"/>
  <c r="C300" i="15"/>
  <c r="C258" i="15"/>
  <c r="C322" i="15"/>
  <c r="C281" i="15"/>
  <c r="C345" i="15"/>
  <c r="C304" i="15"/>
  <c r="C421" i="15"/>
  <c r="C311" i="15"/>
  <c r="C360" i="15"/>
  <c r="C359" i="15"/>
  <c r="C373" i="15"/>
  <c r="C372" i="15"/>
  <c r="C371" i="15"/>
  <c r="C378" i="15"/>
  <c r="C436" i="15"/>
  <c r="C522" i="15"/>
  <c r="C583" i="15"/>
  <c r="C479" i="15"/>
  <c r="C406" i="15"/>
  <c r="C449" i="15"/>
  <c r="C456" i="15"/>
  <c r="C470" i="15"/>
  <c r="C477" i="15"/>
  <c r="C498" i="15"/>
  <c r="C519" i="15"/>
  <c r="C559" i="15"/>
  <c r="C494" i="15"/>
  <c r="C501" i="15"/>
  <c r="C508" i="15"/>
  <c r="C507" i="15"/>
  <c r="C545" i="15"/>
  <c r="C552" i="15"/>
  <c r="C566" i="15"/>
  <c r="C572" i="15"/>
  <c r="C531" i="15"/>
  <c r="C574" i="15"/>
  <c r="C647" i="15"/>
  <c r="C579" i="15"/>
  <c r="C578" i="15"/>
  <c r="C593" i="15"/>
  <c r="C600" i="15"/>
  <c r="C626" i="15"/>
  <c r="C623" i="15"/>
  <c r="C621" i="15"/>
  <c r="C655" i="15"/>
  <c r="C660" i="15"/>
  <c r="C665" i="15"/>
  <c r="C700" i="15"/>
  <c r="C670" i="15"/>
  <c r="C698" i="15"/>
  <c r="C687" i="15"/>
  <c r="C693" i="15"/>
  <c r="C721" i="15"/>
  <c r="C714" i="15"/>
  <c r="C733" i="15"/>
  <c r="C739" i="15"/>
  <c r="C37" i="15"/>
  <c r="C74" i="15"/>
  <c r="C23" i="15"/>
  <c r="C117" i="15"/>
  <c r="C140" i="15"/>
  <c r="C70" i="15"/>
  <c r="C84" i="15"/>
  <c r="C90" i="15"/>
  <c r="C11" i="15"/>
  <c r="C92" i="15"/>
  <c r="C161" i="15"/>
  <c r="C91" i="15"/>
  <c r="C57" i="15"/>
  <c r="C121" i="15"/>
  <c r="C72" i="15"/>
  <c r="C136" i="15"/>
  <c r="C79" i="15"/>
  <c r="C143" i="15"/>
  <c r="C86" i="15"/>
  <c r="C151" i="15"/>
  <c r="C239" i="15"/>
  <c r="C157" i="15"/>
  <c r="C167" i="15"/>
  <c r="C223" i="15"/>
  <c r="C217" i="15"/>
  <c r="C374" i="15"/>
  <c r="C224" i="15"/>
  <c r="C182" i="15"/>
  <c r="C246" i="15"/>
  <c r="C197" i="15"/>
  <c r="C291" i="15"/>
  <c r="C204" i="15"/>
  <c r="C294" i="15"/>
  <c r="C211" i="15"/>
  <c r="C253" i="15"/>
  <c r="C317" i="15"/>
  <c r="C434" i="15"/>
  <c r="C308" i="15"/>
  <c r="C266" i="15"/>
  <c r="C330" i="15"/>
  <c r="C289" i="15"/>
  <c r="C366" i="15"/>
  <c r="C312" i="15"/>
  <c r="C255" i="15"/>
  <c r="C319" i="15"/>
  <c r="C368" i="15"/>
  <c r="C367" i="15"/>
  <c r="C381" i="15"/>
  <c r="C380" i="15"/>
  <c r="C379" i="15"/>
  <c r="C386" i="15"/>
  <c r="C463" i="15"/>
  <c r="C409" i="15"/>
  <c r="C400" i="15"/>
  <c r="C399" i="15"/>
  <c r="C414" i="15"/>
  <c r="C457" i="15"/>
  <c r="C464" i="15"/>
  <c r="C478" i="15"/>
  <c r="C495" i="15"/>
  <c r="C443" i="15"/>
  <c r="C551" i="15"/>
  <c r="C488" i="15"/>
  <c r="C502" i="15"/>
  <c r="C509" i="15"/>
  <c r="C516" i="15"/>
  <c r="C515" i="15"/>
  <c r="C553" i="15"/>
  <c r="C560" i="15"/>
  <c r="C599" i="15"/>
  <c r="C588" i="15"/>
  <c r="C539" i="15"/>
  <c r="C582" i="15"/>
  <c r="C573" i="15"/>
  <c r="C587" i="15"/>
  <c r="C586" i="15"/>
  <c r="C601" i="15"/>
  <c r="C608" i="15"/>
  <c r="C634" i="15"/>
  <c r="C631" i="15"/>
  <c r="C629" i="15"/>
  <c r="C663" i="15"/>
  <c r="C673" i="15"/>
  <c r="C668" i="15"/>
  <c r="C680" i="15"/>
  <c r="C677" i="15"/>
  <c r="C705" i="15"/>
  <c r="C695" i="15"/>
  <c r="C701" i="15"/>
  <c r="C729" i="15"/>
  <c r="C727" i="15"/>
  <c r="C741" i="15"/>
  <c r="C98" i="15"/>
  <c r="C29" i="15"/>
  <c r="C38" i="15"/>
  <c r="C85" i="15"/>
  <c r="C20" i="15"/>
  <c r="C146" i="15"/>
  <c r="C75" i="15"/>
  <c r="C134" i="15"/>
  <c r="C83" i="15"/>
  <c r="C61" i="15"/>
  <c r="C58" i="15"/>
  <c r="C133" i="15"/>
  <c r="W804" i="17"/>
  <c r="C3" i="15"/>
  <c r="W807" i="17"/>
  <c r="W803" i="17"/>
  <c r="W797" i="17"/>
  <c r="W789" i="17"/>
  <c r="W794" i="17"/>
  <c r="W786" i="17"/>
  <c r="W778" i="17"/>
  <c r="W796" i="17"/>
  <c r="W788" i="17"/>
  <c r="W805" i="17"/>
  <c r="W801" i="17"/>
  <c r="W793" i="17"/>
  <c r="W785" i="17"/>
  <c r="W777" i="17"/>
  <c r="W799" i="17"/>
  <c r="W795" i="17"/>
  <c r="W798" i="17"/>
  <c r="W782" i="17"/>
  <c r="W776" i="17"/>
  <c r="W806" i="17"/>
  <c r="W791" i="17"/>
  <c r="W779" i="17"/>
  <c r="W800" i="17"/>
  <c r="W784" i="17"/>
  <c r="W790" i="17"/>
  <c r="W792" i="17"/>
  <c r="W781" i="17"/>
  <c r="W787" i="17"/>
  <c r="W802" i="17"/>
  <c r="W783" i="17"/>
  <c r="W780" i="17"/>
  <c r="W775" i="17"/>
  <c r="C100" i="15"/>
  <c r="C170" i="15"/>
  <c r="C99" i="15"/>
  <c r="C65" i="15"/>
  <c r="C129" i="15"/>
  <c r="C80" i="15"/>
  <c r="C144" i="15"/>
  <c r="C87" i="15"/>
  <c r="C153" i="15"/>
  <c r="C94" i="15"/>
  <c r="C152" i="15"/>
  <c r="C331" i="15"/>
  <c r="C199" i="15"/>
  <c r="C202" i="15"/>
  <c r="C267" i="15"/>
  <c r="C225" i="15"/>
  <c r="C168" i="15"/>
  <c r="C232" i="15"/>
  <c r="C190" i="15"/>
  <c r="C270" i="15"/>
  <c r="C205" i="15"/>
  <c r="C323" i="15"/>
  <c r="C212" i="15"/>
  <c r="C326" i="15"/>
  <c r="C219" i="15"/>
  <c r="C261" i="15"/>
  <c r="C325" i="15"/>
  <c r="C252" i="15"/>
  <c r="C316" i="15"/>
  <c r="C274" i="15"/>
  <c r="C338" i="15"/>
  <c r="C297" i="15"/>
  <c r="C256" i="15"/>
  <c r="C320" i="15"/>
  <c r="C263" i="15"/>
  <c r="C327" i="15"/>
  <c r="C376" i="15"/>
  <c r="C375" i="15"/>
  <c r="C389" i="15"/>
  <c r="C388" i="15"/>
  <c r="C387" i="15"/>
  <c r="C394" i="15"/>
  <c r="C403" i="15"/>
  <c r="C417" i="15"/>
  <c r="C408" i="15"/>
  <c r="C407" i="15"/>
  <c r="C422" i="15"/>
  <c r="C465" i="15"/>
  <c r="C472" i="15"/>
  <c r="C506" i="15"/>
  <c r="C596" i="15"/>
  <c r="C451" i="15"/>
  <c r="C489" i="15"/>
  <c r="C496" i="15"/>
  <c r="C510" i="15"/>
  <c r="C517" i="15"/>
  <c r="C524" i="15"/>
  <c r="C523" i="15"/>
  <c r="C561" i="15"/>
  <c r="C568" i="15"/>
  <c r="C533" i="15"/>
  <c r="C532" i="15"/>
  <c r="C547" i="15"/>
  <c r="C590" i="15"/>
  <c r="C581" i="15"/>
  <c r="C595" i="15"/>
  <c r="C594" i="15"/>
  <c r="C609" i="15"/>
  <c r="C616" i="15"/>
  <c r="C641" i="15"/>
  <c r="C638" i="15"/>
  <c r="C636" i="15"/>
  <c r="C669" i="15"/>
  <c r="C644" i="15"/>
  <c r="C675" i="15"/>
  <c r="C689" i="15"/>
  <c r="C685" i="15"/>
  <c r="C710" i="15"/>
  <c r="C703" i="15"/>
  <c r="C706" i="15"/>
  <c r="C743" i="15"/>
  <c r="C742" i="15"/>
  <c r="C716" i="15"/>
  <c r="C159" i="15"/>
  <c r="C21" i="15"/>
  <c r="C30" i="15"/>
  <c r="C12" i="15"/>
  <c r="C28" i="15"/>
  <c r="B3" i="17"/>
  <c r="G705" i="15" l="1"/>
  <c r="H705" i="15" s="1"/>
  <c r="J705" i="15" s="1"/>
  <c r="O705" i="15"/>
  <c r="F705" i="15"/>
  <c r="N705" i="15"/>
  <c r="E705" i="15"/>
  <c r="V705" i="15"/>
  <c r="D705" i="15"/>
  <c r="I705" i="15"/>
  <c r="E478" i="15"/>
  <c r="D478" i="15"/>
  <c r="O478" i="15"/>
  <c r="G478" i="15"/>
  <c r="H478" i="15" s="1"/>
  <c r="J478" i="15" s="1"/>
  <c r="V478" i="15"/>
  <c r="N478" i="15"/>
  <c r="I478" i="15"/>
  <c r="F478" i="15"/>
  <c r="I508" i="15"/>
  <c r="V508" i="15"/>
  <c r="N508" i="15"/>
  <c r="F508" i="15"/>
  <c r="E508" i="15"/>
  <c r="G508" i="15"/>
  <c r="H508" i="15" s="1"/>
  <c r="J508" i="15" s="1"/>
  <c r="O508" i="15"/>
  <c r="D508" i="15"/>
  <c r="D189" i="15"/>
  <c r="I189" i="15"/>
  <c r="O189" i="15"/>
  <c r="G189" i="15"/>
  <c r="H189" i="15" s="1"/>
  <c r="J189" i="15" s="1"/>
  <c r="V189" i="15"/>
  <c r="N189" i="15"/>
  <c r="F189" i="15"/>
  <c r="E189" i="15"/>
  <c r="I466" i="15"/>
  <c r="O466" i="15"/>
  <c r="G466" i="15"/>
  <c r="H466" i="15" s="1"/>
  <c r="J466" i="15" s="1"/>
  <c r="V466" i="15"/>
  <c r="N466" i="15"/>
  <c r="F466" i="15"/>
  <c r="D466" i="15"/>
  <c r="E466" i="15"/>
  <c r="I564" i="15"/>
  <c r="V564" i="15"/>
  <c r="N564" i="15"/>
  <c r="F564" i="15"/>
  <c r="E564" i="15"/>
  <c r="G564" i="15"/>
  <c r="H564" i="15" s="1"/>
  <c r="J564" i="15" s="1"/>
  <c r="D564" i="15"/>
  <c r="O564" i="15"/>
  <c r="V604" i="15"/>
  <c r="N604" i="15"/>
  <c r="F604" i="15"/>
  <c r="E604" i="15"/>
  <c r="D604" i="15"/>
  <c r="I604" i="15"/>
  <c r="O604" i="15"/>
  <c r="G604" i="15"/>
  <c r="H604" i="15" s="1"/>
  <c r="J604" i="15" s="1"/>
  <c r="E346" i="15"/>
  <c r="D346" i="15"/>
  <c r="O346" i="15"/>
  <c r="G346" i="15"/>
  <c r="H346" i="15" s="1"/>
  <c r="J346" i="15" s="1"/>
  <c r="V346" i="15"/>
  <c r="N346" i="15"/>
  <c r="F346" i="15"/>
  <c r="I346" i="15"/>
  <c r="D533" i="15"/>
  <c r="I533" i="15"/>
  <c r="O533" i="15"/>
  <c r="G533" i="15"/>
  <c r="H533" i="15" s="1"/>
  <c r="J533" i="15" s="1"/>
  <c r="V533" i="15"/>
  <c r="N533" i="15"/>
  <c r="F533" i="15"/>
  <c r="E533" i="15"/>
  <c r="O568" i="15"/>
  <c r="G568" i="15"/>
  <c r="H568" i="15" s="1"/>
  <c r="J568" i="15" s="1"/>
  <c r="N568" i="15"/>
  <c r="F568" i="15"/>
  <c r="V568" i="15"/>
  <c r="E568" i="15"/>
  <c r="D568" i="15"/>
  <c r="I568" i="15"/>
  <c r="O675" i="15"/>
  <c r="G675" i="15"/>
  <c r="H675" i="15" s="1"/>
  <c r="J675" i="15" s="1"/>
  <c r="V675" i="15"/>
  <c r="N675" i="15"/>
  <c r="F675" i="15"/>
  <c r="E675" i="15"/>
  <c r="I675" i="15"/>
  <c r="D675" i="15"/>
  <c r="O561" i="15"/>
  <c r="G561" i="15"/>
  <c r="H561" i="15" s="1"/>
  <c r="J561" i="15" s="1"/>
  <c r="V561" i="15"/>
  <c r="N561" i="15"/>
  <c r="F561" i="15"/>
  <c r="E561" i="15"/>
  <c r="I561" i="15"/>
  <c r="D561" i="15"/>
  <c r="O403" i="15"/>
  <c r="G403" i="15"/>
  <c r="H403" i="15" s="1"/>
  <c r="J403" i="15" s="1"/>
  <c r="V403" i="15"/>
  <c r="N403" i="15"/>
  <c r="F403" i="15"/>
  <c r="E403" i="15"/>
  <c r="D403" i="15"/>
  <c r="I403" i="15"/>
  <c r="O325" i="15"/>
  <c r="G325" i="15"/>
  <c r="H325" i="15" s="1"/>
  <c r="J325" i="15" s="1"/>
  <c r="V325" i="15"/>
  <c r="N325" i="15"/>
  <c r="F325" i="15"/>
  <c r="E325" i="15"/>
  <c r="I325" i="15"/>
  <c r="D325" i="15"/>
  <c r="V12" i="15"/>
  <c r="N12" i="15"/>
  <c r="F12" i="15"/>
  <c r="E12" i="15"/>
  <c r="D12" i="15"/>
  <c r="I12" i="15"/>
  <c r="O12" i="15"/>
  <c r="G12" i="15"/>
  <c r="H12" i="15" s="1"/>
  <c r="J12" i="15" s="1"/>
  <c r="D703" i="15"/>
  <c r="I703" i="15"/>
  <c r="O703" i="15"/>
  <c r="G703" i="15"/>
  <c r="H703" i="15" s="1"/>
  <c r="J703" i="15" s="1"/>
  <c r="V703" i="15"/>
  <c r="N703" i="15"/>
  <c r="F703" i="15"/>
  <c r="E703" i="15"/>
  <c r="D638" i="15"/>
  <c r="I638" i="15"/>
  <c r="O638" i="15"/>
  <c r="G638" i="15"/>
  <c r="H638" i="15" s="1"/>
  <c r="J638" i="15" s="1"/>
  <c r="V638" i="15"/>
  <c r="N638" i="15"/>
  <c r="F638" i="15"/>
  <c r="E638" i="15"/>
  <c r="D594" i="15"/>
  <c r="I594" i="15"/>
  <c r="O594" i="15"/>
  <c r="G594" i="15"/>
  <c r="H594" i="15" s="1"/>
  <c r="J594" i="15" s="1"/>
  <c r="V594" i="15"/>
  <c r="N594" i="15"/>
  <c r="F594" i="15"/>
  <c r="E594" i="15"/>
  <c r="E510" i="15"/>
  <c r="D510" i="15"/>
  <c r="O510" i="15"/>
  <c r="G510" i="15"/>
  <c r="H510" i="15" s="1"/>
  <c r="J510" i="15" s="1"/>
  <c r="N510" i="15"/>
  <c r="I510" i="15"/>
  <c r="F510" i="15"/>
  <c r="V510" i="15"/>
  <c r="V596" i="15"/>
  <c r="N596" i="15"/>
  <c r="F596" i="15"/>
  <c r="E596" i="15"/>
  <c r="D596" i="15"/>
  <c r="I596" i="15"/>
  <c r="O596" i="15"/>
  <c r="G596" i="15"/>
  <c r="H596" i="15" s="1"/>
  <c r="J596" i="15" s="1"/>
  <c r="E389" i="15"/>
  <c r="D389" i="15"/>
  <c r="O389" i="15"/>
  <c r="G389" i="15"/>
  <c r="H389" i="15" s="1"/>
  <c r="J389" i="15" s="1"/>
  <c r="V389" i="15"/>
  <c r="N389" i="15"/>
  <c r="F389" i="15"/>
  <c r="I389" i="15"/>
  <c r="E338" i="15"/>
  <c r="D338" i="15"/>
  <c r="O338" i="15"/>
  <c r="G338" i="15"/>
  <c r="H338" i="15" s="1"/>
  <c r="J338" i="15" s="1"/>
  <c r="N338" i="15"/>
  <c r="I338" i="15"/>
  <c r="F338" i="15"/>
  <c r="V338" i="15"/>
  <c r="I212" i="15"/>
  <c r="V212" i="15"/>
  <c r="N212" i="15"/>
  <c r="F212" i="15"/>
  <c r="E212" i="15"/>
  <c r="O212" i="15"/>
  <c r="G212" i="15"/>
  <c r="H212" i="15" s="1"/>
  <c r="J212" i="15" s="1"/>
  <c r="D212" i="15"/>
  <c r="E190" i="15"/>
  <c r="D190" i="15"/>
  <c r="O190" i="15"/>
  <c r="G190" i="15"/>
  <c r="H190" i="15" s="1"/>
  <c r="J190" i="15" s="1"/>
  <c r="V190" i="15"/>
  <c r="N190" i="15"/>
  <c r="I190" i="15"/>
  <c r="F190" i="15"/>
  <c r="V267" i="15"/>
  <c r="N267" i="15"/>
  <c r="F267" i="15"/>
  <c r="E267" i="15"/>
  <c r="D267" i="15"/>
  <c r="I267" i="15"/>
  <c r="O267" i="15"/>
  <c r="G267" i="15"/>
  <c r="H267" i="15" s="1"/>
  <c r="J267" i="15" s="1"/>
  <c r="D144" i="15"/>
  <c r="I144" i="15"/>
  <c r="O144" i="15"/>
  <c r="G144" i="15"/>
  <c r="H144" i="15" s="1"/>
  <c r="J144" i="15" s="1"/>
  <c r="V144" i="15"/>
  <c r="N144" i="15"/>
  <c r="F144" i="15"/>
  <c r="E144" i="15"/>
  <c r="I133" i="15"/>
  <c r="O133" i="15"/>
  <c r="G133" i="15"/>
  <c r="H133" i="15" s="1"/>
  <c r="J133" i="15" s="1"/>
  <c r="V133" i="15"/>
  <c r="N133" i="15"/>
  <c r="F133" i="15"/>
  <c r="D133" i="15"/>
  <c r="E133" i="15"/>
  <c r="I134" i="15"/>
  <c r="O134" i="15"/>
  <c r="G134" i="15"/>
  <c r="H134" i="15" s="1"/>
  <c r="J134" i="15" s="1"/>
  <c r="E134" i="15"/>
  <c r="D134" i="15"/>
  <c r="V134" i="15"/>
  <c r="N134" i="15"/>
  <c r="F134" i="15"/>
  <c r="O38" i="15"/>
  <c r="G38" i="15"/>
  <c r="H38" i="15" s="1"/>
  <c r="J38" i="15" s="1"/>
  <c r="V38" i="15"/>
  <c r="N38" i="15"/>
  <c r="F38" i="15"/>
  <c r="E38" i="15"/>
  <c r="D38" i="15"/>
  <c r="I38" i="15"/>
  <c r="I515" i="15"/>
  <c r="O515" i="15"/>
  <c r="G515" i="15"/>
  <c r="H515" i="15" s="1"/>
  <c r="J515" i="15" s="1"/>
  <c r="E515" i="15"/>
  <c r="D515" i="15"/>
  <c r="V515" i="15"/>
  <c r="F515" i="15"/>
  <c r="N515" i="15"/>
  <c r="O488" i="15"/>
  <c r="G488" i="15"/>
  <c r="H488" i="15" s="1"/>
  <c r="J488" i="15" s="1"/>
  <c r="V488" i="15"/>
  <c r="N488" i="15"/>
  <c r="F488" i="15"/>
  <c r="E488" i="15"/>
  <c r="D488" i="15"/>
  <c r="I488" i="15"/>
  <c r="I399" i="15"/>
  <c r="V399" i="15"/>
  <c r="N399" i="15"/>
  <c r="F399" i="15"/>
  <c r="E399" i="15"/>
  <c r="O399" i="15"/>
  <c r="D399" i="15"/>
  <c r="G399" i="15"/>
  <c r="H399" i="15" s="1"/>
  <c r="J399" i="15" s="1"/>
  <c r="I386" i="15"/>
  <c r="O386" i="15"/>
  <c r="G386" i="15"/>
  <c r="H386" i="15" s="1"/>
  <c r="J386" i="15" s="1"/>
  <c r="E386" i="15"/>
  <c r="D386" i="15"/>
  <c r="V386" i="15"/>
  <c r="F386" i="15"/>
  <c r="N386" i="15"/>
  <c r="O367" i="15"/>
  <c r="G367" i="15"/>
  <c r="H367" i="15" s="1"/>
  <c r="J367" i="15" s="1"/>
  <c r="V367" i="15"/>
  <c r="N367" i="15"/>
  <c r="F367" i="15"/>
  <c r="E367" i="15"/>
  <c r="D367" i="15"/>
  <c r="I367" i="15"/>
  <c r="O253" i="15"/>
  <c r="G253" i="15"/>
  <c r="H253" i="15" s="1"/>
  <c r="J253" i="15" s="1"/>
  <c r="V253" i="15"/>
  <c r="N253" i="15"/>
  <c r="E253" i="15"/>
  <c r="I253" i="15"/>
  <c r="D253" i="15"/>
  <c r="F253" i="15"/>
  <c r="O224" i="15"/>
  <c r="G224" i="15"/>
  <c r="H224" i="15" s="1"/>
  <c r="J224" i="15" s="1"/>
  <c r="V224" i="15"/>
  <c r="N224" i="15"/>
  <c r="F224" i="15"/>
  <c r="E224" i="15"/>
  <c r="D224" i="15"/>
  <c r="I224" i="15"/>
  <c r="V167" i="15"/>
  <c r="N167" i="15"/>
  <c r="F167" i="15"/>
  <c r="E167" i="15"/>
  <c r="I167" i="15"/>
  <c r="O167" i="15"/>
  <c r="G167" i="15"/>
  <c r="H167" i="15" s="1"/>
  <c r="J167" i="15" s="1"/>
  <c r="D167" i="15"/>
  <c r="I86" i="15"/>
  <c r="O86" i="15"/>
  <c r="G86" i="15"/>
  <c r="H86" i="15" s="1"/>
  <c r="J86" i="15" s="1"/>
  <c r="E86" i="15"/>
  <c r="D86" i="15"/>
  <c r="F86" i="15"/>
  <c r="V86" i="15"/>
  <c r="N86" i="15"/>
  <c r="O161" i="15"/>
  <c r="G161" i="15"/>
  <c r="H161" i="15" s="1"/>
  <c r="J161" i="15" s="1"/>
  <c r="N161" i="15"/>
  <c r="F161" i="15"/>
  <c r="E161" i="15"/>
  <c r="D161" i="15"/>
  <c r="I161" i="15"/>
  <c r="V161" i="15"/>
  <c r="O84" i="15"/>
  <c r="G84" i="15"/>
  <c r="H84" i="15" s="1"/>
  <c r="J84" i="15" s="1"/>
  <c r="V84" i="15"/>
  <c r="N84" i="15"/>
  <c r="F84" i="15"/>
  <c r="E84" i="15"/>
  <c r="I84" i="15"/>
  <c r="D84" i="15"/>
  <c r="O721" i="15"/>
  <c r="G721" i="15"/>
  <c r="H721" i="15" s="1"/>
  <c r="J721" i="15" s="1"/>
  <c r="V721" i="15"/>
  <c r="N721" i="15"/>
  <c r="F721" i="15"/>
  <c r="I721" i="15"/>
  <c r="E721" i="15"/>
  <c r="D721" i="15"/>
  <c r="I670" i="15"/>
  <c r="O670" i="15"/>
  <c r="G670" i="15"/>
  <c r="H670" i="15" s="1"/>
  <c r="J670" i="15" s="1"/>
  <c r="D670" i="15"/>
  <c r="E670" i="15"/>
  <c r="V670" i="15"/>
  <c r="N670" i="15"/>
  <c r="F670" i="15"/>
  <c r="O655" i="15"/>
  <c r="G655" i="15"/>
  <c r="H655" i="15" s="1"/>
  <c r="J655" i="15" s="1"/>
  <c r="V655" i="15"/>
  <c r="N655" i="15"/>
  <c r="F655" i="15"/>
  <c r="E655" i="15"/>
  <c r="D655" i="15"/>
  <c r="I655" i="15"/>
  <c r="I600" i="15"/>
  <c r="O600" i="15"/>
  <c r="G600" i="15"/>
  <c r="H600" i="15" s="1"/>
  <c r="J600" i="15" s="1"/>
  <c r="E600" i="15"/>
  <c r="D600" i="15"/>
  <c r="V600" i="15"/>
  <c r="N600" i="15"/>
  <c r="F600" i="15"/>
  <c r="O456" i="15"/>
  <c r="G456" i="15"/>
  <c r="H456" i="15" s="1"/>
  <c r="J456" i="15" s="1"/>
  <c r="V456" i="15"/>
  <c r="N456" i="15"/>
  <c r="F456" i="15"/>
  <c r="E456" i="15"/>
  <c r="D456" i="15"/>
  <c r="I456" i="15"/>
  <c r="I583" i="15"/>
  <c r="O583" i="15"/>
  <c r="G583" i="15"/>
  <c r="H583" i="15" s="1"/>
  <c r="J583" i="15" s="1"/>
  <c r="V583" i="15"/>
  <c r="N583" i="15"/>
  <c r="F583" i="15"/>
  <c r="D583" i="15"/>
  <c r="E583" i="15"/>
  <c r="O360" i="15"/>
  <c r="G360" i="15"/>
  <c r="H360" i="15" s="1"/>
  <c r="J360" i="15" s="1"/>
  <c r="V360" i="15"/>
  <c r="N360" i="15"/>
  <c r="F360" i="15"/>
  <c r="E360" i="15"/>
  <c r="I360" i="15"/>
  <c r="D360" i="15"/>
  <c r="O300" i="15"/>
  <c r="G300" i="15"/>
  <c r="H300" i="15" s="1"/>
  <c r="J300" i="15" s="1"/>
  <c r="V300" i="15"/>
  <c r="N300" i="15"/>
  <c r="F300" i="15"/>
  <c r="E300" i="15"/>
  <c r="D300" i="15"/>
  <c r="I300" i="15"/>
  <c r="I203" i="15"/>
  <c r="O203" i="15"/>
  <c r="G203" i="15"/>
  <c r="H203" i="15" s="1"/>
  <c r="J203" i="15" s="1"/>
  <c r="E203" i="15"/>
  <c r="D203" i="15"/>
  <c r="N203" i="15"/>
  <c r="F203" i="15"/>
  <c r="V203" i="15"/>
  <c r="O76" i="15"/>
  <c r="G76" i="15"/>
  <c r="H76" i="15" s="1"/>
  <c r="J76" i="15" s="1"/>
  <c r="V76" i="15"/>
  <c r="N76" i="15"/>
  <c r="F76" i="15"/>
  <c r="E76" i="15"/>
  <c r="I76" i="15"/>
  <c r="D76" i="15"/>
  <c r="I678" i="15"/>
  <c r="V678" i="15"/>
  <c r="N678" i="15"/>
  <c r="F678" i="15"/>
  <c r="E678" i="15"/>
  <c r="O678" i="15"/>
  <c r="D678" i="15"/>
  <c r="G678" i="15"/>
  <c r="H678" i="15" s="1"/>
  <c r="J678" i="15" s="1"/>
  <c r="V640" i="15"/>
  <c r="N640" i="15"/>
  <c r="F640" i="15"/>
  <c r="E640" i="15"/>
  <c r="D640" i="15"/>
  <c r="I640" i="15"/>
  <c r="O640" i="15"/>
  <c r="G640" i="15"/>
  <c r="H640" i="15" s="1"/>
  <c r="J640" i="15" s="1"/>
  <c r="E558" i="15"/>
  <c r="D558" i="15"/>
  <c r="O558" i="15"/>
  <c r="G558" i="15"/>
  <c r="H558" i="15" s="1"/>
  <c r="J558" i="15" s="1"/>
  <c r="N558" i="15"/>
  <c r="I558" i="15"/>
  <c r="F558" i="15"/>
  <c r="V558" i="15"/>
  <c r="I500" i="15"/>
  <c r="V500" i="15"/>
  <c r="N500" i="15"/>
  <c r="F500" i="15"/>
  <c r="E500" i="15"/>
  <c r="O500" i="15"/>
  <c r="D500" i="15"/>
  <c r="G500" i="15"/>
  <c r="H500" i="15" s="1"/>
  <c r="J500" i="15" s="1"/>
  <c r="V487" i="15"/>
  <c r="N487" i="15"/>
  <c r="F487" i="15"/>
  <c r="E487" i="15"/>
  <c r="D487" i="15"/>
  <c r="I487" i="15"/>
  <c r="O487" i="15"/>
  <c r="G487" i="15"/>
  <c r="H487" i="15" s="1"/>
  <c r="J487" i="15" s="1"/>
  <c r="I363" i="15"/>
  <c r="V363" i="15"/>
  <c r="N363" i="15"/>
  <c r="F363" i="15"/>
  <c r="E363" i="15"/>
  <c r="O363" i="15"/>
  <c r="G363" i="15"/>
  <c r="H363" i="15" s="1"/>
  <c r="J363" i="15" s="1"/>
  <c r="D363" i="15"/>
  <c r="V390" i="15"/>
  <c r="N390" i="15"/>
  <c r="F390" i="15"/>
  <c r="E390" i="15"/>
  <c r="D390" i="15"/>
  <c r="I390" i="15"/>
  <c r="O390" i="15"/>
  <c r="G390" i="15"/>
  <c r="H390" i="15" s="1"/>
  <c r="J390" i="15" s="1"/>
  <c r="D337" i="15"/>
  <c r="I337" i="15"/>
  <c r="O337" i="15"/>
  <c r="G337" i="15"/>
  <c r="H337" i="15" s="1"/>
  <c r="J337" i="15" s="1"/>
  <c r="V337" i="15"/>
  <c r="N337" i="15"/>
  <c r="F337" i="15"/>
  <c r="E337" i="15"/>
  <c r="D181" i="15"/>
  <c r="I181" i="15"/>
  <c r="O181" i="15"/>
  <c r="G181" i="15"/>
  <c r="H181" i="15" s="1"/>
  <c r="J181" i="15" s="1"/>
  <c r="V181" i="15"/>
  <c r="N181" i="15"/>
  <c r="F181" i="15"/>
  <c r="E181" i="15"/>
  <c r="V307" i="15"/>
  <c r="N307" i="15"/>
  <c r="F307" i="15"/>
  <c r="E307" i="15"/>
  <c r="D307" i="15"/>
  <c r="I307" i="15"/>
  <c r="O307" i="15"/>
  <c r="G307" i="15"/>
  <c r="H307" i="15" s="1"/>
  <c r="J307" i="15" s="1"/>
  <c r="I651" i="15"/>
  <c r="O651" i="15"/>
  <c r="G651" i="15"/>
  <c r="H651" i="15" s="1"/>
  <c r="J651" i="15" s="1"/>
  <c r="E651" i="15"/>
  <c r="D651" i="15"/>
  <c r="V651" i="15"/>
  <c r="N651" i="15"/>
  <c r="F651" i="15"/>
  <c r="I650" i="15"/>
  <c r="O650" i="15"/>
  <c r="G650" i="15"/>
  <c r="H650" i="15" s="1"/>
  <c r="J650" i="15" s="1"/>
  <c r="V650" i="15"/>
  <c r="N650" i="15"/>
  <c r="F650" i="15"/>
  <c r="D650" i="15"/>
  <c r="E650" i="15"/>
  <c r="I635" i="15"/>
  <c r="O635" i="15"/>
  <c r="G635" i="15"/>
  <c r="H635" i="15" s="1"/>
  <c r="J635" i="15" s="1"/>
  <c r="V635" i="15"/>
  <c r="N635" i="15"/>
  <c r="F635" i="15"/>
  <c r="D635" i="15"/>
  <c r="E635" i="15"/>
  <c r="O529" i="15"/>
  <c r="G529" i="15"/>
  <c r="H529" i="15" s="1"/>
  <c r="J529" i="15" s="1"/>
  <c r="E529" i="15"/>
  <c r="D529" i="15"/>
  <c r="N529" i="15"/>
  <c r="I529" i="15"/>
  <c r="V529" i="15"/>
  <c r="F529" i="15"/>
  <c r="I562" i="15"/>
  <c r="O562" i="15"/>
  <c r="G562" i="15"/>
  <c r="H562" i="15" s="1"/>
  <c r="J562" i="15" s="1"/>
  <c r="V562" i="15"/>
  <c r="N562" i="15"/>
  <c r="F562" i="15"/>
  <c r="D562" i="15"/>
  <c r="E562" i="15"/>
  <c r="I450" i="15"/>
  <c r="O450" i="15"/>
  <c r="G450" i="15"/>
  <c r="H450" i="15" s="1"/>
  <c r="J450" i="15" s="1"/>
  <c r="V450" i="15"/>
  <c r="N450" i="15"/>
  <c r="F450" i="15"/>
  <c r="D450" i="15"/>
  <c r="E450" i="15"/>
  <c r="O420" i="15"/>
  <c r="G420" i="15"/>
  <c r="H420" i="15" s="1"/>
  <c r="J420" i="15" s="1"/>
  <c r="V420" i="15"/>
  <c r="N420" i="15"/>
  <c r="F420" i="15"/>
  <c r="E420" i="15"/>
  <c r="I420" i="15"/>
  <c r="D420" i="15"/>
  <c r="O293" i="15"/>
  <c r="G293" i="15"/>
  <c r="H293" i="15" s="1"/>
  <c r="J293" i="15" s="1"/>
  <c r="V293" i="15"/>
  <c r="N293" i="15"/>
  <c r="F293" i="15"/>
  <c r="E293" i="15"/>
  <c r="I293" i="15"/>
  <c r="D293" i="15"/>
  <c r="I310" i="15"/>
  <c r="O310" i="15"/>
  <c r="G310" i="15"/>
  <c r="H310" i="15" s="1"/>
  <c r="J310" i="15" s="1"/>
  <c r="V310" i="15"/>
  <c r="N310" i="15"/>
  <c r="F310" i="15"/>
  <c r="D310" i="15"/>
  <c r="E310" i="15"/>
  <c r="I155" i="15"/>
  <c r="E155" i="15"/>
  <c r="V155" i="15"/>
  <c r="F155" i="15"/>
  <c r="D155" i="15"/>
  <c r="O155" i="15"/>
  <c r="N155" i="15"/>
  <c r="G155" i="15"/>
  <c r="H155" i="15" s="1"/>
  <c r="J155" i="15" s="1"/>
  <c r="I126" i="15"/>
  <c r="O126" i="15"/>
  <c r="G126" i="15"/>
  <c r="H126" i="15" s="1"/>
  <c r="J126" i="15" s="1"/>
  <c r="E126" i="15"/>
  <c r="D126" i="15"/>
  <c r="N126" i="15"/>
  <c r="F126" i="15"/>
  <c r="V126" i="15"/>
  <c r="O67" i="15"/>
  <c r="G67" i="15"/>
  <c r="H67" i="15" s="1"/>
  <c r="J67" i="15" s="1"/>
  <c r="V67" i="15"/>
  <c r="N67" i="15"/>
  <c r="F67" i="15"/>
  <c r="E67" i="15"/>
  <c r="D67" i="15"/>
  <c r="I67" i="15"/>
  <c r="O6" i="15"/>
  <c r="G6" i="15"/>
  <c r="H6" i="15" s="1"/>
  <c r="J6" i="15" s="1"/>
  <c r="V6" i="15"/>
  <c r="N6" i="15"/>
  <c r="F6" i="15"/>
  <c r="E6" i="15"/>
  <c r="I6" i="15"/>
  <c r="D6" i="15"/>
  <c r="O736" i="15"/>
  <c r="G736" i="15"/>
  <c r="H736" i="15" s="1"/>
  <c r="J736" i="15" s="1"/>
  <c r="V736" i="15"/>
  <c r="N736" i="15"/>
  <c r="F736" i="15"/>
  <c r="E736" i="15"/>
  <c r="D736" i="15"/>
  <c r="I736" i="15"/>
  <c r="I676" i="15"/>
  <c r="O676" i="15"/>
  <c r="G676" i="15"/>
  <c r="H676" i="15" s="1"/>
  <c r="J676" i="15" s="1"/>
  <c r="V676" i="15"/>
  <c r="N676" i="15"/>
  <c r="F676" i="15"/>
  <c r="D676" i="15"/>
  <c r="E676" i="15"/>
  <c r="I628" i="15"/>
  <c r="O628" i="15"/>
  <c r="G628" i="15"/>
  <c r="H628" i="15" s="1"/>
  <c r="J628" i="15" s="1"/>
  <c r="V628" i="15"/>
  <c r="N628" i="15"/>
  <c r="F628" i="15"/>
  <c r="D628" i="15"/>
  <c r="E628" i="15"/>
  <c r="O520" i="15"/>
  <c r="G520" i="15"/>
  <c r="H520" i="15" s="1"/>
  <c r="J520" i="15" s="1"/>
  <c r="V520" i="15"/>
  <c r="N520" i="15"/>
  <c r="F520" i="15"/>
  <c r="E520" i="15"/>
  <c r="D520" i="15"/>
  <c r="I520" i="15"/>
  <c r="O412" i="15"/>
  <c r="G412" i="15"/>
  <c r="H412" i="15" s="1"/>
  <c r="J412" i="15" s="1"/>
  <c r="V412" i="15"/>
  <c r="N412" i="15"/>
  <c r="F412" i="15"/>
  <c r="E412" i="15"/>
  <c r="I412" i="15"/>
  <c r="D412" i="15"/>
  <c r="I413" i="15"/>
  <c r="O413" i="15"/>
  <c r="G413" i="15"/>
  <c r="H413" i="15" s="1"/>
  <c r="J413" i="15" s="1"/>
  <c r="V413" i="15"/>
  <c r="N413" i="15"/>
  <c r="F413" i="15"/>
  <c r="D413" i="15"/>
  <c r="E413" i="15"/>
  <c r="O285" i="15"/>
  <c r="G285" i="15"/>
  <c r="H285" i="15" s="1"/>
  <c r="J285" i="15" s="1"/>
  <c r="V285" i="15"/>
  <c r="N285" i="15"/>
  <c r="F285" i="15"/>
  <c r="E285" i="15"/>
  <c r="I285" i="15"/>
  <c r="D285" i="15"/>
  <c r="I278" i="15"/>
  <c r="O278" i="15"/>
  <c r="G278" i="15"/>
  <c r="H278" i="15" s="1"/>
  <c r="J278" i="15" s="1"/>
  <c r="V278" i="15"/>
  <c r="N278" i="15"/>
  <c r="F278" i="15"/>
  <c r="D278" i="15"/>
  <c r="E278" i="15"/>
  <c r="G147" i="15"/>
  <c r="H147" i="15" s="1"/>
  <c r="J147" i="15" s="1"/>
  <c r="O147" i="15"/>
  <c r="F147" i="15"/>
  <c r="N147" i="15"/>
  <c r="E147" i="15"/>
  <c r="I147" i="15"/>
  <c r="D147" i="15"/>
  <c r="V147" i="15"/>
  <c r="I118" i="15"/>
  <c r="O118" i="15"/>
  <c r="G118" i="15"/>
  <c r="H118" i="15" s="1"/>
  <c r="J118" i="15" s="1"/>
  <c r="E118" i="15"/>
  <c r="D118" i="15"/>
  <c r="F118" i="15"/>
  <c r="V118" i="15"/>
  <c r="N118" i="15"/>
  <c r="O59" i="15"/>
  <c r="G59" i="15"/>
  <c r="H59" i="15" s="1"/>
  <c r="J59" i="15" s="1"/>
  <c r="V59" i="15"/>
  <c r="N59" i="15"/>
  <c r="F59" i="15"/>
  <c r="E59" i="15"/>
  <c r="D59" i="15"/>
  <c r="I59" i="15"/>
  <c r="I154" i="15"/>
  <c r="O154" i="15"/>
  <c r="G154" i="15"/>
  <c r="H154" i="15" s="1"/>
  <c r="J154" i="15" s="1"/>
  <c r="D154" i="15"/>
  <c r="V154" i="15"/>
  <c r="F154" i="15"/>
  <c r="N154" i="15"/>
  <c r="E154" i="15"/>
  <c r="V66" i="15"/>
  <c r="N66" i="15"/>
  <c r="F66" i="15"/>
  <c r="E66" i="15"/>
  <c r="D66" i="15"/>
  <c r="I66" i="15"/>
  <c r="O66" i="15"/>
  <c r="G66" i="15"/>
  <c r="H66" i="15" s="1"/>
  <c r="J66" i="15" s="1"/>
  <c r="D672" i="15"/>
  <c r="I672" i="15"/>
  <c r="O672" i="15"/>
  <c r="G672" i="15"/>
  <c r="H672" i="15" s="1"/>
  <c r="J672" i="15" s="1"/>
  <c r="N672" i="15"/>
  <c r="F672" i="15"/>
  <c r="V672" i="15"/>
  <c r="E672" i="15"/>
  <c r="E534" i="15"/>
  <c r="D534" i="15"/>
  <c r="O534" i="15"/>
  <c r="G534" i="15"/>
  <c r="H534" i="15" s="1"/>
  <c r="J534" i="15" s="1"/>
  <c r="V534" i="15"/>
  <c r="N534" i="15"/>
  <c r="F534" i="15"/>
  <c r="I534" i="15"/>
  <c r="V543" i="15"/>
  <c r="N543" i="15"/>
  <c r="F543" i="15"/>
  <c r="E543" i="15"/>
  <c r="D543" i="15"/>
  <c r="I543" i="15"/>
  <c r="G543" i="15"/>
  <c r="H543" i="15" s="1"/>
  <c r="J543" i="15" s="1"/>
  <c r="O543" i="15"/>
  <c r="E433" i="15"/>
  <c r="D433" i="15"/>
  <c r="O433" i="15"/>
  <c r="G433" i="15"/>
  <c r="H433" i="15" s="1"/>
  <c r="J433" i="15" s="1"/>
  <c r="I433" i="15"/>
  <c r="F433" i="15"/>
  <c r="V433" i="15"/>
  <c r="N433" i="15"/>
  <c r="D313" i="15"/>
  <c r="I313" i="15"/>
  <c r="O313" i="15"/>
  <c r="G313" i="15"/>
  <c r="H313" i="15" s="1"/>
  <c r="J313" i="15" s="1"/>
  <c r="V313" i="15"/>
  <c r="N313" i="15"/>
  <c r="F313" i="15"/>
  <c r="E313" i="15"/>
  <c r="I103" i="15"/>
  <c r="V103" i="15"/>
  <c r="N103" i="15"/>
  <c r="F103" i="15"/>
  <c r="E103" i="15"/>
  <c r="O103" i="15"/>
  <c r="G103" i="15"/>
  <c r="H103" i="15" s="1"/>
  <c r="J103" i="15" s="1"/>
  <c r="D103" i="15"/>
  <c r="E81" i="15"/>
  <c r="D81" i="15"/>
  <c r="O81" i="15"/>
  <c r="G81" i="15"/>
  <c r="H81" i="15" s="1"/>
  <c r="J81" i="15" s="1"/>
  <c r="V81" i="15"/>
  <c r="N81" i="15"/>
  <c r="I81" i="15"/>
  <c r="F81" i="15"/>
  <c r="E27" i="15"/>
  <c r="D27" i="15"/>
  <c r="I27" i="15"/>
  <c r="O27" i="15"/>
  <c r="G27" i="15"/>
  <c r="H27" i="15" s="1"/>
  <c r="J27" i="15" s="1"/>
  <c r="V27" i="15"/>
  <c r="N27" i="15"/>
  <c r="F27" i="15"/>
  <c r="I15" i="15"/>
  <c r="O15" i="15"/>
  <c r="G15" i="15"/>
  <c r="H15" i="15" s="1"/>
  <c r="J15" i="15" s="1"/>
  <c r="V15" i="15"/>
  <c r="N15" i="15"/>
  <c r="F15" i="15"/>
  <c r="D15" i="15"/>
  <c r="E15" i="15"/>
  <c r="I712" i="15"/>
  <c r="O712" i="15"/>
  <c r="G712" i="15"/>
  <c r="H712" i="15" s="1"/>
  <c r="J712" i="15" s="1"/>
  <c r="V712" i="15"/>
  <c r="N712" i="15"/>
  <c r="F712" i="15"/>
  <c r="E712" i="15"/>
  <c r="D712" i="15"/>
  <c r="O683" i="15"/>
  <c r="G683" i="15"/>
  <c r="H683" i="15" s="1"/>
  <c r="J683" i="15" s="1"/>
  <c r="V683" i="15"/>
  <c r="N683" i="15"/>
  <c r="F683" i="15"/>
  <c r="E683" i="15"/>
  <c r="D683" i="15"/>
  <c r="I683" i="15"/>
  <c r="I555" i="15"/>
  <c r="O555" i="15"/>
  <c r="G555" i="15"/>
  <c r="H555" i="15" s="1"/>
  <c r="J555" i="15" s="1"/>
  <c r="E555" i="15"/>
  <c r="D555" i="15"/>
  <c r="V555" i="15"/>
  <c r="N555" i="15"/>
  <c r="F555" i="15"/>
  <c r="I430" i="15"/>
  <c r="O430" i="15"/>
  <c r="G430" i="15"/>
  <c r="H430" i="15" s="1"/>
  <c r="J430" i="15" s="1"/>
  <c r="E430" i="15"/>
  <c r="D430" i="15"/>
  <c r="N430" i="15"/>
  <c r="F430" i="15"/>
  <c r="V430" i="15"/>
  <c r="I405" i="15"/>
  <c r="O405" i="15"/>
  <c r="G405" i="15"/>
  <c r="H405" i="15" s="1"/>
  <c r="J405" i="15" s="1"/>
  <c r="V405" i="15"/>
  <c r="N405" i="15"/>
  <c r="F405" i="15"/>
  <c r="D405" i="15"/>
  <c r="E405" i="15"/>
  <c r="I271" i="15"/>
  <c r="O271" i="15"/>
  <c r="G271" i="15"/>
  <c r="H271" i="15" s="1"/>
  <c r="J271" i="15" s="1"/>
  <c r="E271" i="15"/>
  <c r="D271" i="15"/>
  <c r="V271" i="15"/>
  <c r="N271" i="15"/>
  <c r="F271" i="15"/>
  <c r="O333" i="15"/>
  <c r="G333" i="15"/>
  <c r="H333" i="15" s="1"/>
  <c r="J333" i="15" s="1"/>
  <c r="V333" i="15"/>
  <c r="N333" i="15"/>
  <c r="F333" i="15"/>
  <c r="E333" i="15"/>
  <c r="D333" i="15"/>
  <c r="I333" i="15"/>
  <c r="O169" i="15"/>
  <c r="G169" i="15"/>
  <c r="H169" i="15" s="1"/>
  <c r="J169" i="15" s="1"/>
  <c r="E169" i="15"/>
  <c r="D169" i="15"/>
  <c r="N169" i="15"/>
  <c r="I169" i="15"/>
  <c r="F169" i="15"/>
  <c r="V169" i="15"/>
  <c r="O160" i="15"/>
  <c r="G160" i="15"/>
  <c r="H160" i="15" s="1"/>
  <c r="J160" i="15" s="1"/>
  <c r="V160" i="15"/>
  <c r="N160" i="15"/>
  <c r="F160" i="15"/>
  <c r="E160" i="15"/>
  <c r="D160" i="15"/>
  <c r="I160" i="15"/>
  <c r="E166" i="15"/>
  <c r="D166" i="15"/>
  <c r="O166" i="15"/>
  <c r="G166" i="15"/>
  <c r="H166" i="15" s="1"/>
  <c r="J166" i="15" s="1"/>
  <c r="I166" i="15"/>
  <c r="V166" i="15"/>
  <c r="F166" i="15"/>
  <c r="N166" i="15"/>
  <c r="I101" i="15"/>
  <c r="O101" i="15"/>
  <c r="G101" i="15"/>
  <c r="H101" i="15" s="1"/>
  <c r="J101" i="15" s="1"/>
  <c r="V101" i="15"/>
  <c r="N101" i="15"/>
  <c r="F101" i="15"/>
  <c r="D101" i="15"/>
  <c r="E101" i="15"/>
  <c r="I93" i="15"/>
  <c r="O93" i="15"/>
  <c r="G93" i="15"/>
  <c r="H93" i="15" s="1"/>
  <c r="J93" i="15" s="1"/>
  <c r="V93" i="15"/>
  <c r="N93" i="15"/>
  <c r="F93" i="15"/>
  <c r="D93" i="15"/>
  <c r="E93" i="15"/>
  <c r="O30" i="15"/>
  <c r="G30" i="15"/>
  <c r="H30" i="15" s="1"/>
  <c r="J30" i="15" s="1"/>
  <c r="V30" i="15"/>
  <c r="N30" i="15"/>
  <c r="F30" i="15"/>
  <c r="E30" i="15"/>
  <c r="D30" i="15"/>
  <c r="I30" i="15"/>
  <c r="E587" i="15"/>
  <c r="D587" i="15"/>
  <c r="O587" i="15"/>
  <c r="G587" i="15"/>
  <c r="H587" i="15" s="1"/>
  <c r="J587" i="15" s="1"/>
  <c r="V587" i="15"/>
  <c r="N587" i="15"/>
  <c r="I587" i="15"/>
  <c r="F587" i="15"/>
  <c r="V291" i="15"/>
  <c r="N291" i="15"/>
  <c r="F291" i="15"/>
  <c r="E291" i="15"/>
  <c r="D291" i="15"/>
  <c r="I291" i="15"/>
  <c r="G291" i="15"/>
  <c r="H291" i="15" s="1"/>
  <c r="J291" i="15" s="1"/>
  <c r="O291" i="15"/>
  <c r="E566" i="15"/>
  <c r="D566" i="15"/>
  <c r="O566" i="15"/>
  <c r="G566" i="15"/>
  <c r="H566" i="15" s="1"/>
  <c r="J566" i="15" s="1"/>
  <c r="V566" i="15"/>
  <c r="N566" i="15"/>
  <c r="F566" i="15"/>
  <c r="I566" i="15"/>
  <c r="V339" i="15"/>
  <c r="N339" i="15"/>
  <c r="F339" i="15"/>
  <c r="E339" i="15"/>
  <c r="D339" i="15"/>
  <c r="I339" i="15"/>
  <c r="O339" i="15"/>
  <c r="G339" i="15"/>
  <c r="H339" i="15" s="1"/>
  <c r="J339" i="15" s="1"/>
  <c r="I731" i="15"/>
  <c r="N731" i="15"/>
  <c r="V731" i="15"/>
  <c r="F731" i="15"/>
  <c r="E731" i="15"/>
  <c r="O731" i="15"/>
  <c r="G731" i="15"/>
  <c r="H731" i="15" s="1"/>
  <c r="J731" i="15" s="1"/>
  <c r="D731" i="15"/>
  <c r="I303" i="15"/>
  <c r="O303" i="15"/>
  <c r="G303" i="15"/>
  <c r="H303" i="15" s="1"/>
  <c r="J303" i="15" s="1"/>
  <c r="E303" i="15"/>
  <c r="D303" i="15"/>
  <c r="V303" i="15"/>
  <c r="N303" i="15"/>
  <c r="F303" i="15"/>
  <c r="V704" i="15"/>
  <c r="E704" i="15"/>
  <c r="D704" i="15"/>
  <c r="O704" i="15"/>
  <c r="G704" i="15"/>
  <c r="H704" i="15" s="1"/>
  <c r="J704" i="15" s="1"/>
  <c r="N704" i="15"/>
  <c r="F704" i="15"/>
  <c r="I704" i="15"/>
  <c r="E357" i="15"/>
  <c r="D357" i="15"/>
  <c r="O357" i="15"/>
  <c r="G357" i="15"/>
  <c r="H357" i="15" s="1"/>
  <c r="J357" i="15" s="1"/>
  <c r="V357" i="15"/>
  <c r="N357" i="15"/>
  <c r="F357" i="15"/>
  <c r="I357" i="15"/>
  <c r="D26" i="15"/>
  <c r="I26" i="15"/>
  <c r="O26" i="15"/>
  <c r="G26" i="15"/>
  <c r="H26" i="15" s="1"/>
  <c r="J26" i="15" s="1"/>
  <c r="V26" i="15"/>
  <c r="N26" i="15"/>
  <c r="F26" i="15"/>
  <c r="E26" i="15"/>
  <c r="I556" i="15"/>
  <c r="V556" i="15"/>
  <c r="N556" i="15"/>
  <c r="F556" i="15"/>
  <c r="E556" i="15"/>
  <c r="G556" i="15"/>
  <c r="H556" i="15" s="1"/>
  <c r="J556" i="15" s="1"/>
  <c r="O556" i="15"/>
  <c r="D556" i="15"/>
  <c r="I344" i="15"/>
  <c r="V344" i="15"/>
  <c r="N344" i="15"/>
  <c r="F344" i="15"/>
  <c r="E344" i="15"/>
  <c r="G344" i="15"/>
  <c r="H344" i="15" s="1"/>
  <c r="J344" i="15" s="1"/>
  <c r="D344" i="15"/>
  <c r="O344" i="15"/>
  <c r="I438" i="15"/>
  <c r="O438" i="15"/>
  <c r="G438" i="15"/>
  <c r="H438" i="15" s="1"/>
  <c r="J438" i="15" s="1"/>
  <c r="V438" i="15"/>
  <c r="E438" i="15"/>
  <c r="D438" i="15"/>
  <c r="N438" i="15"/>
  <c r="F438" i="15"/>
  <c r="I377" i="15"/>
  <c r="O377" i="15"/>
  <c r="G377" i="15"/>
  <c r="H377" i="15" s="1"/>
  <c r="J377" i="15" s="1"/>
  <c r="V377" i="15"/>
  <c r="N377" i="15"/>
  <c r="F377" i="15"/>
  <c r="D377" i="15"/>
  <c r="E377" i="15"/>
  <c r="I724" i="15"/>
  <c r="V724" i="15"/>
  <c r="G724" i="15"/>
  <c r="H724" i="15" s="1"/>
  <c r="J724" i="15" s="1"/>
  <c r="F724" i="15"/>
  <c r="E724" i="15"/>
  <c r="N724" i="15"/>
  <c r="D724" i="15"/>
  <c r="O724" i="15"/>
  <c r="O107" i="15"/>
  <c r="G107" i="15"/>
  <c r="H107" i="15" s="1"/>
  <c r="J107" i="15" s="1"/>
  <c r="V107" i="15"/>
  <c r="N107" i="15"/>
  <c r="F107" i="15"/>
  <c r="E107" i="15"/>
  <c r="D107" i="15"/>
  <c r="I107" i="15"/>
  <c r="V644" i="15"/>
  <c r="I644" i="15"/>
  <c r="O644" i="15"/>
  <c r="F644" i="15"/>
  <c r="N644" i="15"/>
  <c r="E644" i="15"/>
  <c r="G644" i="15"/>
  <c r="H644" i="15" s="1"/>
  <c r="J644" i="15" s="1"/>
  <c r="D644" i="15"/>
  <c r="D80" i="15"/>
  <c r="I80" i="15"/>
  <c r="O80" i="15"/>
  <c r="G80" i="15"/>
  <c r="H80" i="15" s="1"/>
  <c r="J80" i="15" s="1"/>
  <c r="V80" i="15"/>
  <c r="N80" i="15"/>
  <c r="F80" i="15"/>
  <c r="E80" i="15"/>
  <c r="O729" i="15"/>
  <c r="G729" i="15"/>
  <c r="H729" i="15" s="1"/>
  <c r="J729" i="15" s="1"/>
  <c r="V729" i="15"/>
  <c r="N729" i="15"/>
  <c r="F729" i="15"/>
  <c r="I729" i="15"/>
  <c r="E729" i="15"/>
  <c r="D729" i="15"/>
  <c r="I677" i="15"/>
  <c r="O677" i="15"/>
  <c r="G677" i="15"/>
  <c r="H677" i="15" s="1"/>
  <c r="J677" i="15" s="1"/>
  <c r="E677" i="15"/>
  <c r="D677" i="15"/>
  <c r="N677" i="15"/>
  <c r="F677" i="15"/>
  <c r="V677" i="15"/>
  <c r="I608" i="15"/>
  <c r="O608" i="15"/>
  <c r="G608" i="15"/>
  <c r="H608" i="15" s="1"/>
  <c r="J608" i="15" s="1"/>
  <c r="E608" i="15"/>
  <c r="D608" i="15"/>
  <c r="V608" i="15"/>
  <c r="F608" i="15"/>
  <c r="N608" i="15"/>
  <c r="I599" i="15"/>
  <c r="O599" i="15"/>
  <c r="G599" i="15"/>
  <c r="H599" i="15" s="1"/>
  <c r="J599" i="15" s="1"/>
  <c r="V599" i="15"/>
  <c r="N599" i="15"/>
  <c r="F599" i="15"/>
  <c r="D599" i="15"/>
  <c r="E599" i="15"/>
  <c r="O368" i="15"/>
  <c r="G368" i="15"/>
  <c r="H368" i="15" s="1"/>
  <c r="J368" i="15" s="1"/>
  <c r="V368" i="15"/>
  <c r="N368" i="15"/>
  <c r="F368" i="15"/>
  <c r="E368" i="15"/>
  <c r="I368" i="15"/>
  <c r="D368" i="15"/>
  <c r="I211" i="15"/>
  <c r="O211" i="15"/>
  <c r="G211" i="15"/>
  <c r="H211" i="15" s="1"/>
  <c r="J211" i="15" s="1"/>
  <c r="E211" i="15"/>
  <c r="D211" i="15"/>
  <c r="V211" i="15"/>
  <c r="N211" i="15"/>
  <c r="F211" i="15"/>
  <c r="O92" i="15"/>
  <c r="G92" i="15"/>
  <c r="H92" i="15" s="1"/>
  <c r="J92" i="15" s="1"/>
  <c r="V92" i="15"/>
  <c r="N92" i="15"/>
  <c r="F92" i="15"/>
  <c r="E92" i="15"/>
  <c r="I92" i="15"/>
  <c r="D92" i="15"/>
  <c r="I70" i="15"/>
  <c r="O70" i="15"/>
  <c r="G70" i="15"/>
  <c r="H70" i="15" s="1"/>
  <c r="J70" i="15" s="1"/>
  <c r="E70" i="15"/>
  <c r="D70" i="15"/>
  <c r="V70" i="15"/>
  <c r="N70" i="15"/>
  <c r="F70" i="15"/>
  <c r="I117" i="15"/>
  <c r="O117" i="15"/>
  <c r="G117" i="15"/>
  <c r="H117" i="15" s="1"/>
  <c r="J117" i="15" s="1"/>
  <c r="V117" i="15"/>
  <c r="N117" i="15"/>
  <c r="F117" i="15"/>
  <c r="D117" i="15"/>
  <c r="E117" i="15"/>
  <c r="I739" i="15"/>
  <c r="V739" i="15"/>
  <c r="G739" i="15"/>
  <c r="H739" i="15" s="1"/>
  <c r="J739" i="15" s="1"/>
  <c r="F739" i="15"/>
  <c r="E739" i="15"/>
  <c r="N739" i="15"/>
  <c r="O739" i="15"/>
  <c r="D739" i="15"/>
  <c r="I693" i="15"/>
  <c r="O693" i="15"/>
  <c r="G693" i="15"/>
  <c r="H693" i="15" s="1"/>
  <c r="J693" i="15" s="1"/>
  <c r="E693" i="15"/>
  <c r="D693" i="15"/>
  <c r="V693" i="15"/>
  <c r="N693" i="15"/>
  <c r="F693" i="15"/>
  <c r="I700" i="15"/>
  <c r="O700" i="15"/>
  <c r="G700" i="15"/>
  <c r="H700" i="15" s="1"/>
  <c r="J700" i="15" s="1"/>
  <c r="V700" i="15"/>
  <c r="N700" i="15"/>
  <c r="F700" i="15"/>
  <c r="D700" i="15"/>
  <c r="E700" i="15"/>
  <c r="I621" i="15"/>
  <c r="E621" i="15"/>
  <c r="D621" i="15"/>
  <c r="V621" i="15"/>
  <c r="O621" i="15"/>
  <c r="G621" i="15"/>
  <c r="H621" i="15" s="1"/>
  <c r="J621" i="15" s="1"/>
  <c r="F621" i="15"/>
  <c r="N621" i="15"/>
  <c r="O574" i="15"/>
  <c r="G574" i="15"/>
  <c r="H574" i="15" s="1"/>
  <c r="J574" i="15" s="1"/>
  <c r="V574" i="15"/>
  <c r="N574" i="15"/>
  <c r="F574" i="15"/>
  <c r="D574" i="15"/>
  <c r="I574" i="15"/>
  <c r="E574" i="15"/>
  <c r="O552" i="15"/>
  <c r="G552" i="15"/>
  <c r="H552" i="15" s="1"/>
  <c r="J552" i="15" s="1"/>
  <c r="V552" i="15"/>
  <c r="N552" i="15"/>
  <c r="F552" i="15"/>
  <c r="E552" i="15"/>
  <c r="D552" i="15"/>
  <c r="I552" i="15"/>
  <c r="I498" i="15"/>
  <c r="O498" i="15"/>
  <c r="G498" i="15"/>
  <c r="H498" i="15" s="1"/>
  <c r="J498" i="15" s="1"/>
  <c r="V498" i="15"/>
  <c r="N498" i="15"/>
  <c r="F498" i="15"/>
  <c r="D498" i="15"/>
  <c r="E498" i="15"/>
  <c r="O449" i="15"/>
  <c r="G449" i="15"/>
  <c r="H449" i="15" s="1"/>
  <c r="J449" i="15" s="1"/>
  <c r="V449" i="15"/>
  <c r="N449" i="15"/>
  <c r="F449" i="15"/>
  <c r="E449" i="15"/>
  <c r="I449" i="15"/>
  <c r="D449" i="15"/>
  <c r="I522" i="15"/>
  <c r="O522" i="15"/>
  <c r="G522" i="15"/>
  <c r="H522" i="15" s="1"/>
  <c r="J522" i="15" s="1"/>
  <c r="V522" i="15"/>
  <c r="N522" i="15"/>
  <c r="F522" i="15"/>
  <c r="D522" i="15"/>
  <c r="E522" i="15"/>
  <c r="I311" i="15"/>
  <c r="O311" i="15"/>
  <c r="G311" i="15"/>
  <c r="H311" i="15" s="1"/>
  <c r="J311" i="15" s="1"/>
  <c r="E311" i="15"/>
  <c r="D311" i="15"/>
  <c r="V311" i="15"/>
  <c r="F311" i="15"/>
  <c r="N311" i="15"/>
  <c r="I262" i="15"/>
  <c r="O262" i="15"/>
  <c r="G262" i="15"/>
  <c r="H262" i="15" s="1"/>
  <c r="J262" i="15" s="1"/>
  <c r="V262" i="15"/>
  <c r="N262" i="15"/>
  <c r="F262" i="15"/>
  <c r="D262" i="15"/>
  <c r="E262" i="15"/>
  <c r="O209" i="15"/>
  <c r="G209" i="15"/>
  <c r="H209" i="15" s="1"/>
  <c r="J209" i="15" s="1"/>
  <c r="V209" i="15"/>
  <c r="N209" i="15"/>
  <c r="F209" i="15"/>
  <c r="E209" i="15"/>
  <c r="D209" i="15"/>
  <c r="I209" i="15"/>
  <c r="I226" i="15"/>
  <c r="O226" i="15"/>
  <c r="G226" i="15"/>
  <c r="H226" i="15" s="1"/>
  <c r="J226" i="15" s="1"/>
  <c r="V226" i="15"/>
  <c r="N226" i="15"/>
  <c r="F226" i="15"/>
  <c r="D226" i="15"/>
  <c r="E226" i="15"/>
  <c r="E726" i="15"/>
  <c r="D726" i="15"/>
  <c r="O726" i="15"/>
  <c r="N726" i="15"/>
  <c r="I726" i="15"/>
  <c r="G726" i="15"/>
  <c r="H726" i="15" s="1"/>
  <c r="J726" i="15" s="1"/>
  <c r="F726" i="15"/>
  <c r="V726" i="15"/>
  <c r="I585" i="15"/>
  <c r="V585" i="15"/>
  <c r="N585" i="15"/>
  <c r="F585" i="15"/>
  <c r="E585" i="15"/>
  <c r="O585" i="15"/>
  <c r="G585" i="15"/>
  <c r="H585" i="15" s="1"/>
  <c r="J585" i="15" s="1"/>
  <c r="D585" i="15"/>
  <c r="V612" i="15"/>
  <c r="N612" i="15"/>
  <c r="F612" i="15"/>
  <c r="E612" i="15"/>
  <c r="D612" i="15"/>
  <c r="I612" i="15"/>
  <c r="O612" i="15"/>
  <c r="G612" i="15"/>
  <c r="H612" i="15" s="1"/>
  <c r="J612" i="15" s="1"/>
  <c r="D493" i="15"/>
  <c r="I493" i="15"/>
  <c r="O493" i="15"/>
  <c r="G493" i="15"/>
  <c r="H493" i="15" s="1"/>
  <c r="J493" i="15" s="1"/>
  <c r="V493" i="15"/>
  <c r="N493" i="15"/>
  <c r="F493" i="15"/>
  <c r="E493" i="15"/>
  <c r="I476" i="15"/>
  <c r="V476" i="15"/>
  <c r="N476" i="15"/>
  <c r="F476" i="15"/>
  <c r="E476" i="15"/>
  <c r="O476" i="15"/>
  <c r="G476" i="15"/>
  <c r="H476" i="15" s="1"/>
  <c r="J476" i="15" s="1"/>
  <c r="D476" i="15"/>
  <c r="O441" i="15"/>
  <c r="G441" i="15"/>
  <c r="H441" i="15" s="1"/>
  <c r="J441" i="15" s="1"/>
  <c r="E441" i="15"/>
  <c r="D441" i="15"/>
  <c r="N441" i="15"/>
  <c r="V441" i="15"/>
  <c r="I441" i="15"/>
  <c r="F441" i="15"/>
  <c r="D364" i="15"/>
  <c r="I364" i="15"/>
  <c r="O364" i="15"/>
  <c r="G364" i="15"/>
  <c r="H364" i="15" s="1"/>
  <c r="J364" i="15" s="1"/>
  <c r="V364" i="15"/>
  <c r="N364" i="15"/>
  <c r="F364" i="15"/>
  <c r="E364" i="15"/>
  <c r="D273" i="15"/>
  <c r="I273" i="15"/>
  <c r="O273" i="15"/>
  <c r="G273" i="15"/>
  <c r="H273" i="15" s="1"/>
  <c r="J273" i="15" s="1"/>
  <c r="V273" i="15"/>
  <c r="N273" i="15"/>
  <c r="F273" i="15"/>
  <c r="E273" i="15"/>
  <c r="V382" i="15"/>
  <c r="N382" i="15"/>
  <c r="F382" i="15"/>
  <c r="E382" i="15"/>
  <c r="D382" i="15"/>
  <c r="I382" i="15"/>
  <c r="O382" i="15"/>
  <c r="G382" i="15"/>
  <c r="H382" i="15" s="1"/>
  <c r="J382" i="15" s="1"/>
  <c r="E250" i="15"/>
  <c r="D250" i="15"/>
  <c r="O250" i="15"/>
  <c r="N250" i="15"/>
  <c r="V250" i="15"/>
  <c r="G250" i="15"/>
  <c r="H250" i="15" s="1"/>
  <c r="J250" i="15" s="1"/>
  <c r="I250" i="15"/>
  <c r="F250" i="15"/>
  <c r="E230" i="15"/>
  <c r="D230" i="15"/>
  <c r="O230" i="15"/>
  <c r="G230" i="15"/>
  <c r="H230" i="15" s="1"/>
  <c r="J230" i="15" s="1"/>
  <c r="V230" i="15"/>
  <c r="N230" i="15"/>
  <c r="I230" i="15"/>
  <c r="F230" i="15"/>
  <c r="V175" i="15"/>
  <c r="N175" i="15"/>
  <c r="F175" i="15"/>
  <c r="E175" i="15"/>
  <c r="D175" i="15"/>
  <c r="I175" i="15"/>
  <c r="O175" i="15"/>
  <c r="G175" i="15"/>
  <c r="H175" i="15" s="1"/>
  <c r="J175" i="15" s="1"/>
  <c r="O737" i="15"/>
  <c r="G737" i="15"/>
  <c r="H737" i="15" s="1"/>
  <c r="J737" i="15" s="1"/>
  <c r="V737" i="15"/>
  <c r="N737" i="15"/>
  <c r="F737" i="15"/>
  <c r="D737" i="15"/>
  <c r="I737" i="15"/>
  <c r="E737" i="15"/>
  <c r="I738" i="15"/>
  <c r="O738" i="15"/>
  <c r="G738" i="15"/>
  <c r="H738" i="15" s="1"/>
  <c r="J738" i="15" s="1"/>
  <c r="F738" i="15"/>
  <c r="E738" i="15"/>
  <c r="D738" i="15"/>
  <c r="N738" i="15"/>
  <c r="V738" i="15"/>
  <c r="O613" i="15"/>
  <c r="G613" i="15"/>
  <c r="H613" i="15" s="1"/>
  <c r="J613" i="15" s="1"/>
  <c r="V613" i="15"/>
  <c r="N613" i="15"/>
  <c r="F613" i="15"/>
  <c r="E613" i="15"/>
  <c r="D613" i="15"/>
  <c r="I613" i="15"/>
  <c r="I491" i="15"/>
  <c r="O491" i="15"/>
  <c r="G491" i="15"/>
  <c r="H491" i="15" s="1"/>
  <c r="J491" i="15" s="1"/>
  <c r="E491" i="15"/>
  <c r="D491" i="15"/>
  <c r="F491" i="15"/>
  <c r="N491" i="15"/>
  <c r="V491" i="15"/>
  <c r="O521" i="15"/>
  <c r="G521" i="15"/>
  <c r="H521" i="15" s="1"/>
  <c r="J521" i="15" s="1"/>
  <c r="V521" i="15"/>
  <c r="N521" i="15"/>
  <c r="F521" i="15"/>
  <c r="E521" i="15"/>
  <c r="I521" i="15"/>
  <c r="D521" i="15"/>
  <c r="I362" i="15"/>
  <c r="O362" i="15"/>
  <c r="G362" i="15"/>
  <c r="H362" i="15" s="1"/>
  <c r="J362" i="15" s="1"/>
  <c r="E362" i="15"/>
  <c r="D362" i="15"/>
  <c r="F362" i="15"/>
  <c r="N362" i="15"/>
  <c r="V362" i="15"/>
  <c r="O348" i="15"/>
  <c r="G348" i="15"/>
  <c r="H348" i="15" s="1"/>
  <c r="J348" i="15" s="1"/>
  <c r="V348" i="15"/>
  <c r="N348" i="15"/>
  <c r="F348" i="15"/>
  <c r="E348" i="15"/>
  <c r="D348" i="15"/>
  <c r="I348" i="15"/>
  <c r="O200" i="15"/>
  <c r="G200" i="15"/>
  <c r="H200" i="15" s="1"/>
  <c r="J200" i="15" s="1"/>
  <c r="V200" i="15"/>
  <c r="N200" i="15"/>
  <c r="F200" i="15"/>
  <c r="E200" i="15"/>
  <c r="D200" i="15"/>
  <c r="I200" i="15"/>
  <c r="I62" i="15"/>
  <c r="O62" i="15"/>
  <c r="G62" i="15"/>
  <c r="H62" i="15" s="1"/>
  <c r="J62" i="15" s="1"/>
  <c r="E62" i="15"/>
  <c r="D62" i="15"/>
  <c r="N62" i="15"/>
  <c r="F62" i="15"/>
  <c r="V62" i="15"/>
  <c r="I194" i="15"/>
  <c r="O194" i="15"/>
  <c r="G194" i="15"/>
  <c r="H194" i="15" s="1"/>
  <c r="J194" i="15" s="1"/>
  <c r="V194" i="15"/>
  <c r="N194" i="15"/>
  <c r="F194" i="15"/>
  <c r="D194" i="15"/>
  <c r="E194" i="15"/>
  <c r="O132" i="15"/>
  <c r="G132" i="15"/>
  <c r="H132" i="15" s="1"/>
  <c r="J132" i="15" s="1"/>
  <c r="V132" i="15"/>
  <c r="N132" i="15"/>
  <c r="F132" i="15"/>
  <c r="E132" i="15"/>
  <c r="D132" i="15"/>
  <c r="I132" i="15"/>
  <c r="O699" i="15"/>
  <c r="G699" i="15"/>
  <c r="H699" i="15" s="1"/>
  <c r="J699" i="15" s="1"/>
  <c r="V699" i="15"/>
  <c r="N699" i="15"/>
  <c r="F699" i="15"/>
  <c r="E699" i="15"/>
  <c r="I699" i="15"/>
  <c r="D699" i="15"/>
  <c r="I684" i="15"/>
  <c r="O684" i="15"/>
  <c r="G684" i="15"/>
  <c r="H684" i="15" s="1"/>
  <c r="J684" i="15" s="1"/>
  <c r="V684" i="15"/>
  <c r="N684" i="15"/>
  <c r="F684" i="15"/>
  <c r="D684" i="15"/>
  <c r="E684" i="15"/>
  <c r="O642" i="15"/>
  <c r="G642" i="15"/>
  <c r="H642" i="15" s="1"/>
  <c r="J642" i="15" s="1"/>
  <c r="V642" i="15"/>
  <c r="N642" i="15"/>
  <c r="F642" i="15"/>
  <c r="E642" i="15"/>
  <c r="I642" i="15"/>
  <c r="D642" i="15"/>
  <c r="I615" i="15"/>
  <c r="O615" i="15"/>
  <c r="G615" i="15"/>
  <c r="H615" i="15" s="1"/>
  <c r="J615" i="15" s="1"/>
  <c r="V615" i="15"/>
  <c r="N615" i="15"/>
  <c r="F615" i="15"/>
  <c r="D615" i="15"/>
  <c r="E615" i="15"/>
  <c r="O513" i="15"/>
  <c r="G513" i="15"/>
  <c r="H513" i="15" s="1"/>
  <c r="J513" i="15" s="1"/>
  <c r="V513" i="15"/>
  <c r="N513" i="15"/>
  <c r="F513" i="15"/>
  <c r="E513" i="15"/>
  <c r="I513" i="15"/>
  <c r="D513" i="15"/>
  <c r="O354" i="15"/>
  <c r="G354" i="15"/>
  <c r="H354" i="15" s="1"/>
  <c r="J354" i="15" s="1"/>
  <c r="E354" i="15"/>
  <c r="D354" i="15"/>
  <c r="F354" i="15"/>
  <c r="V354" i="15"/>
  <c r="N354" i="15"/>
  <c r="I354" i="15"/>
  <c r="I243" i="15"/>
  <c r="O243" i="15"/>
  <c r="G243" i="15"/>
  <c r="H243" i="15" s="1"/>
  <c r="J243" i="15" s="1"/>
  <c r="E243" i="15"/>
  <c r="D243" i="15"/>
  <c r="V243" i="15"/>
  <c r="N243" i="15"/>
  <c r="F243" i="15"/>
  <c r="O192" i="15"/>
  <c r="G192" i="15"/>
  <c r="H192" i="15" s="1"/>
  <c r="J192" i="15" s="1"/>
  <c r="V192" i="15"/>
  <c r="N192" i="15"/>
  <c r="F192" i="15"/>
  <c r="E192" i="15"/>
  <c r="D192" i="15"/>
  <c r="I192" i="15"/>
  <c r="I54" i="15"/>
  <c r="O54" i="15"/>
  <c r="G54" i="15"/>
  <c r="H54" i="15" s="1"/>
  <c r="J54" i="15" s="1"/>
  <c r="E54" i="15"/>
  <c r="D54" i="15"/>
  <c r="F54" i="15"/>
  <c r="V54" i="15"/>
  <c r="N54" i="15"/>
  <c r="O124" i="15"/>
  <c r="G124" i="15"/>
  <c r="H124" i="15" s="1"/>
  <c r="J124" i="15" s="1"/>
  <c r="V124" i="15"/>
  <c r="N124" i="15"/>
  <c r="F124" i="15"/>
  <c r="E124" i="15"/>
  <c r="I124" i="15"/>
  <c r="D124" i="15"/>
  <c r="V4" i="15"/>
  <c r="N4" i="15"/>
  <c r="F4" i="15"/>
  <c r="E4" i="15"/>
  <c r="D4" i="15"/>
  <c r="I4" i="15"/>
  <c r="G4" i="15"/>
  <c r="H4" i="15" s="1"/>
  <c r="J4" i="15" s="1"/>
  <c r="O4" i="15"/>
  <c r="I732" i="15"/>
  <c r="E732" i="15"/>
  <c r="O732" i="15"/>
  <c r="D732" i="15"/>
  <c r="N732" i="15"/>
  <c r="V732" i="15"/>
  <c r="G732" i="15"/>
  <c r="H732" i="15" s="1"/>
  <c r="J732" i="15" s="1"/>
  <c r="F732" i="15"/>
  <c r="E686" i="15"/>
  <c r="G686" i="15"/>
  <c r="H686" i="15" s="1"/>
  <c r="J686" i="15" s="1"/>
  <c r="F686" i="15"/>
  <c r="O686" i="15"/>
  <c r="D686" i="15"/>
  <c r="N686" i="15"/>
  <c r="V686" i="15"/>
  <c r="I686" i="15"/>
  <c r="V697" i="15"/>
  <c r="N697" i="15"/>
  <c r="F697" i="15"/>
  <c r="E697" i="15"/>
  <c r="D697" i="15"/>
  <c r="I697" i="15"/>
  <c r="O697" i="15"/>
  <c r="G697" i="15"/>
  <c r="H697" i="15" s="1"/>
  <c r="J697" i="15" s="1"/>
  <c r="I622" i="15"/>
  <c r="V622" i="15"/>
  <c r="N622" i="15"/>
  <c r="F622" i="15"/>
  <c r="E622" i="15"/>
  <c r="O622" i="15"/>
  <c r="G622" i="15"/>
  <c r="H622" i="15" s="1"/>
  <c r="J622" i="15" s="1"/>
  <c r="D622" i="15"/>
  <c r="D610" i="15"/>
  <c r="I610" i="15"/>
  <c r="O610" i="15"/>
  <c r="G610" i="15"/>
  <c r="H610" i="15" s="1"/>
  <c r="J610" i="15" s="1"/>
  <c r="V610" i="15"/>
  <c r="N610" i="15"/>
  <c r="F610" i="15"/>
  <c r="E610" i="15"/>
  <c r="V625" i="15"/>
  <c r="N625" i="15"/>
  <c r="F625" i="15"/>
  <c r="E625" i="15"/>
  <c r="D625" i="15"/>
  <c r="I625" i="15"/>
  <c r="O625" i="15"/>
  <c r="G625" i="15"/>
  <c r="H625" i="15" s="1"/>
  <c r="J625" i="15" s="1"/>
  <c r="E526" i="15"/>
  <c r="F526" i="15"/>
  <c r="O526" i="15"/>
  <c r="D526" i="15"/>
  <c r="N526" i="15"/>
  <c r="I526" i="15"/>
  <c r="V526" i="15"/>
  <c r="G526" i="15"/>
  <c r="H526" i="15" s="1"/>
  <c r="J526" i="15" s="1"/>
  <c r="I452" i="15"/>
  <c r="V452" i="15"/>
  <c r="N452" i="15"/>
  <c r="F452" i="15"/>
  <c r="E452" i="15"/>
  <c r="O452" i="15"/>
  <c r="D452" i="15"/>
  <c r="G452" i="15"/>
  <c r="H452" i="15" s="1"/>
  <c r="J452" i="15" s="1"/>
  <c r="I228" i="15"/>
  <c r="V228" i="15"/>
  <c r="N228" i="15"/>
  <c r="F228" i="15"/>
  <c r="E228" i="15"/>
  <c r="O228" i="15"/>
  <c r="G228" i="15"/>
  <c r="H228" i="15" s="1"/>
  <c r="J228" i="15" s="1"/>
  <c r="D228" i="15"/>
  <c r="E206" i="15"/>
  <c r="D206" i="15"/>
  <c r="O206" i="15"/>
  <c r="G206" i="15"/>
  <c r="H206" i="15" s="1"/>
  <c r="J206" i="15" s="1"/>
  <c r="I206" i="15"/>
  <c r="F206" i="15"/>
  <c r="V206" i="15"/>
  <c r="N206" i="15"/>
  <c r="V183" i="15"/>
  <c r="N183" i="15"/>
  <c r="F183" i="15"/>
  <c r="E183" i="15"/>
  <c r="D183" i="15"/>
  <c r="I183" i="15"/>
  <c r="O183" i="15"/>
  <c r="G183" i="15"/>
  <c r="H183" i="15" s="1"/>
  <c r="J183" i="15" s="1"/>
  <c r="D165" i="15"/>
  <c r="O165" i="15"/>
  <c r="G165" i="15"/>
  <c r="H165" i="15" s="1"/>
  <c r="J165" i="15" s="1"/>
  <c r="V165" i="15"/>
  <c r="N165" i="15"/>
  <c r="F165" i="15"/>
  <c r="I165" i="15"/>
  <c r="E165" i="15"/>
  <c r="O22" i="15"/>
  <c r="G22" i="15"/>
  <c r="H22" i="15" s="1"/>
  <c r="J22" i="15" s="1"/>
  <c r="V22" i="15"/>
  <c r="N22" i="15"/>
  <c r="F22" i="15"/>
  <c r="E22" i="15"/>
  <c r="D22" i="15"/>
  <c r="I22" i="15"/>
  <c r="I713" i="15"/>
  <c r="O713" i="15"/>
  <c r="G713" i="15"/>
  <c r="H713" i="15" s="1"/>
  <c r="J713" i="15" s="1"/>
  <c r="E713" i="15"/>
  <c r="D713" i="15"/>
  <c r="N713" i="15"/>
  <c r="F713" i="15"/>
  <c r="V713" i="15"/>
  <c r="E719" i="15"/>
  <c r="D719" i="15"/>
  <c r="V719" i="15"/>
  <c r="I719" i="15"/>
  <c r="F719" i="15"/>
  <c r="O719" i="15"/>
  <c r="N719" i="15"/>
  <c r="G719" i="15"/>
  <c r="H719" i="15" s="1"/>
  <c r="J719" i="15" s="1"/>
  <c r="O528" i="15"/>
  <c r="G528" i="15"/>
  <c r="H528" i="15" s="1"/>
  <c r="J528" i="15" s="1"/>
  <c r="V528" i="15"/>
  <c r="N528" i="15"/>
  <c r="F528" i="15"/>
  <c r="I528" i="15"/>
  <c r="E528" i="15"/>
  <c r="D528" i="15"/>
  <c r="O504" i="15"/>
  <c r="G504" i="15"/>
  <c r="H504" i="15" s="1"/>
  <c r="J504" i="15" s="1"/>
  <c r="V504" i="15"/>
  <c r="N504" i="15"/>
  <c r="F504" i="15"/>
  <c r="E504" i="15"/>
  <c r="D504" i="15"/>
  <c r="I504" i="15"/>
  <c r="I538" i="15"/>
  <c r="O538" i="15"/>
  <c r="G538" i="15"/>
  <c r="H538" i="15" s="1"/>
  <c r="J538" i="15" s="1"/>
  <c r="V538" i="15"/>
  <c r="N538" i="15"/>
  <c r="F538" i="15"/>
  <c r="D538" i="15"/>
  <c r="E538" i="15"/>
  <c r="O269" i="15"/>
  <c r="G269" i="15"/>
  <c r="H269" i="15" s="1"/>
  <c r="J269" i="15" s="1"/>
  <c r="V269" i="15"/>
  <c r="N269" i="15"/>
  <c r="F269" i="15"/>
  <c r="E269" i="15"/>
  <c r="D269" i="15"/>
  <c r="I269" i="15"/>
  <c r="O240" i="15"/>
  <c r="G240" i="15"/>
  <c r="H240" i="15" s="1"/>
  <c r="J240" i="15" s="1"/>
  <c r="V240" i="15"/>
  <c r="N240" i="15"/>
  <c r="F240" i="15"/>
  <c r="E240" i="15"/>
  <c r="D240" i="15"/>
  <c r="I240" i="15"/>
  <c r="I234" i="15"/>
  <c r="O234" i="15"/>
  <c r="G234" i="15"/>
  <c r="H234" i="15" s="1"/>
  <c r="J234" i="15" s="1"/>
  <c r="V234" i="15"/>
  <c r="N234" i="15"/>
  <c r="F234" i="15"/>
  <c r="D234" i="15"/>
  <c r="E234" i="15"/>
  <c r="I102" i="15"/>
  <c r="O102" i="15"/>
  <c r="G102" i="15"/>
  <c r="H102" i="15" s="1"/>
  <c r="J102" i="15" s="1"/>
  <c r="E102" i="15"/>
  <c r="D102" i="15"/>
  <c r="V102" i="15"/>
  <c r="N102" i="15"/>
  <c r="F102" i="15"/>
  <c r="V50" i="15"/>
  <c r="N50" i="15"/>
  <c r="F50" i="15"/>
  <c r="E50" i="15"/>
  <c r="I50" i="15"/>
  <c r="D50" i="15"/>
  <c r="O50" i="15"/>
  <c r="G50" i="15"/>
  <c r="H50" i="15" s="1"/>
  <c r="J50" i="15" s="1"/>
  <c r="I125" i="15"/>
  <c r="O125" i="15"/>
  <c r="G125" i="15"/>
  <c r="H125" i="15" s="1"/>
  <c r="J125" i="15" s="1"/>
  <c r="V125" i="15"/>
  <c r="N125" i="15"/>
  <c r="F125" i="15"/>
  <c r="D125" i="15"/>
  <c r="E125" i="15"/>
  <c r="I506" i="15"/>
  <c r="O506" i="15"/>
  <c r="G506" i="15"/>
  <c r="H506" i="15" s="1"/>
  <c r="J506" i="15" s="1"/>
  <c r="V506" i="15"/>
  <c r="N506" i="15"/>
  <c r="F506" i="15"/>
  <c r="D506" i="15"/>
  <c r="E506" i="15"/>
  <c r="V588" i="15"/>
  <c r="N588" i="15"/>
  <c r="F588" i="15"/>
  <c r="E588" i="15"/>
  <c r="D588" i="15"/>
  <c r="I588" i="15"/>
  <c r="G588" i="15"/>
  <c r="H588" i="15" s="1"/>
  <c r="J588" i="15" s="1"/>
  <c r="O588" i="15"/>
  <c r="D72" i="15"/>
  <c r="I72" i="15"/>
  <c r="O72" i="15"/>
  <c r="G72" i="15"/>
  <c r="H72" i="15" s="1"/>
  <c r="J72" i="15" s="1"/>
  <c r="V72" i="15"/>
  <c r="N72" i="15"/>
  <c r="F72" i="15"/>
  <c r="E72" i="15"/>
  <c r="V647" i="15"/>
  <c r="N647" i="15"/>
  <c r="F647" i="15"/>
  <c r="E647" i="15"/>
  <c r="D647" i="15"/>
  <c r="I647" i="15"/>
  <c r="O647" i="15"/>
  <c r="G647" i="15"/>
  <c r="H647" i="15" s="1"/>
  <c r="J647" i="15" s="1"/>
  <c r="D345" i="15"/>
  <c r="I345" i="15"/>
  <c r="O345" i="15"/>
  <c r="G345" i="15"/>
  <c r="H345" i="15" s="1"/>
  <c r="J345" i="15" s="1"/>
  <c r="V345" i="15"/>
  <c r="N345" i="15"/>
  <c r="F345" i="15"/>
  <c r="E345" i="15"/>
  <c r="E113" i="15"/>
  <c r="D113" i="15"/>
  <c r="O113" i="15"/>
  <c r="G113" i="15"/>
  <c r="H113" i="15" s="1"/>
  <c r="J113" i="15" s="1"/>
  <c r="V113" i="15"/>
  <c r="N113" i="15"/>
  <c r="I113" i="15"/>
  <c r="F113" i="15"/>
  <c r="E666" i="15"/>
  <c r="D666" i="15"/>
  <c r="V666" i="15"/>
  <c r="I666" i="15"/>
  <c r="F666" i="15"/>
  <c r="O666" i="15"/>
  <c r="G666" i="15"/>
  <c r="H666" i="15" s="1"/>
  <c r="J666" i="15" s="1"/>
  <c r="N666" i="15"/>
  <c r="V130" i="15"/>
  <c r="N130" i="15"/>
  <c r="F130" i="15"/>
  <c r="E130" i="15"/>
  <c r="D130" i="15"/>
  <c r="I130" i="15"/>
  <c r="O130" i="15"/>
  <c r="G130" i="15"/>
  <c r="H130" i="15" s="1"/>
  <c r="J130" i="15" s="1"/>
  <c r="E306" i="15"/>
  <c r="D306" i="15"/>
  <c r="O306" i="15"/>
  <c r="G306" i="15"/>
  <c r="H306" i="15" s="1"/>
  <c r="J306" i="15" s="1"/>
  <c r="N306" i="15"/>
  <c r="I306" i="15"/>
  <c r="F306" i="15"/>
  <c r="V306" i="15"/>
  <c r="V122" i="15"/>
  <c r="N122" i="15"/>
  <c r="F122" i="15"/>
  <c r="E122" i="15"/>
  <c r="D122" i="15"/>
  <c r="I122" i="15"/>
  <c r="G122" i="15"/>
  <c r="H122" i="15" s="1"/>
  <c r="J122" i="15" s="1"/>
  <c r="O122" i="15"/>
  <c r="V567" i="15"/>
  <c r="N567" i="15"/>
  <c r="F567" i="15"/>
  <c r="E567" i="15"/>
  <c r="D567" i="15"/>
  <c r="I567" i="15"/>
  <c r="O567" i="15"/>
  <c r="G567" i="15"/>
  <c r="H567" i="15" s="1"/>
  <c r="J567" i="15" s="1"/>
  <c r="D104" i="15"/>
  <c r="I104" i="15"/>
  <c r="O104" i="15"/>
  <c r="G104" i="15"/>
  <c r="H104" i="15" s="1"/>
  <c r="J104" i="15" s="1"/>
  <c r="V104" i="15"/>
  <c r="N104" i="15"/>
  <c r="F104" i="15"/>
  <c r="E104" i="15"/>
  <c r="I437" i="15"/>
  <c r="O437" i="15"/>
  <c r="G437" i="15"/>
  <c r="H437" i="15" s="1"/>
  <c r="J437" i="15" s="1"/>
  <c r="V437" i="15"/>
  <c r="N437" i="15"/>
  <c r="F437" i="15"/>
  <c r="D437" i="15"/>
  <c r="E437" i="15"/>
  <c r="I186" i="15"/>
  <c r="O186" i="15"/>
  <c r="G186" i="15"/>
  <c r="H186" i="15" s="1"/>
  <c r="J186" i="15" s="1"/>
  <c r="V186" i="15"/>
  <c r="N186" i="15"/>
  <c r="F186" i="15"/>
  <c r="D186" i="15"/>
  <c r="E186" i="15"/>
  <c r="V681" i="15"/>
  <c r="N681" i="15"/>
  <c r="F681" i="15"/>
  <c r="E681" i="15"/>
  <c r="D681" i="15"/>
  <c r="I681" i="15"/>
  <c r="O681" i="15"/>
  <c r="G681" i="15"/>
  <c r="H681" i="15" s="1"/>
  <c r="J681" i="15" s="1"/>
  <c r="O411" i="15"/>
  <c r="G411" i="15"/>
  <c r="H411" i="15" s="1"/>
  <c r="J411" i="15" s="1"/>
  <c r="V411" i="15"/>
  <c r="N411" i="15"/>
  <c r="F411" i="15"/>
  <c r="E411" i="15"/>
  <c r="D411" i="15"/>
  <c r="I411" i="15"/>
  <c r="I220" i="15"/>
  <c r="V220" i="15"/>
  <c r="N220" i="15"/>
  <c r="F220" i="15"/>
  <c r="E220" i="15"/>
  <c r="G220" i="15"/>
  <c r="H220" i="15" s="1"/>
  <c r="J220" i="15" s="1"/>
  <c r="D220" i="15"/>
  <c r="O220" i="15"/>
  <c r="E742" i="15"/>
  <c r="D742" i="15"/>
  <c r="V742" i="15"/>
  <c r="N742" i="15"/>
  <c r="F742" i="15"/>
  <c r="O742" i="15"/>
  <c r="I742" i="15"/>
  <c r="G742" i="15"/>
  <c r="H742" i="15" s="1"/>
  <c r="J742" i="15" s="1"/>
  <c r="E595" i="15"/>
  <c r="D595" i="15"/>
  <c r="O595" i="15"/>
  <c r="G595" i="15"/>
  <c r="H595" i="15" s="1"/>
  <c r="J595" i="15" s="1"/>
  <c r="I595" i="15"/>
  <c r="F595" i="15"/>
  <c r="V595" i="15"/>
  <c r="N595" i="15"/>
  <c r="E274" i="15"/>
  <c r="D274" i="15"/>
  <c r="O274" i="15"/>
  <c r="G274" i="15"/>
  <c r="H274" i="15" s="1"/>
  <c r="J274" i="15" s="1"/>
  <c r="N274" i="15"/>
  <c r="I274" i="15"/>
  <c r="F274" i="15"/>
  <c r="V274" i="15"/>
  <c r="V58" i="15"/>
  <c r="N58" i="15"/>
  <c r="F58" i="15"/>
  <c r="E58" i="15"/>
  <c r="D58" i="15"/>
  <c r="I58" i="15"/>
  <c r="G58" i="15"/>
  <c r="H58" i="15" s="1"/>
  <c r="J58" i="15" s="1"/>
  <c r="O58" i="15"/>
  <c r="O75" i="15"/>
  <c r="G75" i="15"/>
  <c r="H75" i="15" s="1"/>
  <c r="J75" i="15" s="1"/>
  <c r="V75" i="15"/>
  <c r="N75" i="15"/>
  <c r="F75" i="15"/>
  <c r="E75" i="15"/>
  <c r="D75" i="15"/>
  <c r="I75" i="15"/>
  <c r="O29" i="15"/>
  <c r="G29" i="15"/>
  <c r="H29" i="15" s="1"/>
  <c r="J29" i="15" s="1"/>
  <c r="V29" i="15"/>
  <c r="N29" i="15"/>
  <c r="F29" i="15"/>
  <c r="E29" i="15"/>
  <c r="D29" i="15"/>
  <c r="I29" i="15"/>
  <c r="O663" i="15"/>
  <c r="G663" i="15"/>
  <c r="H663" i="15" s="1"/>
  <c r="J663" i="15" s="1"/>
  <c r="V663" i="15"/>
  <c r="N663" i="15"/>
  <c r="F663" i="15"/>
  <c r="E663" i="15"/>
  <c r="D663" i="15"/>
  <c r="I663" i="15"/>
  <c r="O573" i="15"/>
  <c r="G573" i="15"/>
  <c r="H573" i="15" s="1"/>
  <c r="J573" i="15" s="1"/>
  <c r="V573" i="15"/>
  <c r="N573" i="15"/>
  <c r="F573" i="15"/>
  <c r="E573" i="15"/>
  <c r="I573" i="15"/>
  <c r="D573" i="15"/>
  <c r="I516" i="15"/>
  <c r="V516" i="15"/>
  <c r="N516" i="15"/>
  <c r="F516" i="15"/>
  <c r="E516" i="15"/>
  <c r="G516" i="15"/>
  <c r="H516" i="15" s="1"/>
  <c r="J516" i="15" s="1"/>
  <c r="D516" i="15"/>
  <c r="O516" i="15"/>
  <c r="V551" i="15"/>
  <c r="N551" i="15"/>
  <c r="F551" i="15"/>
  <c r="E551" i="15"/>
  <c r="D551" i="15"/>
  <c r="I551" i="15"/>
  <c r="O551" i="15"/>
  <c r="G551" i="15"/>
  <c r="H551" i="15" s="1"/>
  <c r="J551" i="15" s="1"/>
  <c r="O464" i="15"/>
  <c r="G464" i="15"/>
  <c r="H464" i="15" s="1"/>
  <c r="J464" i="15" s="1"/>
  <c r="V464" i="15"/>
  <c r="N464" i="15"/>
  <c r="F464" i="15"/>
  <c r="E464" i="15"/>
  <c r="D464" i="15"/>
  <c r="I464" i="15"/>
  <c r="D400" i="15"/>
  <c r="O400" i="15"/>
  <c r="G400" i="15"/>
  <c r="H400" i="15" s="1"/>
  <c r="J400" i="15" s="1"/>
  <c r="V400" i="15"/>
  <c r="N400" i="15"/>
  <c r="F400" i="15"/>
  <c r="I400" i="15"/>
  <c r="E400" i="15"/>
  <c r="I379" i="15"/>
  <c r="V379" i="15"/>
  <c r="N379" i="15"/>
  <c r="F379" i="15"/>
  <c r="E379" i="15"/>
  <c r="G379" i="15"/>
  <c r="H379" i="15" s="1"/>
  <c r="J379" i="15" s="1"/>
  <c r="O379" i="15"/>
  <c r="D379" i="15"/>
  <c r="V366" i="15"/>
  <c r="N366" i="15"/>
  <c r="F366" i="15"/>
  <c r="E366" i="15"/>
  <c r="D366" i="15"/>
  <c r="I366" i="15"/>
  <c r="G366" i="15"/>
  <c r="H366" i="15" s="1"/>
  <c r="J366" i="15" s="1"/>
  <c r="O366" i="15"/>
  <c r="O308" i="15"/>
  <c r="G308" i="15"/>
  <c r="H308" i="15" s="1"/>
  <c r="J308" i="15" s="1"/>
  <c r="V308" i="15"/>
  <c r="N308" i="15"/>
  <c r="F308" i="15"/>
  <c r="E308" i="15"/>
  <c r="D308" i="15"/>
  <c r="I308" i="15"/>
  <c r="D197" i="15"/>
  <c r="I197" i="15"/>
  <c r="O197" i="15"/>
  <c r="G197" i="15"/>
  <c r="H197" i="15" s="1"/>
  <c r="J197" i="15" s="1"/>
  <c r="V197" i="15"/>
  <c r="N197" i="15"/>
  <c r="F197" i="15"/>
  <c r="E197" i="15"/>
  <c r="V374" i="15"/>
  <c r="N374" i="15"/>
  <c r="F374" i="15"/>
  <c r="E374" i="15"/>
  <c r="D374" i="15"/>
  <c r="I374" i="15"/>
  <c r="O374" i="15"/>
  <c r="G374" i="15"/>
  <c r="H374" i="15" s="1"/>
  <c r="J374" i="15" s="1"/>
  <c r="D157" i="15"/>
  <c r="O157" i="15"/>
  <c r="G157" i="15"/>
  <c r="H157" i="15" s="1"/>
  <c r="J157" i="15" s="1"/>
  <c r="V157" i="15"/>
  <c r="F157" i="15"/>
  <c r="E157" i="15"/>
  <c r="N157" i="15"/>
  <c r="I157" i="15"/>
  <c r="I143" i="15"/>
  <c r="V143" i="15"/>
  <c r="N143" i="15"/>
  <c r="F143" i="15"/>
  <c r="E143" i="15"/>
  <c r="G143" i="15"/>
  <c r="H143" i="15" s="1"/>
  <c r="J143" i="15" s="1"/>
  <c r="D143" i="15"/>
  <c r="O143" i="15"/>
  <c r="E121" i="15"/>
  <c r="D121" i="15"/>
  <c r="O121" i="15"/>
  <c r="G121" i="15"/>
  <c r="H121" i="15" s="1"/>
  <c r="J121" i="15" s="1"/>
  <c r="V121" i="15"/>
  <c r="N121" i="15"/>
  <c r="I121" i="15"/>
  <c r="F121" i="15"/>
  <c r="I593" i="15"/>
  <c r="V593" i="15"/>
  <c r="N593" i="15"/>
  <c r="F593" i="15"/>
  <c r="E593" i="15"/>
  <c r="O593" i="15"/>
  <c r="D593" i="15"/>
  <c r="G593" i="15"/>
  <c r="H593" i="15" s="1"/>
  <c r="J593" i="15" s="1"/>
  <c r="D501" i="15"/>
  <c r="I501" i="15"/>
  <c r="O501" i="15"/>
  <c r="G501" i="15"/>
  <c r="H501" i="15" s="1"/>
  <c r="J501" i="15" s="1"/>
  <c r="V501" i="15"/>
  <c r="N501" i="15"/>
  <c r="F501" i="15"/>
  <c r="E501" i="15"/>
  <c r="D372" i="15"/>
  <c r="I372" i="15"/>
  <c r="O372" i="15"/>
  <c r="G372" i="15"/>
  <c r="H372" i="15" s="1"/>
  <c r="J372" i="15" s="1"/>
  <c r="V372" i="15"/>
  <c r="N372" i="15"/>
  <c r="F372" i="15"/>
  <c r="E372" i="15"/>
  <c r="D281" i="15"/>
  <c r="I281" i="15"/>
  <c r="O281" i="15"/>
  <c r="G281" i="15"/>
  <c r="H281" i="15" s="1"/>
  <c r="J281" i="15" s="1"/>
  <c r="V281" i="15"/>
  <c r="N281" i="15"/>
  <c r="F281" i="15"/>
  <c r="E281" i="15"/>
  <c r="E401" i="15"/>
  <c r="D401" i="15"/>
  <c r="O401" i="15"/>
  <c r="G401" i="15"/>
  <c r="H401" i="15" s="1"/>
  <c r="J401" i="15" s="1"/>
  <c r="N401" i="15"/>
  <c r="I401" i="15"/>
  <c r="F401" i="15"/>
  <c r="V401" i="15"/>
  <c r="E238" i="15"/>
  <c r="D238" i="15"/>
  <c r="O238" i="15"/>
  <c r="G238" i="15"/>
  <c r="H238" i="15" s="1"/>
  <c r="J238" i="15" s="1"/>
  <c r="I238" i="15"/>
  <c r="F238" i="15"/>
  <c r="V238" i="15"/>
  <c r="N238" i="15"/>
  <c r="V207" i="15"/>
  <c r="N207" i="15"/>
  <c r="F207" i="15"/>
  <c r="E207" i="15"/>
  <c r="D207" i="15"/>
  <c r="I207" i="15"/>
  <c r="O207" i="15"/>
  <c r="G207" i="15"/>
  <c r="H207" i="15" s="1"/>
  <c r="J207" i="15" s="1"/>
  <c r="I71" i="15"/>
  <c r="V71" i="15"/>
  <c r="N71" i="15"/>
  <c r="F71" i="15"/>
  <c r="E71" i="15"/>
  <c r="O71" i="15"/>
  <c r="G71" i="15"/>
  <c r="H71" i="15" s="1"/>
  <c r="J71" i="15" s="1"/>
  <c r="D71" i="15"/>
  <c r="I53" i="15"/>
  <c r="O53" i="15"/>
  <c r="G53" i="15"/>
  <c r="H53" i="15" s="1"/>
  <c r="J53" i="15" s="1"/>
  <c r="V53" i="15"/>
  <c r="N53" i="15"/>
  <c r="F53" i="15"/>
  <c r="D53" i="15"/>
  <c r="E53" i="15"/>
  <c r="I730" i="15"/>
  <c r="O730" i="15"/>
  <c r="G730" i="15"/>
  <c r="H730" i="15" s="1"/>
  <c r="J730" i="15" s="1"/>
  <c r="V730" i="15"/>
  <c r="F730" i="15"/>
  <c r="D730" i="15"/>
  <c r="N730" i="15"/>
  <c r="E730" i="15"/>
  <c r="I658" i="15"/>
  <c r="O658" i="15"/>
  <c r="G658" i="15"/>
  <c r="H658" i="15" s="1"/>
  <c r="J658" i="15" s="1"/>
  <c r="E658" i="15"/>
  <c r="D658" i="15"/>
  <c r="V658" i="15"/>
  <c r="N658" i="15"/>
  <c r="F658" i="15"/>
  <c r="I657" i="15"/>
  <c r="O657" i="15"/>
  <c r="G657" i="15"/>
  <c r="H657" i="15" s="1"/>
  <c r="J657" i="15" s="1"/>
  <c r="V657" i="15"/>
  <c r="N657" i="15"/>
  <c r="F657" i="15"/>
  <c r="D657" i="15"/>
  <c r="E657" i="15"/>
  <c r="I591" i="15"/>
  <c r="O591" i="15"/>
  <c r="G591" i="15"/>
  <c r="H591" i="15" s="1"/>
  <c r="J591" i="15" s="1"/>
  <c r="V591" i="15"/>
  <c r="N591" i="15"/>
  <c r="F591" i="15"/>
  <c r="D591" i="15"/>
  <c r="E591" i="15"/>
  <c r="O537" i="15"/>
  <c r="G537" i="15"/>
  <c r="H537" i="15" s="1"/>
  <c r="J537" i="15" s="1"/>
  <c r="V537" i="15"/>
  <c r="N537" i="15"/>
  <c r="F537" i="15"/>
  <c r="E537" i="15"/>
  <c r="I537" i="15"/>
  <c r="D537" i="15"/>
  <c r="I482" i="15"/>
  <c r="O482" i="15"/>
  <c r="G482" i="15"/>
  <c r="H482" i="15" s="1"/>
  <c r="J482" i="15" s="1"/>
  <c r="V482" i="15"/>
  <c r="N482" i="15"/>
  <c r="F482" i="15"/>
  <c r="D482" i="15"/>
  <c r="E482" i="15"/>
  <c r="O428" i="15"/>
  <c r="G428" i="15"/>
  <c r="H428" i="15" s="1"/>
  <c r="J428" i="15" s="1"/>
  <c r="V428" i="15"/>
  <c r="N428" i="15"/>
  <c r="F428" i="15"/>
  <c r="E428" i="15"/>
  <c r="I428" i="15"/>
  <c r="D428" i="15"/>
  <c r="I369" i="15"/>
  <c r="O369" i="15"/>
  <c r="G369" i="15"/>
  <c r="H369" i="15" s="1"/>
  <c r="J369" i="15" s="1"/>
  <c r="V369" i="15"/>
  <c r="N369" i="15"/>
  <c r="F369" i="15"/>
  <c r="D369" i="15"/>
  <c r="E369" i="15"/>
  <c r="O301" i="15"/>
  <c r="G301" i="15"/>
  <c r="H301" i="15" s="1"/>
  <c r="J301" i="15" s="1"/>
  <c r="V301" i="15"/>
  <c r="N301" i="15"/>
  <c r="F301" i="15"/>
  <c r="E301" i="15"/>
  <c r="D301" i="15"/>
  <c r="I301" i="15"/>
  <c r="I342" i="15"/>
  <c r="O342" i="15"/>
  <c r="G342" i="15"/>
  <c r="H342" i="15" s="1"/>
  <c r="J342" i="15" s="1"/>
  <c r="V342" i="15"/>
  <c r="N342" i="15"/>
  <c r="F342" i="15"/>
  <c r="D342" i="15"/>
  <c r="E342" i="15"/>
  <c r="V138" i="15"/>
  <c r="N138" i="15"/>
  <c r="F138" i="15"/>
  <c r="E138" i="15"/>
  <c r="D138" i="15"/>
  <c r="I138" i="15"/>
  <c r="O138" i="15"/>
  <c r="G138" i="15"/>
  <c r="H138" i="15" s="1"/>
  <c r="J138" i="15" s="1"/>
  <c r="D645" i="15"/>
  <c r="O645" i="15"/>
  <c r="G645" i="15"/>
  <c r="H645" i="15" s="1"/>
  <c r="J645" i="15" s="1"/>
  <c r="N645" i="15"/>
  <c r="I645" i="15"/>
  <c r="E645" i="15"/>
  <c r="V645" i="15"/>
  <c r="F645" i="15"/>
  <c r="V662" i="15"/>
  <c r="N662" i="15"/>
  <c r="F662" i="15"/>
  <c r="E662" i="15"/>
  <c r="D662" i="15"/>
  <c r="I662" i="15"/>
  <c r="O662" i="15"/>
  <c r="G662" i="15"/>
  <c r="H662" i="15" s="1"/>
  <c r="J662" i="15" s="1"/>
  <c r="D565" i="15"/>
  <c r="I565" i="15"/>
  <c r="O565" i="15"/>
  <c r="G565" i="15"/>
  <c r="H565" i="15" s="1"/>
  <c r="J565" i="15" s="1"/>
  <c r="V565" i="15"/>
  <c r="N565" i="15"/>
  <c r="F565" i="15"/>
  <c r="E565" i="15"/>
  <c r="E454" i="15"/>
  <c r="D454" i="15"/>
  <c r="O454" i="15"/>
  <c r="G454" i="15"/>
  <c r="H454" i="15" s="1"/>
  <c r="J454" i="15" s="1"/>
  <c r="I454" i="15"/>
  <c r="F454" i="15"/>
  <c r="V454" i="15"/>
  <c r="N454" i="15"/>
  <c r="E439" i="15"/>
  <c r="N439" i="15"/>
  <c r="D439" i="15"/>
  <c r="V439" i="15"/>
  <c r="G439" i="15"/>
  <c r="H439" i="15" s="1"/>
  <c r="J439" i="15" s="1"/>
  <c r="O439" i="15"/>
  <c r="I439" i="15"/>
  <c r="F439" i="15"/>
  <c r="V410" i="15"/>
  <c r="N410" i="15"/>
  <c r="F410" i="15"/>
  <c r="E410" i="15"/>
  <c r="D410" i="15"/>
  <c r="I410" i="15"/>
  <c r="O410" i="15"/>
  <c r="G410" i="15"/>
  <c r="H410" i="15" s="1"/>
  <c r="J410" i="15" s="1"/>
  <c r="I288" i="15"/>
  <c r="V288" i="15"/>
  <c r="N288" i="15"/>
  <c r="F288" i="15"/>
  <c r="E288" i="15"/>
  <c r="O288" i="15"/>
  <c r="G288" i="15"/>
  <c r="H288" i="15" s="1"/>
  <c r="J288" i="15" s="1"/>
  <c r="D288" i="15"/>
  <c r="V283" i="15"/>
  <c r="N283" i="15"/>
  <c r="F283" i="15"/>
  <c r="E283" i="15"/>
  <c r="D283" i="15"/>
  <c r="I283" i="15"/>
  <c r="O283" i="15"/>
  <c r="G283" i="15"/>
  <c r="H283" i="15" s="1"/>
  <c r="J283" i="15" s="1"/>
  <c r="D237" i="15"/>
  <c r="I237" i="15"/>
  <c r="O237" i="15"/>
  <c r="G237" i="15"/>
  <c r="H237" i="15" s="1"/>
  <c r="J237" i="15" s="1"/>
  <c r="V237" i="15"/>
  <c r="N237" i="15"/>
  <c r="F237" i="15"/>
  <c r="E237" i="15"/>
  <c r="O148" i="15"/>
  <c r="E148" i="15"/>
  <c r="N148" i="15"/>
  <c r="D148" i="15"/>
  <c r="V148" i="15"/>
  <c r="G148" i="15"/>
  <c r="H148" i="15" s="1"/>
  <c r="J148" i="15" s="1"/>
  <c r="I148" i="15"/>
  <c r="F148" i="15"/>
  <c r="I17" i="15"/>
  <c r="O17" i="15"/>
  <c r="G17" i="15"/>
  <c r="H17" i="15" s="1"/>
  <c r="J17" i="15" s="1"/>
  <c r="V17" i="15"/>
  <c r="N17" i="15"/>
  <c r="F17" i="15"/>
  <c r="E17" i="15"/>
  <c r="D17" i="15"/>
  <c r="D56" i="15"/>
  <c r="I56" i="15"/>
  <c r="O56" i="15"/>
  <c r="G56" i="15"/>
  <c r="H56" i="15" s="1"/>
  <c r="J56" i="15" s="1"/>
  <c r="V56" i="15"/>
  <c r="N56" i="15"/>
  <c r="F56" i="15"/>
  <c r="E56" i="15"/>
  <c r="V215" i="15"/>
  <c r="N215" i="15"/>
  <c r="F215" i="15"/>
  <c r="E215" i="15"/>
  <c r="D215" i="15"/>
  <c r="I215" i="15"/>
  <c r="O215" i="15"/>
  <c r="G215" i="15"/>
  <c r="H215" i="15" s="1"/>
  <c r="J215" i="15" s="1"/>
  <c r="D715" i="15"/>
  <c r="I715" i="15"/>
  <c r="O715" i="15"/>
  <c r="G715" i="15"/>
  <c r="H715" i="15" s="1"/>
  <c r="J715" i="15" s="1"/>
  <c r="N715" i="15"/>
  <c r="F715" i="15"/>
  <c r="V715" i="15"/>
  <c r="E715" i="15"/>
  <c r="O605" i="15"/>
  <c r="G605" i="15"/>
  <c r="H605" i="15" s="1"/>
  <c r="J605" i="15" s="1"/>
  <c r="V605" i="15"/>
  <c r="N605" i="15"/>
  <c r="F605" i="15"/>
  <c r="E605" i="15"/>
  <c r="D605" i="15"/>
  <c r="I605" i="15"/>
  <c r="D557" i="15"/>
  <c r="I557" i="15"/>
  <c r="O557" i="15"/>
  <c r="G557" i="15"/>
  <c r="H557" i="15" s="1"/>
  <c r="J557" i="15" s="1"/>
  <c r="V557" i="15"/>
  <c r="N557" i="15"/>
  <c r="F557" i="15"/>
  <c r="E557" i="15"/>
  <c r="E446" i="15"/>
  <c r="D446" i="15"/>
  <c r="O446" i="15"/>
  <c r="G446" i="15"/>
  <c r="H446" i="15" s="1"/>
  <c r="J446" i="15" s="1"/>
  <c r="V446" i="15"/>
  <c r="N446" i="15"/>
  <c r="I446" i="15"/>
  <c r="F446" i="15"/>
  <c r="D432" i="15"/>
  <c r="I432" i="15"/>
  <c r="O432" i="15"/>
  <c r="G432" i="15"/>
  <c r="H432" i="15" s="1"/>
  <c r="J432" i="15" s="1"/>
  <c r="V432" i="15"/>
  <c r="N432" i="15"/>
  <c r="F432" i="15"/>
  <c r="E432" i="15"/>
  <c r="O397" i="15"/>
  <c r="G397" i="15"/>
  <c r="H397" i="15" s="1"/>
  <c r="J397" i="15" s="1"/>
  <c r="D397" i="15"/>
  <c r="I397" i="15"/>
  <c r="V397" i="15"/>
  <c r="E397" i="15"/>
  <c r="F397" i="15"/>
  <c r="N397" i="15"/>
  <c r="I280" i="15"/>
  <c r="V280" i="15"/>
  <c r="N280" i="15"/>
  <c r="F280" i="15"/>
  <c r="E280" i="15"/>
  <c r="G280" i="15"/>
  <c r="H280" i="15" s="1"/>
  <c r="J280" i="15" s="1"/>
  <c r="D280" i="15"/>
  <c r="O280" i="15"/>
  <c r="O340" i="15"/>
  <c r="G340" i="15"/>
  <c r="H340" i="15" s="1"/>
  <c r="J340" i="15" s="1"/>
  <c r="V340" i="15"/>
  <c r="N340" i="15"/>
  <c r="F340" i="15"/>
  <c r="E340" i="15"/>
  <c r="D340" i="15"/>
  <c r="I340" i="15"/>
  <c r="D229" i="15"/>
  <c r="I229" i="15"/>
  <c r="O229" i="15"/>
  <c r="G229" i="15"/>
  <c r="H229" i="15" s="1"/>
  <c r="J229" i="15" s="1"/>
  <c r="V229" i="15"/>
  <c r="N229" i="15"/>
  <c r="F229" i="15"/>
  <c r="E229" i="15"/>
  <c r="V299" i="15"/>
  <c r="N299" i="15"/>
  <c r="F299" i="15"/>
  <c r="E299" i="15"/>
  <c r="D299" i="15"/>
  <c r="I299" i="15"/>
  <c r="O299" i="15"/>
  <c r="G299" i="15"/>
  <c r="H299" i="15" s="1"/>
  <c r="J299" i="15" s="1"/>
  <c r="E150" i="15"/>
  <c r="D150" i="15"/>
  <c r="I150" i="15"/>
  <c r="G150" i="15"/>
  <c r="H150" i="15" s="1"/>
  <c r="J150" i="15" s="1"/>
  <c r="V150" i="15"/>
  <c r="F150" i="15"/>
  <c r="O150" i="15"/>
  <c r="N150" i="15"/>
  <c r="I25" i="15"/>
  <c r="O25" i="15"/>
  <c r="G25" i="15"/>
  <c r="H25" i="15" s="1"/>
  <c r="J25" i="15" s="1"/>
  <c r="V25" i="15"/>
  <c r="N25" i="15"/>
  <c r="F25" i="15"/>
  <c r="E25" i="15"/>
  <c r="D25" i="15"/>
  <c r="V114" i="15"/>
  <c r="N114" i="15"/>
  <c r="F114" i="15"/>
  <c r="E114" i="15"/>
  <c r="D114" i="15"/>
  <c r="I114" i="15"/>
  <c r="O114" i="15"/>
  <c r="G114" i="15"/>
  <c r="H114" i="15" s="1"/>
  <c r="J114" i="15" s="1"/>
  <c r="O14" i="15"/>
  <c r="G14" i="15"/>
  <c r="H14" i="15" s="1"/>
  <c r="J14" i="15" s="1"/>
  <c r="V14" i="15"/>
  <c r="N14" i="15"/>
  <c r="F14" i="15"/>
  <c r="E14" i="15"/>
  <c r="D14" i="15"/>
  <c r="I14" i="15"/>
  <c r="O404" i="15"/>
  <c r="G404" i="15"/>
  <c r="H404" i="15" s="1"/>
  <c r="J404" i="15" s="1"/>
  <c r="V404" i="15"/>
  <c r="N404" i="15"/>
  <c r="F404" i="15"/>
  <c r="E404" i="15"/>
  <c r="D404" i="15"/>
  <c r="I404" i="15"/>
  <c r="O391" i="15"/>
  <c r="G391" i="15"/>
  <c r="H391" i="15" s="1"/>
  <c r="J391" i="15" s="1"/>
  <c r="V391" i="15"/>
  <c r="N391" i="15"/>
  <c r="F391" i="15"/>
  <c r="E391" i="15"/>
  <c r="D391" i="15"/>
  <c r="I391" i="15"/>
  <c r="O277" i="15"/>
  <c r="G277" i="15"/>
  <c r="H277" i="15" s="1"/>
  <c r="J277" i="15" s="1"/>
  <c r="V277" i="15"/>
  <c r="N277" i="15"/>
  <c r="F277" i="15"/>
  <c r="E277" i="15"/>
  <c r="I277" i="15"/>
  <c r="D277" i="15"/>
  <c r="I350" i="15"/>
  <c r="O350" i="15"/>
  <c r="G350" i="15"/>
  <c r="H350" i="15" s="1"/>
  <c r="J350" i="15" s="1"/>
  <c r="V350" i="15"/>
  <c r="N350" i="15"/>
  <c r="F350" i="15"/>
  <c r="D350" i="15"/>
  <c r="E350" i="15"/>
  <c r="I110" i="15"/>
  <c r="O110" i="15"/>
  <c r="G110" i="15"/>
  <c r="H110" i="15" s="1"/>
  <c r="J110" i="15" s="1"/>
  <c r="E110" i="15"/>
  <c r="D110" i="15"/>
  <c r="V110" i="15"/>
  <c r="N110" i="15"/>
  <c r="F110" i="15"/>
  <c r="I652" i="15"/>
  <c r="V652" i="15"/>
  <c r="N652" i="15"/>
  <c r="F652" i="15"/>
  <c r="E652" i="15"/>
  <c r="G652" i="15"/>
  <c r="H652" i="15" s="1"/>
  <c r="J652" i="15" s="1"/>
  <c r="O652" i="15"/>
  <c r="D652" i="15"/>
  <c r="E624" i="15"/>
  <c r="D624" i="15"/>
  <c r="O624" i="15"/>
  <c r="G624" i="15"/>
  <c r="H624" i="15" s="1"/>
  <c r="J624" i="15" s="1"/>
  <c r="I624" i="15"/>
  <c r="F624" i="15"/>
  <c r="V624" i="15"/>
  <c r="N624" i="15"/>
  <c r="E603" i="15"/>
  <c r="D603" i="15"/>
  <c r="O603" i="15"/>
  <c r="G603" i="15"/>
  <c r="H603" i="15" s="1"/>
  <c r="J603" i="15" s="1"/>
  <c r="N603" i="15"/>
  <c r="I603" i="15"/>
  <c r="F603" i="15"/>
  <c r="V603" i="15"/>
  <c r="I540" i="15"/>
  <c r="V540" i="15"/>
  <c r="N540" i="15"/>
  <c r="F540" i="15"/>
  <c r="E540" i="15"/>
  <c r="O540" i="15"/>
  <c r="G540" i="15"/>
  <c r="H540" i="15" s="1"/>
  <c r="J540" i="15" s="1"/>
  <c r="D540" i="15"/>
  <c r="I415" i="15"/>
  <c r="V415" i="15"/>
  <c r="N415" i="15"/>
  <c r="F415" i="15"/>
  <c r="E415" i="15"/>
  <c r="G415" i="15"/>
  <c r="H415" i="15" s="1"/>
  <c r="J415" i="15" s="1"/>
  <c r="D415" i="15"/>
  <c r="O415" i="15"/>
  <c r="V418" i="15"/>
  <c r="N418" i="15"/>
  <c r="F418" i="15"/>
  <c r="E418" i="15"/>
  <c r="D418" i="15"/>
  <c r="I418" i="15"/>
  <c r="O418" i="15"/>
  <c r="G418" i="15"/>
  <c r="H418" i="15" s="1"/>
  <c r="J418" i="15" s="1"/>
  <c r="O383" i="15"/>
  <c r="G383" i="15"/>
  <c r="H383" i="15" s="1"/>
  <c r="J383" i="15" s="1"/>
  <c r="V383" i="15"/>
  <c r="N383" i="15"/>
  <c r="F383" i="15"/>
  <c r="E383" i="15"/>
  <c r="D383" i="15"/>
  <c r="I383" i="15"/>
  <c r="I328" i="15"/>
  <c r="V328" i="15"/>
  <c r="N328" i="15"/>
  <c r="F328" i="15"/>
  <c r="E328" i="15"/>
  <c r="O328" i="15"/>
  <c r="D328" i="15"/>
  <c r="G328" i="15"/>
  <c r="H328" i="15" s="1"/>
  <c r="J328" i="15" s="1"/>
  <c r="E282" i="15"/>
  <c r="D282" i="15"/>
  <c r="O282" i="15"/>
  <c r="G282" i="15"/>
  <c r="H282" i="15" s="1"/>
  <c r="J282" i="15" s="1"/>
  <c r="V282" i="15"/>
  <c r="N282" i="15"/>
  <c r="F282" i="15"/>
  <c r="I282" i="15"/>
  <c r="V402" i="15"/>
  <c r="N402" i="15"/>
  <c r="F402" i="15"/>
  <c r="E402" i="15"/>
  <c r="D402" i="15"/>
  <c r="I402" i="15"/>
  <c r="O402" i="15"/>
  <c r="G402" i="15"/>
  <c r="H402" i="15" s="1"/>
  <c r="J402" i="15" s="1"/>
  <c r="D88" i="15"/>
  <c r="I88" i="15"/>
  <c r="O88" i="15"/>
  <c r="G88" i="15"/>
  <c r="H88" i="15" s="1"/>
  <c r="J88" i="15" s="1"/>
  <c r="V88" i="15"/>
  <c r="N88" i="15"/>
  <c r="F88" i="15"/>
  <c r="E88" i="15"/>
  <c r="V247" i="15"/>
  <c r="N247" i="15"/>
  <c r="F247" i="15"/>
  <c r="E247" i="15"/>
  <c r="D247" i="15"/>
  <c r="I247" i="15"/>
  <c r="O247" i="15"/>
  <c r="G247" i="15"/>
  <c r="H247" i="15" s="1"/>
  <c r="J247" i="15" s="1"/>
  <c r="K9" i="28" a="1"/>
  <c r="K9" i="28" s="1"/>
  <c r="O634" i="15"/>
  <c r="G634" i="15"/>
  <c r="H634" i="15" s="1"/>
  <c r="J634" i="15" s="1"/>
  <c r="N634" i="15"/>
  <c r="F634" i="15"/>
  <c r="V634" i="15"/>
  <c r="E634" i="15"/>
  <c r="D634" i="15"/>
  <c r="I634" i="15"/>
  <c r="E266" i="15"/>
  <c r="D266" i="15"/>
  <c r="O266" i="15"/>
  <c r="G266" i="15"/>
  <c r="H266" i="15" s="1"/>
  <c r="J266" i="15" s="1"/>
  <c r="I266" i="15"/>
  <c r="F266" i="15"/>
  <c r="V266" i="15"/>
  <c r="N266" i="15"/>
  <c r="D149" i="15"/>
  <c r="E149" i="15"/>
  <c r="O149" i="15"/>
  <c r="N149" i="15"/>
  <c r="V149" i="15"/>
  <c r="G149" i="15"/>
  <c r="H149" i="15" s="1"/>
  <c r="J149" i="15" s="1"/>
  <c r="I149" i="15"/>
  <c r="F149" i="15"/>
  <c r="D453" i="15"/>
  <c r="I453" i="15"/>
  <c r="O453" i="15"/>
  <c r="G453" i="15"/>
  <c r="H453" i="15" s="1"/>
  <c r="J453" i="15" s="1"/>
  <c r="V453" i="15"/>
  <c r="N453" i="15"/>
  <c r="F453" i="15"/>
  <c r="E453" i="15"/>
  <c r="I563" i="15"/>
  <c r="O563" i="15"/>
  <c r="G563" i="15"/>
  <c r="H563" i="15" s="1"/>
  <c r="J563" i="15" s="1"/>
  <c r="E563" i="15"/>
  <c r="D563" i="15"/>
  <c r="V563" i="15"/>
  <c r="F563" i="15"/>
  <c r="N563" i="15"/>
  <c r="O419" i="15"/>
  <c r="G419" i="15"/>
  <c r="H419" i="15" s="1"/>
  <c r="J419" i="15" s="1"/>
  <c r="V419" i="15"/>
  <c r="N419" i="15"/>
  <c r="F419" i="15"/>
  <c r="E419" i="15"/>
  <c r="D419" i="15"/>
  <c r="I419" i="15"/>
  <c r="O177" i="15"/>
  <c r="G177" i="15"/>
  <c r="H177" i="15" s="1"/>
  <c r="J177" i="15" s="1"/>
  <c r="V177" i="15"/>
  <c r="N177" i="15"/>
  <c r="F177" i="15"/>
  <c r="E177" i="15"/>
  <c r="D177" i="15"/>
  <c r="I177" i="15"/>
  <c r="I69" i="15"/>
  <c r="O69" i="15"/>
  <c r="G69" i="15"/>
  <c r="H69" i="15" s="1"/>
  <c r="J69" i="15" s="1"/>
  <c r="V69" i="15"/>
  <c r="N69" i="15"/>
  <c r="F69" i="15"/>
  <c r="D69" i="15"/>
  <c r="E69" i="15"/>
  <c r="E518" i="15"/>
  <c r="D518" i="15"/>
  <c r="O518" i="15"/>
  <c r="G518" i="15"/>
  <c r="H518" i="15" s="1"/>
  <c r="J518" i="15" s="1"/>
  <c r="V518" i="15"/>
  <c r="N518" i="15"/>
  <c r="F518" i="15"/>
  <c r="I518" i="15"/>
  <c r="E198" i="15"/>
  <c r="D198" i="15"/>
  <c r="O198" i="15"/>
  <c r="G198" i="15"/>
  <c r="H198" i="15" s="1"/>
  <c r="J198" i="15" s="1"/>
  <c r="V198" i="15"/>
  <c r="N198" i="15"/>
  <c r="F198" i="15"/>
  <c r="I198" i="15"/>
  <c r="O641" i="15"/>
  <c r="G641" i="15"/>
  <c r="H641" i="15" s="1"/>
  <c r="J641" i="15" s="1"/>
  <c r="V641" i="15"/>
  <c r="N641" i="15"/>
  <c r="F641" i="15"/>
  <c r="E641" i="15"/>
  <c r="D641" i="15"/>
  <c r="I641" i="15"/>
  <c r="I320" i="15"/>
  <c r="V320" i="15"/>
  <c r="N320" i="15"/>
  <c r="F320" i="15"/>
  <c r="E320" i="15"/>
  <c r="O320" i="15"/>
  <c r="G320" i="15"/>
  <c r="H320" i="15" s="1"/>
  <c r="J320" i="15" s="1"/>
  <c r="D320" i="15"/>
  <c r="V743" i="15"/>
  <c r="N743" i="15"/>
  <c r="F743" i="15"/>
  <c r="E743" i="15"/>
  <c r="D743" i="15"/>
  <c r="O743" i="15"/>
  <c r="G743" i="15"/>
  <c r="H743" i="15" s="1"/>
  <c r="J743" i="15" s="1"/>
  <c r="I743" i="15"/>
  <c r="I669" i="15"/>
  <c r="O669" i="15"/>
  <c r="G669" i="15"/>
  <c r="H669" i="15" s="1"/>
  <c r="J669" i="15" s="1"/>
  <c r="V669" i="15"/>
  <c r="N669" i="15"/>
  <c r="F669" i="15"/>
  <c r="E669" i="15"/>
  <c r="D669" i="15"/>
  <c r="O489" i="15"/>
  <c r="G489" i="15"/>
  <c r="H489" i="15" s="1"/>
  <c r="J489" i="15" s="1"/>
  <c r="V489" i="15"/>
  <c r="N489" i="15"/>
  <c r="F489" i="15"/>
  <c r="E489" i="15"/>
  <c r="I489" i="15"/>
  <c r="D489" i="15"/>
  <c r="O376" i="15"/>
  <c r="G376" i="15"/>
  <c r="H376" i="15" s="1"/>
  <c r="J376" i="15" s="1"/>
  <c r="V376" i="15"/>
  <c r="N376" i="15"/>
  <c r="F376" i="15"/>
  <c r="E376" i="15"/>
  <c r="D376" i="15"/>
  <c r="I376" i="15"/>
  <c r="O153" i="15"/>
  <c r="G153" i="15"/>
  <c r="H153" i="15" s="1"/>
  <c r="J153" i="15" s="1"/>
  <c r="V153" i="15"/>
  <c r="N153" i="15"/>
  <c r="F153" i="15"/>
  <c r="D153" i="15"/>
  <c r="I153" i="15"/>
  <c r="E153" i="15"/>
  <c r="O21" i="15"/>
  <c r="G21" i="15"/>
  <c r="H21" i="15" s="1"/>
  <c r="J21" i="15" s="1"/>
  <c r="V21" i="15"/>
  <c r="N21" i="15"/>
  <c r="F21" i="15"/>
  <c r="E21" i="15"/>
  <c r="D21" i="15"/>
  <c r="I21" i="15"/>
  <c r="I387" i="15"/>
  <c r="V387" i="15"/>
  <c r="N387" i="15"/>
  <c r="F387" i="15"/>
  <c r="E387" i="15"/>
  <c r="G387" i="15"/>
  <c r="H387" i="15" s="1"/>
  <c r="J387" i="15" s="1"/>
  <c r="D387" i="15"/>
  <c r="O387" i="15"/>
  <c r="I256" i="15"/>
  <c r="V256" i="15"/>
  <c r="N256" i="15"/>
  <c r="F256" i="15"/>
  <c r="E256" i="15"/>
  <c r="O256" i="15"/>
  <c r="G256" i="15"/>
  <c r="H256" i="15" s="1"/>
  <c r="J256" i="15" s="1"/>
  <c r="D256" i="15"/>
  <c r="D205" i="15"/>
  <c r="I205" i="15"/>
  <c r="O205" i="15"/>
  <c r="G205" i="15"/>
  <c r="H205" i="15" s="1"/>
  <c r="J205" i="15" s="1"/>
  <c r="V205" i="15"/>
  <c r="N205" i="15"/>
  <c r="F205" i="15"/>
  <c r="E205" i="15"/>
  <c r="V199" i="15"/>
  <c r="N199" i="15"/>
  <c r="F199" i="15"/>
  <c r="E199" i="15"/>
  <c r="D199" i="15"/>
  <c r="I199" i="15"/>
  <c r="G199" i="15"/>
  <c r="H199" i="15" s="1"/>
  <c r="J199" i="15" s="1"/>
  <c r="O199" i="15"/>
  <c r="E129" i="15"/>
  <c r="D129" i="15"/>
  <c r="O129" i="15"/>
  <c r="G129" i="15"/>
  <c r="H129" i="15" s="1"/>
  <c r="J129" i="15" s="1"/>
  <c r="I129" i="15"/>
  <c r="F129" i="15"/>
  <c r="V129" i="15"/>
  <c r="N129" i="15"/>
  <c r="I61" i="15"/>
  <c r="O61" i="15"/>
  <c r="G61" i="15"/>
  <c r="H61" i="15" s="1"/>
  <c r="J61" i="15" s="1"/>
  <c r="V61" i="15"/>
  <c r="N61" i="15"/>
  <c r="F61" i="15"/>
  <c r="D61" i="15"/>
  <c r="E61" i="15"/>
  <c r="I701" i="15"/>
  <c r="O701" i="15"/>
  <c r="G701" i="15"/>
  <c r="H701" i="15" s="1"/>
  <c r="J701" i="15" s="1"/>
  <c r="E701" i="15"/>
  <c r="D701" i="15"/>
  <c r="V701" i="15"/>
  <c r="F701" i="15"/>
  <c r="N701" i="15"/>
  <c r="I629" i="15"/>
  <c r="O629" i="15"/>
  <c r="G629" i="15"/>
  <c r="H629" i="15" s="1"/>
  <c r="J629" i="15" s="1"/>
  <c r="E629" i="15"/>
  <c r="D629" i="15"/>
  <c r="V629" i="15"/>
  <c r="N629" i="15"/>
  <c r="F629" i="15"/>
  <c r="O582" i="15"/>
  <c r="G582" i="15"/>
  <c r="H582" i="15" s="1"/>
  <c r="J582" i="15" s="1"/>
  <c r="V582" i="15"/>
  <c r="N582" i="15"/>
  <c r="F582" i="15"/>
  <c r="E582" i="15"/>
  <c r="I582" i="15"/>
  <c r="D582" i="15"/>
  <c r="I443" i="15"/>
  <c r="E443" i="15"/>
  <c r="D443" i="15"/>
  <c r="N443" i="15"/>
  <c r="G443" i="15"/>
  <c r="H443" i="15" s="1"/>
  <c r="J443" i="15" s="1"/>
  <c r="F443" i="15"/>
  <c r="V443" i="15"/>
  <c r="O443" i="15"/>
  <c r="O457" i="15"/>
  <c r="G457" i="15"/>
  <c r="H457" i="15" s="1"/>
  <c r="J457" i="15" s="1"/>
  <c r="V457" i="15"/>
  <c r="N457" i="15"/>
  <c r="F457" i="15"/>
  <c r="E457" i="15"/>
  <c r="D457" i="15"/>
  <c r="I457" i="15"/>
  <c r="I319" i="15"/>
  <c r="O319" i="15"/>
  <c r="G319" i="15"/>
  <c r="H319" i="15" s="1"/>
  <c r="J319" i="15" s="1"/>
  <c r="E319" i="15"/>
  <c r="D319" i="15"/>
  <c r="F319" i="15"/>
  <c r="N319" i="15"/>
  <c r="V319" i="15"/>
  <c r="I294" i="15"/>
  <c r="O294" i="15"/>
  <c r="G294" i="15"/>
  <c r="H294" i="15" s="1"/>
  <c r="J294" i="15" s="1"/>
  <c r="V294" i="15"/>
  <c r="N294" i="15"/>
  <c r="F294" i="15"/>
  <c r="D294" i="15"/>
  <c r="E294" i="15"/>
  <c r="O217" i="15"/>
  <c r="G217" i="15"/>
  <c r="H217" i="15" s="1"/>
  <c r="J217" i="15" s="1"/>
  <c r="V217" i="15"/>
  <c r="N217" i="15"/>
  <c r="F217" i="15"/>
  <c r="E217" i="15"/>
  <c r="I217" i="15"/>
  <c r="D217" i="15"/>
  <c r="O140" i="15"/>
  <c r="G140" i="15"/>
  <c r="H140" i="15" s="1"/>
  <c r="J140" i="15" s="1"/>
  <c r="V140" i="15"/>
  <c r="N140" i="15"/>
  <c r="F140" i="15"/>
  <c r="E140" i="15"/>
  <c r="I140" i="15"/>
  <c r="D140" i="15"/>
  <c r="I23" i="15"/>
  <c r="O23" i="15"/>
  <c r="G23" i="15"/>
  <c r="H23" i="15" s="1"/>
  <c r="J23" i="15" s="1"/>
  <c r="V23" i="15"/>
  <c r="N23" i="15"/>
  <c r="F23" i="15"/>
  <c r="E23" i="15"/>
  <c r="D23" i="15"/>
  <c r="I531" i="15"/>
  <c r="O531" i="15"/>
  <c r="G531" i="15"/>
  <c r="H531" i="15" s="1"/>
  <c r="J531" i="15" s="1"/>
  <c r="E531" i="15"/>
  <c r="D531" i="15"/>
  <c r="N531" i="15"/>
  <c r="F531" i="15"/>
  <c r="V531" i="15"/>
  <c r="O545" i="15"/>
  <c r="G545" i="15"/>
  <c r="H545" i="15" s="1"/>
  <c r="J545" i="15" s="1"/>
  <c r="V545" i="15"/>
  <c r="N545" i="15"/>
  <c r="F545" i="15"/>
  <c r="E545" i="15"/>
  <c r="I545" i="15"/>
  <c r="D545" i="15"/>
  <c r="I406" i="15"/>
  <c r="O406" i="15"/>
  <c r="G406" i="15"/>
  <c r="H406" i="15" s="1"/>
  <c r="J406" i="15" s="1"/>
  <c r="E406" i="15"/>
  <c r="D406" i="15"/>
  <c r="V406" i="15"/>
  <c r="N406" i="15"/>
  <c r="F406" i="15"/>
  <c r="O436" i="15"/>
  <c r="G436" i="15"/>
  <c r="H436" i="15" s="1"/>
  <c r="J436" i="15" s="1"/>
  <c r="V436" i="15"/>
  <c r="N436" i="15"/>
  <c r="F436" i="15"/>
  <c r="E436" i="15"/>
  <c r="D436" i="15"/>
  <c r="I436" i="15"/>
  <c r="I421" i="15"/>
  <c r="O421" i="15"/>
  <c r="G421" i="15"/>
  <c r="H421" i="15" s="1"/>
  <c r="J421" i="15" s="1"/>
  <c r="V421" i="15"/>
  <c r="N421" i="15"/>
  <c r="F421" i="15"/>
  <c r="D421" i="15"/>
  <c r="E421" i="15"/>
  <c r="O309" i="15"/>
  <c r="G309" i="15"/>
  <c r="H309" i="15" s="1"/>
  <c r="J309" i="15" s="1"/>
  <c r="V309" i="15"/>
  <c r="N309" i="15"/>
  <c r="F309" i="15"/>
  <c r="E309" i="15"/>
  <c r="I309" i="15"/>
  <c r="D309" i="15"/>
  <c r="I142" i="15"/>
  <c r="O142" i="15"/>
  <c r="G142" i="15"/>
  <c r="H142" i="15" s="1"/>
  <c r="J142" i="15" s="1"/>
  <c r="E142" i="15"/>
  <c r="D142" i="15"/>
  <c r="V142" i="15"/>
  <c r="N142" i="15"/>
  <c r="F142" i="15"/>
  <c r="D725" i="15"/>
  <c r="I725" i="15"/>
  <c r="V725" i="15"/>
  <c r="G725" i="15"/>
  <c r="H725" i="15" s="1"/>
  <c r="J725" i="15" s="1"/>
  <c r="E725" i="15"/>
  <c r="O725" i="15"/>
  <c r="N725" i="15"/>
  <c r="F725" i="15"/>
  <c r="D570" i="15"/>
  <c r="V570" i="15"/>
  <c r="N570" i="15"/>
  <c r="I570" i="15"/>
  <c r="F570" i="15"/>
  <c r="E570" i="15"/>
  <c r="G570" i="15"/>
  <c r="H570" i="15" s="1"/>
  <c r="J570" i="15" s="1"/>
  <c r="O570" i="15"/>
  <c r="E486" i="15"/>
  <c r="D486" i="15"/>
  <c r="O486" i="15"/>
  <c r="G486" i="15"/>
  <c r="H486" i="15" s="1"/>
  <c r="J486" i="15" s="1"/>
  <c r="V486" i="15"/>
  <c r="N486" i="15"/>
  <c r="F486" i="15"/>
  <c r="I486" i="15"/>
  <c r="D469" i="15"/>
  <c r="I469" i="15"/>
  <c r="O469" i="15"/>
  <c r="G469" i="15"/>
  <c r="H469" i="15" s="1"/>
  <c r="J469" i="15" s="1"/>
  <c r="V469" i="15"/>
  <c r="N469" i="15"/>
  <c r="F469" i="15"/>
  <c r="E469" i="15"/>
  <c r="E365" i="15"/>
  <c r="D365" i="15"/>
  <c r="O365" i="15"/>
  <c r="G365" i="15"/>
  <c r="H365" i="15" s="1"/>
  <c r="J365" i="15" s="1"/>
  <c r="V365" i="15"/>
  <c r="N365" i="15"/>
  <c r="I365" i="15"/>
  <c r="F365" i="15"/>
  <c r="E314" i="15"/>
  <c r="D314" i="15"/>
  <c r="O314" i="15"/>
  <c r="G314" i="15"/>
  <c r="H314" i="15" s="1"/>
  <c r="J314" i="15" s="1"/>
  <c r="V314" i="15"/>
  <c r="N314" i="15"/>
  <c r="F314" i="15"/>
  <c r="I314" i="15"/>
  <c r="I188" i="15"/>
  <c r="V188" i="15"/>
  <c r="N188" i="15"/>
  <c r="F188" i="15"/>
  <c r="E188" i="15"/>
  <c r="G188" i="15"/>
  <c r="H188" i="15" s="1"/>
  <c r="J188" i="15" s="1"/>
  <c r="D188" i="15"/>
  <c r="O188" i="15"/>
  <c r="I163" i="15"/>
  <c r="E163" i="15"/>
  <c r="D163" i="15"/>
  <c r="O163" i="15"/>
  <c r="N163" i="15"/>
  <c r="V163" i="15"/>
  <c r="G163" i="15"/>
  <c r="H163" i="15" s="1"/>
  <c r="J163" i="15" s="1"/>
  <c r="F163" i="15"/>
  <c r="D120" i="15"/>
  <c r="I120" i="15"/>
  <c r="O120" i="15"/>
  <c r="G120" i="15"/>
  <c r="H120" i="15" s="1"/>
  <c r="J120" i="15" s="1"/>
  <c r="V120" i="15"/>
  <c r="N120" i="15"/>
  <c r="F120" i="15"/>
  <c r="E120" i="15"/>
  <c r="E49" i="15"/>
  <c r="D49" i="15"/>
  <c r="O49" i="15"/>
  <c r="G49" i="15"/>
  <c r="H49" i="15" s="1"/>
  <c r="J49" i="15" s="1"/>
  <c r="I49" i="15"/>
  <c r="V49" i="15"/>
  <c r="F49" i="15"/>
  <c r="N49" i="15"/>
  <c r="V720" i="15"/>
  <c r="N720" i="15"/>
  <c r="F720" i="15"/>
  <c r="E720" i="15"/>
  <c r="I720" i="15"/>
  <c r="G720" i="15"/>
  <c r="H720" i="15" s="1"/>
  <c r="J720" i="15" s="1"/>
  <c r="O720" i="15"/>
  <c r="D720" i="15"/>
  <c r="V667" i="15"/>
  <c r="N667" i="15"/>
  <c r="F667" i="15"/>
  <c r="E667" i="15"/>
  <c r="D667" i="15"/>
  <c r="I667" i="15"/>
  <c r="O667" i="15"/>
  <c r="G667" i="15"/>
  <c r="H667" i="15" s="1"/>
  <c r="J667" i="15" s="1"/>
  <c r="I584" i="15"/>
  <c r="O584" i="15"/>
  <c r="G584" i="15"/>
  <c r="H584" i="15" s="1"/>
  <c r="J584" i="15" s="1"/>
  <c r="E584" i="15"/>
  <c r="D584" i="15"/>
  <c r="F584" i="15"/>
  <c r="N584" i="15"/>
  <c r="V584" i="15"/>
  <c r="I483" i="15"/>
  <c r="O483" i="15"/>
  <c r="G483" i="15"/>
  <c r="H483" i="15" s="1"/>
  <c r="J483" i="15" s="1"/>
  <c r="V483" i="15"/>
  <c r="E483" i="15"/>
  <c r="D483" i="15"/>
  <c r="N483" i="15"/>
  <c r="F483" i="15"/>
  <c r="I458" i="15"/>
  <c r="O458" i="15"/>
  <c r="G458" i="15"/>
  <c r="H458" i="15" s="1"/>
  <c r="J458" i="15" s="1"/>
  <c r="V458" i="15"/>
  <c r="N458" i="15"/>
  <c r="F458" i="15"/>
  <c r="D458" i="15"/>
  <c r="E458" i="15"/>
  <c r="O284" i="15"/>
  <c r="G284" i="15"/>
  <c r="H284" i="15" s="1"/>
  <c r="J284" i="15" s="1"/>
  <c r="V284" i="15"/>
  <c r="N284" i="15"/>
  <c r="F284" i="15"/>
  <c r="E284" i="15"/>
  <c r="D284" i="15"/>
  <c r="I284" i="15"/>
  <c r="I187" i="15"/>
  <c r="O187" i="15"/>
  <c r="G187" i="15"/>
  <c r="H187" i="15" s="1"/>
  <c r="J187" i="15" s="1"/>
  <c r="E187" i="15"/>
  <c r="D187" i="15"/>
  <c r="V187" i="15"/>
  <c r="N187" i="15"/>
  <c r="F187" i="15"/>
  <c r="I242" i="15"/>
  <c r="O242" i="15"/>
  <c r="G242" i="15"/>
  <c r="H242" i="15" s="1"/>
  <c r="J242" i="15" s="1"/>
  <c r="V242" i="15"/>
  <c r="N242" i="15"/>
  <c r="F242" i="15"/>
  <c r="D242" i="15"/>
  <c r="E242" i="15"/>
  <c r="O68" i="15"/>
  <c r="G68" i="15"/>
  <c r="H68" i="15" s="1"/>
  <c r="J68" i="15" s="1"/>
  <c r="V68" i="15"/>
  <c r="N68" i="15"/>
  <c r="F68" i="15"/>
  <c r="E68" i="15"/>
  <c r="D68" i="15"/>
  <c r="I68" i="15"/>
  <c r="I16" i="15"/>
  <c r="O16" i="15"/>
  <c r="G16" i="15"/>
  <c r="H16" i="15" s="1"/>
  <c r="J16" i="15" s="1"/>
  <c r="V16" i="15"/>
  <c r="E16" i="15"/>
  <c r="D16" i="15"/>
  <c r="N16" i="15"/>
  <c r="F16" i="15"/>
  <c r="I77" i="15"/>
  <c r="O77" i="15"/>
  <c r="G77" i="15"/>
  <c r="H77" i="15" s="1"/>
  <c r="J77" i="15" s="1"/>
  <c r="V77" i="15"/>
  <c r="N77" i="15"/>
  <c r="F77" i="15"/>
  <c r="D77" i="15"/>
  <c r="E77" i="15"/>
  <c r="O711" i="15"/>
  <c r="G711" i="15"/>
  <c r="H711" i="15" s="1"/>
  <c r="J711" i="15" s="1"/>
  <c r="V711" i="15"/>
  <c r="N711" i="15"/>
  <c r="F711" i="15"/>
  <c r="E711" i="15"/>
  <c r="I711" i="15"/>
  <c r="D711" i="15"/>
  <c r="O664" i="15"/>
  <c r="G664" i="15"/>
  <c r="H664" i="15" s="1"/>
  <c r="J664" i="15" s="1"/>
  <c r="N664" i="15"/>
  <c r="F664" i="15"/>
  <c r="V664" i="15"/>
  <c r="E664" i="15"/>
  <c r="I664" i="15"/>
  <c r="D664" i="15"/>
  <c r="I576" i="15"/>
  <c r="E576" i="15"/>
  <c r="D576" i="15"/>
  <c r="V576" i="15"/>
  <c r="O576" i="15"/>
  <c r="N576" i="15"/>
  <c r="G576" i="15"/>
  <c r="H576" i="15" s="1"/>
  <c r="J576" i="15" s="1"/>
  <c r="F576" i="15"/>
  <c r="O614" i="15"/>
  <c r="G614" i="15"/>
  <c r="H614" i="15" s="1"/>
  <c r="J614" i="15" s="1"/>
  <c r="V614" i="15"/>
  <c r="N614" i="15"/>
  <c r="F614" i="15"/>
  <c r="E614" i="15"/>
  <c r="I614" i="15"/>
  <c r="D614" i="15"/>
  <c r="I475" i="15"/>
  <c r="O475" i="15"/>
  <c r="G475" i="15"/>
  <c r="H475" i="15" s="1"/>
  <c r="J475" i="15" s="1"/>
  <c r="E475" i="15"/>
  <c r="D475" i="15"/>
  <c r="F475" i="15"/>
  <c r="N475" i="15"/>
  <c r="V475" i="15"/>
  <c r="D442" i="15"/>
  <c r="G442" i="15"/>
  <c r="H442" i="15" s="1"/>
  <c r="J442" i="15" s="1"/>
  <c r="F442" i="15"/>
  <c r="E442" i="15"/>
  <c r="O442" i="15"/>
  <c r="V442" i="15"/>
  <c r="N442" i="15"/>
  <c r="I442" i="15"/>
  <c r="I351" i="15"/>
  <c r="O351" i="15"/>
  <c r="G351" i="15"/>
  <c r="H351" i="15" s="1"/>
  <c r="J351" i="15" s="1"/>
  <c r="E351" i="15"/>
  <c r="D351" i="15"/>
  <c r="F351" i="15"/>
  <c r="N351" i="15"/>
  <c r="V351" i="15"/>
  <c r="I179" i="15"/>
  <c r="O179" i="15"/>
  <c r="G179" i="15"/>
  <c r="H179" i="15" s="1"/>
  <c r="J179" i="15" s="1"/>
  <c r="E179" i="15"/>
  <c r="D179" i="15"/>
  <c r="V179" i="15"/>
  <c r="N179" i="15"/>
  <c r="F179" i="15"/>
  <c r="I393" i="15"/>
  <c r="O393" i="15"/>
  <c r="G393" i="15"/>
  <c r="H393" i="15" s="1"/>
  <c r="J393" i="15" s="1"/>
  <c r="V393" i="15"/>
  <c r="N393" i="15"/>
  <c r="F393" i="15"/>
  <c r="D393" i="15"/>
  <c r="E393" i="15"/>
  <c r="O249" i="15"/>
  <c r="G249" i="15"/>
  <c r="H249" i="15" s="1"/>
  <c r="J249" i="15" s="1"/>
  <c r="N249" i="15"/>
  <c r="F249" i="15"/>
  <c r="E249" i="15"/>
  <c r="I249" i="15"/>
  <c r="D249" i="15"/>
  <c r="V249" i="15"/>
  <c r="I210" i="15"/>
  <c r="O210" i="15"/>
  <c r="G210" i="15"/>
  <c r="H210" i="15" s="1"/>
  <c r="J210" i="15" s="1"/>
  <c r="V210" i="15"/>
  <c r="N210" i="15"/>
  <c r="F210" i="15"/>
  <c r="D210" i="15"/>
  <c r="E210" i="15"/>
  <c r="O60" i="15"/>
  <c r="G60" i="15"/>
  <c r="H60" i="15" s="1"/>
  <c r="J60" i="15" s="1"/>
  <c r="V60" i="15"/>
  <c r="N60" i="15"/>
  <c r="F60" i="15"/>
  <c r="E60" i="15"/>
  <c r="I60" i="15"/>
  <c r="D60" i="15"/>
  <c r="I24" i="15"/>
  <c r="O24" i="15"/>
  <c r="G24" i="15"/>
  <c r="H24" i="15" s="1"/>
  <c r="J24" i="15" s="1"/>
  <c r="V24" i="15"/>
  <c r="N24" i="15"/>
  <c r="F24" i="15"/>
  <c r="E24" i="15"/>
  <c r="D24" i="15"/>
  <c r="D718" i="15"/>
  <c r="N718" i="15"/>
  <c r="V718" i="15"/>
  <c r="I718" i="15"/>
  <c r="G718" i="15"/>
  <c r="H718" i="15" s="1"/>
  <c r="J718" i="15" s="1"/>
  <c r="F718" i="15"/>
  <c r="E718" i="15"/>
  <c r="O718" i="15"/>
  <c r="D688" i="15"/>
  <c r="O688" i="15"/>
  <c r="G688" i="15"/>
  <c r="H688" i="15" s="1"/>
  <c r="J688" i="15" s="1"/>
  <c r="I688" i="15"/>
  <c r="F688" i="15"/>
  <c r="E688" i="15"/>
  <c r="V688" i="15"/>
  <c r="N688" i="15"/>
  <c r="I659" i="15"/>
  <c r="V659" i="15"/>
  <c r="N659" i="15"/>
  <c r="F659" i="15"/>
  <c r="E659" i="15"/>
  <c r="G659" i="15"/>
  <c r="H659" i="15" s="1"/>
  <c r="J659" i="15" s="1"/>
  <c r="D659" i="15"/>
  <c r="O659" i="15"/>
  <c r="E632" i="15"/>
  <c r="D632" i="15"/>
  <c r="O632" i="15"/>
  <c r="G632" i="15"/>
  <c r="H632" i="15" s="1"/>
  <c r="J632" i="15" s="1"/>
  <c r="N632" i="15"/>
  <c r="I632" i="15"/>
  <c r="F632" i="15"/>
  <c r="V632" i="15"/>
  <c r="E611" i="15"/>
  <c r="D611" i="15"/>
  <c r="O611" i="15"/>
  <c r="G611" i="15"/>
  <c r="H611" i="15" s="1"/>
  <c r="J611" i="15" s="1"/>
  <c r="V611" i="15"/>
  <c r="N611" i="15"/>
  <c r="F611" i="15"/>
  <c r="I611" i="15"/>
  <c r="I548" i="15"/>
  <c r="V548" i="15"/>
  <c r="N548" i="15"/>
  <c r="F548" i="15"/>
  <c r="E548" i="15"/>
  <c r="O548" i="15"/>
  <c r="D548" i="15"/>
  <c r="G548" i="15"/>
  <c r="H548" i="15" s="1"/>
  <c r="J548" i="15" s="1"/>
  <c r="V535" i="15"/>
  <c r="N535" i="15"/>
  <c r="F535" i="15"/>
  <c r="E535" i="15"/>
  <c r="D535" i="15"/>
  <c r="I535" i="15"/>
  <c r="O535" i="15"/>
  <c r="G535" i="15"/>
  <c r="H535" i="15" s="1"/>
  <c r="J535" i="15" s="1"/>
  <c r="O512" i="15"/>
  <c r="G512" i="15"/>
  <c r="H512" i="15" s="1"/>
  <c r="J512" i="15" s="1"/>
  <c r="V512" i="15"/>
  <c r="N512" i="15"/>
  <c r="F512" i="15"/>
  <c r="E512" i="15"/>
  <c r="D512" i="15"/>
  <c r="I512" i="15"/>
  <c r="D445" i="15"/>
  <c r="I445" i="15"/>
  <c r="O445" i="15"/>
  <c r="G445" i="15"/>
  <c r="H445" i="15" s="1"/>
  <c r="J445" i="15" s="1"/>
  <c r="V445" i="15"/>
  <c r="N445" i="15"/>
  <c r="F445" i="15"/>
  <c r="E445" i="15"/>
  <c r="I423" i="15"/>
  <c r="V423" i="15"/>
  <c r="N423" i="15"/>
  <c r="F423" i="15"/>
  <c r="E423" i="15"/>
  <c r="O423" i="15"/>
  <c r="G423" i="15"/>
  <c r="H423" i="15" s="1"/>
  <c r="J423" i="15" s="1"/>
  <c r="D423" i="15"/>
  <c r="I336" i="15"/>
  <c r="V336" i="15"/>
  <c r="N336" i="15"/>
  <c r="F336" i="15"/>
  <c r="E336" i="15"/>
  <c r="G336" i="15"/>
  <c r="H336" i="15" s="1"/>
  <c r="J336" i="15" s="1"/>
  <c r="O336" i="15"/>
  <c r="D336" i="15"/>
  <c r="E290" i="15"/>
  <c r="D290" i="15"/>
  <c r="O290" i="15"/>
  <c r="G290" i="15"/>
  <c r="H290" i="15" s="1"/>
  <c r="J290" i="15" s="1"/>
  <c r="V290" i="15"/>
  <c r="N290" i="15"/>
  <c r="I290" i="15"/>
  <c r="F290" i="15"/>
  <c r="V164" i="15"/>
  <c r="N164" i="15"/>
  <c r="F164" i="15"/>
  <c r="E164" i="15"/>
  <c r="G164" i="15"/>
  <c r="H164" i="15" s="1"/>
  <c r="J164" i="15" s="1"/>
  <c r="D164" i="15"/>
  <c r="O164" i="15"/>
  <c r="I164" i="15"/>
  <c r="O248" i="15"/>
  <c r="G248" i="15"/>
  <c r="H248" i="15" s="1"/>
  <c r="J248" i="15" s="1"/>
  <c r="V248" i="15"/>
  <c r="N248" i="15"/>
  <c r="F248" i="15"/>
  <c r="E248" i="15"/>
  <c r="D248" i="15"/>
  <c r="I248" i="15"/>
  <c r="D96" i="15"/>
  <c r="I96" i="15"/>
  <c r="O96" i="15"/>
  <c r="G96" i="15"/>
  <c r="H96" i="15" s="1"/>
  <c r="J96" i="15" s="1"/>
  <c r="V96" i="15"/>
  <c r="N96" i="15"/>
  <c r="F96" i="15"/>
  <c r="E96" i="15"/>
  <c r="O51" i="15"/>
  <c r="G51" i="15"/>
  <c r="H51" i="15" s="1"/>
  <c r="J51" i="15" s="1"/>
  <c r="V51" i="15"/>
  <c r="N51" i="15"/>
  <c r="F51" i="15"/>
  <c r="E51" i="15"/>
  <c r="I51" i="15"/>
  <c r="D51" i="15"/>
  <c r="D42" i="15"/>
  <c r="I42" i="15"/>
  <c r="O42" i="15"/>
  <c r="G42" i="15"/>
  <c r="H42" i="15" s="1"/>
  <c r="J42" i="15" s="1"/>
  <c r="V42" i="15"/>
  <c r="N42" i="15"/>
  <c r="F42" i="15"/>
  <c r="E42" i="15"/>
  <c r="E19" i="15"/>
  <c r="D19" i="15"/>
  <c r="I19" i="15"/>
  <c r="O19" i="15"/>
  <c r="G19" i="15"/>
  <c r="H19" i="15" s="1"/>
  <c r="J19" i="15" s="1"/>
  <c r="V19" i="15"/>
  <c r="N19" i="15"/>
  <c r="F19" i="15"/>
  <c r="O9" i="28" a="1"/>
  <c r="O9" i="28" s="1"/>
  <c r="O10" i="28" s="1" a="1"/>
  <c r="O10" i="28" s="1"/>
  <c r="O13" i="15"/>
  <c r="G13" i="15"/>
  <c r="H13" i="15" s="1"/>
  <c r="J13" i="15" s="1"/>
  <c r="V13" i="15"/>
  <c r="N13" i="15"/>
  <c r="F13" i="15"/>
  <c r="E13" i="15"/>
  <c r="D13" i="15"/>
  <c r="I13" i="15"/>
  <c r="O589" i="15"/>
  <c r="G589" i="15"/>
  <c r="H589" i="15" s="1"/>
  <c r="J589" i="15" s="1"/>
  <c r="V589" i="15"/>
  <c r="N589" i="15"/>
  <c r="F589" i="15"/>
  <c r="E589" i="15"/>
  <c r="D589" i="15"/>
  <c r="I589" i="15"/>
  <c r="O497" i="15"/>
  <c r="G497" i="15"/>
  <c r="H497" i="15" s="1"/>
  <c r="J497" i="15" s="1"/>
  <c r="V497" i="15"/>
  <c r="N497" i="15"/>
  <c r="F497" i="15"/>
  <c r="E497" i="15"/>
  <c r="I497" i="15"/>
  <c r="D497" i="15"/>
  <c r="O480" i="15"/>
  <c r="G480" i="15"/>
  <c r="H480" i="15" s="1"/>
  <c r="J480" i="15" s="1"/>
  <c r="V480" i="15"/>
  <c r="N480" i="15"/>
  <c r="F480" i="15"/>
  <c r="E480" i="15"/>
  <c r="D480" i="15"/>
  <c r="I480" i="15"/>
  <c r="O384" i="15"/>
  <c r="G384" i="15"/>
  <c r="H384" i="15" s="1"/>
  <c r="J384" i="15" s="1"/>
  <c r="V384" i="15"/>
  <c r="N384" i="15"/>
  <c r="F384" i="15"/>
  <c r="E384" i="15"/>
  <c r="I384" i="15"/>
  <c r="D384" i="15"/>
  <c r="O324" i="15"/>
  <c r="G324" i="15"/>
  <c r="H324" i="15" s="1"/>
  <c r="J324" i="15" s="1"/>
  <c r="V324" i="15"/>
  <c r="N324" i="15"/>
  <c r="F324" i="15"/>
  <c r="E324" i="15"/>
  <c r="D324" i="15"/>
  <c r="I324" i="15"/>
  <c r="I227" i="15"/>
  <c r="O227" i="15"/>
  <c r="G227" i="15"/>
  <c r="H227" i="15" s="1"/>
  <c r="J227" i="15" s="1"/>
  <c r="E227" i="15"/>
  <c r="D227" i="15"/>
  <c r="F227" i="15"/>
  <c r="V227" i="15"/>
  <c r="N227" i="15"/>
  <c r="O176" i="15"/>
  <c r="G176" i="15"/>
  <c r="H176" i="15" s="1"/>
  <c r="J176" i="15" s="1"/>
  <c r="V176" i="15"/>
  <c r="N176" i="15"/>
  <c r="F176" i="15"/>
  <c r="E176" i="15"/>
  <c r="D176" i="15"/>
  <c r="I176" i="15"/>
  <c r="I318" i="15"/>
  <c r="O318" i="15"/>
  <c r="G318" i="15"/>
  <c r="H318" i="15" s="1"/>
  <c r="J318" i="15" s="1"/>
  <c r="V318" i="15"/>
  <c r="N318" i="15"/>
  <c r="F318" i="15"/>
  <c r="D318" i="15"/>
  <c r="E318" i="15"/>
  <c r="O108" i="15"/>
  <c r="G108" i="15"/>
  <c r="H108" i="15" s="1"/>
  <c r="J108" i="15" s="1"/>
  <c r="V108" i="15"/>
  <c r="N108" i="15"/>
  <c r="F108" i="15"/>
  <c r="E108" i="15"/>
  <c r="I108" i="15"/>
  <c r="D108" i="15"/>
  <c r="O710" i="15"/>
  <c r="G710" i="15"/>
  <c r="H710" i="15" s="1"/>
  <c r="J710" i="15" s="1"/>
  <c r="V710" i="15"/>
  <c r="N710" i="15"/>
  <c r="F710" i="15"/>
  <c r="E710" i="15"/>
  <c r="D710" i="15"/>
  <c r="I710" i="15"/>
  <c r="I523" i="15"/>
  <c r="O523" i="15"/>
  <c r="G523" i="15"/>
  <c r="H523" i="15" s="1"/>
  <c r="J523" i="15" s="1"/>
  <c r="E523" i="15"/>
  <c r="D523" i="15"/>
  <c r="F523" i="15"/>
  <c r="N523" i="15"/>
  <c r="V523" i="15"/>
  <c r="I394" i="15"/>
  <c r="O394" i="15"/>
  <c r="G394" i="15"/>
  <c r="H394" i="15" s="1"/>
  <c r="J394" i="15" s="1"/>
  <c r="E394" i="15"/>
  <c r="D394" i="15"/>
  <c r="F394" i="15"/>
  <c r="N394" i="15"/>
  <c r="V394" i="15"/>
  <c r="O375" i="15"/>
  <c r="G375" i="15"/>
  <c r="H375" i="15" s="1"/>
  <c r="J375" i="15" s="1"/>
  <c r="V375" i="15"/>
  <c r="N375" i="15"/>
  <c r="F375" i="15"/>
  <c r="E375" i="15"/>
  <c r="D375" i="15"/>
  <c r="I375" i="15"/>
  <c r="O261" i="15"/>
  <c r="G261" i="15"/>
  <c r="H261" i="15" s="1"/>
  <c r="J261" i="15" s="1"/>
  <c r="V261" i="15"/>
  <c r="N261" i="15"/>
  <c r="F261" i="15"/>
  <c r="E261" i="15"/>
  <c r="I261" i="15"/>
  <c r="D261" i="15"/>
  <c r="I202" i="15"/>
  <c r="O202" i="15"/>
  <c r="G202" i="15"/>
  <c r="H202" i="15" s="1"/>
  <c r="J202" i="15" s="1"/>
  <c r="V202" i="15"/>
  <c r="N202" i="15"/>
  <c r="F202" i="15"/>
  <c r="D202" i="15"/>
  <c r="E202" i="15"/>
  <c r="I94" i="15"/>
  <c r="O94" i="15"/>
  <c r="G94" i="15"/>
  <c r="H94" i="15" s="1"/>
  <c r="J94" i="15" s="1"/>
  <c r="E94" i="15"/>
  <c r="D94" i="15"/>
  <c r="N94" i="15"/>
  <c r="F94" i="15"/>
  <c r="V94" i="15"/>
  <c r="I170" i="15"/>
  <c r="V170" i="15"/>
  <c r="D170" i="15"/>
  <c r="N170" i="15"/>
  <c r="G170" i="15"/>
  <c r="H170" i="15" s="1"/>
  <c r="J170" i="15" s="1"/>
  <c r="F170" i="15"/>
  <c r="E170" i="15"/>
  <c r="O170" i="15"/>
  <c r="V727" i="15"/>
  <c r="N727" i="15"/>
  <c r="F727" i="15"/>
  <c r="E727" i="15"/>
  <c r="D727" i="15"/>
  <c r="O727" i="15"/>
  <c r="I727" i="15"/>
  <c r="G727" i="15"/>
  <c r="H727" i="15" s="1"/>
  <c r="J727" i="15" s="1"/>
  <c r="V352" i="15"/>
  <c r="I352" i="15"/>
  <c r="F352" i="15"/>
  <c r="O352" i="15"/>
  <c r="E352" i="15"/>
  <c r="N352" i="15"/>
  <c r="G352" i="15"/>
  <c r="H352" i="15" s="1"/>
  <c r="J352" i="15" s="1"/>
  <c r="D352" i="15"/>
  <c r="E639" i="15"/>
  <c r="D639" i="15"/>
  <c r="O639" i="15"/>
  <c r="G639" i="15"/>
  <c r="H639" i="15" s="1"/>
  <c r="J639" i="15" s="1"/>
  <c r="N639" i="15"/>
  <c r="I639" i="15"/>
  <c r="F639" i="15"/>
  <c r="V639" i="15"/>
  <c r="E298" i="15"/>
  <c r="D298" i="15"/>
  <c r="O298" i="15"/>
  <c r="G298" i="15"/>
  <c r="H298" i="15" s="1"/>
  <c r="J298" i="15" s="1"/>
  <c r="I298" i="15"/>
  <c r="F298" i="15"/>
  <c r="V298" i="15"/>
  <c r="N298" i="15"/>
  <c r="O341" i="15"/>
  <c r="G341" i="15"/>
  <c r="H341" i="15" s="1"/>
  <c r="J341" i="15" s="1"/>
  <c r="V341" i="15"/>
  <c r="N341" i="15"/>
  <c r="F341" i="15"/>
  <c r="E341" i="15"/>
  <c r="I341" i="15"/>
  <c r="D341" i="15"/>
  <c r="I616" i="15"/>
  <c r="O616" i="15"/>
  <c r="G616" i="15"/>
  <c r="H616" i="15" s="1"/>
  <c r="J616" i="15" s="1"/>
  <c r="E616" i="15"/>
  <c r="D616" i="15"/>
  <c r="F616" i="15"/>
  <c r="N616" i="15"/>
  <c r="V616" i="15"/>
  <c r="O472" i="15"/>
  <c r="G472" i="15"/>
  <c r="H472" i="15" s="1"/>
  <c r="J472" i="15" s="1"/>
  <c r="V472" i="15"/>
  <c r="N472" i="15"/>
  <c r="F472" i="15"/>
  <c r="E472" i="15"/>
  <c r="D472" i="15"/>
  <c r="I472" i="15"/>
  <c r="I219" i="15"/>
  <c r="O219" i="15"/>
  <c r="G219" i="15"/>
  <c r="H219" i="15" s="1"/>
  <c r="J219" i="15" s="1"/>
  <c r="E219" i="15"/>
  <c r="D219" i="15"/>
  <c r="V219" i="15"/>
  <c r="N219" i="15"/>
  <c r="F219" i="15"/>
  <c r="O100" i="15"/>
  <c r="G100" i="15"/>
  <c r="H100" i="15" s="1"/>
  <c r="J100" i="15" s="1"/>
  <c r="V100" i="15"/>
  <c r="N100" i="15"/>
  <c r="F100" i="15"/>
  <c r="E100" i="15"/>
  <c r="D100" i="15"/>
  <c r="I100" i="15"/>
  <c r="I524" i="15"/>
  <c r="V524" i="15"/>
  <c r="N524" i="15"/>
  <c r="F524" i="15"/>
  <c r="E524" i="15"/>
  <c r="O524" i="15"/>
  <c r="G524" i="15"/>
  <c r="H524" i="15" s="1"/>
  <c r="J524" i="15" s="1"/>
  <c r="D524" i="15"/>
  <c r="O590" i="15"/>
  <c r="G590" i="15"/>
  <c r="H590" i="15" s="1"/>
  <c r="J590" i="15" s="1"/>
  <c r="V590" i="15"/>
  <c r="N590" i="15"/>
  <c r="F590" i="15"/>
  <c r="E590" i="15"/>
  <c r="I590" i="15"/>
  <c r="D590" i="15"/>
  <c r="O465" i="15"/>
  <c r="G465" i="15"/>
  <c r="H465" i="15" s="1"/>
  <c r="J465" i="15" s="1"/>
  <c r="V465" i="15"/>
  <c r="N465" i="15"/>
  <c r="F465" i="15"/>
  <c r="E465" i="15"/>
  <c r="I465" i="15"/>
  <c r="D465" i="15"/>
  <c r="I327" i="15"/>
  <c r="O327" i="15"/>
  <c r="G327" i="15"/>
  <c r="H327" i="15" s="1"/>
  <c r="J327" i="15" s="1"/>
  <c r="E327" i="15"/>
  <c r="D327" i="15"/>
  <c r="N327" i="15"/>
  <c r="F327" i="15"/>
  <c r="V327" i="15"/>
  <c r="I326" i="15"/>
  <c r="O326" i="15"/>
  <c r="G326" i="15"/>
  <c r="H326" i="15" s="1"/>
  <c r="J326" i="15" s="1"/>
  <c r="V326" i="15"/>
  <c r="N326" i="15"/>
  <c r="F326" i="15"/>
  <c r="D326" i="15"/>
  <c r="E326" i="15"/>
  <c r="I270" i="15"/>
  <c r="O270" i="15"/>
  <c r="G270" i="15"/>
  <c r="H270" i="15" s="1"/>
  <c r="J270" i="15" s="1"/>
  <c r="V270" i="15"/>
  <c r="N270" i="15"/>
  <c r="F270" i="15"/>
  <c r="D270" i="15"/>
  <c r="E270" i="15"/>
  <c r="O225" i="15"/>
  <c r="G225" i="15"/>
  <c r="H225" i="15" s="1"/>
  <c r="J225" i="15" s="1"/>
  <c r="V225" i="15"/>
  <c r="N225" i="15"/>
  <c r="F225" i="15"/>
  <c r="E225" i="15"/>
  <c r="I225" i="15"/>
  <c r="D225" i="15"/>
  <c r="V146" i="15"/>
  <c r="N146" i="15"/>
  <c r="F146" i="15"/>
  <c r="E146" i="15"/>
  <c r="D146" i="15"/>
  <c r="I146" i="15"/>
  <c r="O146" i="15"/>
  <c r="G146" i="15"/>
  <c r="H146" i="15" s="1"/>
  <c r="J146" i="15" s="1"/>
  <c r="V20" i="15"/>
  <c r="N20" i="15"/>
  <c r="F20" i="15"/>
  <c r="E20" i="15"/>
  <c r="D20" i="15"/>
  <c r="I20" i="15"/>
  <c r="G20" i="15"/>
  <c r="H20" i="15" s="1"/>
  <c r="J20" i="15" s="1"/>
  <c r="O20" i="15"/>
  <c r="V98" i="15"/>
  <c r="N98" i="15"/>
  <c r="F98" i="15"/>
  <c r="E98" i="15"/>
  <c r="D98" i="15"/>
  <c r="I98" i="15"/>
  <c r="O98" i="15"/>
  <c r="G98" i="15"/>
  <c r="H98" i="15" s="1"/>
  <c r="J98" i="15" s="1"/>
  <c r="E680" i="15"/>
  <c r="D680" i="15"/>
  <c r="O680" i="15"/>
  <c r="G680" i="15"/>
  <c r="H680" i="15" s="1"/>
  <c r="J680" i="15" s="1"/>
  <c r="I680" i="15"/>
  <c r="F680" i="15"/>
  <c r="V680" i="15"/>
  <c r="N680" i="15"/>
  <c r="I601" i="15"/>
  <c r="V601" i="15"/>
  <c r="N601" i="15"/>
  <c r="F601" i="15"/>
  <c r="E601" i="15"/>
  <c r="G601" i="15"/>
  <c r="H601" i="15" s="1"/>
  <c r="J601" i="15" s="1"/>
  <c r="D601" i="15"/>
  <c r="O601" i="15"/>
  <c r="O560" i="15"/>
  <c r="G560" i="15"/>
  <c r="H560" i="15" s="1"/>
  <c r="J560" i="15" s="1"/>
  <c r="V560" i="15"/>
  <c r="N560" i="15"/>
  <c r="F560" i="15"/>
  <c r="E560" i="15"/>
  <c r="D560" i="15"/>
  <c r="I560" i="15"/>
  <c r="D509" i="15"/>
  <c r="I509" i="15"/>
  <c r="O509" i="15"/>
  <c r="G509" i="15"/>
  <c r="H509" i="15" s="1"/>
  <c r="J509" i="15" s="1"/>
  <c r="V509" i="15"/>
  <c r="N509" i="15"/>
  <c r="F509" i="15"/>
  <c r="E509" i="15"/>
  <c r="E409" i="15"/>
  <c r="D409" i="15"/>
  <c r="O409" i="15"/>
  <c r="G409" i="15"/>
  <c r="H409" i="15" s="1"/>
  <c r="J409" i="15" s="1"/>
  <c r="N409" i="15"/>
  <c r="I409" i="15"/>
  <c r="F409" i="15"/>
  <c r="V409" i="15"/>
  <c r="D380" i="15"/>
  <c r="I380" i="15"/>
  <c r="O380" i="15"/>
  <c r="G380" i="15"/>
  <c r="H380" i="15" s="1"/>
  <c r="J380" i="15" s="1"/>
  <c r="V380" i="15"/>
  <c r="N380" i="15"/>
  <c r="F380" i="15"/>
  <c r="E380" i="15"/>
  <c r="D289" i="15"/>
  <c r="I289" i="15"/>
  <c r="O289" i="15"/>
  <c r="G289" i="15"/>
  <c r="H289" i="15" s="1"/>
  <c r="J289" i="15" s="1"/>
  <c r="V289" i="15"/>
  <c r="N289" i="15"/>
  <c r="F289" i="15"/>
  <c r="E289" i="15"/>
  <c r="V434" i="15"/>
  <c r="N434" i="15"/>
  <c r="F434" i="15"/>
  <c r="E434" i="15"/>
  <c r="D434" i="15"/>
  <c r="I434" i="15"/>
  <c r="O434" i="15"/>
  <c r="G434" i="15"/>
  <c r="H434" i="15" s="1"/>
  <c r="J434" i="15" s="1"/>
  <c r="E246" i="15"/>
  <c r="D246" i="15"/>
  <c r="O246" i="15"/>
  <c r="G246" i="15"/>
  <c r="H246" i="15" s="1"/>
  <c r="J246" i="15" s="1"/>
  <c r="N246" i="15"/>
  <c r="I246" i="15"/>
  <c r="F246" i="15"/>
  <c r="V246" i="15"/>
  <c r="V239" i="15"/>
  <c r="N239" i="15"/>
  <c r="F239" i="15"/>
  <c r="E239" i="15"/>
  <c r="D239" i="15"/>
  <c r="I239" i="15"/>
  <c r="O239" i="15"/>
  <c r="G239" i="15"/>
  <c r="H239" i="15" s="1"/>
  <c r="J239" i="15" s="1"/>
  <c r="I79" i="15"/>
  <c r="V79" i="15"/>
  <c r="N79" i="15"/>
  <c r="F79" i="15"/>
  <c r="E79" i="15"/>
  <c r="G79" i="15"/>
  <c r="H79" i="15" s="1"/>
  <c r="J79" i="15" s="1"/>
  <c r="D79" i="15"/>
  <c r="O79" i="15"/>
  <c r="E57" i="15"/>
  <c r="D57" i="15"/>
  <c r="O57" i="15"/>
  <c r="G57" i="15"/>
  <c r="H57" i="15" s="1"/>
  <c r="J57" i="15" s="1"/>
  <c r="V57" i="15"/>
  <c r="N57" i="15"/>
  <c r="I57" i="15"/>
  <c r="F57" i="15"/>
  <c r="E11" i="15"/>
  <c r="D11" i="15"/>
  <c r="O11" i="15"/>
  <c r="G11" i="15"/>
  <c r="H11" i="15" s="1"/>
  <c r="J11" i="15" s="1"/>
  <c r="I11" i="15"/>
  <c r="F11" i="15"/>
  <c r="V11" i="15"/>
  <c r="N11" i="15"/>
  <c r="D733" i="15"/>
  <c r="G733" i="15"/>
  <c r="H733" i="15" s="1"/>
  <c r="J733" i="15" s="1"/>
  <c r="F733" i="15"/>
  <c r="E733" i="15"/>
  <c r="O733" i="15"/>
  <c r="I733" i="15"/>
  <c r="V733" i="15"/>
  <c r="N733" i="15"/>
  <c r="V687" i="15"/>
  <c r="N687" i="15"/>
  <c r="F687" i="15"/>
  <c r="G687" i="15"/>
  <c r="H687" i="15" s="1"/>
  <c r="J687" i="15" s="1"/>
  <c r="E687" i="15"/>
  <c r="D687" i="15"/>
  <c r="O687" i="15"/>
  <c r="I687" i="15"/>
  <c r="D665" i="15"/>
  <c r="N665" i="15"/>
  <c r="V665" i="15"/>
  <c r="I665" i="15"/>
  <c r="G665" i="15"/>
  <c r="H665" i="15" s="1"/>
  <c r="J665" i="15" s="1"/>
  <c r="F665" i="15"/>
  <c r="O665" i="15"/>
  <c r="E665" i="15"/>
  <c r="D623" i="15"/>
  <c r="I623" i="15"/>
  <c r="O623" i="15"/>
  <c r="G623" i="15"/>
  <c r="H623" i="15" s="1"/>
  <c r="J623" i="15" s="1"/>
  <c r="V623" i="15"/>
  <c r="N623" i="15"/>
  <c r="F623" i="15"/>
  <c r="E623" i="15"/>
  <c r="D578" i="15"/>
  <c r="O578" i="15"/>
  <c r="G578" i="15"/>
  <c r="H578" i="15" s="1"/>
  <c r="J578" i="15" s="1"/>
  <c r="V578" i="15"/>
  <c r="N578" i="15"/>
  <c r="F578" i="15"/>
  <c r="I578" i="15"/>
  <c r="E578" i="15"/>
  <c r="E494" i="15"/>
  <c r="D494" i="15"/>
  <c r="O494" i="15"/>
  <c r="G494" i="15"/>
  <c r="H494" i="15" s="1"/>
  <c r="J494" i="15" s="1"/>
  <c r="V494" i="15"/>
  <c r="N494" i="15"/>
  <c r="I494" i="15"/>
  <c r="F494" i="15"/>
  <c r="D477" i="15"/>
  <c r="I477" i="15"/>
  <c r="O477" i="15"/>
  <c r="G477" i="15"/>
  <c r="H477" i="15" s="1"/>
  <c r="J477" i="15" s="1"/>
  <c r="V477" i="15"/>
  <c r="N477" i="15"/>
  <c r="F477" i="15"/>
  <c r="E477" i="15"/>
  <c r="E373" i="15"/>
  <c r="D373" i="15"/>
  <c r="O373" i="15"/>
  <c r="G373" i="15"/>
  <c r="H373" i="15" s="1"/>
  <c r="J373" i="15" s="1"/>
  <c r="I373" i="15"/>
  <c r="F373" i="15"/>
  <c r="V373" i="15"/>
  <c r="N373" i="15"/>
  <c r="E322" i="15"/>
  <c r="D322" i="15"/>
  <c r="O322" i="15"/>
  <c r="G322" i="15"/>
  <c r="H322" i="15" s="1"/>
  <c r="J322" i="15" s="1"/>
  <c r="V322" i="15"/>
  <c r="N322" i="15"/>
  <c r="I322" i="15"/>
  <c r="F322" i="15"/>
  <c r="I196" i="15"/>
  <c r="V196" i="15"/>
  <c r="N196" i="15"/>
  <c r="F196" i="15"/>
  <c r="E196" i="15"/>
  <c r="O196" i="15"/>
  <c r="G196" i="15"/>
  <c r="H196" i="15" s="1"/>
  <c r="J196" i="15" s="1"/>
  <c r="D196" i="15"/>
  <c r="E174" i="15"/>
  <c r="D174" i="15"/>
  <c r="O174" i="15"/>
  <c r="G174" i="15"/>
  <c r="H174" i="15" s="1"/>
  <c r="J174" i="15" s="1"/>
  <c r="I174" i="15"/>
  <c r="F174" i="15"/>
  <c r="V174" i="15"/>
  <c r="N174" i="15"/>
  <c r="V191" i="15"/>
  <c r="N191" i="15"/>
  <c r="F191" i="15"/>
  <c r="E191" i="15"/>
  <c r="D191" i="15"/>
  <c r="I191" i="15"/>
  <c r="O191" i="15"/>
  <c r="G191" i="15"/>
  <c r="H191" i="15" s="1"/>
  <c r="J191" i="15" s="1"/>
  <c r="D128" i="15"/>
  <c r="I128" i="15"/>
  <c r="O128" i="15"/>
  <c r="G128" i="15"/>
  <c r="H128" i="15" s="1"/>
  <c r="J128" i="15" s="1"/>
  <c r="V128" i="15"/>
  <c r="N128" i="15"/>
  <c r="F128" i="15"/>
  <c r="E128" i="15"/>
  <c r="D10" i="15"/>
  <c r="I10" i="15"/>
  <c r="O10" i="15"/>
  <c r="G10" i="15"/>
  <c r="H10" i="15" s="1"/>
  <c r="J10" i="15" s="1"/>
  <c r="V10" i="15"/>
  <c r="N10" i="15"/>
  <c r="F10" i="15"/>
  <c r="E10" i="15"/>
  <c r="O744" i="15"/>
  <c r="G744" i="15"/>
  <c r="H744" i="15" s="1"/>
  <c r="J744" i="15" s="1"/>
  <c r="V744" i="15"/>
  <c r="N744" i="15"/>
  <c r="F744" i="15"/>
  <c r="E744" i="15"/>
  <c r="D744" i="15"/>
  <c r="I744" i="15"/>
  <c r="V690" i="15"/>
  <c r="N690" i="15"/>
  <c r="F690" i="15"/>
  <c r="E690" i="15"/>
  <c r="D690" i="15"/>
  <c r="I690" i="15"/>
  <c r="G690" i="15"/>
  <c r="H690" i="15" s="1"/>
  <c r="J690" i="15" s="1"/>
  <c r="O690" i="15"/>
  <c r="I643" i="15"/>
  <c r="O643" i="15"/>
  <c r="G643" i="15"/>
  <c r="H643" i="15" s="1"/>
  <c r="J643" i="15" s="1"/>
  <c r="V643" i="15"/>
  <c r="N643" i="15"/>
  <c r="F643" i="15"/>
  <c r="D643" i="15"/>
  <c r="E643" i="15"/>
  <c r="I499" i="15"/>
  <c r="O499" i="15"/>
  <c r="G499" i="15"/>
  <c r="H499" i="15" s="1"/>
  <c r="J499" i="15" s="1"/>
  <c r="E499" i="15"/>
  <c r="D499" i="15"/>
  <c r="N499" i="15"/>
  <c r="F499" i="15"/>
  <c r="V499" i="15"/>
  <c r="I530" i="15"/>
  <c r="V530" i="15"/>
  <c r="N530" i="15"/>
  <c r="D530" i="15"/>
  <c r="O530" i="15"/>
  <c r="G530" i="15"/>
  <c r="H530" i="15" s="1"/>
  <c r="J530" i="15" s="1"/>
  <c r="E530" i="15"/>
  <c r="F530" i="15"/>
  <c r="I370" i="15"/>
  <c r="O370" i="15"/>
  <c r="G370" i="15"/>
  <c r="H370" i="15" s="1"/>
  <c r="J370" i="15" s="1"/>
  <c r="E370" i="15"/>
  <c r="D370" i="15"/>
  <c r="N370" i="15"/>
  <c r="F370" i="15"/>
  <c r="V370" i="15"/>
  <c r="I385" i="15"/>
  <c r="O385" i="15"/>
  <c r="G385" i="15"/>
  <c r="H385" i="15" s="1"/>
  <c r="J385" i="15" s="1"/>
  <c r="V385" i="15"/>
  <c r="N385" i="15"/>
  <c r="F385" i="15"/>
  <c r="D385" i="15"/>
  <c r="E385" i="15"/>
  <c r="O208" i="15"/>
  <c r="G208" i="15"/>
  <c r="H208" i="15" s="1"/>
  <c r="J208" i="15" s="1"/>
  <c r="V208" i="15"/>
  <c r="N208" i="15"/>
  <c r="F208" i="15"/>
  <c r="E208" i="15"/>
  <c r="D208" i="15"/>
  <c r="I208" i="15"/>
  <c r="I671" i="15"/>
  <c r="E671" i="15"/>
  <c r="D671" i="15"/>
  <c r="V671" i="15"/>
  <c r="O671" i="15"/>
  <c r="G671" i="15"/>
  <c r="H671" i="15" s="1"/>
  <c r="J671" i="15" s="1"/>
  <c r="N671" i="15"/>
  <c r="F671" i="15"/>
  <c r="V633" i="15"/>
  <c r="N633" i="15"/>
  <c r="F633" i="15"/>
  <c r="E633" i="15"/>
  <c r="D633" i="15"/>
  <c r="I633" i="15"/>
  <c r="O633" i="15"/>
  <c r="G633" i="15"/>
  <c r="H633" i="15" s="1"/>
  <c r="J633" i="15" s="1"/>
  <c r="E550" i="15"/>
  <c r="D550" i="15"/>
  <c r="O550" i="15"/>
  <c r="G550" i="15"/>
  <c r="H550" i="15" s="1"/>
  <c r="J550" i="15" s="1"/>
  <c r="I550" i="15"/>
  <c r="F550" i="15"/>
  <c r="V550" i="15"/>
  <c r="N550" i="15"/>
  <c r="I492" i="15"/>
  <c r="V492" i="15"/>
  <c r="N492" i="15"/>
  <c r="F492" i="15"/>
  <c r="E492" i="15"/>
  <c r="O492" i="15"/>
  <c r="G492" i="15"/>
  <c r="H492" i="15" s="1"/>
  <c r="J492" i="15" s="1"/>
  <c r="D492" i="15"/>
  <c r="V440" i="15"/>
  <c r="N440" i="15"/>
  <c r="F440" i="15"/>
  <c r="I440" i="15"/>
  <c r="O440" i="15"/>
  <c r="G440" i="15"/>
  <c r="H440" i="15" s="1"/>
  <c r="J440" i="15" s="1"/>
  <c r="E440" i="15"/>
  <c r="D440" i="15"/>
  <c r="I355" i="15"/>
  <c r="V355" i="15"/>
  <c r="N355" i="15"/>
  <c r="F355" i="15"/>
  <c r="E355" i="15"/>
  <c r="G355" i="15"/>
  <c r="H355" i="15" s="1"/>
  <c r="J355" i="15" s="1"/>
  <c r="D355" i="15"/>
  <c r="O355" i="15"/>
  <c r="V358" i="15"/>
  <c r="N358" i="15"/>
  <c r="F358" i="15"/>
  <c r="E358" i="15"/>
  <c r="D358" i="15"/>
  <c r="I358" i="15"/>
  <c r="O358" i="15"/>
  <c r="G358" i="15"/>
  <c r="H358" i="15" s="1"/>
  <c r="J358" i="15" s="1"/>
  <c r="D329" i="15"/>
  <c r="I329" i="15"/>
  <c r="O329" i="15"/>
  <c r="G329" i="15"/>
  <c r="H329" i="15" s="1"/>
  <c r="J329" i="15" s="1"/>
  <c r="V329" i="15"/>
  <c r="N329" i="15"/>
  <c r="F329" i="15"/>
  <c r="E329" i="15"/>
  <c r="D173" i="15"/>
  <c r="I173" i="15"/>
  <c r="O173" i="15"/>
  <c r="G173" i="15"/>
  <c r="H173" i="15" s="1"/>
  <c r="J173" i="15" s="1"/>
  <c r="V173" i="15"/>
  <c r="N173" i="15"/>
  <c r="F173" i="15"/>
  <c r="E173" i="15"/>
  <c r="V275" i="15"/>
  <c r="N275" i="15"/>
  <c r="F275" i="15"/>
  <c r="E275" i="15"/>
  <c r="D275" i="15"/>
  <c r="I275" i="15"/>
  <c r="O275" i="15"/>
  <c r="G275" i="15"/>
  <c r="H275" i="15" s="1"/>
  <c r="J275" i="15" s="1"/>
  <c r="I119" i="15"/>
  <c r="V119" i="15"/>
  <c r="N119" i="15"/>
  <c r="F119" i="15"/>
  <c r="E119" i="15"/>
  <c r="O119" i="15"/>
  <c r="G119" i="15"/>
  <c r="H119" i="15" s="1"/>
  <c r="J119" i="15" s="1"/>
  <c r="D119" i="15"/>
  <c r="E97" i="15"/>
  <c r="D97" i="15"/>
  <c r="O97" i="15"/>
  <c r="G97" i="15"/>
  <c r="H97" i="15" s="1"/>
  <c r="J97" i="15" s="1"/>
  <c r="I97" i="15"/>
  <c r="F97" i="15"/>
  <c r="V97" i="15"/>
  <c r="N97" i="15"/>
  <c r="I9" i="15"/>
  <c r="V9" i="15"/>
  <c r="N9" i="15"/>
  <c r="F9" i="15"/>
  <c r="E9" i="15"/>
  <c r="O9" i="15"/>
  <c r="G9" i="15"/>
  <c r="H9" i="15" s="1"/>
  <c r="J9" i="15" s="1"/>
  <c r="D9" i="15"/>
  <c r="D679" i="15"/>
  <c r="I679" i="15"/>
  <c r="O679" i="15"/>
  <c r="G679" i="15"/>
  <c r="H679" i="15" s="1"/>
  <c r="J679" i="15" s="1"/>
  <c r="V679" i="15"/>
  <c r="N679" i="15"/>
  <c r="F679" i="15"/>
  <c r="E679" i="15"/>
  <c r="E542" i="15"/>
  <c r="D542" i="15"/>
  <c r="O542" i="15"/>
  <c r="G542" i="15"/>
  <c r="H542" i="15" s="1"/>
  <c r="J542" i="15" s="1"/>
  <c r="V542" i="15"/>
  <c r="N542" i="15"/>
  <c r="I542" i="15"/>
  <c r="F542" i="15"/>
  <c r="V484" i="15"/>
  <c r="N484" i="15"/>
  <c r="F484" i="15"/>
  <c r="E484" i="15"/>
  <c r="G484" i="15"/>
  <c r="H484" i="15" s="1"/>
  <c r="J484" i="15" s="1"/>
  <c r="D484" i="15"/>
  <c r="O484" i="15"/>
  <c r="I484" i="15"/>
  <c r="V511" i="15"/>
  <c r="N511" i="15"/>
  <c r="F511" i="15"/>
  <c r="E511" i="15"/>
  <c r="D511" i="15"/>
  <c r="I511" i="15"/>
  <c r="O511" i="15"/>
  <c r="G511" i="15"/>
  <c r="H511" i="15" s="1"/>
  <c r="J511" i="15" s="1"/>
  <c r="V426" i="15"/>
  <c r="N426" i="15"/>
  <c r="F426" i="15"/>
  <c r="E426" i="15"/>
  <c r="D426" i="15"/>
  <c r="I426" i="15"/>
  <c r="G426" i="15"/>
  <c r="H426" i="15" s="1"/>
  <c r="J426" i="15" s="1"/>
  <c r="O426" i="15"/>
  <c r="D321" i="15"/>
  <c r="I321" i="15"/>
  <c r="O321" i="15"/>
  <c r="G321" i="15"/>
  <c r="H321" i="15" s="1"/>
  <c r="J321" i="15" s="1"/>
  <c r="V321" i="15"/>
  <c r="N321" i="15"/>
  <c r="F321" i="15"/>
  <c r="E321" i="15"/>
  <c r="O276" i="15"/>
  <c r="G276" i="15"/>
  <c r="H276" i="15" s="1"/>
  <c r="J276" i="15" s="1"/>
  <c r="V276" i="15"/>
  <c r="N276" i="15"/>
  <c r="F276" i="15"/>
  <c r="E276" i="15"/>
  <c r="D276" i="15"/>
  <c r="I276" i="15"/>
  <c r="I111" i="15"/>
  <c r="V111" i="15"/>
  <c r="N111" i="15"/>
  <c r="F111" i="15"/>
  <c r="E111" i="15"/>
  <c r="G111" i="15"/>
  <c r="H111" i="15" s="1"/>
  <c r="J111" i="15" s="1"/>
  <c r="D111" i="15"/>
  <c r="O111" i="15"/>
  <c r="E89" i="15"/>
  <c r="D89" i="15"/>
  <c r="O89" i="15"/>
  <c r="G89" i="15"/>
  <c r="H89" i="15" s="1"/>
  <c r="J89" i="15" s="1"/>
  <c r="V89" i="15"/>
  <c r="N89" i="15"/>
  <c r="I89" i="15"/>
  <c r="F89" i="15"/>
  <c r="O139" i="15"/>
  <c r="G139" i="15"/>
  <c r="H139" i="15" s="1"/>
  <c r="J139" i="15" s="1"/>
  <c r="V139" i="15"/>
  <c r="N139" i="15"/>
  <c r="F139" i="15"/>
  <c r="E139" i="15"/>
  <c r="D139" i="15"/>
  <c r="I139" i="15"/>
  <c r="O5" i="15"/>
  <c r="G5" i="15"/>
  <c r="H5" i="15" s="1"/>
  <c r="J5" i="15" s="1"/>
  <c r="V5" i="15"/>
  <c r="N5" i="15"/>
  <c r="F5" i="15"/>
  <c r="E5" i="15"/>
  <c r="D5" i="15"/>
  <c r="I5" i="15"/>
  <c r="O728" i="15"/>
  <c r="G728" i="15"/>
  <c r="H728" i="15" s="1"/>
  <c r="J728" i="15" s="1"/>
  <c r="V728" i="15"/>
  <c r="N728" i="15"/>
  <c r="F728" i="15"/>
  <c r="E728" i="15"/>
  <c r="D728" i="15"/>
  <c r="I728" i="15"/>
  <c r="O627" i="15"/>
  <c r="G627" i="15"/>
  <c r="H627" i="15" s="1"/>
  <c r="J627" i="15" s="1"/>
  <c r="V627" i="15"/>
  <c r="N627" i="15"/>
  <c r="F627" i="15"/>
  <c r="E627" i="15"/>
  <c r="D627" i="15"/>
  <c r="I627" i="15"/>
  <c r="O597" i="15"/>
  <c r="G597" i="15"/>
  <c r="H597" i="15" s="1"/>
  <c r="J597" i="15" s="1"/>
  <c r="V597" i="15"/>
  <c r="N597" i="15"/>
  <c r="F597" i="15"/>
  <c r="E597" i="15"/>
  <c r="D597" i="15"/>
  <c r="I597" i="15"/>
  <c r="I546" i="15"/>
  <c r="O546" i="15"/>
  <c r="G546" i="15"/>
  <c r="H546" i="15" s="1"/>
  <c r="J546" i="15" s="1"/>
  <c r="V546" i="15"/>
  <c r="N546" i="15"/>
  <c r="F546" i="15"/>
  <c r="D546" i="15"/>
  <c r="E546" i="15"/>
  <c r="O505" i="15"/>
  <c r="G505" i="15"/>
  <c r="H505" i="15" s="1"/>
  <c r="J505" i="15" s="1"/>
  <c r="V505" i="15"/>
  <c r="N505" i="15"/>
  <c r="F505" i="15"/>
  <c r="E505" i="15"/>
  <c r="D505" i="15"/>
  <c r="I505" i="15"/>
  <c r="I514" i="15"/>
  <c r="O514" i="15"/>
  <c r="G514" i="15"/>
  <c r="H514" i="15" s="1"/>
  <c r="J514" i="15" s="1"/>
  <c r="V514" i="15"/>
  <c r="N514" i="15"/>
  <c r="F514" i="15"/>
  <c r="D514" i="15"/>
  <c r="E514" i="15"/>
  <c r="I429" i="15"/>
  <c r="O429" i="15"/>
  <c r="G429" i="15"/>
  <c r="H429" i="15" s="1"/>
  <c r="J429" i="15" s="1"/>
  <c r="V429" i="15"/>
  <c r="N429" i="15"/>
  <c r="F429" i="15"/>
  <c r="D429" i="15"/>
  <c r="E429" i="15"/>
  <c r="O392" i="15"/>
  <c r="G392" i="15"/>
  <c r="H392" i="15" s="1"/>
  <c r="J392" i="15" s="1"/>
  <c r="V392" i="15"/>
  <c r="N392" i="15"/>
  <c r="F392" i="15"/>
  <c r="E392" i="15"/>
  <c r="I392" i="15"/>
  <c r="D392" i="15"/>
  <c r="O332" i="15"/>
  <c r="G332" i="15"/>
  <c r="H332" i="15" s="1"/>
  <c r="J332" i="15" s="1"/>
  <c r="V332" i="15"/>
  <c r="N332" i="15"/>
  <c r="F332" i="15"/>
  <c r="E332" i="15"/>
  <c r="D332" i="15"/>
  <c r="I332" i="15"/>
  <c r="I235" i="15"/>
  <c r="O235" i="15"/>
  <c r="G235" i="15"/>
  <c r="H235" i="15" s="1"/>
  <c r="J235" i="15" s="1"/>
  <c r="E235" i="15"/>
  <c r="D235" i="15"/>
  <c r="N235" i="15"/>
  <c r="F235" i="15"/>
  <c r="V235" i="15"/>
  <c r="V251" i="15"/>
  <c r="N251" i="15"/>
  <c r="F251" i="15"/>
  <c r="E251" i="15"/>
  <c r="I251" i="15"/>
  <c r="G251" i="15"/>
  <c r="H251" i="15" s="1"/>
  <c r="J251" i="15" s="1"/>
  <c r="D251" i="15"/>
  <c r="O251" i="15"/>
  <c r="I46" i="15"/>
  <c r="E46" i="15"/>
  <c r="D46" i="15"/>
  <c r="O46" i="15"/>
  <c r="N46" i="15"/>
  <c r="G46" i="15"/>
  <c r="H46" i="15" s="1"/>
  <c r="J46" i="15" s="1"/>
  <c r="V46" i="15"/>
  <c r="F46" i="15"/>
  <c r="O116" i="15"/>
  <c r="G116" i="15"/>
  <c r="H116" i="15" s="1"/>
  <c r="J116" i="15" s="1"/>
  <c r="V116" i="15"/>
  <c r="N116" i="15"/>
  <c r="F116" i="15"/>
  <c r="E116" i="15"/>
  <c r="I116" i="15"/>
  <c r="D116" i="15"/>
  <c r="E708" i="15"/>
  <c r="D708" i="15"/>
  <c r="I708" i="15"/>
  <c r="G708" i="15"/>
  <c r="H708" i="15" s="1"/>
  <c r="J708" i="15" s="1"/>
  <c r="V708" i="15"/>
  <c r="F708" i="15"/>
  <c r="O708" i="15"/>
  <c r="N708" i="15"/>
  <c r="E734" i="15"/>
  <c r="D734" i="15"/>
  <c r="I734" i="15"/>
  <c r="V734" i="15"/>
  <c r="G734" i="15"/>
  <c r="H734" i="15" s="1"/>
  <c r="J734" i="15" s="1"/>
  <c r="F734" i="15"/>
  <c r="O734" i="15"/>
  <c r="N734" i="15"/>
  <c r="E646" i="15"/>
  <c r="D646" i="15"/>
  <c r="O646" i="15"/>
  <c r="I646" i="15"/>
  <c r="G646" i="15"/>
  <c r="H646" i="15" s="1"/>
  <c r="J646" i="15" s="1"/>
  <c r="F646" i="15"/>
  <c r="V646" i="15"/>
  <c r="N646" i="15"/>
  <c r="O619" i="15"/>
  <c r="G619" i="15"/>
  <c r="H619" i="15" s="1"/>
  <c r="J619" i="15" s="1"/>
  <c r="V619" i="15"/>
  <c r="N619" i="15"/>
  <c r="F619" i="15"/>
  <c r="I619" i="15"/>
  <c r="E619" i="15"/>
  <c r="D619" i="15"/>
  <c r="D541" i="15"/>
  <c r="I541" i="15"/>
  <c r="O541" i="15"/>
  <c r="G541" i="15"/>
  <c r="H541" i="15" s="1"/>
  <c r="J541" i="15" s="1"/>
  <c r="V541" i="15"/>
  <c r="N541" i="15"/>
  <c r="F541" i="15"/>
  <c r="E541" i="15"/>
  <c r="V527" i="15"/>
  <c r="N527" i="15"/>
  <c r="F527" i="15"/>
  <c r="E527" i="15"/>
  <c r="O527" i="15"/>
  <c r="G527" i="15"/>
  <c r="H527" i="15" s="1"/>
  <c r="J527" i="15" s="1"/>
  <c r="I527" i="15"/>
  <c r="D527" i="15"/>
  <c r="D416" i="15"/>
  <c r="I416" i="15"/>
  <c r="O416" i="15"/>
  <c r="G416" i="15"/>
  <c r="H416" i="15" s="1"/>
  <c r="J416" i="15" s="1"/>
  <c r="V416" i="15"/>
  <c r="N416" i="15"/>
  <c r="F416" i="15"/>
  <c r="E416" i="15"/>
  <c r="I395" i="15"/>
  <c r="V395" i="15"/>
  <c r="N395" i="15"/>
  <c r="F395" i="15"/>
  <c r="E395" i="15"/>
  <c r="O395" i="15"/>
  <c r="G395" i="15"/>
  <c r="H395" i="15" s="1"/>
  <c r="J395" i="15" s="1"/>
  <c r="D395" i="15"/>
  <c r="I264" i="15"/>
  <c r="V264" i="15"/>
  <c r="N264" i="15"/>
  <c r="F264" i="15"/>
  <c r="E264" i="15"/>
  <c r="O264" i="15"/>
  <c r="D264" i="15"/>
  <c r="G264" i="15"/>
  <c r="H264" i="15" s="1"/>
  <c r="J264" i="15" s="1"/>
  <c r="D213" i="15"/>
  <c r="I213" i="15"/>
  <c r="O213" i="15"/>
  <c r="G213" i="15"/>
  <c r="H213" i="15" s="1"/>
  <c r="J213" i="15" s="1"/>
  <c r="V213" i="15"/>
  <c r="N213" i="15"/>
  <c r="F213" i="15"/>
  <c r="E213" i="15"/>
  <c r="V231" i="15"/>
  <c r="N231" i="15"/>
  <c r="F231" i="15"/>
  <c r="E231" i="15"/>
  <c r="D231" i="15"/>
  <c r="I231" i="15"/>
  <c r="G231" i="15"/>
  <c r="H231" i="15" s="1"/>
  <c r="J231" i="15" s="1"/>
  <c r="O231" i="15"/>
  <c r="E137" i="15"/>
  <c r="D137" i="15"/>
  <c r="O137" i="15"/>
  <c r="G137" i="15"/>
  <c r="H137" i="15" s="1"/>
  <c r="J137" i="15" s="1"/>
  <c r="N137" i="15"/>
  <c r="I137" i="15"/>
  <c r="F137" i="15"/>
  <c r="V137" i="15"/>
  <c r="I41" i="15"/>
  <c r="O41" i="15"/>
  <c r="G41" i="15"/>
  <c r="H41" i="15" s="1"/>
  <c r="J41" i="15" s="1"/>
  <c r="V41" i="15"/>
  <c r="N41" i="15"/>
  <c r="F41" i="15"/>
  <c r="E41" i="15"/>
  <c r="D41" i="15"/>
  <c r="E105" i="15"/>
  <c r="D105" i="15"/>
  <c r="O105" i="15"/>
  <c r="G105" i="15"/>
  <c r="H105" i="15" s="1"/>
  <c r="J105" i="15" s="1"/>
  <c r="N105" i="15"/>
  <c r="I105" i="15"/>
  <c r="F105" i="15"/>
  <c r="V105" i="15"/>
  <c r="O496" i="15"/>
  <c r="G496" i="15"/>
  <c r="H496" i="15" s="1"/>
  <c r="J496" i="15" s="1"/>
  <c r="V496" i="15"/>
  <c r="N496" i="15"/>
  <c r="F496" i="15"/>
  <c r="E496" i="15"/>
  <c r="D496" i="15"/>
  <c r="I496" i="15"/>
  <c r="O232" i="15"/>
  <c r="G232" i="15"/>
  <c r="H232" i="15" s="1"/>
  <c r="J232" i="15" s="1"/>
  <c r="V232" i="15"/>
  <c r="N232" i="15"/>
  <c r="F232" i="15"/>
  <c r="E232" i="15"/>
  <c r="D232" i="15"/>
  <c r="I232" i="15"/>
  <c r="I371" i="15"/>
  <c r="V371" i="15"/>
  <c r="N371" i="15"/>
  <c r="F371" i="15"/>
  <c r="E371" i="15"/>
  <c r="O371" i="15"/>
  <c r="D371" i="15"/>
  <c r="G371" i="15"/>
  <c r="H371" i="15" s="1"/>
  <c r="J371" i="15" s="1"/>
  <c r="I135" i="15"/>
  <c r="V135" i="15"/>
  <c r="N135" i="15"/>
  <c r="F135" i="15"/>
  <c r="E135" i="15"/>
  <c r="O135" i="15"/>
  <c r="G135" i="15"/>
  <c r="H135" i="15" s="1"/>
  <c r="J135" i="15" s="1"/>
  <c r="D135" i="15"/>
  <c r="O682" i="15"/>
  <c r="G682" i="15"/>
  <c r="H682" i="15" s="1"/>
  <c r="J682" i="15" s="1"/>
  <c r="V682" i="15"/>
  <c r="N682" i="15"/>
  <c r="F682" i="15"/>
  <c r="E682" i="15"/>
  <c r="D682" i="15"/>
  <c r="I682" i="15"/>
  <c r="O201" i="15"/>
  <c r="G201" i="15"/>
  <c r="H201" i="15" s="1"/>
  <c r="J201" i="15" s="1"/>
  <c r="V201" i="15"/>
  <c r="N201" i="15"/>
  <c r="F201" i="15"/>
  <c r="E201" i="15"/>
  <c r="I201" i="15"/>
  <c r="D201" i="15"/>
  <c r="D461" i="15"/>
  <c r="I461" i="15"/>
  <c r="O461" i="15"/>
  <c r="G461" i="15"/>
  <c r="H461" i="15" s="1"/>
  <c r="J461" i="15" s="1"/>
  <c r="V461" i="15"/>
  <c r="N461" i="15"/>
  <c r="F461" i="15"/>
  <c r="E461" i="15"/>
  <c r="I180" i="15"/>
  <c r="V180" i="15"/>
  <c r="N180" i="15"/>
  <c r="F180" i="15"/>
  <c r="E180" i="15"/>
  <c r="O180" i="15"/>
  <c r="G180" i="15"/>
  <c r="H180" i="15" s="1"/>
  <c r="J180" i="15" s="1"/>
  <c r="D180" i="15"/>
  <c r="E696" i="15"/>
  <c r="D696" i="15"/>
  <c r="O696" i="15"/>
  <c r="G696" i="15"/>
  <c r="H696" i="15" s="1"/>
  <c r="J696" i="15" s="1"/>
  <c r="N696" i="15"/>
  <c r="I696" i="15"/>
  <c r="F696" i="15"/>
  <c r="V696" i="15"/>
  <c r="I431" i="15"/>
  <c r="V431" i="15"/>
  <c r="N431" i="15"/>
  <c r="F431" i="15"/>
  <c r="E431" i="15"/>
  <c r="O431" i="15"/>
  <c r="D431" i="15"/>
  <c r="G431" i="15"/>
  <c r="H431" i="15" s="1"/>
  <c r="J431" i="15" s="1"/>
  <c r="D34" i="15"/>
  <c r="I34" i="15"/>
  <c r="O34" i="15"/>
  <c r="G34" i="15"/>
  <c r="H34" i="15" s="1"/>
  <c r="J34" i="15" s="1"/>
  <c r="V34" i="15"/>
  <c r="N34" i="15"/>
  <c r="F34" i="15"/>
  <c r="E34" i="15"/>
  <c r="I279" i="15"/>
  <c r="O279" i="15"/>
  <c r="G279" i="15"/>
  <c r="H279" i="15" s="1"/>
  <c r="J279" i="15" s="1"/>
  <c r="E279" i="15"/>
  <c r="D279" i="15"/>
  <c r="V279" i="15"/>
  <c r="F279" i="15"/>
  <c r="N279" i="15"/>
  <c r="O115" i="15"/>
  <c r="G115" i="15"/>
  <c r="H115" i="15" s="1"/>
  <c r="J115" i="15" s="1"/>
  <c r="V115" i="15"/>
  <c r="N115" i="15"/>
  <c r="F115" i="15"/>
  <c r="E115" i="15"/>
  <c r="D115" i="15"/>
  <c r="I115" i="15"/>
  <c r="D602" i="15"/>
  <c r="I602" i="15"/>
  <c r="O602" i="15"/>
  <c r="G602" i="15"/>
  <c r="H602" i="15" s="1"/>
  <c r="J602" i="15" s="1"/>
  <c r="V602" i="15"/>
  <c r="N602" i="15"/>
  <c r="F602" i="15"/>
  <c r="E602" i="15"/>
  <c r="I444" i="15"/>
  <c r="V444" i="15"/>
  <c r="N444" i="15"/>
  <c r="F444" i="15"/>
  <c r="E444" i="15"/>
  <c r="O444" i="15"/>
  <c r="G444" i="15"/>
  <c r="H444" i="15" s="1"/>
  <c r="J444" i="15" s="1"/>
  <c r="D444" i="15"/>
  <c r="I407" i="15"/>
  <c r="V407" i="15"/>
  <c r="N407" i="15"/>
  <c r="F407" i="15"/>
  <c r="E407" i="15"/>
  <c r="G407" i="15"/>
  <c r="H407" i="15" s="1"/>
  <c r="J407" i="15" s="1"/>
  <c r="D407" i="15"/>
  <c r="O407" i="15"/>
  <c r="I636" i="15"/>
  <c r="O636" i="15"/>
  <c r="G636" i="15"/>
  <c r="H636" i="15" s="1"/>
  <c r="J636" i="15" s="1"/>
  <c r="E636" i="15"/>
  <c r="D636" i="15"/>
  <c r="V636" i="15"/>
  <c r="N636" i="15"/>
  <c r="F636" i="15"/>
  <c r="I451" i="15"/>
  <c r="O451" i="15"/>
  <c r="G451" i="15"/>
  <c r="H451" i="15" s="1"/>
  <c r="J451" i="15" s="1"/>
  <c r="E451" i="15"/>
  <c r="D451" i="15"/>
  <c r="N451" i="15"/>
  <c r="F451" i="15"/>
  <c r="V451" i="15"/>
  <c r="V28" i="15"/>
  <c r="N28" i="15"/>
  <c r="F28" i="15"/>
  <c r="E28" i="15"/>
  <c r="D28" i="15"/>
  <c r="I28" i="15"/>
  <c r="G28" i="15"/>
  <c r="H28" i="15" s="1"/>
  <c r="J28" i="15" s="1"/>
  <c r="O28" i="15"/>
  <c r="V159" i="15"/>
  <c r="N159" i="15"/>
  <c r="F159" i="15"/>
  <c r="E159" i="15"/>
  <c r="D159" i="15"/>
  <c r="I159" i="15"/>
  <c r="O159" i="15"/>
  <c r="G159" i="15"/>
  <c r="H159" i="15" s="1"/>
  <c r="J159" i="15" s="1"/>
  <c r="I706" i="15"/>
  <c r="O706" i="15"/>
  <c r="F706" i="15"/>
  <c r="N706" i="15"/>
  <c r="E706" i="15"/>
  <c r="G706" i="15"/>
  <c r="H706" i="15" s="1"/>
  <c r="J706" i="15" s="1"/>
  <c r="D706" i="15"/>
  <c r="V706" i="15"/>
  <c r="E689" i="15"/>
  <c r="D689" i="15"/>
  <c r="I689" i="15"/>
  <c r="G689" i="15"/>
  <c r="H689" i="15" s="1"/>
  <c r="J689" i="15" s="1"/>
  <c r="F689" i="15"/>
  <c r="O689" i="15"/>
  <c r="N689" i="15"/>
  <c r="V689" i="15"/>
  <c r="I609" i="15"/>
  <c r="V609" i="15"/>
  <c r="N609" i="15"/>
  <c r="F609" i="15"/>
  <c r="E609" i="15"/>
  <c r="G609" i="15"/>
  <c r="H609" i="15" s="1"/>
  <c r="J609" i="15" s="1"/>
  <c r="D609" i="15"/>
  <c r="O609" i="15"/>
  <c r="D517" i="15"/>
  <c r="I517" i="15"/>
  <c r="O517" i="15"/>
  <c r="G517" i="15"/>
  <c r="H517" i="15" s="1"/>
  <c r="J517" i="15" s="1"/>
  <c r="V517" i="15"/>
  <c r="N517" i="15"/>
  <c r="F517" i="15"/>
  <c r="E517" i="15"/>
  <c r="E417" i="15"/>
  <c r="D417" i="15"/>
  <c r="O417" i="15"/>
  <c r="G417" i="15"/>
  <c r="H417" i="15" s="1"/>
  <c r="J417" i="15" s="1"/>
  <c r="V417" i="15"/>
  <c r="N417" i="15"/>
  <c r="F417" i="15"/>
  <c r="I417" i="15"/>
  <c r="D388" i="15"/>
  <c r="I388" i="15"/>
  <c r="O388" i="15"/>
  <c r="G388" i="15"/>
  <c r="H388" i="15" s="1"/>
  <c r="J388" i="15" s="1"/>
  <c r="V388" i="15"/>
  <c r="N388" i="15"/>
  <c r="F388" i="15"/>
  <c r="E388" i="15"/>
  <c r="D297" i="15"/>
  <c r="I297" i="15"/>
  <c r="O297" i="15"/>
  <c r="G297" i="15"/>
  <c r="H297" i="15" s="1"/>
  <c r="J297" i="15" s="1"/>
  <c r="V297" i="15"/>
  <c r="N297" i="15"/>
  <c r="F297" i="15"/>
  <c r="E297" i="15"/>
  <c r="O252" i="15"/>
  <c r="G252" i="15"/>
  <c r="H252" i="15" s="1"/>
  <c r="J252" i="15" s="1"/>
  <c r="V252" i="15"/>
  <c r="N252" i="15"/>
  <c r="F252" i="15"/>
  <c r="I252" i="15"/>
  <c r="E252" i="15"/>
  <c r="D252" i="15"/>
  <c r="V331" i="15"/>
  <c r="N331" i="15"/>
  <c r="F331" i="15"/>
  <c r="E331" i="15"/>
  <c r="D331" i="15"/>
  <c r="I331" i="15"/>
  <c r="O331" i="15"/>
  <c r="G331" i="15"/>
  <c r="H331" i="15" s="1"/>
  <c r="J331" i="15" s="1"/>
  <c r="I87" i="15"/>
  <c r="V87" i="15"/>
  <c r="N87" i="15"/>
  <c r="F87" i="15"/>
  <c r="E87" i="15"/>
  <c r="O87" i="15"/>
  <c r="G87" i="15"/>
  <c r="H87" i="15" s="1"/>
  <c r="J87" i="15" s="1"/>
  <c r="D87" i="15"/>
  <c r="E65" i="15"/>
  <c r="D65" i="15"/>
  <c r="O65" i="15"/>
  <c r="G65" i="15"/>
  <c r="H65" i="15" s="1"/>
  <c r="J65" i="15" s="1"/>
  <c r="I65" i="15"/>
  <c r="F65" i="15"/>
  <c r="V65" i="15"/>
  <c r="N65" i="15"/>
  <c r="E3" i="15"/>
  <c r="D3" i="15"/>
  <c r="O3" i="15"/>
  <c r="G3" i="15"/>
  <c r="H3" i="15" s="1"/>
  <c r="J3" i="15" s="1"/>
  <c r="V3" i="15"/>
  <c r="N3" i="15"/>
  <c r="F3" i="15"/>
  <c r="I3" i="15"/>
  <c r="O83" i="15"/>
  <c r="G83" i="15"/>
  <c r="H83" i="15" s="1"/>
  <c r="J83" i="15" s="1"/>
  <c r="V83" i="15"/>
  <c r="N83" i="15"/>
  <c r="F83" i="15"/>
  <c r="E83" i="15"/>
  <c r="D83" i="15"/>
  <c r="I83" i="15"/>
  <c r="I85" i="15"/>
  <c r="O85" i="15"/>
  <c r="G85" i="15"/>
  <c r="H85" i="15" s="1"/>
  <c r="J85" i="15" s="1"/>
  <c r="V85" i="15"/>
  <c r="N85" i="15"/>
  <c r="F85" i="15"/>
  <c r="D85" i="15"/>
  <c r="E85" i="15"/>
  <c r="O668" i="15"/>
  <c r="G668" i="15"/>
  <c r="H668" i="15" s="1"/>
  <c r="J668" i="15" s="1"/>
  <c r="V668" i="15"/>
  <c r="N668" i="15"/>
  <c r="F668" i="15"/>
  <c r="E668" i="15"/>
  <c r="I668" i="15"/>
  <c r="D668" i="15"/>
  <c r="I539" i="15"/>
  <c r="O539" i="15"/>
  <c r="G539" i="15"/>
  <c r="H539" i="15" s="1"/>
  <c r="J539" i="15" s="1"/>
  <c r="E539" i="15"/>
  <c r="D539" i="15"/>
  <c r="F539" i="15"/>
  <c r="N539" i="15"/>
  <c r="V539" i="15"/>
  <c r="O553" i="15"/>
  <c r="G553" i="15"/>
  <c r="H553" i="15" s="1"/>
  <c r="J553" i="15" s="1"/>
  <c r="V553" i="15"/>
  <c r="N553" i="15"/>
  <c r="F553" i="15"/>
  <c r="E553" i="15"/>
  <c r="D553" i="15"/>
  <c r="I553" i="15"/>
  <c r="I414" i="15"/>
  <c r="O414" i="15"/>
  <c r="G414" i="15"/>
  <c r="H414" i="15" s="1"/>
  <c r="J414" i="15" s="1"/>
  <c r="E414" i="15"/>
  <c r="D414" i="15"/>
  <c r="V414" i="15"/>
  <c r="F414" i="15"/>
  <c r="N414" i="15"/>
  <c r="I255" i="15"/>
  <c r="O255" i="15"/>
  <c r="G255" i="15"/>
  <c r="H255" i="15" s="1"/>
  <c r="J255" i="15" s="1"/>
  <c r="E255" i="15"/>
  <c r="D255" i="15"/>
  <c r="F255" i="15"/>
  <c r="N255" i="15"/>
  <c r="V255" i="15"/>
  <c r="O317" i="15"/>
  <c r="G317" i="15"/>
  <c r="H317" i="15" s="1"/>
  <c r="J317" i="15" s="1"/>
  <c r="V317" i="15"/>
  <c r="N317" i="15"/>
  <c r="F317" i="15"/>
  <c r="E317" i="15"/>
  <c r="I317" i="15"/>
  <c r="D317" i="15"/>
  <c r="V151" i="15"/>
  <c r="N151" i="15"/>
  <c r="F151" i="15"/>
  <c r="E151" i="15"/>
  <c r="D151" i="15"/>
  <c r="I151" i="15"/>
  <c r="O151" i="15"/>
  <c r="G151" i="15"/>
  <c r="H151" i="15" s="1"/>
  <c r="J151" i="15" s="1"/>
  <c r="O91" i="15"/>
  <c r="G91" i="15"/>
  <c r="H91" i="15" s="1"/>
  <c r="J91" i="15" s="1"/>
  <c r="V91" i="15"/>
  <c r="N91" i="15"/>
  <c r="F91" i="15"/>
  <c r="E91" i="15"/>
  <c r="D91" i="15"/>
  <c r="I91" i="15"/>
  <c r="O626" i="15"/>
  <c r="G626" i="15"/>
  <c r="H626" i="15" s="1"/>
  <c r="J626" i="15" s="1"/>
  <c r="V626" i="15"/>
  <c r="N626" i="15"/>
  <c r="F626" i="15"/>
  <c r="E626" i="15"/>
  <c r="D626" i="15"/>
  <c r="I626" i="15"/>
  <c r="V572" i="15"/>
  <c r="N572" i="15"/>
  <c r="F572" i="15"/>
  <c r="E572" i="15"/>
  <c r="D572" i="15"/>
  <c r="I572" i="15"/>
  <c r="G572" i="15"/>
  <c r="H572" i="15" s="1"/>
  <c r="J572" i="15" s="1"/>
  <c r="O572" i="15"/>
  <c r="I507" i="15"/>
  <c r="O507" i="15"/>
  <c r="G507" i="15"/>
  <c r="H507" i="15" s="1"/>
  <c r="J507" i="15" s="1"/>
  <c r="E507" i="15"/>
  <c r="D507" i="15"/>
  <c r="V507" i="15"/>
  <c r="N507" i="15"/>
  <c r="F507" i="15"/>
  <c r="I378" i="15"/>
  <c r="O378" i="15"/>
  <c r="G378" i="15"/>
  <c r="H378" i="15" s="1"/>
  <c r="J378" i="15" s="1"/>
  <c r="E378" i="15"/>
  <c r="D378" i="15"/>
  <c r="V378" i="15"/>
  <c r="N378" i="15"/>
  <c r="F378" i="15"/>
  <c r="O359" i="15"/>
  <c r="G359" i="15"/>
  <c r="H359" i="15" s="1"/>
  <c r="J359" i="15" s="1"/>
  <c r="V359" i="15"/>
  <c r="N359" i="15"/>
  <c r="F359" i="15"/>
  <c r="E359" i="15"/>
  <c r="D359" i="15"/>
  <c r="I359" i="15"/>
  <c r="I78" i="15"/>
  <c r="O78" i="15"/>
  <c r="G78" i="15"/>
  <c r="H78" i="15" s="1"/>
  <c r="J78" i="15" s="1"/>
  <c r="E78" i="15"/>
  <c r="D78" i="15"/>
  <c r="V78" i="15"/>
  <c r="N78" i="15"/>
  <c r="F78" i="15"/>
  <c r="V106" i="15"/>
  <c r="N106" i="15"/>
  <c r="F106" i="15"/>
  <c r="E106" i="15"/>
  <c r="D106" i="15"/>
  <c r="I106" i="15"/>
  <c r="O106" i="15"/>
  <c r="G106" i="15"/>
  <c r="H106" i="15" s="1"/>
  <c r="J106" i="15" s="1"/>
  <c r="D653" i="15"/>
  <c r="I653" i="15"/>
  <c r="O653" i="15"/>
  <c r="G653" i="15"/>
  <c r="H653" i="15" s="1"/>
  <c r="J653" i="15" s="1"/>
  <c r="N653" i="15"/>
  <c r="F653" i="15"/>
  <c r="E653" i="15"/>
  <c r="V653" i="15"/>
  <c r="V618" i="15"/>
  <c r="N618" i="15"/>
  <c r="E618" i="15"/>
  <c r="G618" i="15"/>
  <c r="H618" i="15" s="1"/>
  <c r="J618" i="15" s="1"/>
  <c r="F618" i="15"/>
  <c r="D618" i="15"/>
  <c r="O618" i="15"/>
  <c r="I618" i="15"/>
  <c r="E571" i="15"/>
  <c r="D571" i="15"/>
  <c r="O571" i="15"/>
  <c r="G571" i="15"/>
  <c r="H571" i="15" s="1"/>
  <c r="J571" i="15" s="1"/>
  <c r="I571" i="15"/>
  <c r="F571" i="15"/>
  <c r="V571" i="15"/>
  <c r="N571" i="15"/>
  <c r="E462" i="15"/>
  <c r="D462" i="15"/>
  <c r="O462" i="15"/>
  <c r="G462" i="15"/>
  <c r="H462" i="15" s="1"/>
  <c r="J462" i="15" s="1"/>
  <c r="N462" i="15"/>
  <c r="I462" i="15"/>
  <c r="F462" i="15"/>
  <c r="V462" i="15"/>
  <c r="V447" i="15"/>
  <c r="N447" i="15"/>
  <c r="F447" i="15"/>
  <c r="E447" i="15"/>
  <c r="D447" i="15"/>
  <c r="I447" i="15"/>
  <c r="G447" i="15"/>
  <c r="H447" i="15" s="1"/>
  <c r="J447" i="15" s="1"/>
  <c r="O447" i="15"/>
  <c r="V455" i="15"/>
  <c r="N455" i="15"/>
  <c r="F455" i="15"/>
  <c r="E455" i="15"/>
  <c r="D455" i="15"/>
  <c r="I455" i="15"/>
  <c r="O455" i="15"/>
  <c r="G455" i="15"/>
  <c r="H455" i="15" s="1"/>
  <c r="J455" i="15" s="1"/>
  <c r="I296" i="15"/>
  <c r="V296" i="15"/>
  <c r="N296" i="15"/>
  <c r="F296" i="15"/>
  <c r="E296" i="15"/>
  <c r="O296" i="15"/>
  <c r="D296" i="15"/>
  <c r="G296" i="15"/>
  <c r="H296" i="15" s="1"/>
  <c r="J296" i="15" s="1"/>
  <c r="V315" i="15"/>
  <c r="N315" i="15"/>
  <c r="F315" i="15"/>
  <c r="E315" i="15"/>
  <c r="D315" i="15"/>
  <c r="I315" i="15"/>
  <c r="O315" i="15"/>
  <c r="G315" i="15"/>
  <c r="H315" i="15" s="1"/>
  <c r="J315" i="15" s="1"/>
  <c r="D245" i="15"/>
  <c r="I245" i="15"/>
  <c r="O245" i="15"/>
  <c r="G245" i="15"/>
  <c r="H245" i="15" s="1"/>
  <c r="J245" i="15" s="1"/>
  <c r="V245" i="15"/>
  <c r="N245" i="15"/>
  <c r="F245" i="15"/>
  <c r="E245" i="15"/>
  <c r="I156" i="15"/>
  <c r="V156" i="15"/>
  <c r="N156" i="15"/>
  <c r="F156" i="15"/>
  <c r="O156" i="15"/>
  <c r="E156" i="15"/>
  <c r="D156" i="15"/>
  <c r="G156" i="15"/>
  <c r="H156" i="15" s="1"/>
  <c r="J156" i="15" s="1"/>
  <c r="D18" i="15"/>
  <c r="I18" i="15"/>
  <c r="O18" i="15"/>
  <c r="G18" i="15"/>
  <c r="H18" i="15" s="1"/>
  <c r="J18" i="15" s="1"/>
  <c r="V18" i="15"/>
  <c r="N18" i="15"/>
  <c r="F18" i="15"/>
  <c r="E18" i="15"/>
  <c r="I39" i="15"/>
  <c r="O39" i="15"/>
  <c r="G39" i="15"/>
  <c r="H39" i="15" s="1"/>
  <c r="J39" i="15" s="1"/>
  <c r="V39" i="15"/>
  <c r="N39" i="15"/>
  <c r="F39" i="15"/>
  <c r="E39" i="15"/>
  <c r="D39" i="15"/>
  <c r="I723" i="15"/>
  <c r="F723" i="15"/>
  <c r="E723" i="15"/>
  <c r="O723" i="15"/>
  <c r="D723" i="15"/>
  <c r="N723" i="15"/>
  <c r="V723" i="15"/>
  <c r="G723" i="15"/>
  <c r="H723" i="15" s="1"/>
  <c r="J723" i="15" s="1"/>
  <c r="O674" i="15"/>
  <c r="G674" i="15"/>
  <c r="H674" i="15" s="1"/>
  <c r="J674" i="15" s="1"/>
  <c r="V674" i="15"/>
  <c r="N674" i="15"/>
  <c r="F674" i="15"/>
  <c r="E674" i="15"/>
  <c r="D674" i="15"/>
  <c r="I674" i="15"/>
  <c r="O536" i="15"/>
  <c r="G536" i="15"/>
  <c r="H536" i="15" s="1"/>
  <c r="J536" i="15" s="1"/>
  <c r="V536" i="15"/>
  <c r="N536" i="15"/>
  <c r="F536" i="15"/>
  <c r="E536" i="15"/>
  <c r="D536" i="15"/>
  <c r="I536" i="15"/>
  <c r="O435" i="15"/>
  <c r="G435" i="15"/>
  <c r="H435" i="15" s="1"/>
  <c r="J435" i="15" s="1"/>
  <c r="V435" i="15"/>
  <c r="N435" i="15"/>
  <c r="F435" i="15"/>
  <c r="E435" i="15"/>
  <c r="D435" i="15"/>
  <c r="I435" i="15"/>
  <c r="I295" i="15"/>
  <c r="O295" i="15"/>
  <c r="G295" i="15"/>
  <c r="H295" i="15" s="1"/>
  <c r="J295" i="15" s="1"/>
  <c r="E295" i="15"/>
  <c r="D295" i="15"/>
  <c r="N295" i="15"/>
  <c r="F295" i="15"/>
  <c r="V295" i="15"/>
  <c r="O193" i="15"/>
  <c r="G193" i="15"/>
  <c r="H193" i="15" s="1"/>
  <c r="J193" i="15" s="1"/>
  <c r="V193" i="15"/>
  <c r="N193" i="15"/>
  <c r="F193" i="15"/>
  <c r="E193" i="15"/>
  <c r="I193" i="15"/>
  <c r="D193" i="15"/>
  <c r="I286" i="15"/>
  <c r="O286" i="15"/>
  <c r="G286" i="15"/>
  <c r="H286" i="15" s="1"/>
  <c r="J286" i="15" s="1"/>
  <c r="V286" i="15"/>
  <c r="N286" i="15"/>
  <c r="F286" i="15"/>
  <c r="D286" i="15"/>
  <c r="E286" i="15"/>
  <c r="O131" i="15"/>
  <c r="G131" i="15"/>
  <c r="H131" i="15" s="1"/>
  <c r="J131" i="15" s="1"/>
  <c r="V131" i="15"/>
  <c r="N131" i="15"/>
  <c r="F131" i="15"/>
  <c r="E131" i="15"/>
  <c r="D131" i="15"/>
  <c r="I131" i="15"/>
  <c r="I7" i="15"/>
  <c r="O7" i="15"/>
  <c r="G7" i="15"/>
  <c r="H7" i="15" s="1"/>
  <c r="J7" i="15" s="1"/>
  <c r="V7" i="15"/>
  <c r="N7" i="15"/>
  <c r="F7" i="15"/>
  <c r="D7" i="15"/>
  <c r="E7" i="15"/>
  <c r="I575" i="15"/>
  <c r="O575" i="15"/>
  <c r="G575" i="15"/>
  <c r="H575" i="15" s="1"/>
  <c r="J575" i="15" s="1"/>
  <c r="D575" i="15"/>
  <c r="V575" i="15"/>
  <c r="N575" i="15"/>
  <c r="F575" i="15"/>
  <c r="E575" i="15"/>
  <c r="I554" i="15"/>
  <c r="O554" i="15"/>
  <c r="G554" i="15"/>
  <c r="H554" i="15" s="1"/>
  <c r="J554" i="15" s="1"/>
  <c r="V554" i="15"/>
  <c r="N554" i="15"/>
  <c r="F554" i="15"/>
  <c r="D554" i="15"/>
  <c r="E554" i="15"/>
  <c r="O427" i="15"/>
  <c r="G427" i="15"/>
  <c r="H427" i="15" s="1"/>
  <c r="J427" i="15" s="1"/>
  <c r="V427" i="15"/>
  <c r="N427" i="15"/>
  <c r="F427" i="15"/>
  <c r="E427" i="15"/>
  <c r="D427" i="15"/>
  <c r="I427" i="15"/>
  <c r="I474" i="15"/>
  <c r="O474" i="15"/>
  <c r="G474" i="15"/>
  <c r="H474" i="15" s="1"/>
  <c r="J474" i="15" s="1"/>
  <c r="V474" i="15"/>
  <c r="N474" i="15"/>
  <c r="F474" i="15"/>
  <c r="D474" i="15"/>
  <c r="E474" i="15"/>
  <c r="I287" i="15"/>
  <c r="O287" i="15"/>
  <c r="G287" i="15"/>
  <c r="H287" i="15" s="1"/>
  <c r="J287" i="15" s="1"/>
  <c r="E287" i="15"/>
  <c r="D287" i="15"/>
  <c r="F287" i="15"/>
  <c r="N287" i="15"/>
  <c r="V287" i="15"/>
  <c r="O349" i="15"/>
  <c r="G349" i="15"/>
  <c r="H349" i="15" s="1"/>
  <c r="J349" i="15" s="1"/>
  <c r="V349" i="15"/>
  <c r="N349" i="15"/>
  <c r="F349" i="15"/>
  <c r="E349" i="15"/>
  <c r="I349" i="15"/>
  <c r="D349" i="15"/>
  <c r="O185" i="15"/>
  <c r="G185" i="15"/>
  <c r="H185" i="15" s="1"/>
  <c r="J185" i="15" s="1"/>
  <c r="V185" i="15"/>
  <c r="N185" i="15"/>
  <c r="F185" i="15"/>
  <c r="E185" i="15"/>
  <c r="I185" i="15"/>
  <c r="D185" i="15"/>
  <c r="I218" i="15"/>
  <c r="O218" i="15"/>
  <c r="G218" i="15"/>
  <c r="H218" i="15" s="1"/>
  <c r="J218" i="15" s="1"/>
  <c r="V218" i="15"/>
  <c r="N218" i="15"/>
  <c r="F218" i="15"/>
  <c r="D218" i="15"/>
  <c r="E218" i="15"/>
  <c r="O123" i="15"/>
  <c r="G123" i="15"/>
  <c r="H123" i="15" s="1"/>
  <c r="J123" i="15" s="1"/>
  <c r="V123" i="15"/>
  <c r="N123" i="15"/>
  <c r="F123" i="15"/>
  <c r="E123" i="15"/>
  <c r="D123" i="15"/>
  <c r="I123" i="15"/>
  <c r="O691" i="15"/>
  <c r="G691" i="15"/>
  <c r="H691" i="15" s="1"/>
  <c r="J691" i="15" s="1"/>
  <c r="V691" i="15"/>
  <c r="N691" i="15"/>
  <c r="F691" i="15"/>
  <c r="E691" i="15"/>
  <c r="D691" i="15"/>
  <c r="I691" i="15"/>
  <c r="E661" i="15"/>
  <c r="D661" i="15"/>
  <c r="O661" i="15"/>
  <c r="G661" i="15"/>
  <c r="H661" i="15" s="1"/>
  <c r="J661" i="15" s="1"/>
  <c r="N661" i="15"/>
  <c r="I661" i="15"/>
  <c r="F661" i="15"/>
  <c r="V661" i="15"/>
  <c r="D549" i="15"/>
  <c r="I549" i="15"/>
  <c r="O549" i="15"/>
  <c r="G549" i="15"/>
  <c r="H549" i="15" s="1"/>
  <c r="J549" i="15" s="1"/>
  <c r="V549" i="15"/>
  <c r="N549" i="15"/>
  <c r="F549" i="15"/>
  <c r="E549" i="15"/>
  <c r="D424" i="15"/>
  <c r="I424" i="15"/>
  <c r="O424" i="15"/>
  <c r="G424" i="15"/>
  <c r="H424" i="15" s="1"/>
  <c r="J424" i="15" s="1"/>
  <c r="V424" i="15"/>
  <c r="N424" i="15"/>
  <c r="F424" i="15"/>
  <c r="E424" i="15"/>
  <c r="I272" i="15"/>
  <c r="V272" i="15"/>
  <c r="N272" i="15"/>
  <c r="F272" i="15"/>
  <c r="E272" i="15"/>
  <c r="G272" i="15"/>
  <c r="H272" i="15" s="1"/>
  <c r="J272" i="15" s="1"/>
  <c r="O272" i="15"/>
  <c r="D272" i="15"/>
  <c r="D221" i="15"/>
  <c r="I221" i="15"/>
  <c r="O221" i="15"/>
  <c r="G221" i="15"/>
  <c r="H221" i="15" s="1"/>
  <c r="J221" i="15" s="1"/>
  <c r="V221" i="15"/>
  <c r="N221" i="15"/>
  <c r="F221" i="15"/>
  <c r="E221" i="15"/>
  <c r="O184" i="15"/>
  <c r="G184" i="15"/>
  <c r="H184" i="15" s="1"/>
  <c r="J184" i="15" s="1"/>
  <c r="V184" i="15"/>
  <c r="N184" i="15"/>
  <c r="F184" i="15"/>
  <c r="E184" i="15"/>
  <c r="D184" i="15"/>
  <c r="I184" i="15"/>
  <c r="E145" i="15"/>
  <c r="D145" i="15"/>
  <c r="O145" i="15"/>
  <c r="G145" i="15"/>
  <c r="H145" i="15" s="1"/>
  <c r="J145" i="15" s="1"/>
  <c r="V145" i="15"/>
  <c r="N145" i="15"/>
  <c r="I145" i="15"/>
  <c r="F145" i="15"/>
  <c r="I33" i="15"/>
  <c r="O33" i="15"/>
  <c r="G33" i="15"/>
  <c r="H33" i="15" s="1"/>
  <c r="J33" i="15" s="1"/>
  <c r="V33" i="15"/>
  <c r="N33" i="15"/>
  <c r="F33" i="15"/>
  <c r="E33" i="15"/>
  <c r="D33" i="15"/>
  <c r="I127" i="15"/>
  <c r="V127" i="15"/>
  <c r="N127" i="15"/>
  <c r="F127" i="15"/>
  <c r="E127" i="15"/>
  <c r="O127" i="15"/>
  <c r="G127" i="15"/>
  <c r="H127" i="15" s="1"/>
  <c r="J127" i="15" s="1"/>
  <c r="D127" i="15"/>
  <c r="I141" i="15"/>
  <c r="O141" i="15"/>
  <c r="G141" i="15"/>
  <c r="H141" i="15" s="1"/>
  <c r="J141" i="15" s="1"/>
  <c r="V141" i="15"/>
  <c r="N141" i="15"/>
  <c r="F141" i="15"/>
  <c r="D141" i="15"/>
  <c r="E141" i="15"/>
  <c r="I692" i="15"/>
  <c r="O692" i="15"/>
  <c r="G692" i="15"/>
  <c r="H692" i="15" s="1"/>
  <c r="J692" i="15" s="1"/>
  <c r="V692" i="15"/>
  <c r="N692" i="15"/>
  <c r="F692" i="15"/>
  <c r="D692" i="15"/>
  <c r="E692" i="15"/>
  <c r="O649" i="15"/>
  <c r="G649" i="15"/>
  <c r="H649" i="15" s="1"/>
  <c r="J649" i="15" s="1"/>
  <c r="V649" i="15"/>
  <c r="N649" i="15"/>
  <c r="F649" i="15"/>
  <c r="E649" i="15"/>
  <c r="D649" i="15"/>
  <c r="I649" i="15"/>
  <c r="O598" i="15"/>
  <c r="G598" i="15"/>
  <c r="H598" i="15" s="1"/>
  <c r="J598" i="15" s="1"/>
  <c r="V598" i="15"/>
  <c r="N598" i="15"/>
  <c r="F598" i="15"/>
  <c r="E598" i="15"/>
  <c r="D598" i="15"/>
  <c r="I598" i="15"/>
  <c r="I607" i="15"/>
  <c r="O607" i="15"/>
  <c r="G607" i="15"/>
  <c r="H607" i="15" s="1"/>
  <c r="J607" i="15" s="1"/>
  <c r="V607" i="15"/>
  <c r="N607" i="15"/>
  <c r="F607" i="15"/>
  <c r="D607" i="15"/>
  <c r="E607" i="15"/>
  <c r="I459" i="15"/>
  <c r="O459" i="15"/>
  <c r="G459" i="15"/>
  <c r="H459" i="15" s="1"/>
  <c r="J459" i="15" s="1"/>
  <c r="E459" i="15"/>
  <c r="D459" i="15"/>
  <c r="V459" i="15"/>
  <c r="N459" i="15"/>
  <c r="F459" i="15"/>
  <c r="O473" i="15"/>
  <c r="G473" i="15"/>
  <c r="H473" i="15" s="1"/>
  <c r="J473" i="15" s="1"/>
  <c r="V473" i="15"/>
  <c r="N473" i="15"/>
  <c r="F473" i="15"/>
  <c r="E473" i="15"/>
  <c r="I473" i="15"/>
  <c r="D473" i="15"/>
  <c r="I335" i="15"/>
  <c r="O335" i="15"/>
  <c r="G335" i="15"/>
  <c r="H335" i="15" s="1"/>
  <c r="J335" i="15" s="1"/>
  <c r="E335" i="15"/>
  <c r="D335" i="15"/>
  <c r="V335" i="15"/>
  <c r="N335" i="15"/>
  <c r="F335" i="15"/>
  <c r="O260" i="15"/>
  <c r="G260" i="15"/>
  <c r="H260" i="15" s="1"/>
  <c r="J260" i="15" s="1"/>
  <c r="V260" i="15"/>
  <c r="N260" i="15"/>
  <c r="F260" i="15"/>
  <c r="E260" i="15"/>
  <c r="D260" i="15"/>
  <c r="I260" i="15"/>
  <c r="I361" i="15"/>
  <c r="O361" i="15"/>
  <c r="G361" i="15"/>
  <c r="H361" i="15" s="1"/>
  <c r="J361" i="15" s="1"/>
  <c r="V361" i="15"/>
  <c r="N361" i="15"/>
  <c r="F361" i="15"/>
  <c r="D361" i="15"/>
  <c r="E361" i="15"/>
  <c r="I302" i="15"/>
  <c r="O302" i="15"/>
  <c r="G302" i="15"/>
  <c r="H302" i="15" s="1"/>
  <c r="J302" i="15" s="1"/>
  <c r="V302" i="15"/>
  <c r="N302" i="15"/>
  <c r="F302" i="15"/>
  <c r="D302" i="15"/>
  <c r="E302" i="15"/>
  <c r="O233" i="15"/>
  <c r="G233" i="15"/>
  <c r="H233" i="15" s="1"/>
  <c r="J233" i="15" s="1"/>
  <c r="V233" i="15"/>
  <c r="N233" i="15"/>
  <c r="F233" i="15"/>
  <c r="E233" i="15"/>
  <c r="I233" i="15"/>
  <c r="D233" i="15"/>
  <c r="O44" i="15"/>
  <c r="G44" i="15"/>
  <c r="H44" i="15" s="1"/>
  <c r="J44" i="15" s="1"/>
  <c r="F44" i="15"/>
  <c r="E44" i="15"/>
  <c r="N44" i="15"/>
  <c r="D44" i="15"/>
  <c r="V44" i="15"/>
  <c r="I44" i="15"/>
  <c r="I40" i="15"/>
  <c r="O40" i="15"/>
  <c r="G40" i="15"/>
  <c r="H40" i="15" s="1"/>
  <c r="J40" i="15" s="1"/>
  <c r="V40" i="15"/>
  <c r="N40" i="15"/>
  <c r="F40" i="15"/>
  <c r="E40" i="15"/>
  <c r="D40" i="15"/>
  <c r="I8" i="15"/>
  <c r="O8" i="15"/>
  <c r="G8" i="15"/>
  <c r="H8" i="15" s="1"/>
  <c r="J8" i="15" s="1"/>
  <c r="E8" i="15"/>
  <c r="D8" i="15"/>
  <c r="N8" i="15"/>
  <c r="F8" i="15"/>
  <c r="V8" i="15"/>
  <c r="V673" i="15"/>
  <c r="N673" i="15"/>
  <c r="F673" i="15"/>
  <c r="E673" i="15"/>
  <c r="D673" i="15"/>
  <c r="I673" i="15"/>
  <c r="G673" i="15"/>
  <c r="H673" i="15" s="1"/>
  <c r="J673" i="15" s="1"/>
  <c r="O673" i="15"/>
  <c r="I312" i="15"/>
  <c r="V312" i="15"/>
  <c r="N312" i="15"/>
  <c r="F312" i="15"/>
  <c r="E312" i="15"/>
  <c r="G312" i="15"/>
  <c r="H312" i="15" s="1"/>
  <c r="J312" i="15" s="1"/>
  <c r="D312" i="15"/>
  <c r="O312" i="15"/>
  <c r="O37" i="15"/>
  <c r="G37" i="15"/>
  <c r="H37" i="15" s="1"/>
  <c r="J37" i="15" s="1"/>
  <c r="V37" i="15"/>
  <c r="N37" i="15"/>
  <c r="F37" i="15"/>
  <c r="E37" i="15"/>
  <c r="D37" i="15"/>
  <c r="I37" i="15"/>
  <c r="V519" i="15"/>
  <c r="N519" i="15"/>
  <c r="F519" i="15"/>
  <c r="E519" i="15"/>
  <c r="D519" i="15"/>
  <c r="I519" i="15"/>
  <c r="O519" i="15"/>
  <c r="G519" i="15"/>
  <c r="H519" i="15" s="1"/>
  <c r="J519" i="15" s="1"/>
  <c r="I31" i="15"/>
  <c r="O31" i="15"/>
  <c r="G31" i="15"/>
  <c r="H31" i="15" s="1"/>
  <c r="J31" i="15" s="1"/>
  <c r="V31" i="15"/>
  <c r="N31" i="15"/>
  <c r="F31" i="15"/>
  <c r="E31" i="15"/>
  <c r="D31" i="15"/>
  <c r="O544" i="15"/>
  <c r="G544" i="15"/>
  <c r="H544" i="15" s="1"/>
  <c r="J544" i="15" s="1"/>
  <c r="V544" i="15"/>
  <c r="N544" i="15"/>
  <c r="F544" i="15"/>
  <c r="E544" i="15"/>
  <c r="D544" i="15"/>
  <c r="I544" i="15"/>
  <c r="O717" i="15"/>
  <c r="E717" i="15"/>
  <c r="N717" i="15"/>
  <c r="D717" i="15"/>
  <c r="V717" i="15"/>
  <c r="G717" i="15"/>
  <c r="H717" i="15" s="1"/>
  <c r="J717" i="15" s="1"/>
  <c r="F717" i="15"/>
  <c r="I717" i="15"/>
  <c r="D112" i="15"/>
  <c r="I112" i="15"/>
  <c r="O112" i="15"/>
  <c r="G112" i="15"/>
  <c r="H112" i="15" s="1"/>
  <c r="J112" i="15" s="1"/>
  <c r="V112" i="15"/>
  <c r="N112" i="15"/>
  <c r="F112" i="15"/>
  <c r="E112" i="15"/>
  <c r="I172" i="15"/>
  <c r="V172" i="15"/>
  <c r="N172" i="15"/>
  <c r="F172" i="15"/>
  <c r="E172" i="15"/>
  <c r="O172" i="15"/>
  <c r="G172" i="15"/>
  <c r="H172" i="15" s="1"/>
  <c r="J172" i="15" s="1"/>
  <c r="D172" i="15"/>
  <c r="V532" i="15"/>
  <c r="N532" i="15"/>
  <c r="F532" i="15"/>
  <c r="E532" i="15"/>
  <c r="I532" i="15"/>
  <c r="G532" i="15"/>
  <c r="H532" i="15" s="1"/>
  <c r="J532" i="15" s="1"/>
  <c r="D532" i="15"/>
  <c r="O532" i="15"/>
  <c r="V323" i="15"/>
  <c r="N323" i="15"/>
  <c r="F323" i="15"/>
  <c r="E323" i="15"/>
  <c r="D323" i="15"/>
  <c r="I323" i="15"/>
  <c r="G323" i="15"/>
  <c r="H323" i="15" s="1"/>
  <c r="J323" i="15" s="1"/>
  <c r="O323" i="15"/>
  <c r="I685" i="15"/>
  <c r="G685" i="15"/>
  <c r="H685" i="15" s="1"/>
  <c r="J685" i="15" s="1"/>
  <c r="N685" i="15"/>
  <c r="E685" i="15"/>
  <c r="V685" i="15"/>
  <c r="D685" i="15"/>
  <c r="O685" i="15"/>
  <c r="F685" i="15"/>
  <c r="O581" i="15"/>
  <c r="G581" i="15"/>
  <c r="H581" i="15" s="1"/>
  <c r="J581" i="15" s="1"/>
  <c r="V581" i="15"/>
  <c r="N581" i="15"/>
  <c r="F581" i="15"/>
  <c r="E581" i="15"/>
  <c r="D581" i="15"/>
  <c r="I581" i="15"/>
  <c r="O316" i="15"/>
  <c r="G316" i="15"/>
  <c r="H316" i="15" s="1"/>
  <c r="J316" i="15" s="1"/>
  <c r="V316" i="15"/>
  <c r="N316" i="15"/>
  <c r="F316" i="15"/>
  <c r="E316" i="15"/>
  <c r="D316" i="15"/>
  <c r="I316" i="15"/>
  <c r="O168" i="15"/>
  <c r="G168" i="15"/>
  <c r="H168" i="15" s="1"/>
  <c r="J168" i="15" s="1"/>
  <c r="V168" i="15"/>
  <c r="N168" i="15"/>
  <c r="F168" i="15"/>
  <c r="I168" i="15"/>
  <c r="E168" i="15"/>
  <c r="D168" i="15"/>
  <c r="D408" i="15"/>
  <c r="I408" i="15"/>
  <c r="O408" i="15"/>
  <c r="G408" i="15"/>
  <c r="H408" i="15" s="1"/>
  <c r="J408" i="15" s="1"/>
  <c r="V408" i="15"/>
  <c r="N408" i="15"/>
  <c r="F408" i="15"/>
  <c r="E408" i="15"/>
  <c r="G716" i="15"/>
  <c r="H716" i="15" s="1"/>
  <c r="J716" i="15" s="1"/>
  <c r="O716" i="15"/>
  <c r="F716" i="15"/>
  <c r="N716" i="15"/>
  <c r="E716" i="15"/>
  <c r="D716" i="15"/>
  <c r="I716" i="15"/>
  <c r="V716" i="15"/>
  <c r="I547" i="15"/>
  <c r="O547" i="15"/>
  <c r="G547" i="15"/>
  <c r="H547" i="15" s="1"/>
  <c r="J547" i="15" s="1"/>
  <c r="E547" i="15"/>
  <c r="D547" i="15"/>
  <c r="N547" i="15"/>
  <c r="F547" i="15"/>
  <c r="V547" i="15"/>
  <c r="I422" i="15"/>
  <c r="O422" i="15"/>
  <c r="G422" i="15"/>
  <c r="H422" i="15" s="1"/>
  <c r="J422" i="15" s="1"/>
  <c r="E422" i="15"/>
  <c r="D422" i="15"/>
  <c r="F422" i="15"/>
  <c r="N422" i="15"/>
  <c r="V422" i="15"/>
  <c r="I263" i="15"/>
  <c r="O263" i="15"/>
  <c r="G263" i="15"/>
  <c r="H263" i="15" s="1"/>
  <c r="J263" i="15" s="1"/>
  <c r="E263" i="15"/>
  <c r="D263" i="15"/>
  <c r="N263" i="15"/>
  <c r="F263" i="15"/>
  <c r="V263" i="15"/>
  <c r="O152" i="15"/>
  <c r="G152" i="15"/>
  <c r="H152" i="15" s="1"/>
  <c r="J152" i="15" s="1"/>
  <c r="V152" i="15"/>
  <c r="N152" i="15"/>
  <c r="F152" i="15"/>
  <c r="E152" i="15"/>
  <c r="I152" i="15"/>
  <c r="D152" i="15"/>
  <c r="O99" i="15"/>
  <c r="G99" i="15"/>
  <c r="H99" i="15" s="1"/>
  <c r="J99" i="15" s="1"/>
  <c r="V99" i="15"/>
  <c r="N99" i="15"/>
  <c r="F99" i="15"/>
  <c r="E99" i="15"/>
  <c r="D99" i="15"/>
  <c r="I99" i="15"/>
  <c r="D741" i="15"/>
  <c r="O741" i="15"/>
  <c r="N741" i="15"/>
  <c r="I741" i="15"/>
  <c r="G741" i="15"/>
  <c r="H741" i="15" s="1"/>
  <c r="J741" i="15" s="1"/>
  <c r="F741" i="15"/>
  <c r="V741" i="15"/>
  <c r="E741" i="15"/>
  <c r="D695" i="15"/>
  <c r="I695" i="15"/>
  <c r="O695" i="15"/>
  <c r="G695" i="15"/>
  <c r="H695" i="15" s="1"/>
  <c r="J695" i="15" s="1"/>
  <c r="V695" i="15"/>
  <c r="N695" i="15"/>
  <c r="F695" i="15"/>
  <c r="E695" i="15"/>
  <c r="D631" i="15"/>
  <c r="I631" i="15"/>
  <c r="O631" i="15"/>
  <c r="G631" i="15"/>
  <c r="H631" i="15" s="1"/>
  <c r="J631" i="15" s="1"/>
  <c r="V631" i="15"/>
  <c r="N631" i="15"/>
  <c r="F631" i="15"/>
  <c r="E631" i="15"/>
  <c r="D586" i="15"/>
  <c r="I586" i="15"/>
  <c r="O586" i="15"/>
  <c r="G586" i="15"/>
  <c r="H586" i="15" s="1"/>
  <c r="J586" i="15" s="1"/>
  <c r="V586" i="15"/>
  <c r="N586" i="15"/>
  <c r="F586" i="15"/>
  <c r="E586" i="15"/>
  <c r="E502" i="15"/>
  <c r="D502" i="15"/>
  <c r="O502" i="15"/>
  <c r="G502" i="15"/>
  <c r="H502" i="15" s="1"/>
  <c r="J502" i="15" s="1"/>
  <c r="I502" i="15"/>
  <c r="F502" i="15"/>
  <c r="V502" i="15"/>
  <c r="N502" i="15"/>
  <c r="V495" i="15"/>
  <c r="N495" i="15"/>
  <c r="F495" i="15"/>
  <c r="E495" i="15"/>
  <c r="D495" i="15"/>
  <c r="I495" i="15"/>
  <c r="G495" i="15"/>
  <c r="H495" i="15" s="1"/>
  <c r="J495" i="15" s="1"/>
  <c r="O495" i="15"/>
  <c r="V463" i="15"/>
  <c r="N463" i="15"/>
  <c r="F463" i="15"/>
  <c r="E463" i="15"/>
  <c r="D463" i="15"/>
  <c r="I463" i="15"/>
  <c r="O463" i="15"/>
  <c r="G463" i="15"/>
  <c r="H463" i="15" s="1"/>
  <c r="J463" i="15" s="1"/>
  <c r="E381" i="15"/>
  <c r="D381" i="15"/>
  <c r="O381" i="15"/>
  <c r="G381" i="15"/>
  <c r="H381" i="15" s="1"/>
  <c r="J381" i="15" s="1"/>
  <c r="N381" i="15"/>
  <c r="I381" i="15"/>
  <c r="F381" i="15"/>
  <c r="V381" i="15"/>
  <c r="E330" i="15"/>
  <c r="D330" i="15"/>
  <c r="O330" i="15"/>
  <c r="G330" i="15"/>
  <c r="H330" i="15" s="1"/>
  <c r="J330" i="15" s="1"/>
  <c r="I330" i="15"/>
  <c r="F330" i="15"/>
  <c r="V330" i="15"/>
  <c r="N330" i="15"/>
  <c r="I204" i="15"/>
  <c r="V204" i="15"/>
  <c r="N204" i="15"/>
  <c r="F204" i="15"/>
  <c r="E204" i="15"/>
  <c r="O204" i="15"/>
  <c r="G204" i="15"/>
  <c r="H204" i="15" s="1"/>
  <c r="J204" i="15" s="1"/>
  <c r="D204" i="15"/>
  <c r="E182" i="15"/>
  <c r="D182" i="15"/>
  <c r="O182" i="15"/>
  <c r="G182" i="15"/>
  <c r="H182" i="15" s="1"/>
  <c r="J182" i="15" s="1"/>
  <c r="N182" i="15"/>
  <c r="I182" i="15"/>
  <c r="F182" i="15"/>
  <c r="V182" i="15"/>
  <c r="V223" i="15"/>
  <c r="N223" i="15"/>
  <c r="F223" i="15"/>
  <c r="E223" i="15"/>
  <c r="D223" i="15"/>
  <c r="I223" i="15"/>
  <c r="O223" i="15"/>
  <c r="G223" i="15"/>
  <c r="H223" i="15" s="1"/>
  <c r="J223" i="15" s="1"/>
  <c r="D136" i="15"/>
  <c r="I136" i="15"/>
  <c r="O136" i="15"/>
  <c r="G136" i="15"/>
  <c r="H136" i="15" s="1"/>
  <c r="J136" i="15" s="1"/>
  <c r="V136" i="15"/>
  <c r="N136" i="15"/>
  <c r="F136" i="15"/>
  <c r="E136" i="15"/>
  <c r="V90" i="15"/>
  <c r="N90" i="15"/>
  <c r="F90" i="15"/>
  <c r="E90" i="15"/>
  <c r="D90" i="15"/>
  <c r="I90" i="15"/>
  <c r="G90" i="15"/>
  <c r="H90" i="15" s="1"/>
  <c r="J90" i="15" s="1"/>
  <c r="O90" i="15"/>
  <c r="V74" i="15"/>
  <c r="N74" i="15"/>
  <c r="F74" i="15"/>
  <c r="E74" i="15"/>
  <c r="D74" i="15"/>
  <c r="I74" i="15"/>
  <c r="O74" i="15"/>
  <c r="G74" i="15"/>
  <c r="H74" i="15" s="1"/>
  <c r="J74" i="15" s="1"/>
  <c r="I714" i="15"/>
  <c r="V714" i="15"/>
  <c r="N714" i="15"/>
  <c r="F714" i="15"/>
  <c r="E714" i="15"/>
  <c r="O714" i="15"/>
  <c r="D714" i="15"/>
  <c r="G714" i="15"/>
  <c r="H714" i="15" s="1"/>
  <c r="J714" i="15" s="1"/>
  <c r="O698" i="15"/>
  <c r="G698" i="15"/>
  <c r="H698" i="15" s="1"/>
  <c r="J698" i="15" s="1"/>
  <c r="V698" i="15"/>
  <c r="N698" i="15"/>
  <c r="F698" i="15"/>
  <c r="E698" i="15"/>
  <c r="D698" i="15"/>
  <c r="I698" i="15"/>
  <c r="D660" i="15"/>
  <c r="I660" i="15"/>
  <c r="O660" i="15"/>
  <c r="G660" i="15"/>
  <c r="H660" i="15" s="1"/>
  <c r="J660" i="15" s="1"/>
  <c r="V660" i="15"/>
  <c r="N660" i="15"/>
  <c r="F660" i="15"/>
  <c r="E660" i="15"/>
  <c r="E579" i="15"/>
  <c r="D579" i="15"/>
  <c r="O579" i="15"/>
  <c r="G579" i="15"/>
  <c r="H579" i="15" s="1"/>
  <c r="J579" i="15" s="1"/>
  <c r="V579" i="15"/>
  <c r="N579" i="15"/>
  <c r="F579" i="15"/>
  <c r="I579" i="15"/>
  <c r="V559" i="15"/>
  <c r="N559" i="15"/>
  <c r="F559" i="15"/>
  <c r="E559" i="15"/>
  <c r="D559" i="15"/>
  <c r="I559" i="15"/>
  <c r="O559" i="15"/>
  <c r="G559" i="15"/>
  <c r="H559" i="15" s="1"/>
  <c r="J559" i="15" s="1"/>
  <c r="E470" i="15"/>
  <c r="D470" i="15"/>
  <c r="O470" i="15"/>
  <c r="G470" i="15"/>
  <c r="H470" i="15" s="1"/>
  <c r="J470" i="15" s="1"/>
  <c r="V470" i="15"/>
  <c r="N470" i="15"/>
  <c r="F470" i="15"/>
  <c r="I470" i="15"/>
  <c r="V479" i="15"/>
  <c r="N479" i="15"/>
  <c r="F479" i="15"/>
  <c r="E479" i="15"/>
  <c r="D479" i="15"/>
  <c r="I479" i="15"/>
  <c r="G479" i="15"/>
  <c r="H479" i="15" s="1"/>
  <c r="J479" i="15" s="1"/>
  <c r="O479" i="15"/>
  <c r="I304" i="15"/>
  <c r="V304" i="15"/>
  <c r="N304" i="15"/>
  <c r="F304" i="15"/>
  <c r="E304" i="15"/>
  <c r="G304" i="15"/>
  <c r="H304" i="15" s="1"/>
  <c r="J304" i="15" s="1"/>
  <c r="O304" i="15"/>
  <c r="D304" i="15"/>
  <c r="E258" i="15"/>
  <c r="D258" i="15"/>
  <c r="O258" i="15"/>
  <c r="G258" i="15"/>
  <c r="H258" i="15" s="1"/>
  <c r="J258" i="15" s="1"/>
  <c r="V258" i="15"/>
  <c r="N258" i="15"/>
  <c r="I258" i="15"/>
  <c r="F258" i="15"/>
  <c r="V347" i="15"/>
  <c r="N347" i="15"/>
  <c r="F347" i="15"/>
  <c r="E347" i="15"/>
  <c r="D347" i="15"/>
  <c r="I347" i="15"/>
  <c r="O347" i="15"/>
  <c r="G347" i="15"/>
  <c r="H347" i="15" s="1"/>
  <c r="J347" i="15" s="1"/>
  <c r="V259" i="15"/>
  <c r="N259" i="15"/>
  <c r="F259" i="15"/>
  <c r="E259" i="15"/>
  <c r="D259" i="15"/>
  <c r="I259" i="15"/>
  <c r="G259" i="15"/>
  <c r="H259" i="15" s="1"/>
  <c r="J259" i="15" s="1"/>
  <c r="O259" i="15"/>
  <c r="O216" i="15"/>
  <c r="G216" i="15"/>
  <c r="H216" i="15" s="1"/>
  <c r="J216" i="15" s="1"/>
  <c r="V216" i="15"/>
  <c r="N216" i="15"/>
  <c r="F216" i="15"/>
  <c r="E216" i="15"/>
  <c r="D216" i="15"/>
  <c r="I216" i="15"/>
  <c r="D162" i="15"/>
  <c r="O162" i="15"/>
  <c r="E162" i="15"/>
  <c r="N162" i="15"/>
  <c r="V162" i="15"/>
  <c r="G162" i="15"/>
  <c r="H162" i="15" s="1"/>
  <c r="J162" i="15" s="1"/>
  <c r="F162" i="15"/>
  <c r="I162" i="15"/>
  <c r="D64" i="15"/>
  <c r="I64" i="15"/>
  <c r="O64" i="15"/>
  <c r="G64" i="15"/>
  <c r="H64" i="15" s="1"/>
  <c r="J64" i="15" s="1"/>
  <c r="V64" i="15"/>
  <c r="N64" i="15"/>
  <c r="F64" i="15"/>
  <c r="E64" i="15"/>
  <c r="I63" i="15"/>
  <c r="V63" i="15"/>
  <c r="N63" i="15"/>
  <c r="F63" i="15"/>
  <c r="E63" i="15"/>
  <c r="O63" i="15"/>
  <c r="G63" i="15"/>
  <c r="H63" i="15" s="1"/>
  <c r="J63" i="15" s="1"/>
  <c r="D63" i="15"/>
  <c r="R11" i="28" a="1"/>
  <c r="R11" i="28" s="1"/>
  <c r="I45" i="15"/>
  <c r="V45" i="15"/>
  <c r="G45" i="15"/>
  <c r="H45" i="15" s="1"/>
  <c r="J45" i="15" s="1"/>
  <c r="F45" i="15"/>
  <c r="E45" i="15"/>
  <c r="O45" i="15"/>
  <c r="D45" i="15"/>
  <c r="N45" i="15"/>
  <c r="V735" i="15"/>
  <c r="N735" i="15"/>
  <c r="F735" i="15"/>
  <c r="E735" i="15"/>
  <c r="D735" i="15"/>
  <c r="I735" i="15"/>
  <c r="G735" i="15"/>
  <c r="H735" i="15" s="1"/>
  <c r="J735" i="15" s="1"/>
  <c r="O735" i="15"/>
  <c r="O648" i="15"/>
  <c r="G648" i="15"/>
  <c r="H648" i="15" s="1"/>
  <c r="J648" i="15" s="1"/>
  <c r="V648" i="15"/>
  <c r="N648" i="15"/>
  <c r="F648" i="15"/>
  <c r="E648" i="15"/>
  <c r="D648" i="15"/>
  <c r="I648" i="15"/>
  <c r="I592" i="15"/>
  <c r="O592" i="15"/>
  <c r="G592" i="15"/>
  <c r="H592" i="15" s="1"/>
  <c r="J592" i="15" s="1"/>
  <c r="E592" i="15"/>
  <c r="D592" i="15"/>
  <c r="N592" i="15"/>
  <c r="F592" i="15"/>
  <c r="V592" i="15"/>
  <c r="O448" i="15"/>
  <c r="G448" i="15"/>
  <c r="H448" i="15" s="1"/>
  <c r="J448" i="15" s="1"/>
  <c r="V448" i="15"/>
  <c r="N448" i="15"/>
  <c r="F448" i="15"/>
  <c r="E448" i="15"/>
  <c r="D448" i="15"/>
  <c r="I448" i="15"/>
  <c r="I490" i="15"/>
  <c r="O490" i="15"/>
  <c r="G490" i="15"/>
  <c r="H490" i="15" s="1"/>
  <c r="J490" i="15" s="1"/>
  <c r="V490" i="15"/>
  <c r="N490" i="15"/>
  <c r="F490" i="15"/>
  <c r="D490" i="15"/>
  <c r="E490" i="15"/>
  <c r="O292" i="15"/>
  <c r="G292" i="15"/>
  <c r="H292" i="15" s="1"/>
  <c r="J292" i="15" s="1"/>
  <c r="V292" i="15"/>
  <c r="N292" i="15"/>
  <c r="F292" i="15"/>
  <c r="E292" i="15"/>
  <c r="D292" i="15"/>
  <c r="I292" i="15"/>
  <c r="I195" i="15"/>
  <c r="O195" i="15"/>
  <c r="G195" i="15"/>
  <c r="H195" i="15" s="1"/>
  <c r="J195" i="15" s="1"/>
  <c r="E195" i="15"/>
  <c r="D195" i="15"/>
  <c r="F195" i="15"/>
  <c r="V195" i="15"/>
  <c r="N195" i="15"/>
  <c r="I254" i="15"/>
  <c r="O254" i="15"/>
  <c r="G254" i="15"/>
  <c r="H254" i="15" s="1"/>
  <c r="J254" i="15" s="1"/>
  <c r="V254" i="15"/>
  <c r="N254" i="15"/>
  <c r="F254" i="15"/>
  <c r="D254" i="15"/>
  <c r="E254" i="15"/>
  <c r="I702" i="15"/>
  <c r="V702" i="15"/>
  <c r="N702" i="15"/>
  <c r="F702" i="15"/>
  <c r="E702" i="15"/>
  <c r="G702" i="15"/>
  <c r="H702" i="15" s="1"/>
  <c r="J702" i="15" s="1"/>
  <c r="D702" i="15"/>
  <c r="O702" i="15"/>
  <c r="I637" i="15"/>
  <c r="V637" i="15"/>
  <c r="N637" i="15"/>
  <c r="F637" i="15"/>
  <c r="E637" i="15"/>
  <c r="G637" i="15"/>
  <c r="H637" i="15" s="1"/>
  <c r="J637" i="15" s="1"/>
  <c r="D637" i="15"/>
  <c r="O637" i="15"/>
  <c r="I577" i="15"/>
  <c r="V577" i="15"/>
  <c r="N577" i="15"/>
  <c r="F577" i="15"/>
  <c r="E577" i="15"/>
  <c r="O577" i="15"/>
  <c r="G577" i="15"/>
  <c r="H577" i="15" s="1"/>
  <c r="J577" i="15" s="1"/>
  <c r="D577" i="15"/>
  <c r="V580" i="15"/>
  <c r="N580" i="15"/>
  <c r="F580" i="15"/>
  <c r="E580" i="15"/>
  <c r="D580" i="15"/>
  <c r="I580" i="15"/>
  <c r="O580" i="15"/>
  <c r="G580" i="15"/>
  <c r="H580" i="15" s="1"/>
  <c r="J580" i="15" s="1"/>
  <c r="D485" i="15"/>
  <c r="O485" i="15"/>
  <c r="G485" i="15"/>
  <c r="H485" i="15" s="1"/>
  <c r="J485" i="15" s="1"/>
  <c r="V485" i="15"/>
  <c r="N485" i="15"/>
  <c r="F485" i="15"/>
  <c r="I485" i="15"/>
  <c r="E485" i="15"/>
  <c r="I468" i="15"/>
  <c r="V468" i="15"/>
  <c r="N468" i="15"/>
  <c r="F468" i="15"/>
  <c r="E468" i="15"/>
  <c r="G468" i="15"/>
  <c r="H468" i="15" s="1"/>
  <c r="J468" i="15" s="1"/>
  <c r="D468" i="15"/>
  <c r="O468" i="15"/>
  <c r="V503" i="15"/>
  <c r="N503" i="15"/>
  <c r="F503" i="15"/>
  <c r="E503" i="15"/>
  <c r="D503" i="15"/>
  <c r="I503" i="15"/>
  <c r="O503" i="15"/>
  <c r="G503" i="15"/>
  <c r="H503" i="15" s="1"/>
  <c r="J503" i="15" s="1"/>
  <c r="D356" i="15"/>
  <c r="I356" i="15"/>
  <c r="O356" i="15"/>
  <c r="G356" i="15"/>
  <c r="H356" i="15" s="1"/>
  <c r="J356" i="15" s="1"/>
  <c r="V356" i="15"/>
  <c r="N356" i="15"/>
  <c r="F356" i="15"/>
  <c r="E356" i="15"/>
  <c r="D265" i="15"/>
  <c r="I265" i="15"/>
  <c r="O265" i="15"/>
  <c r="G265" i="15"/>
  <c r="H265" i="15" s="1"/>
  <c r="J265" i="15" s="1"/>
  <c r="V265" i="15"/>
  <c r="N265" i="15"/>
  <c r="F265" i="15"/>
  <c r="E265" i="15"/>
  <c r="O353" i="15"/>
  <c r="V353" i="15"/>
  <c r="N353" i="15"/>
  <c r="D353" i="15"/>
  <c r="I353" i="15"/>
  <c r="G353" i="15"/>
  <c r="H353" i="15" s="1"/>
  <c r="J353" i="15" s="1"/>
  <c r="E353" i="15"/>
  <c r="F353" i="15"/>
  <c r="I244" i="15"/>
  <c r="V244" i="15"/>
  <c r="N244" i="15"/>
  <c r="F244" i="15"/>
  <c r="E244" i="15"/>
  <c r="O244" i="15"/>
  <c r="G244" i="15"/>
  <c r="H244" i="15" s="1"/>
  <c r="J244" i="15" s="1"/>
  <c r="D244" i="15"/>
  <c r="E222" i="15"/>
  <c r="D222" i="15"/>
  <c r="O222" i="15"/>
  <c r="G222" i="15"/>
  <c r="H222" i="15" s="1"/>
  <c r="J222" i="15" s="1"/>
  <c r="V222" i="15"/>
  <c r="N222" i="15"/>
  <c r="I222" i="15"/>
  <c r="F222" i="15"/>
  <c r="I55" i="15"/>
  <c r="V55" i="15"/>
  <c r="N55" i="15"/>
  <c r="F55" i="15"/>
  <c r="E55" i="15"/>
  <c r="O55" i="15"/>
  <c r="G55" i="15"/>
  <c r="H55" i="15" s="1"/>
  <c r="J55" i="15" s="1"/>
  <c r="D55" i="15"/>
  <c r="E35" i="15"/>
  <c r="D35" i="15"/>
  <c r="I35" i="15"/>
  <c r="O35" i="15"/>
  <c r="G35" i="15"/>
  <c r="H35" i="15" s="1"/>
  <c r="J35" i="15" s="1"/>
  <c r="V35" i="15"/>
  <c r="N35" i="15"/>
  <c r="F35" i="15"/>
  <c r="V82" i="15"/>
  <c r="N82" i="15"/>
  <c r="F82" i="15"/>
  <c r="E82" i="15"/>
  <c r="D82" i="15"/>
  <c r="I82" i="15"/>
  <c r="O82" i="15"/>
  <c r="G82" i="15"/>
  <c r="H82" i="15" s="1"/>
  <c r="J82" i="15" s="1"/>
  <c r="I740" i="15"/>
  <c r="V740" i="15"/>
  <c r="G740" i="15"/>
  <c r="H740" i="15" s="1"/>
  <c r="J740" i="15" s="1"/>
  <c r="E740" i="15"/>
  <c r="O740" i="15"/>
  <c r="D740" i="15"/>
  <c r="N740" i="15"/>
  <c r="F740" i="15"/>
  <c r="I694" i="15"/>
  <c r="V694" i="15"/>
  <c r="N694" i="15"/>
  <c r="F694" i="15"/>
  <c r="E694" i="15"/>
  <c r="G694" i="15"/>
  <c r="H694" i="15" s="1"/>
  <c r="J694" i="15" s="1"/>
  <c r="D694" i="15"/>
  <c r="O694" i="15"/>
  <c r="D707" i="15"/>
  <c r="G707" i="15"/>
  <c r="H707" i="15" s="1"/>
  <c r="J707" i="15" s="1"/>
  <c r="O707" i="15"/>
  <c r="F707" i="15"/>
  <c r="N707" i="15"/>
  <c r="E707" i="15"/>
  <c r="V707" i="15"/>
  <c r="I707" i="15"/>
  <c r="I630" i="15"/>
  <c r="V630" i="15"/>
  <c r="N630" i="15"/>
  <c r="F630" i="15"/>
  <c r="E630" i="15"/>
  <c r="G630" i="15"/>
  <c r="H630" i="15" s="1"/>
  <c r="J630" i="15" s="1"/>
  <c r="O630" i="15"/>
  <c r="D630" i="15"/>
  <c r="V569" i="15"/>
  <c r="I569" i="15"/>
  <c r="F569" i="15"/>
  <c r="O569" i="15"/>
  <c r="E569" i="15"/>
  <c r="N569" i="15"/>
  <c r="D569" i="15"/>
  <c r="G569" i="15"/>
  <c r="H569" i="15" s="1"/>
  <c r="J569" i="15" s="1"/>
  <c r="V654" i="15"/>
  <c r="N654" i="15"/>
  <c r="F654" i="15"/>
  <c r="E654" i="15"/>
  <c r="D654" i="15"/>
  <c r="I654" i="15"/>
  <c r="O654" i="15"/>
  <c r="G654" i="15"/>
  <c r="H654" i="15" s="1"/>
  <c r="J654" i="15" s="1"/>
  <c r="I460" i="15"/>
  <c r="V460" i="15"/>
  <c r="N460" i="15"/>
  <c r="F460" i="15"/>
  <c r="E460" i="15"/>
  <c r="G460" i="15"/>
  <c r="H460" i="15" s="1"/>
  <c r="J460" i="15" s="1"/>
  <c r="O460" i="15"/>
  <c r="D460" i="15"/>
  <c r="V471" i="15"/>
  <c r="N471" i="15"/>
  <c r="F471" i="15"/>
  <c r="E471" i="15"/>
  <c r="D471" i="15"/>
  <c r="I471" i="15"/>
  <c r="O471" i="15"/>
  <c r="G471" i="15"/>
  <c r="H471" i="15" s="1"/>
  <c r="J471" i="15" s="1"/>
  <c r="D257" i="15"/>
  <c r="I257" i="15"/>
  <c r="O257" i="15"/>
  <c r="G257" i="15"/>
  <c r="H257" i="15" s="1"/>
  <c r="J257" i="15" s="1"/>
  <c r="V257" i="15"/>
  <c r="N257" i="15"/>
  <c r="F257" i="15"/>
  <c r="E257" i="15"/>
  <c r="I236" i="15"/>
  <c r="V236" i="15"/>
  <c r="N236" i="15"/>
  <c r="F236" i="15"/>
  <c r="E236" i="15"/>
  <c r="O236" i="15"/>
  <c r="G236" i="15"/>
  <c r="H236" i="15" s="1"/>
  <c r="J236" i="15" s="1"/>
  <c r="D236" i="15"/>
  <c r="E214" i="15"/>
  <c r="D214" i="15"/>
  <c r="O214" i="15"/>
  <c r="G214" i="15"/>
  <c r="H214" i="15" s="1"/>
  <c r="J214" i="15" s="1"/>
  <c r="N214" i="15"/>
  <c r="I214" i="15"/>
  <c r="F214" i="15"/>
  <c r="V214" i="15"/>
  <c r="V47" i="15"/>
  <c r="N47" i="15"/>
  <c r="F47" i="15"/>
  <c r="E47" i="15"/>
  <c r="I47" i="15"/>
  <c r="G47" i="15"/>
  <c r="H47" i="15" s="1"/>
  <c r="J47" i="15" s="1"/>
  <c r="D47" i="15"/>
  <c r="O47" i="15"/>
  <c r="E43" i="15"/>
  <c r="D43" i="15"/>
  <c r="I43" i="15"/>
  <c r="O43" i="15"/>
  <c r="G43" i="15"/>
  <c r="H43" i="15" s="1"/>
  <c r="J43" i="15" s="1"/>
  <c r="V43" i="15"/>
  <c r="N43" i="15"/>
  <c r="F43" i="15"/>
  <c r="D48" i="15"/>
  <c r="O48" i="15"/>
  <c r="G48" i="15"/>
  <c r="H48" i="15" s="1"/>
  <c r="J48" i="15" s="1"/>
  <c r="V48" i="15"/>
  <c r="N48" i="15"/>
  <c r="F48" i="15"/>
  <c r="I48" i="15"/>
  <c r="E48" i="15"/>
  <c r="I109" i="15"/>
  <c r="O109" i="15"/>
  <c r="G109" i="15"/>
  <c r="H109" i="15" s="1"/>
  <c r="J109" i="15" s="1"/>
  <c r="V109" i="15"/>
  <c r="N109" i="15"/>
  <c r="F109" i="15"/>
  <c r="D109" i="15"/>
  <c r="E109" i="15"/>
  <c r="O722" i="15"/>
  <c r="G722" i="15"/>
  <c r="H722" i="15" s="1"/>
  <c r="J722" i="15" s="1"/>
  <c r="F722" i="15"/>
  <c r="E722" i="15"/>
  <c r="N722" i="15"/>
  <c r="D722" i="15"/>
  <c r="V722" i="15"/>
  <c r="I722" i="15"/>
  <c r="O656" i="15"/>
  <c r="G656" i="15"/>
  <c r="H656" i="15" s="1"/>
  <c r="J656" i="15" s="1"/>
  <c r="V656" i="15"/>
  <c r="N656" i="15"/>
  <c r="F656" i="15"/>
  <c r="E656" i="15"/>
  <c r="D656" i="15"/>
  <c r="I656" i="15"/>
  <c r="I620" i="15"/>
  <c r="O620" i="15"/>
  <c r="G620" i="15"/>
  <c r="H620" i="15" s="1"/>
  <c r="J620" i="15" s="1"/>
  <c r="D620" i="15"/>
  <c r="E620" i="15"/>
  <c r="V620" i="15"/>
  <c r="N620" i="15"/>
  <c r="F620" i="15"/>
  <c r="O606" i="15"/>
  <c r="G606" i="15"/>
  <c r="H606" i="15" s="1"/>
  <c r="J606" i="15" s="1"/>
  <c r="V606" i="15"/>
  <c r="N606" i="15"/>
  <c r="F606" i="15"/>
  <c r="E606" i="15"/>
  <c r="I606" i="15"/>
  <c r="D606" i="15"/>
  <c r="I467" i="15"/>
  <c r="O467" i="15"/>
  <c r="G467" i="15"/>
  <c r="H467" i="15" s="1"/>
  <c r="J467" i="15" s="1"/>
  <c r="E467" i="15"/>
  <c r="D467" i="15"/>
  <c r="V467" i="15"/>
  <c r="F467" i="15"/>
  <c r="N467" i="15"/>
  <c r="O481" i="15"/>
  <c r="G481" i="15"/>
  <c r="H481" i="15" s="1"/>
  <c r="J481" i="15" s="1"/>
  <c r="V481" i="15"/>
  <c r="N481" i="15"/>
  <c r="F481" i="15"/>
  <c r="E481" i="15"/>
  <c r="I481" i="15"/>
  <c r="D481" i="15"/>
  <c r="I398" i="15"/>
  <c r="E398" i="15"/>
  <c r="D398" i="15"/>
  <c r="V398" i="15"/>
  <c r="F398" i="15"/>
  <c r="O398" i="15"/>
  <c r="G398" i="15"/>
  <c r="H398" i="15" s="1"/>
  <c r="J398" i="15" s="1"/>
  <c r="N398" i="15"/>
  <c r="I343" i="15"/>
  <c r="O343" i="15"/>
  <c r="G343" i="15"/>
  <c r="H343" i="15" s="1"/>
  <c r="J343" i="15" s="1"/>
  <c r="E343" i="15"/>
  <c r="D343" i="15"/>
  <c r="V343" i="15"/>
  <c r="F343" i="15"/>
  <c r="N343" i="15"/>
  <c r="O268" i="15"/>
  <c r="G268" i="15"/>
  <c r="H268" i="15" s="1"/>
  <c r="J268" i="15" s="1"/>
  <c r="V268" i="15"/>
  <c r="N268" i="15"/>
  <c r="F268" i="15"/>
  <c r="E268" i="15"/>
  <c r="D268" i="15"/>
  <c r="I268" i="15"/>
  <c r="I171" i="15"/>
  <c r="O171" i="15"/>
  <c r="G171" i="15"/>
  <c r="H171" i="15" s="1"/>
  <c r="J171" i="15" s="1"/>
  <c r="E171" i="15"/>
  <c r="D171" i="15"/>
  <c r="N171" i="15"/>
  <c r="F171" i="15"/>
  <c r="V171" i="15"/>
  <c r="I334" i="15"/>
  <c r="O334" i="15"/>
  <c r="G334" i="15"/>
  <c r="H334" i="15" s="1"/>
  <c r="J334" i="15" s="1"/>
  <c r="V334" i="15"/>
  <c r="N334" i="15"/>
  <c r="F334" i="15"/>
  <c r="D334" i="15"/>
  <c r="E334" i="15"/>
  <c r="O241" i="15"/>
  <c r="G241" i="15"/>
  <c r="H241" i="15" s="1"/>
  <c r="J241" i="15" s="1"/>
  <c r="V241" i="15"/>
  <c r="N241" i="15"/>
  <c r="F241" i="15"/>
  <c r="E241" i="15"/>
  <c r="D241" i="15"/>
  <c r="I241" i="15"/>
  <c r="I178" i="15"/>
  <c r="O178" i="15"/>
  <c r="G178" i="15"/>
  <c r="H178" i="15" s="1"/>
  <c r="J178" i="15" s="1"/>
  <c r="V178" i="15"/>
  <c r="N178" i="15"/>
  <c r="F178" i="15"/>
  <c r="D178" i="15"/>
  <c r="E178" i="15"/>
  <c r="O52" i="15"/>
  <c r="G52" i="15"/>
  <c r="H52" i="15" s="1"/>
  <c r="J52" i="15" s="1"/>
  <c r="V52" i="15"/>
  <c r="N52" i="15"/>
  <c r="F52" i="15"/>
  <c r="I52" i="15"/>
  <c r="E52" i="15"/>
  <c r="D52" i="15"/>
  <c r="I32" i="15"/>
  <c r="O32" i="15"/>
  <c r="G32" i="15"/>
  <c r="H32" i="15" s="1"/>
  <c r="J32" i="15" s="1"/>
  <c r="V32" i="15"/>
  <c r="N32" i="15"/>
  <c r="F32" i="15"/>
  <c r="E32" i="15"/>
  <c r="D32" i="15"/>
  <c r="V36" i="15"/>
  <c r="N36" i="15"/>
  <c r="F36" i="15"/>
  <c r="E36" i="15"/>
  <c r="D36" i="15"/>
  <c r="I36" i="15"/>
  <c r="O36" i="15"/>
  <c r="G36" i="15"/>
  <c r="H36" i="15" s="1"/>
  <c r="J36" i="15" s="1"/>
  <c r="V709" i="15"/>
  <c r="N709" i="15"/>
  <c r="F709" i="15"/>
  <c r="E709" i="15"/>
  <c r="D709" i="15"/>
  <c r="O709" i="15"/>
  <c r="I709" i="15"/>
  <c r="G709" i="15"/>
  <c r="H709" i="15" s="1"/>
  <c r="J709" i="15" s="1"/>
  <c r="I617" i="15"/>
  <c r="N617" i="15"/>
  <c r="F617" i="15"/>
  <c r="V617" i="15"/>
  <c r="E617" i="15"/>
  <c r="O617" i="15"/>
  <c r="G617" i="15"/>
  <c r="H617" i="15" s="1"/>
  <c r="J617" i="15" s="1"/>
  <c r="D617" i="15"/>
  <c r="D525" i="15"/>
  <c r="I525" i="15"/>
  <c r="O525" i="15"/>
  <c r="G525" i="15"/>
  <c r="H525" i="15" s="1"/>
  <c r="J525" i="15" s="1"/>
  <c r="V525" i="15"/>
  <c r="N525" i="15"/>
  <c r="F525" i="15"/>
  <c r="E525" i="15"/>
  <c r="E425" i="15"/>
  <c r="D425" i="15"/>
  <c r="O425" i="15"/>
  <c r="G425" i="15"/>
  <c r="H425" i="15" s="1"/>
  <c r="J425" i="15" s="1"/>
  <c r="V425" i="15"/>
  <c r="N425" i="15"/>
  <c r="I425" i="15"/>
  <c r="F425" i="15"/>
  <c r="V396" i="15"/>
  <c r="D396" i="15"/>
  <c r="I396" i="15"/>
  <c r="O396" i="15"/>
  <c r="G396" i="15"/>
  <c r="H396" i="15" s="1"/>
  <c r="J396" i="15" s="1"/>
  <c r="N396" i="15"/>
  <c r="F396" i="15"/>
  <c r="E396" i="15"/>
  <c r="D305" i="15"/>
  <c r="I305" i="15"/>
  <c r="O305" i="15"/>
  <c r="G305" i="15"/>
  <c r="H305" i="15" s="1"/>
  <c r="J305" i="15" s="1"/>
  <c r="V305" i="15"/>
  <c r="N305" i="15"/>
  <c r="F305" i="15"/>
  <c r="E305" i="15"/>
  <c r="E158" i="15"/>
  <c r="D158" i="15"/>
  <c r="V158" i="15"/>
  <c r="O158" i="15"/>
  <c r="I158" i="15"/>
  <c r="G158" i="15"/>
  <c r="H158" i="15" s="1"/>
  <c r="J158" i="15" s="1"/>
  <c r="N158" i="15"/>
  <c r="F158" i="15"/>
  <c r="I95" i="15"/>
  <c r="V95" i="15"/>
  <c r="N95" i="15"/>
  <c r="F95" i="15"/>
  <c r="E95" i="15"/>
  <c r="O95" i="15"/>
  <c r="G95" i="15"/>
  <c r="H95" i="15" s="1"/>
  <c r="J95" i="15" s="1"/>
  <c r="D95" i="15"/>
  <c r="E73" i="15"/>
  <c r="D73" i="15"/>
  <c r="O73" i="15"/>
  <c r="G73" i="15"/>
  <c r="H73" i="15" s="1"/>
  <c r="J73" i="15" s="1"/>
  <c r="N73" i="15"/>
  <c r="I73" i="15"/>
  <c r="F73" i="15"/>
  <c r="V73" i="15"/>
  <c r="O11" i="28" l="1" a="1"/>
  <c r="O11" i="28" s="1"/>
  <c r="S502" i="15"/>
  <c r="K502" i="15"/>
  <c r="L502" i="15" s="1"/>
  <c r="M502" i="15" s="1"/>
  <c r="P502" i="15"/>
  <c r="Q502" i="15"/>
  <c r="K706" i="15"/>
  <c r="L706" i="15" s="1"/>
  <c r="M706" i="15" s="1"/>
  <c r="T706" i="15"/>
  <c r="R706" i="15"/>
  <c r="Q706" i="15"/>
  <c r="P706" i="15"/>
  <c r="T496" i="15"/>
  <c r="R496" i="15"/>
  <c r="Q496" i="15"/>
  <c r="P496" i="15"/>
  <c r="K496" i="15"/>
  <c r="L496" i="15" s="1"/>
  <c r="M496" i="15" s="1"/>
  <c r="K395" i="15"/>
  <c r="L395" i="15" s="1"/>
  <c r="M395" i="15" s="1"/>
  <c r="R395" i="15"/>
  <c r="Q395" i="15"/>
  <c r="P395" i="15"/>
  <c r="T395" i="15"/>
  <c r="Q421" i="15"/>
  <c r="P421" i="15"/>
  <c r="T421" i="15"/>
  <c r="K421" i="15"/>
  <c r="L421" i="15" s="1"/>
  <c r="M421" i="15" s="1"/>
  <c r="R421" i="15"/>
  <c r="Q294" i="15"/>
  <c r="P294" i="15"/>
  <c r="T294" i="15"/>
  <c r="K294" i="15"/>
  <c r="L294" i="15" s="1"/>
  <c r="M294" i="15" s="1"/>
  <c r="R294" i="15"/>
  <c r="T641" i="15"/>
  <c r="R641" i="15"/>
  <c r="Q641" i="15"/>
  <c r="P641" i="15"/>
  <c r="K641" i="15"/>
  <c r="L641" i="15" s="1"/>
  <c r="M641" i="15" s="1"/>
  <c r="P177" i="15"/>
  <c r="K177" i="15"/>
  <c r="L177" i="15" s="1"/>
  <c r="M177" i="15" s="1"/>
  <c r="R177" i="15"/>
  <c r="T177" i="15"/>
  <c r="Q177" i="15"/>
  <c r="T229" i="15"/>
  <c r="K229" i="15"/>
  <c r="L229" i="15" s="1"/>
  <c r="M229" i="15" s="1"/>
  <c r="R229" i="15"/>
  <c r="Q229" i="15"/>
  <c r="P229" i="15"/>
  <c r="T471" i="15"/>
  <c r="K471" i="15"/>
  <c r="L471" i="15" s="1"/>
  <c r="M471" i="15" s="1"/>
  <c r="Q471" i="15"/>
  <c r="P471" i="15"/>
  <c r="R471" i="15"/>
  <c r="T216" i="15"/>
  <c r="R216" i="15"/>
  <c r="Q216" i="15"/>
  <c r="P216" i="15"/>
  <c r="K216" i="15"/>
  <c r="L216" i="15" s="1"/>
  <c r="M216" i="15" s="1"/>
  <c r="S305" i="15"/>
  <c r="K305" i="15"/>
  <c r="L305" i="15" s="1"/>
  <c r="M305" i="15" s="1"/>
  <c r="Q305" i="15"/>
  <c r="P305" i="15"/>
  <c r="T525" i="15"/>
  <c r="K525" i="15"/>
  <c r="L525" i="15" s="1"/>
  <c r="M525" i="15" s="1"/>
  <c r="R525" i="15"/>
  <c r="Q525" i="15"/>
  <c r="P525" i="15"/>
  <c r="T48" i="15"/>
  <c r="K48" i="15"/>
  <c r="L48" i="15" s="1"/>
  <c r="M48" i="15" s="1"/>
  <c r="R48" i="15"/>
  <c r="Q48" i="15"/>
  <c r="P48" i="15"/>
  <c r="T257" i="15"/>
  <c r="K257" i="15"/>
  <c r="L257" i="15" s="1"/>
  <c r="M257" i="15" s="1"/>
  <c r="R257" i="15"/>
  <c r="Q257" i="15"/>
  <c r="P257" i="15"/>
  <c r="T707" i="15"/>
  <c r="R707" i="15"/>
  <c r="Q707" i="15"/>
  <c r="P707" i="15"/>
  <c r="K707" i="15"/>
  <c r="L707" i="15" s="1"/>
  <c r="M707" i="15" s="1"/>
  <c r="T35" i="15"/>
  <c r="K35" i="15"/>
  <c r="L35" i="15" s="1"/>
  <c r="M35" i="15" s="1"/>
  <c r="R35" i="15"/>
  <c r="Q35" i="15"/>
  <c r="P35" i="15"/>
  <c r="T222" i="15"/>
  <c r="K222" i="15"/>
  <c r="L222" i="15" s="1"/>
  <c r="M222" i="15" s="1"/>
  <c r="R222" i="15"/>
  <c r="P222" i="15"/>
  <c r="Q222" i="15"/>
  <c r="Q287" i="15"/>
  <c r="P287" i="15"/>
  <c r="S287" i="15"/>
  <c r="K287" i="15"/>
  <c r="L287" i="15" s="1"/>
  <c r="M287" i="15" s="1"/>
  <c r="R618" i="15"/>
  <c r="Q618" i="15"/>
  <c r="P618" i="15"/>
  <c r="K618" i="15"/>
  <c r="L618" i="15" s="1"/>
  <c r="M618" i="15" s="1"/>
  <c r="T618" i="15"/>
  <c r="T359" i="15"/>
  <c r="R359" i="15"/>
  <c r="Q359" i="15"/>
  <c r="K359" i="15"/>
  <c r="L359" i="15" s="1"/>
  <c r="M359" i="15" s="1"/>
  <c r="P359" i="15"/>
  <c r="Q626" i="15"/>
  <c r="S626" i="15"/>
  <c r="P626" i="15"/>
  <c r="K626" i="15"/>
  <c r="L626" i="15" s="1"/>
  <c r="M626" i="15" s="1"/>
  <c r="P317" i="15"/>
  <c r="K317" i="15"/>
  <c r="L317" i="15" s="1"/>
  <c r="M317" i="15" s="1"/>
  <c r="R317" i="15"/>
  <c r="T317" i="15"/>
  <c r="Q317" i="15"/>
  <c r="P668" i="15"/>
  <c r="R668" i="15"/>
  <c r="Q668" i="15"/>
  <c r="K668" i="15"/>
  <c r="L668" i="15" s="1"/>
  <c r="M668" i="15" s="1"/>
  <c r="T668" i="15"/>
  <c r="S87" i="15"/>
  <c r="K87" i="15"/>
  <c r="L87" i="15" s="1"/>
  <c r="M87" i="15" s="1"/>
  <c r="Q87" i="15"/>
  <c r="P87" i="15"/>
  <c r="T252" i="15"/>
  <c r="R252" i="15"/>
  <c r="Q252" i="15"/>
  <c r="P252" i="15"/>
  <c r="K252" i="15"/>
  <c r="L252" i="15" s="1"/>
  <c r="M252" i="15" s="1"/>
  <c r="K444" i="15"/>
  <c r="L444" i="15" s="1"/>
  <c r="M444" i="15" s="1"/>
  <c r="R444" i="15"/>
  <c r="Q444" i="15"/>
  <c r="P444" i="15"/>
  <c r="T444" i="15"/>
  <c r="K180" i="15"/>
  <c r="L180" i="15" s="1"/>
  <c r="M180" i="15" s="1"/>
  <c r="R180" i="15"/>
  <c r="Q180" i="15"/>
  <c r="P180" i="15"/>
  <c r="T180" i="15"/>
  <c r="P201" i="15"/>
  <c r="S201" i="15"/>
  <c r="K201" i="15"/>
  <c r="L201" i="15" s="1"/>
  <c r="M201" i="15" s="1"/>
  <c r="Q201" i="15"/>
  <c r="K135" i="15"/>
  <c r="L135" i="15" s="1"/>
  <c r="M135" i="15" s="1"/>
  <c r="R135" i="15"/>
  <c r="Q135" i="15"/>
  <c r="P135" i="15"/>
  <c r="T135" i="15"/>
  <c r="T213" i="15"/>
  <c r="K213" i="15"/>
  <c r="L213" i="15" s="1"/>
  <c r="M213" i="15" s="1"/>
  <c r="R213" i="15"/>
  <c r="Q213" i="15"/>
  <c r="P213" i="15"/>
  <c r="T416" i="15"/>
  <c r="K416" i="15"/>
  <c r="L416" i="15" s="1"/>
  <c r="M416" i="15" s="1"/>
  <c r="R416" i="15"/>
  <c r="Q416" i="15"/>
  <c r="P416" i="15"/>
  <c r="S541" i="15"/>
  <c r="K541" i="15"/>
  <c r="L541" i="15" s="1"/>
  <c r="M541" i="15" s="1"/>
  <c r="Q541" i="15"/>
  <c r="P541" i="15"/>
  <c r="T89" i="15"/>
  <c r="K89" i="15"/>
  <c r="L89" i="15" s="1"/>
  <c r="M89" i="15" s="1"/>
  <c r="R89" i="15"/>
  <c r="P89" i="15"/>
  <c r="Q89" i="15"/>
  <c r="T542" i="15"/>
  <c r="K542" i="15"/>
  <c r="L542" i="15" s="1"/>
  <c r="M542" i="15" s="1"/>
  <c r="R542" i="15"/>
  <c r="P542" i="15"/>
  <c r="Q542" i="15"/>
  <c r="K671" i="15"/>
  <c r="L671" i="15" s="1"/>
  <c r="M671" i="15" s="1"/>
  <c r="R671" i="15"/>
  <c r="Q671" i="15"/>
  <c r="P671" i="15"/>
  <c r="T671" i="15"/>
  <c r="Q530" i="15"/>
  <c r="P530" i="15"/>
  <c r="S530" i="15"/>
  <c r="K530" i="15"/>
  <c r="L530" i="15" s="1"/>
  <c r="M530" i="15" s="1"/>
  <c r="R227" i="15"/>
  <c r="Q227" i="15"/>
  <c r="P227" i="15"/>
  <c r="T227" i="15"/>
  <c r="K227" i="15"/>
  <c r="L227" i="15" s="1"/>
  <c r="M227" i="15" s="1"/>
  <c r="K164" i="15"/>
  <c r="L164" i="15" s="1"/>
  <c r="M164" i="15" s="1"/>
  <c r="R164" i="15"/>
  <c r="T164" i="15"/>
  <c r="Q164" i="15"/>
  <c r="P164" i="15"/>
  <c r="P68" i="15"/>
  <c r="K68" i="15"/>
  <c r="L68" i="15" s="1"/>
  <c r="M68" i="15" s="1"/>
  <c r="R68" i="15"/>
  <c r="T68" i="15"/>
  <c r="Q68" i="15"/>
  <c r="Q242" i="15"/>
  <c r="P242" i="15"/>
  <c r="T242" i="15"/>
  <c r="K242" i="15"/>
  <c r="L242" i="15" s="1"/>
  <c r="M242" i="15" s="1"/>
  <c r="R242" i="15"/>
  <c r="T284" i="15"/>
  <c r="R284" i="15"/>
  <c r="Q284" i="15"/>
  <c r="K284" i="15"/>
  <c r="L284" i="15" s="1"/>
  <c r="M284" i="15" s="1"/>
  <c r="P284" i="15"/>
  <c r="Q458" i="15"/>
  <c r="P458" i="15"/>
  <c r="T458" i="15"/>
  <c r="K458" i="15"/>
  <c r="L458" i="15" s="1"/>
  <c r="M458" i="15" s="1"/>
  <c r="R458" i="15"/>
  <c r="P309" i="15"/>
  <c r="S309" i="15"/>
  <c r="K309" i="15"/>
  <c r="L309" i="15" s="1"/>
  <c r="M309" i="15" s="1"/>
  <c r="Q309" i="15"/>
  <c r="P545" i="15"/>
  <c r="K545" i="15"/>
  <c r="L545" i="15" s="1"/>
  <c r="M545" i="15" s="1"/>
  <c r="R545" i="15"/>
  <c r="T545" i="15"/>
  <c r="Q545" i="15"/>
  <c r="Q23" i="15"/>
  <c r="P23" i="15"/>
  <c r="T23" i="15"/>
  <c r="K23" i="15"/>
  <c r="L23" i="15" s="1"/>
  <c r="M23" i="15" s="1"/>
  <c r="R23" i="15"/>
  <c r="P140" i="15"/>
  <c r="K140" i="15"/>
  <c r="L140" i="15" s="1"/>
  <c r="M140" i="15" s="1"/>
  <c r="R140" i="15"/>
  <c r="T140" i="15"/>
  <c r="Q140" i="15"/>
  <c r="P217" i="15"/>
  <c r="K217" i="15"/>
  <c r="L217" i="15" s="1"/>
  <c r="M217" i="15" s="1"/>
  <c r="R217" i="15"/>
  <c r="T217" i="15"/>
  <c r="Q217" i="15"/>
  <c r="P582" i="15"/>
  <c r="K582" i="15"/>
  <c r="L582" i="15" s="1"/>
  <c r="M582" i="15" s="1"/>
  <c r="R582" i="15"/>
  <c r="T582" i="15"/>
  <c r="Q582" i="15"/>
  <c r="K256" i="15"/>
  <c r="L256" i="15" s="1"/>
  <c r="M256" i="15" s="1"/>
  <c r="R256" i="15"/>
  <c r="Q256" i="15"/>
  <c r="P256" i="15"/>
  <c r="T256" i="15"/>
  <c r="P489" i="15"/>
  <c r="K489" i="15"/>
  <c r="L489" i="15" s="1"/>
  <c r="M489" i="15" s="1"/>
  <c r="R489" i="15"/>
  <c r="T489" i="15"/>
  <c r="Q489" i="15"/>
  <c r="Q669" i="15"/>
  <c r="P669" i="15"/>
  <c r="K669" i="15"/>
  <c r="L669" i="15" s="1"/>
  <c r="M669" i="15" s="1"/>
  <c r="T669" i="15"/>
  <c r="R669" i="15"/>
  <c r="K320" i="15"/>
  <c r="L320" i="15" s="1"/>
  <c r="M320" i="15" s="1"/>
  <c r="R320" i="15"/>
  <c r="Q320" i="15"/>
  <c r="P320" i="15"/>
  <c r="T320" i="15"/>
  <c r="K11" i="28" a="1"/>
  <c r="K11" i="28" s="1"/>
  <c r="K12" i="28" s="1" a="1"/>
  <c r="K12" i="28" s="1"/>
  <c r="T88" i="15"/>
  <c r="K88" i="15"/>
  <c r="L88" i="15" s="1"/>
  <c r="M88" i="15" s="1"/>
  <c r="R88" i="15"/>
  <c r="Q88" i="15"/>
  <c r="P88" i="15"/>
  <c r="T150" i="15"/>
  <c r="K150" i="15"/>
  <c r="L150" i="15" s="1"/>
  <c r="M150" i="15" s="1"/>
  <c r="P150" i="15"/>
  <c r="R150" i="15"/>
  <c r="Q150" i="15"/>
  <c r="T446" i="15"/>
  <c r="K446" i="15"/>
  <c r="L446" i="15" s="1"/>
  <c r="M446" i="15" s="1"/>
  <c r="R446" i="15"/>
  <c r="P446" i="15"/>
  <c r="Q446" i="15"/>
  <c r="P439" i="15"/>
  <c r="K439" i="15"/>
  <c r="L439" i="15" s="1"/>
  <c r="M439" i="15" s="1"/>
  <c r="Q439" i="15"/>
  <c r="S439" i="15"/>
  <c r="T207" i="15"/>
  <c r="K207" i="15"/>
  <c r="L207" i="15" s="1"/>
  <c r="M207" i="15" s="1"/>
  <c r="Q207" i="15"/>
  <c r="P207" i="15"/>
  <c r="R207" i="15"/>
  <c r="T374" i="15"/>
  <c r="K374" i="15"/>
  <c r="L374" i="15" s="1"/>
  <c r="M374" i="15" s="1"/>
  <c r="Q374" i="15"/>
  <c r="P374" i="15"/>
  <c r="R374" i="15"/>
  <c r="S366" i="15"/>
  <c r="K366" i="15"/>
  <c r="L366" i="15" s="1"/>
  <c r="M366" i="15" s="1"/>
  <c r="Q366" i="15"/>
  <c r="P366" i="15"/>
  <c r="T551" i="15"/>
  <c r="K551" i="15"/>
  <c r="L551" i="15" s="1"/>
  <c r="M551" i="15" s="1"/>
  <c r="Q551" i="15"/>
  <c r="P551" i="15"/>
  <c r="R551" i="15"/>
  <c r="T58" i="15"/>
  <c r="K58" i="15"/>
  <c r="L58" i="15" s="1"/>
  <c r="M58" i="15" s="1"/>
  <c r="Q58" i="15"/>
  <c r="P58" i="15"/>
  <c r="R58" i="15"/>
  <c r="T681" i="15"/>
  <c r="K681" i="15"/>
  <c r="L681" i="15" s="1"/>
  <c r="M681" i="15" s="1"/>
  <c r="Q681" i="15"/>
  <c r="P681" i="15"/>
  <c r="R681" i="15"/>
  <c r="T567" i="15"/>
  <c r="K567" i="15"/>
  <c r="L567" i="15" s="1"/>
  <c r="M567" i="15" s="1"/>
  <c r="Q567" i="15"/>
  <c r="P567" i="15"/>
  <c r="R567" i="15"/>
  <c r="T122" i="15"/>
  <c r="K122" i="15"/>
  <c r="L122" i="15" s="1"/>
  <c r="M122" i="15" s="1"/>
  <c r="Q122" i="15"/>
  <c r="P122" i="15"/>
  <c r="R122" i="15"/>
  <c r="T130" i="15"/>
  <c r="K130" i="15"/>
  <c r="L130" i="15" s="1"/>
  <c r="M130" i="15" s="1"/>
  <c r="Q130" i="15"/>
  <c r="P130" i="15"/>
  <c r="R130" i="15"/>
  <c r="T647" i="15"/>
  <c r="K647" i="15"/>
  <c r="L647" i="15" s="1"/>
  <c r="M647" i="15" s="1"/>
  <c r="Q647" i="15"/>
  <c r="P647" i="15"/>
  <c r="R647" i="15"/>
  <c r="S588" i="15"/>
  <c r="K588" i="15"/>
  <c r="L588" i="15" s="1"/>
  <c r="M588" i="15" s="1"/>
  <c r="Q588" i="15"/>
  <c r="P588" i="15"/>
  <c r="T50" i="15"/>
  <c r="Q50" i="15"/>
  <c r="P50" i="15"/>
  <c r="R50" i="15"/>
  <c r="K50" i="15"/>
  <c r="L50" i="15" s="1"/>
  <c r="M50" i="15" s="1"/>
  <c r="S452" i="15"/>
  <c r="K452" i="15"/>
  <c r="L452" i="15" s="1"/>
  <c r="M452" i="15" s="1"/>
  <c r="Q452" i="15"/>
  <c r="P452" i="15"/>
  <c r="Q192" i="15"/>
  <c r="K192" i="15"/>
  <c r="L192" i="15" s="1"/>
  <c r="M192" i="15" s="1"/>
  <c r="P192" i="15"/>
  <c r="S192" i="15"/>
  <c r="Q615" i="15"/>
  <c r="P615" i="15"/>
  <c r="T615" i="15"/>
  <c r="K615" i="15"/>
  <c r="L615" i="15" s="1"/>
  <c r="M615" i="15" s="1"/>
  <c r="R615" i="15"/>
  <c r="Q684" i="15"/>
  <c r="P684" i="15"/>
  <c r="T684" i="15"/>
  <c r="K684" i="15"/>
  <c r="L684" i="15" s="1"/>
  <c r="M684" i="15" s="1"/>
  <c r="R684" i="15"/>
  <c r="P521" i="15"/>
  <c r="K521" i="15"/>
  <c r="L521" i="15" s="1"/>
  <c r="M521" i="15" s="1"/>
  <c r="R521" i="15"/>
  <c r="T521" i="15"/>
  <c r="Q521" i="15"/>
  <c r="K476" i="15"/>
  <c r="L476" i="15" s="1"/>
  <c r="M476" i="15" s="1"/>
  <c r="R476" i="15"/>
  <c r="Q476" i="15"/>
  <c r="P476" i="15"/>
  <c r="T476" i="15"/>
  <c r="K585" i="15"/>
  <c r="L585" i="15" s="1"/>
  <c r="M585" i="15" s="1"/>
  <c r="R585" i="15"/>
  <c r="Q585" i="15"/>
  <c r="P585" i="15"/>
  <c r="T585" i="15"/>
  <c r="P449" i="15"/>
  <c r="K449" i="15"/>
  <c r="L449" i="15" s="1"/>
  <c r="M449" i="15" s="1"/>
  <c r="R449" i="15"/>
  <c r="T449" i="15"/>
  <c r="Q449" i="15"/>
  <c r="R739" i="15"/>
  <c r="Q739" i="15"/>
  <c r="P739" i="15"/>
  <c r="K739" i="15"/>
  <c r="L739" i="15" s="1"/>
  <c r="M739" i="15" s="1"/>
  <c r="T739" i="15"/>
  <c r="P92" i="15"/>
  <c r="K92" i="15"/>
  <c r="L92" i="15" s="1"/>
  <c r="M92" i="15" s="1"/>
  <c r="R92" i="15"/>
  <c r="T92" i="15"/>
  <c r="Q92" i="15"/>
  <c r="P368" i="15"/>
  <c r="K368" i="15"/>
  <c r="L368" i="15" s="1"/>
  <c r="M368" i="15" s="1"/>
  <c r="R368" i="15"/>
  <c r="T368" i="15"/>
  <c r="Q368" i="15"/>
  <c r="P729" i="15"/>
  <c r="T729" i="15"/>
  <c r="R729" i="15"/>
  <c r="K729" i="15"/>
  <c r="L729" i="15" s="1"/>
  <c r="M729" i="15" s="1"/>
  <c r="Q729" i="15"/>
  <c r="R644" i="15"/>
  <c r="T644" i="15"/>
  <c r="K644" i="15"/>
  <c r="L644" i="15" s="1"/>
  <c r="M644" i="15" s="1"/>
  <c r="Q644" i="15"/>
  <c r="P644" i="15"/>
  <c r="S556" i="15"/>
  <c r="K556" i="15"/>
  <c r="L556" i="15" s="1"/>
  <c r="M556" i="15" s="1"/>
  <c r="Q556" i="15"/>
  <c r="P556" i="15"/>
  <c r="R731" i="15"/>
  <c r="Q731" i="15"/>
  <c r="P731" i="15"/>
  <c r="K731" i="15"/>
  <c r="L731" i="15" s="1"/>
  <c r="M731" i="15" s="1"/>
  <c r="T731" i="15"/>
  <c r="Q712" i="15"/>
  <c r="P712" i="15"/>
  <c r="T712" i="15"/>
  <c r="K712" i="15"/>
  <c r="L712" i="15" s="1"/>
  <c r="M712" i="15" s="1"/>
  <c r="R712" i="15"/>
  <c r="K103" i="15"/>
  <c r="L103" i="15" s="1"/>
  <c r="M103" i="15" s="1"/>
  <c r="R103" i="15"/>
  <c r="Q103" i="15"/>
  <c r="P103" i="15"/>
  <c r="T103" i="15"/>
  <c r="P285" i="15"/>
  <c r="K285" i="15"/>
  <c r="L285" i="15" s="1"/>
  <c r="M285" i="15" s="1"/>
  <c r="R285" i="15"/>
  <c r="T285" i="15"/>
  <c r="Q285" i="15"/>
  <c r="P412" i="15"/>
  <c r="K412" i="15"/>
  <c r="L412" i="15" s="1"/>
  <c r="M412" i="15" s="1"/>
  <c r="R412" i="15"/>
  <c r="T412" i="15"/>
  <c r="Q412" i="15"/>
  <c r="P6" i="15"/>
  <c r="K6" i="15"/>
  <c r="L6" i="15" s="1"/>
  <c r="M6" i="15" s="1"/>
  <c r="R6" i="15"/>
  <c r="T6" i="15"/>
  <c r="Q6" i="15"/>
  <c r="T558" i="15"/>
  <c r="K558" i="15"/>
  <c r="L558" i="15" s="1"/>
  <c r="M558" i="15" s="1"/>
  <c r="R558" i="15"/>
  <c r="P558" i="15"/>
  <c r="Q558" i="15"/>
  <c r="R134" i="15"/>
  <c r="Q134" i="15"/>
  <c r="P134" i="15"/>
  <c r="T134" i="15"/>
  <c r="K134" i="15"/>
  <c r="L134" i="15" s="1"/>
  <c r="M134" i="15" s="1"/>
  <c r="T267" i="15"/>
  <c r="K267" i="15"/>
  <c r="L267" i="15" s="1"/>
  <c r="M267" i="15" s="1"/>
  <c r="Q267" i="15"/>
  <c r="P267" i="15"/>
  <c r="R267" i="15"/>
  <c r="T596" i="15"/>
  <c r="K596" i="15"/>
  <c r="L596" i="15" s="1"/>
  <c r="M596" i="15" s="1"/>
  <c r="Q596" i="15"/>
  <c r="P596" i="15"/>
  <c r="R596" i="15"/>
  <c r="T12" i="15"/>
  <c r="K12" i="15"/>
  <c r="L12" i="15" s="1"/>
  <c r="M12" i="15" s="1"/>
  <c r="Q12" i="15"/>
  <c r="P12" i="15"/>
  <c r="R12" i="15"/>
  <c r="T604" i="15"/>
  <c r="K604" i="15"/>
  <c r="L604" i="15" s="1"/>
  <c r="M604" i="15" s="1"/>
  <c r="Q604" i="15"/>
  <c r="P604" i="15"/>
  <c r="R604" i="15"/>
  <c r="P606" i="15"/>
  <c r="K606" i="15"/>
  <c r="L606" i="15" s="1"/>
  <c r="M606" i="15" s="1"/>
  <c r="R606" i="15"/>
  <c r="T606" i="15"/>
  <c r="Q606" i="15"/>
  <c r="T579" i="15"/>
  <c r="K579" i="15"/>
  <c r="L579" i="15" s="1"/>
  <c r="M579" i="15" s="1"/>
  <c r="R579" i="15"/>
  <c r="P579" i="15"/>
  <c r="Q579" i="15"/>
  <c r="K619" i="15"/>
  <c r="L619" i="15" s="1"/>
  <c r="M619" i="15" s="1"/>
  <c r="R619" i="15"/>
  <c r="Q619" i="15"/>
  <c r="P619" i="15"/>
  <c r="T619" i="15"/>
  <c r="Q170" i="15"/>
  <c r="P170" i="15"/>
  <c r="T170" i="15"/>
  <c r="K170" i="15"/>
  <c r="L170" i="15" s="1"/>
  <c r="M170" i="15" s="1"/>
  <c r="R170" i="15"/>
  <c r="T535" i="15"/>
  <c r="K535" i="15"/>
  <c r="L535" i="15" s="1"/>
  <c r="M535" i="15" s="1"/>
  <c r="Q535" i="15"/>
  <c r="P535" i="15"/>
  <c r="R535" i="15"/>
  <c r="S634" i="15"/>
  <c r="U634" i="15" s="1"/>
  <c r="Q634" i="15"/>
  <c r="W634" i="15" s="1"/>
  <c r="R634" i="17" s="1"/>
  <c r="K634" i="15"/>
  <c r="L634" i="15" s="1"/>
  <c r="M634" i="15" s="1"/>
  <c r="S432" i="15"/>
  <c r="K432" i="15"/>
  <c r="L432" i="15" s="1"/>
  <c r="M432" i="15" s="1"/>
  <c r="Q432" i="15"/>
  <c r="P432" i="15"/>
  <c r="T557" i="15"/>
  <c r="K557" i="15"/>
  <c r="L557" i="15" s="1"/>
  <c r="M557" i="15" s="1"/>
  <c r="R557" i="15"/>
  <c r="Q557" i="15"/>
  <c r="P557" i="15"/>
  <c r="Q715" i="15"/>
  <c r="T715" i="15"/>
  <c r="K715" i="15"/>
  <c r="L715" i="15" s="1"/>
  <c r="M715" i="15" s="1"/>
  <c r="R715" i="15"/>
  <c r="P715" i="15"/>
  <c r="R713" i="15"/>
  <c r="Q713" i="15"/>
  <c r="P713" i="15"/>
  <c r="T713" i="15"/>
  <c r="K713" i="15"/>
  <c r="L713" i="15" s="1"/>
  <c r="M713" i="15" s="1"/>
  <c r="P132" i="15"/>
  <c r="K132" i="15"/>
  <c r="L132" i="15" s="1"/>
  <c r="M132" i="15" s="1"/>
  <c r="R132" i="15"/>
  <c r="T132" i="15"/>
  <c r="Q132" i="15"/>
  <c r="Q194" i="15"/>
  <c r="P194" i="15"/>
  <c r="T194" i="15"/>
  <c r="K194" i="15"/>
  <c r="L194" i="15" s="1"/>
  <c r="M194" i="15" s="1"/>
  <c r="R194" i="15"/>
  <c r="Q262" i="15"/>
  <c r="P262" i="15"/>
  <c r="T262" i="15"/>
  <c r="K262" i="15"/>
  <c r="L262" i="15" s="1"/>
  <c r="M262" i="15" s="1"/>
  <c r="R262" i="15"/>
  <c r="K724" i="15"/>
  <c r="L724" i="15" s="1"/>
  <c r="M724" i="15" s="1"/>
  <c r="R724" i="15"/>
  <c r="Q724" i="15"/>
  <c r="T724" i="15"/>
  <c r="P724" i="15"/>
  <c r="P30" i="15"/>
  <c r="S30" i="15"/>
  <c r="K30" i="15"/>
  <c r="L30" i="15" s="1"/>
  <c r="M30" i="15" s="1"/>
  <c r="Q30" i="15"/>
  <c r="T160" i="15"/>
  <c r="R160" i="15"/>
  <c r="Q160" i="15"/>
  <c r="P160" i="15"/>
  <c r="K160" i="15"/>
  <c r="L160" i="15" s="1"/>
  <c r="M160" i="15" s="1"/>
  <c r="P683" i="15"/>
  <c r="K683" i="15"/>
  <c r="L683" i="15" s="1"/>
  <c r="M683" i="15" s="1"/>
  <c r="R683" i="15"/>
  <c r="Q683" i="15"/>
  <c r="T683" i="15"/>
  <c r="Q15" i="15"/>
  <c r="P15" i="15"/>
  <c r="T15" i="15"/>
  <c r="K15" i="15"/>
  <c r="L15" i="15" s="1"/>
  <c r="M15" i="15" s="1"/>
  <c r="R15" i="15"/>
  <c r="Q413" i="15"/>
  <c r="P413" i="15"/>
  <c r="S413" i="15"/>
  <c r="K413" i="15"/>
  <c r="L413" i="15" s="1"/>
  <c r="M413" i="15" s="1"/>
  <c r="T520" i="15"/>
  <c r="R520" i="15"/>
  <c r="Q520" i="15"/>
  <c r="K520" i="15"/>
  <c r="L520" i="15" s="1"/>
  <c r="M520" i="15" s="1"/>
  <c r="P520" i="15"/>
  <c r="Q676" i="15"/>
  <c r="P676" i="15"/>
  <c r="T676" i="15"/>
  <c r="K676" i="15"/>
  <c r="L676" i="15" s="1"/>
  <c r="M676" i="15" s="1"/>
  <c r="R676" i="15"/>
  <c r="P420" i="15"/>
  <c r="K420" i="15"/>
  <c r="L420" i="15" s="1"/>
  <c r="M420" i="15" s="1"/>
  <c r="R420" i="15"/>
  <c r="T420" i="15"/>
  <c r="Q420" i="15"/>
  <c r="T181" i="15"/>
  <c r="K181" i="15"/>
  <c r="L181" i="15" s="1"/>
  <c r="M181" i="15" s="1"/>
  <c r="R181" i="15"/>
  <c r="Q181" i="15"/>
  <c r="P181" i="15"/>
  <c r="S337" i="15"/>
  <c r="K337" i="15"/>
  <c r="L337" i="15" s="1"/>
  <c r="M337" i="15" s="1"/>
  <c r="Q337" i="15"/>
  <c r="P337" i="15"/>
  <c r="Q178" i="15"/>
  <c r="P178" i="15"/>
  <c r="T178" i="15"/>
  <c r="K178" i="15"/>
  <c r="L178" i="15" s="1"/>
  <c r="M178" i="15" s="1"/>
  <c r="R178" i="15"/>
  <c r="P656" i="15"/>
  <c r="K656" i="15"/>
  <c r="L656" i="15" s="1"/>
  <c r="M656" i="15" s="1"/>
  <c r="R656" i="15"/>
  <c r="Q656" i="15"/>
  <c r="T656" i="15"/>
  <c r="Q109" i="15"/>
  <c r="P109" i="15"/>
  <c r="T109" i="15"/>
  <c r="K109" i="15"/>
  <c r="L109" i="15" s="1"/>
  <c r="M109" i="15" s="1"/>
  <c r="R109" i="15"/>
  <c r="K47" i="15"/>
  <c r="L47" i="15" s="1"/>
  <c r="M47" i="15" s="1"/>
  <c r="R47" i="15"/>
  <c r="T47" i="15"/>
  <c r="Q47" i="15"/>
  <c r="P47" i="15"/>
  <c r="S569" i="15"/>
  <c r="K569" i="15"/>
  <c r="L569" i="15" s="1"/>
  <c r="M569" i="15" s="1"/>
  <c r="P569" i="15"/>
  <c r="Q569" i="15"/>
  <c r="K694" i="15"/>
  <c r="L694" i="15" s="1"/>
  <c r="M694" i="15" s="1"/>
  <c r="R694" i="15"/>
  <c r="Q694" i="15"/>
  <c r="P694" i="15"/>
  <c r="T694" i="15"/>
  <c r="K55" i="15"/>
  <c r="L55" i="15" s="1"/>
  <c r="M55" i="15" s="1"/>
  <c r="R55" i="15"/>
  <c r="Q55" i="15"/>
  <c r="P55" i="15"/>
  <c r="T55" i="15"/>
  <c r="K244" i="15"/>
  <c r="L244" i="15" s="1"/>
  <c r="M244" i="15" s="1"/>
  <c r="R244" i="15"/>
  <c r="Q244" i="15"/>
  <c r="P244" i="15"/>
  <c r="T244" i="15"/>
  <c r="K577" i="15"/>
  <c r="L577" i="15" s="1"/>
  <c r="M577" i="15" s="1"/>
  <c r="R577" i="15"/>
  <c r="Q577" i="15"/>
  <c r="T577" i="15"/>
  <c r="P577" i="15"/>
  <c r="R12" i="28" a="1"/>
  <c r="R12" i="28" s="1"/>
  <c r="T64" i="15"/>
  <c r="K64" i="15"/>
  <c r="L64" i="15" s="1"/>
  <c r="M64" i="15" s="1"/>
  <c r="R64" i="15"/>
  <c r="Q64" i="15"/>
  <c r="P64" i="15"/>
  <c r="T162" i="15"/>
  <c r="K162" i="15"/>
  <c r="L162" i="15" s="1"/>
  <c r="M162" i="15" s="1"/>
  <c r="R162" i="15"/>
  <c r="Q162" i="15"/>
  <c r="P162" i="15"/>
  <c r="T660" i="15"/>
  <c r="K660" i="15"/>
  <c r="L660" i="15" s="1"/>
  <c r="M660" i="15" s="1"/>
  <c r="R660" i="15"/>
  <c r="Q660" i="15"/>
  <c r="P660" i="15"/>
  <c r="T136" i="15"/>
  <c r="K136" i="15"/>
  <c r="L136" i="15" s="1"/>
  <c r="M136" i="15" s="1"/>
  <c r="R136" i="15"/>
  <c r="Q136" i="15"/>
  <c r="P136" i="15"/>
  <c r="T586" i="15"/>
  <c r="K586" i="15"/>
  <c r="L586" i="15" s="1"/>
  <c r="M586" i="15" s="1"/>
  <c r="R586" i="15"/>
  <c r="Q586" i="15"/>
  <c r="P586" i="15"/>
  <c r="T631" i="15"/>
  <c r="K631" i="15"/>
  <c r="L631" i="15" s="1"/>
  <c r="M631" i="15" s="1"/>
  <c r="R631" i="15"/>
  <c r="Q631" i="15"/>
  <c r="P631" i="15"/>
  <c r="S695" i="15"/>
  <c r="K695" i="15"/>
  <c r="L695" i="15" s="1"/>
  <c r="M695" i="15" s="1"/>
  <c r="Q695" i="15"/>
  <c r="P695" i="15"/>
  <c r="T741" i="15"/>
  <c r="K741" i="15"/>
  <c r="L741" i="15" s="1"/>
  <c r="M741" i="15" s="1"/>
  <c r="R741" i="15"/>
  <c r="Q741" i="15"/>
  <c r="P741" i="15"/>
  <c r="T408" i="15"/>
  <c r="K408" i="15"/>
  <c r="L408" i="15" s="1"/>
  <c r="M408" i="15" s="1"/>
  <c r="R408" i="15"/>
  <c r="Q408" i="15"/>
  <c r="P408" i="15"/>
  <c r="T112" i="15"/>
  <c r="K112" i="15"/>
  <c r="L112" i="15" s="1"/>
  <c r="M112" i="15" s="1"/>
  <c r="R112" i="15"/>
  <c r="Q112" i="15"/>
  <c r="P112" i="15"/>
  <c r="T145" i="15"/>
  <c r="K145" i="15"/>
  <c r="L145" i="15" s="1"/>
  <c r="M145" i="15" s="1"/>
  <c r="R145" i="15"/>
  <c r="P145" i="15"/>
  <c r="Q145" i="15"/>
  <c r="S661" i="15"/>
  <c r="K661" i="15"/>
  <c r="L661" i="15" s="1"/>
  <c r="M661" i="15" s="1"/>
  <c r="P661" i="15"/>
  <c r="Q661" i="15"/>
  <c r="R78" i="15"/>
  <c r="Q78" i="15"/>
  <c r="P78" i="15"/>
  <c r="T78" i="15"/>
  <c r="K78" i="15"/>
  <c r="L78" i="15" s="1"/>
  <c r="M78" i="15" s="1"/>
  <c r="R378" i="15"/>
  <c r="Q378" i="15"/>
  <c r="P378" i="15"/>
  <c r="T378" i="15"/>
  <c r="K378" i="15"/>
  <c r="L378" i="15" s="1"/>
  <c r="M378" i="15" s="1"/>
  <c r="R507" i="15"/>
  <c r="Q507" i="15"/>
  <c r="P507" i="15"/>
  <c r="T507" i="15"/>
  <c r="K507" i="15"/>
  <c r="L507" i="15" s="1"/>
  <c r="M507" i="15" s="1"/>
  <c r="T572" i="15"/>
  <c r="Q572" i="15"/>
  <c r="P572" i="15"/>
  <c r="K572" i="15"/>
  <c r="L572" i="15" s="1"/>
  <c r="M572" i="15" s="1"/>
  <c r="R572" i="15"/>
  <c r="S264" i="15"/>
  <c r="K264" i="15"/>
  <c r="L264" i="15" s="1"/>
  <c r="M264" i="15" s="1"/>
  <c r="Q264" i="15"/>
  <c r="P264" i="15"/>
  <c r="P116" i="15"/>
  <c r="K116" i="15"/>
  <c r="L116" i="15" s="1"/>
  <c r="M116" i="15" s="1"/>
  <c r="R116" i="15"/>
  <c r="T116" i="15"/>
  <c r="Q116" i="15"/>
  <c r="P392" i="15"/>
  <c r="K392" i="15"/>
  <c r="L392" i="15" s="1"/>
  <c r="M392" i="15" s="1"/>
  <c r="R392" i="15"/>
  <c r="T392" i="15"/>
  <c r="Q392" i="15"/>
  <c r="T173" i="15"/>
  <c r="K173" i="15"/>
  <c r="L173" i="15" s="1"/>
  <c r="M173" i="15" s="1"/>
  <c r="R173" i="15"/>
  <c r="Q173" i="15"/>
  <c r="P173" i="15"/>
  <c r="T329" i="15"/>
  <c r="K329" i="15"/>
  <c r="L329" i="15" s="1"/>
  <c r="M329" i="15" s="1"/>
  <c r="R329" i="15"/>
  <c r="Q329" i="15"/>
  <c r="P329" i="15"/>
  <c r="S174" i="15"/>
  <c r="K174" i="15"/>
  <c r="L174" i="15" s="1"/>
  <c r="M174" i="15" s="1"/>
  <c r="P174" i="15"/>
  <c r="Q174" i="15"/>
  <c r="T322" i="15"/>
  <c r="K322" i="15"/>
  <c r="L322" i="15" s="1"/>
  <c r="M322" i="15" s="1"/>
  <c r="R322" i="15"/>
  <c r="P322" i="15"/>
  <c r="Q322" i="15"/>
  <c r="T373" i="15"/>
  <c r="K373" i="15"/>
  <c r="L373" i="15" s="1"/>
  <c r="M373" i="15" s="1"/>
  <c r="R373" i="15"/>
  <c r="P373" i="15"/>
  <c r="Q373" i="15"/>
  <c r="T494" i="15"/>
  <c r="K494" i="15"/>
  <c r="L494" i="15" s="1"/>
  <c r="M494" i="15" s="1"/>
  <c r="R494" i="15"/>
  <c r="P494" i="15"/>
  <c r="Q494" i="15"/>
  <c r="T11" i="15"/>
  <c r="K11" i="15"/>
  <c r="L11" i="15" s="1"/>
  <c r="M11" i="15" s="1"/>
  <c r="R11" i="15"/>
  <c r="P11" i="15"/>
  <c r="Q11" i="15"/>
  <c r="S57" i="15"/>
  <c r="K57" i="15"/>
  <c r="L57" i="15" s="1"/>
  <c r="M57" i="15" s="1"/>
  <c r="P57" i="15"/>
  <c r="Q57" i="15"/>
  <c r="S246" i="15"/>
  <c r="K246" i="15"/>
  <c r="L246" i="15" s="1"/>
  <c r="M246" i="15" s="1"/>
  <c r="P246" i="15"/>
  <c r="Q246" i="15"/>
  <c r="T409" i="15"/>
  <c r="K409" i="15"/>
  <c r="L409" i="15" s="1"/>
  <c r="M409" i="15" s="1"/>
  <c r="R409" i="15"/>
  <c r="P409" i="15"/>
  <c r="Q409" i="15"/>
  <c r="S680" i="15"/>
  <c r="K680" i="15"/>
  <c r="L680" i="15" s="1"/>
  <c r="M680" i="15" s="1"/>
  <c r="P680" i="15"/>
  <c r="Q680" i="15"/>
  <c r="T298" i="15"/>
  <c r="K298" i="15"/>
  <c r="L298" i="15" s="1"/>
  <c r="M298" i="15" s="1"/>
  <c r="R298" i="15"/>
  <c r="P298" i="15"/>
  <c r="Q298" i="15"/>
  <c r="T639" i="15"/>
  <c r="K639" i="15"/>
  <c r="L639" i="15" s="1"/>
  <c r="M639" i="15" s="1"/>
  <c r="R639" i="15"/>
  <c r="P639" i="15"/>
  <c r="Q639" i="15"/>
  <c r="R187" i="15"/>
  <c r="Q187" i="15"/>
  <c r="P187" i="15"/>
  <c r="T187" i="15"/>
  <c r="K187" i="15"/>
  <c r="L187" i="15" s="1"/>
  <c r="M187" i="15" s="1"/>
  <c r="R584" i="15"/>
  <c r="Q584" i="15"/>
  <c r="P584" i="15"/>
  <c r="T584" i="15"/>
  <c r="K584" i="15"/>
  <c r="L584" i="15" s="1"/>
  <c r="M584" i="15" s="1"/>
  <c r="K667" i="15"/>
  <c r="L667" i="15" s="1"/>
  <c r="M667" i="15" s="1"/>
  <c r="S667" i="15"/>
  <c r="Q667" i="15"/>
  <c r="P667" i="15"/>
  <c r="P153" i="15"/>
  <c r="K153" i="15"/>
  <c r="L153" i="15" s="1"/>
  <c r="M153" i="15" s="1"/>
  <c r="T153" i="15"/>
  <c r="R153" i="15"/>
  <c r="Q153" i="15"/>
  <c r="S328" i="15"/>
  <c r="K328" i="15"/>
  <c r="L328" i="15" s="1"/>
  <c r="M328" i="15" s="1"/>
  <c r="Q328" i="15"/>
  <c r="P328" i="15"/>
  <c r="T383" i="15"/>
  <c r="R383" i="15"/>
  <c r="Q383" i="15"/>
  <c r="P383" i="15"/>
  <c r="K383" i="15"/>
  <c r="L383" i="15" s="1"/>
  <c r="M383" i="15" s="1"/>
  <c r="K415" i="15"/>
  <c r="L415" i="15" s="1"/>
  <c r="M415" i="15" s="1"/>
  <c r="R415" i="15"/>
  <c r="Q415" i="15"/>
  <c r="P415" i="15"/>
  <c r="T415" i="15"/>
  <c r="P277" i="15"/>
  <c r="K277" i="15"/>
  <c r="L277" i="15" s="1"/>
  <c r="M277" i="15" s="1"/>
  <c r="R277" i="15"/>
  <c r="T277" i="15"/>
  <c r="Q277" i="15"/>
  <c r="K25" i="15"/>
  <c r="L25" i="15" s="1"/>
  <c r="M25" i="15" s="1"/>
  <c r="R25" i="15"/>
  <c r="Q25" i="15"/>
  <c r="P25" i="15"/>
  <c r="T25" i="15"/>
  <c r="T56" i="15"/>
  <c r="K56" i="15"/>
  <c r="L56" i="15" s="1"/>
  <c r="M56" i="15" s="1"/>
  <c r="R56" i="15"/>
  <c r="Q56" i="15"/>
  <c r="P56" i="15"/>
  <c r="S237" i="15"/>
  <c r="K237" i="15"/>
  <c r="L237" i="15" s="1"/>
  <c r="M237" i="15" s="1"/>
  <c r="Q237" i="15"/>
  <c r="P237" i="15"/>
  <c r="T565" i="15"/>
  <c r="K565" i="15"/>
  <c r="L565" i="15" s="1"/>
  <c r="M565" i="15" s="1"/>
  <c r="R565" i="15"/>
  <c r="Q565" i="15"/>
  <c r="P565" i="15"/>
  <c r="S645" i="15"/>
  <c r="K645" i="15"/>
  <c r="L645" i="15" s="1"/>
  <c r="M645" i="15" s="1"/>
  <c r="Q645" i="15"/>
  <c r="P645" i="15"/>
  <c r="S183" i="15"/>
  <c r="K183" i="15"/>
  <c r="L183" i="15" s="1"/>
  <c r="M183" i="15" s="1"/>
  <c r="Q183" i="15"/>
  <c r="P183" i="15"/>
  <c r="T625" i="15"/>
  <c r="K625" i="15"/>
  <c r="L625" i="15" s="1"/>
  <c r="M625" i="15" s="1"/>
  <c r="Q625" i="15"/>
  <c r="P625" i="15"/>
  <c r="R625" i="15"/>
  <c r="T697" i="15"/>
  <c r="K697" i="15"/>
  <c r="L697" i="15" s="1"/>
  <c r="M697" i="15" s="1"/>
  <c r="Q697" i="15"/>
  <c r="P697" i="15"/>
  <c r="R697" i="15"/>
  <c r="R686" i="15"/>
  <c r="Q686" i="15"/>
  <c r="P686" i="15"/>
  <c r="K686" i="15"/>
  <c r="L686" i="15" s="1"/>
  <c r="M686" i="15" s="1"/>
  <c r="T686" i="15"/>
  <c r="T4" i="15"/>
  <c r="K4" i="15"/>
  <c r="L4" i="15" s="1"/>
  <c r="M4" i="15" s="1"/>
  <c r="Q4" i="15"/>
  <c r="P4" i="15"/>
  <c r="R4" i="15"/>
  <c r="R54" i="15"/>
  <c r="Q54" i="15"/>
  <c r="P54" i="15"/>
  <c r="T54" i="15"/>
  <c r="K54" i="15"/>
  <c r="L54" i="15" s="1"/>
  <c r="M54" i="15" s="1"/>
  <c r="R243" i="15"/>
  <c r="Q243" i="15"/>
  <c r="P243" i="15"/>
  <c r="T243" i="15"/>
  <c r="K243" i="15"/>
  <c r="L243" i="15" s="1"/>
  <c r="M243" i="15" s="1"/>
  <c r="Q738" i="15"/>
  <c r="P738" i="15"/>
  <c r="S738" i="15"/>
  <c r="K738" i="15"/>
  <c r="L738" i="15" s="1"/>
  <c r="M738" i="15" s="1"/>
  <c r="P737" i="15"/>
  <c r="R737" i="15"/>
  <c r="Q737" i="15"/>
  <c r="T737" i="15"/>
  <c r="K737" i="15"/>
  <c r="L737" i="15" s="1"/>
  <c r="M737" i="15" s="1"/>
  <c r="P574" i="15"/>
  <c r="K574" i="15"/>
  <c r="L574" i="15" s="1"/>
  <c r="M574" i="15" s="1"/>
  <c r="R574" i="15"/>
  <c r="T574" i="15"/>
  <c r="Q574" i="15"/>
  <c r="T438" i="15"/>
  <c r="R438" i="15"/>
  <c r="Q438" i="15"/>
  <c r="P438" i="15"/>
  <c r="K438" i="15"/>
  <c r="L438" i="15" s="1"/>
  <c r="M438" i="15" s="1"/>
  <c r="T67" i="15"/>
  <c r="R67" i="15"/>
  <c r="Q67" i="15"/>
  <c r="P67" i="15"/>
  <c r="K67" i="15"/>
  <c r="L67" i="15" s="1"/>
  <c r="M67" i="15" s="1"/>
  <c r="Q310" i="15"/>
  <c r="P310" i="15"/>
  <c r="T310" i="15"/>
  <c r="K310" i="15"/>
  <c r="L310" i="15" s="1"/>
  <c r="M310" i="15" s="1"/>
  <c r="R310" i="15"/>
  <c r="Q450" i="15"/>
  <c r="P450" i="15"/>
  <c r="T450" i="15"/>
  <c r="K450" i="15"/>
  <c r="L450" i="15" s="1"/>
  <c r="M450" i="15" s="1"/>
  <c r="R450" i="15"/>
  <c r="Q562" i="15"/>
  <c r="P562" i="15"/>
  <c r="S562" i="15"/>
  <c r="K562" i="15"/>
  <c r="L562" i="15" s="1"/>
  <c r="M562" i="15" s="1"/>
  <c r="Q635" i="15"/>
  <c r="P635" i="15"/>
  <c r="T635" i="15"/>
  <c r="K635" i="15"/>
  <c r="L635" i="15" s="1"/>
  <c r="M635" i="15" s="1"/>
  <c r="R635" i="15"/>
  <c r="Q650" i="15"/>
  <c r="P650" i="15"/>
  <c r="T650" i="15"/>
  <c r="K650" i="15"/>
  <c r="L650" i="15" s="1"/>
  <c r="M650" i="15" s="1"/>
  <c r="R650" i="15"/>
  <c r="K363" i="15"/>
  <c r="L363" i="15" s="1"/>
  <c r="M363" i="15" s="1"/>
  <c r="R363" i="15"/>
  <c r="Q363" i="15"/>
  <c r="P363" i="15"/>
  <c r="T363" i="15"/>
  <c r="P52" i="15"/>
  <c r="K52" i="15"/>
  <c r="L52" i="15" s="1"/>
  <c r="M52" i="15" s="1"/>
  <c r="R52" i="15"/>
  <c r="T52" i="15"/>
  <c r="Q52" i="15"/>
  <c r="T485" i="15"/>
  <c r="K485" i="15"/>
  <c r="L485" i="15" s="1"/>
  <c r="M485" i="15" s="1"/>
  <c r="R485" i="15"/>
  <c r="Q485" i="15"/>
  <c r="P485" i="15"/>
  <c r="P553" i="15"/>
  <c r="K553" i="15"/>
  <c r="L553" i="15" s="1"/>
  <c r="M553" i="15" s="1"/>
  <c r="R553" i="15"/>
  <c r="Q553" i="15"/>
  <c r="T553" i="15"/>
  <c r="Q85" i="15"/>
  <c r="P85" i="15"/>
  <c r="T85" i="15"/>
  <c r="K85" i="15"/>
  <c r="L85" i="15" s="1"/>
  <c r="M85" i="15" s="1"/>
  <c r="R85" i="15"/>
  <c r="K407" i="15"/>
  <c r="L407" i="15" s="1"/>
  <c r="M407" i="15" s="1"/>
  <c r="R407" i="15"/>
  <c r="Q407" i="15"/>
  <c r="P407" i="15"/>
  <c r="T407" i="15"/>
  <c r="K431" i="15"/>
  <c r="L431" i="15" s="1"/>
  <c r="M431" i="15" s="1"/>
  <c r="R431" i="15"/>
  <c r="Q431" i="15"/>
  <c r="P431" i="15"/>
  <c r="T431" i="15"/>
  <c r="T682" i="15"/>
  <c r="R682" i="15"/>
  <c r="Q682" i="15"/>
  <c r="P682" i="15"/>
  <c r="K682" i="15"/>
  <c r="L682" i="15" s="1"/>
  <c r="M682" i="15" s="1"/>
  <c r="T321" i="15"/>
  <c r="K321" i="15"/>
  <c r="L321" i="15" s="1"/>
  <c r="M321" i="15" s="1"/>
  <c r="R321" i="15"/>
  <c r="Q321" i="15"/>
  <c r="P321" i="15"/>
  <c r="K387" i="15"/>
  <c r="L387" i="15" s="1"/>
  <c r="M387" i="15" s="1"/>
  <c r="R387" i="15"/>
  <c r="Q387" i="15"/>
  <c r="P387" i="15"/>
  <c r="T387" i="15"/>
  <c r="T21" i="15"/>
  <c r="K21" i="15"/>
  <c r="L21" i="15" s="1"/>
  <c r="M21" i="15" s="1"/>
  <c r="R21" i="15"/>
  <c r="Q21" i="15"/>
  <c r="P21" i="15"/>
  <c r="P376" i="15"/>
  <c r="K376" i="15"/>
  <c r="L376" i="15" s="1"/>
  <c r="M376" i="15" s="1"/>
  <c r="R376" i="15"/>
  <c r="Q376" i="15"/>
  <c r="T376" i="15"/>
  <c r="K540" i="15"/>
  <c r="L540" i="15" s="1"/>
  <c r="M540" i="15" s="1"/>
  <c r="R540" i="15"/>
  <c r="Q540" i="15"/>
  <c r="P540" i="15"/>
  <c r="T540" i="15"/>
  <c r="T454" i="15"/>
  <c r="K454" i="15"/>
  <c r="L454" i="15" s="1"/>
  <c r="M454" i="15" s="1"/>
  <c r="R454" i="15"/>
  <c r="P454" i="15"/>
  <c r="Q454" i="15"/>
  <c r="Q102" i="15"/>
  <c r="P102" i="15"/>
  <c r="S102" i="15"/>
  <c r="K102" i="15"/>
  <c r="L102" i="15" s="1"/>
  <c r="M102" i="15" s="1"/>
  <c r="T200" i="15"/>
  <c r="R200" i="15"/>
  <c r="Q200" i="15"/>
  <c r="P200" i="15"/>
  <c r="K200" i="15"/>
  <c r="L200" i="15" s="1"/>
  <c r="M200" i="15" s="1"/>
  <c r="T348" i="15"/>
  <c r="R348" i="15"/>
  <c r="Q348" i="15"/>
  <c r="K348" i="15"/>
  <c r="L348" i="15" s="1"/>
  <c r="M348" i="15" s="1"/>
  <c r="P348" i="15"/>
  <c r="Q613" i="15"/>
  <c r="K613" i="15"/>
  <c r="L613" i="15" s="1"/>
  <c r="M613" i="15" s="1"/>
  <c r="S613" i="15"/>
  <c r="P613" i="15"/>
  <c r="Q226" i="15"/>
  <c r="P226" i="15"/>
  <c r="T226" i="15"/>
  <c r="K226" i="15"/>
  <c r="L226" i="15" s="1"/>
  <c r="M226" i="15" s="1"/>
  <c r="R226" i="15"/>
  <c r="P209" i="15"/>
  <c r="K209" i="15"/>
  <c r="L209" i="15" s="1"/>
  <c r="M209" i="15" s="1"/>
  <c r="R209" i="15"/>
  <c r="T209" i="15"/>
  <c r="Q209" i="15"/>
  <c r="Q522" i="15"/>
  <c r="P522" i="15"/>
  <c r="T522" i="15"/>
  <c r="K522" i="15"/>
  <c r="L522" i="15" s="1"/>
  <c r="M522" i="15" s="1"/>
  <c r="R522" i="15"/>
  <c r="Q498" i="15"/>
  <c r="P498" i="15"/>
  <c r="S498" i="15"/>
  <c r="K498" i="15"/>
  <c r="L498" i="15" s="1"/>
  <c r="M498" i="15" s="1"/>
  <c r="T552" i="15"/>
  <c r="R552" i="15"/>
  <c r="Q552" i="15"/>
  <c r="P552" i="15"/>
  <c r="K552" i="15"/>
  <c r="L552" i="15" s="1"/>
  <c r="M552" i="15" s="1"/>
  <c r="Q700" i="15"/>
  <c r="P700" i="15"/>
  <c r="S700" i="15"/>
  <c r="K700" i="15"/>
  <c r="L700" i="15" s="1"/>
  <c r="M700" i="15" s="1"/>
  <c r="Q117" i="15"/>
  <c r="P117" i="15"/>
  <c r="S117" i="15"/>
  <c r="K117" i="15"/>
  <c r="L117" i="15" s="1"/>
  <c r="M117" i="15" s="1"/>
  <c r="Q599" i="15"/>
  <c r="P599" i="15"/>
  <c r="T599" i="15"/>
  <c r="K599" i="15"/>
  <c r="L599" i="15" s="1"/>
  <c r="M599" i="15" s="1"/>
  <c r="R599" i="15"/>
  <c r="T107" i="15"/>
  <c r="R107" i="15"/>
  <c r="Q107" i="15"/>
  <c r="P107" i="15"/>
  <c r="K107" i="15"/>
  <c r="L107" i="15" s="1"/>
  <c r="M107" i="15" s="1"/>
  <c r="Q377" i="15"/>
  <c r="P377" i="15"/>
  <c r="T377" i="15"/>
  <c r="K377" i="15"/>
  <c r="L377" i="15" s="1"/>
  <c r="M377" i="15" s="1"/>
  <c r="R377" i="15"/>
  <c r="K344" i="15"/>
  <c r="L344" i="15" s="1"/>
  <c r="M344" i="15" s="1"/>
  <c r="R344" i="15"/>
  <c r="Q344" i="15"/>
  <c r="P344" i="15"/>
  <c r="T344" i="15"/>
  <c r="Q93" i="15"/>
  <c r="P93" i="15"/>
  <c r="S93" i="15"/>
  <c r="K93" i="15"/>
  <c r="L93" i="15" s="1"/>
  <c r="M93" i="15" s="1"/>
  <c r="Q101" i="15"/>
  <c r="P101" i="15"/>
  <c r="T101" i="15"/>
  <c r="K101" i="15"/>
  <c r="L101" i="15" s="1"/>
  <c r="M101" i="15" s="1"/>
  <c r="R101" i="15"/>
  <c r="P333" i="15"/>
  <c r="K333" i="15"/>
  <c r="L333" i="15" s="1"/>
  <c r="M333" i="15" s="1"/>
  <c r="R333" i="15"/>
  <c r="Q333" i="15"/>
  <c r="T333" i="15"/>
  <c r="Q405" i="15"/>
  <c r="P405" i="15"/>
  <c r="T405" i="15"/>
  <c r="K405" i="15"/>
  <c r="L405" i="15" s="1"/>
  <c r="M405" i="15" s="1"/>
  <c r="R405" i="15"/>
  <c r="T59" i="15"/>
  <c r="R59" i="15"/>
  <c r="Q59" i="15"/>
  <c r="P59" i="15"/>
  <c r="K59" i="15"/>
  <c r="L59" i="15" s="1"/>
  <c r="M59" i="15" s="1"/>
  <c r="Q147" i="15"/>
  <c r="P147" i="15"/>
  <c r="K147" i="15"/>
  <c r="L147" i="15" s="1"/>
  <c r="M147" i="15" s="1"/>
  <c r="S147" i="15"/>
  <c r="Q278" i="15"/>
  <c r="P278" i="15"/>
  <c r="T278" i="15"/>
  <c r="K278" i="15"/>
  <c r="L278" i="15" s="1"/>
  <c r="M278" i="15" s="1"/>
  <c r="R278" i="15"/>
  <c r="Q628" i="15"/>
  <c r="P628" i="15"/>
  <c r="T628" i="15"/>
  <c r="K628" i="15"/>
  <c r="L628" i="15" s="1"/>
  <c r="M628" i="15" s="1"/>
  <c r="R628" i="15"/>
  <c r="P736" i="15"/>
  <c r="K736" i="15"/>
  <c r="L736" i="15" s="1"/>
  <c r="M736" i="15" s="1"/>
  <c r="R736" i="15"/>
  <c r="T736" i="15"/>
  <c r="Q736" i="15"/>
  <c r="P293" i="15"/>
  <c r="K293" i="15"/>
  <c r="L293" i="15" s="1"/>
  <c r="M293" i="15" s="1"/>
  <c r="R293" i="15"/>
  <c r="T293" i="15"/>
  <c r="Q293" i="15"/>
  <c r="P241" i="15"/>
  <c r="K241" i="15"/>
  <c r="L241" i="15" s="1"/>
  <c r="M241" i="15" s="1"/>
  <c r="R241" i="15"/>
  <c r="T241" i="15"/>
  <c r="Q241" i="15"/>
  <c r="Q334" i="15"/>
  <c r="P334" i="15"/>
  <c r="T334" i="15"/>
  <c r="K334" i="15"/>
  <c r="L334" i="15" s="1"/>
  <c r="M334" i="15" s="1"/>
  <c r="R334" i="15"/>
  <c r="T268" i="15"/>
  <c r="R268" i="15"/>
  <c r="Q268" i="15"/>
  <c r="P268" i="15"/>
  <c r="K268" i="15"/>
  <c r="L268" i="15" s="1"/>
  <c r="M268" i="15" s="1"/>
  <c r="P722" i="15"/>
  <c r="Q722" i="15"/>
  <c r="K722" i="15"/>
  <c r="L722" i="15" s="1"/>
  <c r="M722" i="15" s="1"/>
  <c r="S722" i="15"/>
  <c r="K740" i="15"/>
  <c r="L740" i="15" s="1"/>
  <c r="M740" i="15" s="1"/>
  <c r="R740" i="15"/>
  <c r="Q740" i="15"/>
  <c r="P740" i="15"/>
  <c r="T740" i="15"/>
  <c r="K468" i="15"/>
  <c r="L468" i="15" s="1"/>
  <c r="M468" i="15" s="1"/>
  <c r="R468" i="15"/>
  <c r="Q468" i="15"/>
  <c r="P468" i="15"/>
  <c r="T468" i="15"/>
  <c r="K637" i="15"/>
  <c r="L637" i="15" s="1"/>
  <c r="M637" i="15" s="1"/>
  <c r="R637" i="15"/>
  <c r="Q637" i="15"/>
  <c r="P637" i="15"/>
  <c r="T637" i="15"/>
  <c r="K702" i="15"/>
  <c r="L702" i="15" s="1"/>
  <c r="M702" i="15" s="1"/>
  <c r="R702" i="15"/>
  <c r="Q702" i="15"/>
  <c r="P702" i="15"/>
  <c r="T702" i="15"/>
  <c r="Q254" i="15"/>
  <c r="P254" i="15"/>
  <c r="T254" i="15"/>
  <c r="K254" i="15"/>
  <c r="L254" i="15" s="1"/>
  <c r="M254" i="15" s="1"/>
  <c r="R254" i="15"/>
  <c r="T292" i="15"/>
  <c r="R292" i="15"/>
  <c r="Q292" i="15"/>
  <c r="P292" i="15"/>
  <c r="K292" i="15"/>
  <c r="L292" i="15" s="1"/>
  <c r="M292" i="15" s="1"/>
  <c r="Q490" i="15"/>
  <c r="P490" i="15"/>
  <c r="T490" i="15"/>
  <c r="K490" i="15"/>
  <c r="L490" i="15" s="1"/>
  <c r="M490" i="15" s="1"/>
  <c r="R490" i="15"/>
  <c r="T448" i="15"/>
  <c r="R448" i="15"/>
  <c r="Q448" i="15"/>
  <c r="P448" i="15"/>
  <c r="K448" i="15"/>
  <c r="L448" i="15" s="1"/>
  <c r="M448" i="15" s="1"/>
  <c r="Q648" i="15"/>
  <c r="S648" i="15"/>
  <c r="P648" i="15"/>
  <c r="K648" i="15"/>
  <c r="L648" i="15" s="1"/>
  <c r="M648" i="15" s="1"/>
  <c r="Q45" i="15"/>
  <c r="P45" i="15"/>
  <c r="S45" i="15"/>
  <c r="K45" i="15"/>
  <c r="L45" i="15" s="1"/>
  <c r="M45" i="15" s="1"/>
  <c r="S63" i="15"/>
  <c r="K63" i="15"/>
  <c r="L63" i="15" s="1"/>
  <c r="M63" i="15" s="1"/>
  <c r="Q63" i="15"/>
  <c r="P63" i="15"/>
  <c r="K304" i="15"/>
  <c r="L304" i="15" s="1"/>
  <c r="M304" i="15" s="1"/>
  <c r="R304" i="15"/>
  <c r="Q304" i="15"/>
  <c r="P304" i="15"/>
  <c r="T304" i="15"/>
  <c r="K204" i="15"/>
  <c r="L204" i="15" s="1"/>
  <c r="M204" i="15" s="1"/>
  <c r="R204" i="15"/>
  <c r="Q204" i="15"/>
  <c r="P204" i="15"/>
  <c r="T204" i="15"/>
  <c r="R152" i="15"/>
  <c r="K152" i="15"/>
  <c r="L152" i="15" s="1"/>
  <c r="M152" i="15" s="1"/>
  <c r="T152" i="15"/>
  <c r="Q152" i="15"/>
  <c r="P152" i="15"/>
  <c r="R168" i="15"/>
  <c r="Q168" i="15"/>
  <c r="K168" i="15"/>
  <c r="L168" i="15" s="1"/>
  <c r="M168" i="15" s="1"/>
  <c r="T168" i="15"/>
  <c r="P168" i="15"/>
  <c r="K172" i="15"/>
  <c r="L172" i="15" s="1"/>
  <c r="M172" i="15" s="1"/>
  <c r="R172" i="15"/>
  <c r="Q172" i="15"/>
  <c r="P172" i="15"/>
  <c r="T172" i="15"/>
  <c r="Q31" i="15"/>
  <c r="P31" i="15"/>
  <c r="T31" i="15"/>
  <c r="K31" i="15"/>
  <c r="L31" i="15" s="1"/>
  <c r="M31" i="15" s="1"/>
  <c r="R31" i="15"/>
  <c r="R13" i="28" a="1"/>
  <c r="R13" i="28" s="1"/>
  <c r="R14" i="28" s="1" a="1"/>
  <c r="R14" i="28" s="1"/>
  <c r="T221" i="15"/>
  <c r="K221" i="15"/>
  <c r="L221" i="15" s="1"/>
  <c r="M221" i="15" s="1"/>
  <c r="R221" i="15"/>
  <c r="Q221" i="15"/>
  <c r="P221" i="15"/>
  <c r="T424" i="15"/>
  <c r="K424" i="15"/>
  <c r="L424" i="15" s="1"/>
  <c r="M424" i="15" s="1"/>
  <c r="R424" i="15"/>
  <c r="Q424" i="15"/>
  <c r="P424" i="15"/>
  <c r="S549" i="15"/>
  <c r="K549" i="15"/>
  <c r="L549" i="15" s="1"/>
  <c r="M549" i="15" s="1"/>
  <c r="Q549" i="15"/>
  <c r="P549" i="15"/>
  <c r="T151" i="15"/>
  <c r="Q151" i="15"/>
  <c r="R151" i="15"/>
  <c r="P151" i="15"/>
  <c r="K151" i="15"/>
  <c r="L151" i="15" s="1"/>
  <c r="M151" i="15" s="1"/>
  <c r="Q255" i="15"/>
  <c r="P255" i="15"/>
  <c r="S255" i="15"/>
  <c r="K255" i="15"/>
  <c r="L255" i="15" s="1"/>
  <c r="M255" i="15" s="1"/>
  <c r="R414" i="15"/>
  <c r="Q414" i="15"/>
  <c r="P414" i="15"/>
  <c r="T414" i="15"/>
  <c r="K414" i="15"/>
  <c r="L414" i="15" s="1"/>
  <c r="M414" i="15" s="1"/>
  <c r="R539" i="15"/>
  <c r="Q539" i="15"/>
  <c r="P539" i="15"/>
  <c r="T539" i="15"/>
  <c r="K539" i="15"/>
  <c r="L539" i="15" s="1"/>
  <c r="M539" i="15" s="1"/>
  <c r="T331" i="15"/>
  <c r="K331" i="15"/>
  <c r="L331" i="15" s="1"/>
  <c r="M331" i="15" s="1"/>
  <c r="Q331" i="15"/>
  <c r="P331" i="15"/>
  <c r="R331" i="15"/>
  <c r="T159" i="15"/>
  <c r="K159" i="15"/>
  <c r="L159" i="15" s="1"/>
  <c r="M159" i="15" s="1"/>
  <c r="Q159" i="15"/>
  <c r="R159" i="15"/>
  <c r="P159" i="15"/>
  <c r="T28" i="15"/>
  <c r="K28" i="15"/>
  <c r="L28" i="15" s="1"/>
  <c r="M28" i="15" s="1"/>
  <c r="R28" i="15"/>
  <c r="Q28" i="15"/>
  <c r="P28" i="15"/>
  <c r="R451" i="15"/>
  <c r="Q451" i="15"/>
  <c r="P451" i="15"/>
  <c r="T451" i="15"/>
  <c r="K451" i="15"/>
  <c r="L451" i="15" s="1"/>
  <c r="M451" i="15" s="1"/>
  <c r="R636" i="15"/>
  <c r="Q636" i="15"/>
  <c r="P636" i="15"/>
  <c r="T636" i="15"/>
  <c r="K636" i="15"/>
  <c r="L636" i="15" s="1"/>
  <c r="M636" i="15" s="1"/>
  <c r="R279" i="15"/>
  <c r="Q279" i="15"/>
  <c r="P279" i="15"/>
  <c r="T279" i="15"/>
  <c r="K279" i="15"/>
  <c r="L279" i="15" s="1"/>
  <c r="M279" i="15" s="1"/>
  <c r="Q251" i="15"/>
  <c r="P251" i="15"/>
  <c r="T251" i="15"/>
  <c r="R251" i="15"/>
  <c r="K251" i="15"/>
  <c r="L251" i="15" s="1"/>
  <c r="M251" i="15" s="1"/>
  <c r="T332" i="15"/>
  <c r="R332" i="15"/>
  <c r="Q332" i="15"/>
  <c r="P332" i="15"/>
  <c r="K332" i="15"/>
  <c r="L332" i="15" s="1"/>
  <c r="M332" i="15" s="1"/>
  <c r="Q429" i="15"/>
  <c r="P429" i="15"/>
  <c r="T429" i="15"/>
  <c r="K429" i="15"/>
  <c r="L429" i="15" s="1"/>
  <c r="M429" i="15" s="1"/>
  <c r="R429" i="15"/>
  <c r="Q514" i="15"/>
  <c r="P514" i="15"/>
  <c r="T514" i="15"/>
  <c r="K514" i="15"/>
  <c r="L514" i="15" s="1"/>
  <c r="M514" i="15" s="1"/>
  <c r="R514" i="15"/>
  <c r="P505" i="15"/>
  <c r="K505" i="15"/>
  <c r="L505" i="15" s="1"/>
  <c r="M505" i="15" s="1"/>
  <c r="R505" i="15"/>
  <c r="Q505" i="15"/>
  <c r="T505" i="15"/>
  <c r="Q546" i="15"/>
  <c r="P546" i="15"/>
  <c r="T546" i="15"/>
  <c r="K546" i="15"/>
  <c r="L546" i="15" s="1"/>
  <c r="M546" i="15" s="1"/>
  <c r="R546" i="15"/>
  <c r="T597" i="15"/>
  <c r="R597" i="15"/>
  <c r="Q597" i="15"/>
  <c r="P597" i="15"/>
  <c r="K597" i="15"/>
  <c r="L597" i="15" s="1"/>
  <c r="M597" i="15" s="1"/>
  <c r="P627" i="15"/>
  <c r="K627" i="15"/>
  <c r="L627" i="15" s="1"/>
  <c r="M627" i="15" s="1"/>
  <c r="R627" i="15"/>
  <c r="Q627" i="15"/>
  <c r="T627" i="15"/>
  <c r="R728" i="15"/>
  <c r="Q728" i="15"/>
  <c r="P728" i="15"/>
  <c r="K728" i="15"/>
  <c r="L728" i="15" s="1"/>
  <c r="M728" i="15" s="1"/>
  <c r="T728" i="15"/>
  <c r="Q5" i="15"/>
  <c r="S5" i="15"/>
  <c r="P5" i="15"/>
  <c r="K5" i="15"/>
  <c r="L5" i="15" s="1"/>
  <c r="M5" i="15" s="1"/>
  <c r="T139" i="15"/>
  <c r="R139" i="15"/>
  <c r="Q139" i="15"/>
  <c r="P139" i="15"/>
  <c r="K139" i="15"/>
  <c r="L139" i="15" s="1"/>
  <c r="M139" i="15" s="1"/>
  <c r="S111" i="15"/>
  <c r="K111" i="15"/>
  <c r="L111" i="15" s="1"/>
  <c r="M111" i="15" s="1"/>
  <c r="Q111" i="15"/>
  <c r="P111" i="15"/>
  <c r="Q276" i="15"/>
  <c r="P276" i="15"/>
  <c r="K276" i="15"/>
  <c r="L276" i="15" s="1"/>
  <c r="M276" i="15" s="1"/>
  <c r="S276" i="15"/>
  <c r="S9" i="15"/>
  <c r="K9" i="15"/>
  <c r="L9" i="15" s="1"/>
  <c r="M9" i="15" s="1"/>
  <c r="Q9" i="15"/>
  <c r="P9" i="15"/>
  <c r="K119" i="15"/>
  <c r="L119" i="15" s="1"/>
  <c r="M119" i="15" s="1"/>
  <c r="R119" i="15"/>
  <c r="Q119" i="15"/>
  <c r="P119" i="15"/>
  <c r="T119" i="15"/>
  <c r="R440" i="15"/>
  <c r="Q440" i="15"/>
  <c r="K440" i="15"/>
  <c r="L440" i="15" s="1"/>
  <c r="M440" i="15" s="1"/>
  <c r="T440" i="15"/>
  <c r="P440" i="15"/>
  <c r="S492" i="15"/>
  <c r="K492" i="15"/>
  <c r="L492" i="15" s="1"/>
  <c r="M492" i="15" s="1"/>
  <c r="Q492" i="15"/>
  <c r="P492" i="15"/>
  <c r="T10" i="15"/>
  <c r="K10" i="15"/>
  <c r="L10" i="15" s="1"/>
  <c r="M10" i="15" s="1"/>
  <c r="R10" i="15"/>
  <c r="Q10" i="15"/>
  <c r="P10" i="15"/>
  <c r="T128" i="15"/>
  <c r="K128" i="15"/>
  <c r="L128" i="15" s="1"/>
  <c r="M128" i="15" s="1"/>
  <c r="R128" i="15"/>
  <c r="Q128" i="15"/>
  <c r="P128" i="15"/>
  <c r="T477" i="15"/>
  <c r="K477" i="15"/>
  <c r="L477" i="15" s="1"/>
  <c r="M477" i="15" s="1"/>
  <c r="R477" i="15"/>
  <c r="Q477" i="15"/>
  <c r="P477" i="15"/>
  <c r="T578" i="15"/>
  <c r="K578" i="15"/>
  <c r="L578" i="15" s="1"/>
  <c r="M578" i="15" s="1"/>
  <c r="R578" i="15"/>
  <c r="Q578" i="15"/>
  <c r="P578" i="15"/>
  <c r="S623" i="15"/>
  <c r="K623" i="15"/>
  <c r="L623" i="15" s="1"/>
  <c r="M623" i="15" s="1"/>
  <c r="Q623" i="15"/>
  <c r="P623" i="15"/>
  <c r="T665" i="15"/>
  <c r="K665" i="15"/>
  <c r="L665" i="15" s="1"/>
  <c r="M665" i="15" s="1"/>
  <c r="Q665" i="15"/>
  <c r="P665" i="15"/>
  <c r="R665" i="15"/>
  <c r="S733" i="15"/>
  <c r="K733" i="15"/>
  <c r="L733" i="15" s="1"/>
  <c r="M733" i="15" s="1"/>
  <c r="Q733" i="15"/>
  <c r="P733" i="15"/>
  <c r="T289" i="15"/>
  <c r="K289" i="15"/>
  <c r="L289" i="15" s="1"/>
  <c r="M289" i="15" s="1"/>
  <c r="R289" i="15"/>
  <c r="Q289" i="15"/>
  <c r="P289" i="15"/>
  <c r="T380" i="15"/>
  <c r="K380" i="15"/>
  <c r="L380" i="15" s="1"/>
  <c r="M380" i="15" s="1"/>
  <c r="R380" i="15"/>
  <c r="Q380" i="15"/>
  <c r="P380" i="15"/>
  <c r="S509" i="15"/>
  <c r="K509" i="15"/>
  <c r="L509" i="15" s="1"/>
  <c r="M509" i="15" s="1"/>
  <c r="Q509" i="15"/>
  <c r="P509" i="15"/>
  <c r="R576" i="15"/>
  <c r="Q576" i="15"/>
  <c r="P576" i="15"/>
  <c r="T576" i="15"/>
  <c r="K576" i="15"/>
  <c r="L576" i="15" s="1"/>
  <c r="M576" i="15" s="1"/>
  <c r="R142" i="15"/>
  <c r="Q142" i="15"/>
  <c r="P142" i="15"/>
  <c r="T142" i="15"/>
  <c r="K142" i="15"/>
  <c r="L142" i="15" s="1"/>
  <c r="M142" i="15" s="1"/>
  <c r="R406" i="15"/>
  <c r="Q406" i="15"/>
  <c r="P406" i="15"/>
  <c r="T406" i="15"/>
  <c r="K406" i="15"/>
  <c r="L406" i="15" s="1"/>
  <c r="M406" i="15" s="1"/>
  <c r="R531" i="15"/>
  <c r="Q531" i="15"/>
  <c r="T531" i="15"/>
  <c r="K531" i="15"/>
  <c r="L531" i="15" s="1"/>
  <c r="M531" i="15" s="1"/>
  <c r="P531" i="15"/>
  <c r="R319" i="15"/>
  <c r="Q319" i="15"/>
  <c r="P319" i="15"/>
  <c r="T319" i="15"/>
  <c r="K319" i="15"/>
  <c r="L319" i="15" s="1"/>
  <c r="M319" i="15" s="1"/>
  <c r="Q629" i="15"/>
  <c r="P629" i="15"/>
  <c r="S629" i="15"/>
  <c r="K629" i="15"/>
  <c r="L629" i="15" s="1"/>
  <c r="M629" i="15" s="1"/>
  <c r="R701" i="15"/>
  <c r="Q701" i="15"/>
  <c r="P701" i="15"/>
  <c r="T701" i="15"/>
  <c r="K701" i="15"/>
  <c r="L701" i="15" s="1"/>
  <c r="M701" i="15" s="1"/>
  <c r="T199" i="15"/>
  <c r="K199" i="15"/>
  <c r="L199" i="15" s="1"/>
  <c r="M199" i="15" s="1"/>
  <c r="Q199" i="15"/>
  <c r="P199" i="15"/>
  <c r="R199" i="15"/>
  <c r="T743" i="15"/>
  <c r="K743" i="15"/>
  <c r="L743" i="15" s="1"/>
  <c r="M743" i="15" s="1"/>
  <c r="R743" i="15"/>
  <c r="Q743" i="15"/>
  <c r="P743" i="15"/>
  <c r="R563" i="15"/>
  <c r="Q563" i="15"/>
  <c r="P563" i="15"/>
  <c r="T563" i="15"/>
  <c r="K563" i="15"/>
  <c r="L563" i="15" s="1"/>
  <c r="M563" i="15" s="1"/>
  <c r="Q350" i="15"/>
  <c r="P350" i="15"/>
  <c r="T350" i="15"/>
  <c r="K350" i="15"/>
  <c r="L350" i="15" s="1"/>
  <c r="M350" i="15" s="1"/>
  <c r="R350" i="15"/>
  <c r="T391" i="15"/>
  <c r="R391" i="15"/>
  <c r="Q391" i="15"/>
  <c r="K391" i="15"/>
  <c r="L391" i="15" s="1"/>
  <c r="M391" i="15" s="1"/>
  <c r="P391" i="15"/>
  <c r="P404" i="15"/>
  <c r="S404" i="15"/>
  <c r="K404" i="15"/>
  <c r="L404" i="15" s="1"/>
  <c r="M404" i="15" s="1"/>
  <c r="Q404" i="15"/>
  <c r="P14" i="15"/>
  <c r="K14" i="15"/>
  <c r="L14" i="15" s="1"/>
  <c r="M14" i="15" s="1"/>
  <c r="R14" i="15"/>
  <c r="T14" i="15"/>
  <c r="Q14" i="15"/>
  <c r="T340" i="15"/>
  <c r="R340" i="15"/>
  <c r="Q340" i="15"/>
  <c r="P340" i="15"/>
  <c r="K340" i="15"/>
  <c r="L340" i="15" s="1"/>
  <c r="M340" i="15" s="1"/>
  <c r="K280" i="15"/>
  <c r="L280" i="15" s="1"/>
  <c r="M280" i="15" s="1"/>
  <c r="R280" i="15"/>
  <c r="Q280" i="15"/>
  <c r="P280" i="15"/>
  <c r="T280" i="15"/>
  <c r="Q605" i="15"/>
  <c r="P605" i="15"/>
  <c r="K605" i="15"/>
  <c r="L605" i="15" s="1"/>
  <c r="M605" i="15" s="1"/>
  <c r="S605" i="15"/>
  <c r="S17" i="15"/>
  <c r="K17" i="15"/>
  <c r="L17" i="15" s="1"/>
  <c r="M17" i="15" s="1"/>
  <c r="Q17" i="15"/>
  <c r="P17" i="15"/>
  <c r="K288" i="15"/>
  <c r="L288" i="15" s="1"/>
  <c r="M288" i="15" s="1"/>
  <c r="R288" i="15"/>
  <c r="Q288" i="15"/>
  <c r="P288" i="15"/>
  <c r="T288" i="15"/>
  <c r="T238" i="15"/>
  <c r="K238" i="15"/>
  <c r="L238" i="15" s="1"/>
  <c r="M238" i="15" s="1"/>
  <c r="R238" i="15"/>
  <c r="P238" i="15"/>
  <c r="Q238" i="15"/>
  <c r="T401" i="15"/>
  <c r="K401" i="15"/>
  <c r="L401" i="15" s="1"/>
  <c r="M401" i="15" s="1"/>
  <c r="P401" i="15"/>
  <c r="R401" i="15"/>
  <c r="Q401" i="15"/>
  <c r="T121" i="15"/>
  <c r="K121" i="15"/>
  <c r="L121" i="15" s="1"/>
  <c r="M121" i="15" s="1"/>
  <c r="R121" i="15"/>
  <c r="P121" i="15"/>
  <c r="Q121" i="15"/>
  <c r="T274" i="15"/>
  <c r="K274" i="15"/>
  <c r="L274" i="15" s="1"/>
  <c r="M274" i="15" s="1"/>
  <c r="R274" i="15"/>
  <c r="P274" i="15"/>
  <c r="Q274" i="15"/>
  <c r="T595" i="15"/>
  <c r="K595" i="15"/>
  <c r="L595" i="15" s="1"/>
  <c r="M595" i="15" s="1"/>
  <c r="R595" i="15"/>
  <c r="P595" i="15"/>
  <c r="Q595" i="15"/>
  <c r="S742" i="15"/>
  <c r="K742" i="15"/>
  <c r="L742" i="15" s="1"/>
  <c r="M742" i="15" s="1"/>
  <c r="Q742" i="15"/>
  <c r="P742" i="15"/>
  <c r="T306" i="15"/>
  <c r="K306" i="15"/>
  <c r="L306" i="15" s="1"/>
  <c r="M306" i="15" s="1"/>
  <c r="R306" i="15"/>
  <c r="P306" i="15"/>
  <c r="Q306" i="15"/>
  <c r="T666" i="15"/>
  <c r="K666" i="15"/>
  <c r="L666" i="15" s="1"/>
  <c r="M666" i="15" s="1"/>
  <c r="R666" i="15"/>
  <c r="P666" i="15"/>
  <c r="Q666" i="15"/>
  <c r="T113" i="15"/>
  <c r="K113" i="15"/>
  <c r="L113" i="15" s="1"/>
  <c r="M113" i="15" s="1"/>
  <c r="R113" i="15"/>
  <c r="P113" i="15"/>
  <c r="Q113" i="15"/>
  <c r="T526" i="15"/>
  <c r="P526" i="15"/>
  <c r="K526" i="15"/>
  <c r="L526" i="15" s="1"/>
  <c r="M526" i="15" s="1"/>
  <c r="R526" i="15"/>
  <c r="Q526" i="15"/>
  <c r="K732" i="15"/>
  <c r="L732" i="15" s="1"/>
  <c r="M732" i="15" s="1"/>
  <c r="R732" i="15"/>
  <c r="Q732" i="15"/>
  <c r="P732" i="15"/>
  <c r="T732" i="15"/>
  <c r="R354" i="15"/>
  <c r="P354" i="15"/>
  <c r="T354" i="15"/>
  <c r="K354" i="15"/>
  <c r="L354" i="15" s="1"/>
  <c r="M354" i="15" s="1"/>
  <c r="Q354" i="15"/>
  <c r="R62" i="15"/>
  <c r="Q62" i="15"/>
  <c r="P62" i="15"/>
  <c r="T62" i="15"/>
  <c r="K62" i="15"/>
  <c r="L62" i="15" s="1"/>
  <c r="M62" i="15" s="1"/>
  <c r="Q362" i="15"/>
  <c r="P362" i="15"/>
  <c r="S362" i="15"/>
  <c r="K362" i="15"/>
  <c r="L362" i="15" s="1"/>
  <c r="M362" i="15" s="1"/>
  <c r="R491" i="15"/>
  <c r="Q491" i="15"/>
  <c r="P491" i="15"/>
  <c r="T491" i="15"/>
  <c r="K491" i="15"/>
  <c r="L491" i="15" s="1"/>
  <c r="M491" i="15" s="1"/>
  <c r="T175" i="15"/>
  <c r="K175" i="15"/>
  <c r="L175" i="15" s="1"/>
  <c r="M175" i="15" s="1"/>
  <c r="Q175" i="15"/>
  <c r="P175" i="15"/>
  <c r="R175" i="15"/>
  <c r="T382" i="15"/>
  <c r="K382" i="15"/>
  <c r="L382" i="15" s="1"/>
  <c r="M382" i="15" s="1"/>
  <c r="Q382" i="15"/>
  <c r="P382" i="15"/>
  <c r="R382" i="15"/>
  <c r="T612" i="15"/>
  <c r="K612" i="15"/>
  <c r="L612" i="15" s="1"/>
  <c r="M612" i="15" s="1"/>
  <c r="Q612" i="15"/>
  <c r="P612" i="15"/>
  <c r="R612" i="15"/>
  <c r="R311" i="15"/>
  <c r="Q311" i="15"/>
  <c r="P311" i="15"/>
  <c r="T311" i="15"/>
  <c r="K311" i="15"/>
  <c r="L311" i="15" s="1"/>
  <c r="M311" i="15" s="1"/>
  <c r="R693" i="15"/>
  <c r="Q693" i="15"/>
  <c r="P693" i="15"/>
  <c r="T693" i="15"/>
  <c r="K693" i="15"/>
  <c r="L693" i="15" s="1"/>
  <c r="M693" i="15" s="1"/>
  <c r="R70" i="15"/>
  <c r="Q70" i="15"/>
  <c r="P70" i="15"/>
  <c r="T70" i="15"/>
  <c r="K70" i="15"/>
  <c r="L70" i="15" s="1"/>
  <c r="M70" i="15" s="1"/>
  <c r="R211" i="15"/>
  <c r="Q211" i="15"/>
  <c r="P211" i="15"/>
  <c r="T211" i="15"/>
  <c r="K211" i="15"/>
  <c r="L211" i="15" s="1"/>
  <c r="M211" i="15" s="1"/>
  <c r="R608" i="15"/>
  <c r="Q608" i="15"/>
  <c r="P608" i="15"/>
  <c r="T608" i="15"/>
  <c r="K608" i="15"/>
  <c r="L608" i="15" s="1"/>
  <c r="M608" i="15" s="1"/>
  <c r="R677" i="15"/>
  <c r="Q677" i="15"/>
  <c r="P677" i="15"/>
  <c r="T677" i="15"/>
  <c r="K677" i="15"/>
  <c r="L677" i="15" s="1"/>
  <c r="M677" i="15" s="1"/>
  <c r="R303" i="15"/>
  <c r="Q303" i="15"/>
  <c r="P303" i="15"/>
  <c r="T303" i="15"/>
  <c r="K303" i="15"/>
  <c r="L303" i="15" s="1"/>
  <c r="M303" i="15" s="1"/>
  <c r="T339" i="15"/>
  <c r="K339" i="15"/>
  <c r="L339" i="15" s="1"/>
  <c r="M339" i="15" s="1"/>
  <c r="Q339" i="15"/>
  <c r="P339" i="15"/>
  <c r="R339" i="15"/>
  <c r="T291" i="15"/>
  <c r="K291" i="15"/>
  <c r="L291" i="15" s="1"/>
  <c r="M291" i="15" s="1"/>
  <c r="Q291" i="15"/>
  <c r="P291" i="15"/>
  <c r="R291" i="15"/>
  <c r="Q271" i="15"/>
  <c r="P271" i="15"/>
  <c r="S271" i="15"/>
  <c r="K271" i="15"/>
  <c r="L271" i="15" s="1"/>
  <c r="M271" i="15" s="1"/>
  <c r="R430" i="15"/>
  <c r="Q430" i="15"/>
  <c r="P430" i="15"/>
  <c r="T430" i="15"/>
  <c r="K430" i="15"/>
  <c r="L430" i="15" s="1"/>
  <c r="M430" i="15" s="1"/>
  <c r="R555" i="15"/>
  <c r="Q555" i="15"/>
  <c r="P555" i="15"/>
  <c r="T555" i="15"/>
  <c r="K555" i="15"/>
  <c r="L555" i="15" s="1"/>
  <c r="M555" i="15" s="1"/>
  <c r="T543" i="15"/>
  <c r="K543" i="15"/>
  <c r="L543" i="15" s="1"/>
  <c r="M543" i="15" s="1"/>
  <c r="Q543" i="15"/>
  <c r="P543" i="15"/>
  <c r="R543" i="15"/>
  <c r="T66" i="15"/>
  <c r="K66" i="15"/>
  <c r="L66" i="15" s="1"/>
  <c r="M66" i="15" s="1"/>
  <c r="Q66" i="15"/>
  <c r="P66" i="15"/>
  <c r="R66" i="15"/>
  <c r="R118" i="15"/>
  <c r="Q118" i="15"/>
  <c r="P118" i="15"/>
  <c r="T118" i="15"/>
  <c r="K118" i="15"/>
  <c r="L118" i="15" s="1"/>
  <c r="M118" i="15" s="1"/>
  <c r="K500" i="15"/>
  <c r="L500" i="15" s="1"/>
  <c r="M500" i="15" s="1"/>
  <c r="R500" i="15"/>
  <c r="Q500" i="15"/>
  <c r="P500" i="15"/>
  <c r="T500" i="15"/>
  <c r="K678" i="15"/>
  <c r="L678" i="15" s="1"/>
  <c r="M678" i="15" s="1"/>
  <c r="R678" i="15"/>
  <c r="Q678" i="15"/>
  <c r="P678" i="15"/>
  <c r="T678" i="15"/>
  <c r="P76" i="15"/>
  <c r="K76" i="15"/>
  <c r="L76" i="15" s="1"/>
  <c r="M76" i="15" s="1"/>
  <c r="R76" i="15"/>
  <c r="T76" i="15"/>
  <c r="Q76" i="15"/>
  <c r="P360" i="15"/>
  <c r="K360" i="15"/>
  <c r="L360" i="15" s="1"/>
  <c r="M360" i="15" s="1"/>
  <c r="R360" i="15"/>
  <c r="T360" i="15"/>
  <c r="Q360" i="15"/>
  <c r="R721" i="15"/>
  <c r="Q721" i="15"/>
  <c r="P721" i="15"/>
  <c r="K721" i="15"/>
  <c r="L721" i="15" s="1"/>
  <c r="M721" i="15" s="1"/>
  <c r="T721" i="15"/>
  <c r="K10" i="28" a="1"/>
  <c r="K10" i="28" s="1"/>
  <c r="T190" i="15"/>
  <c r="K190" i="15"/>
  <c r="L190" i="15" s="1"/>
  <c r="M190" i="15" s="1"/>
  <c r="R190" i="15"/>
  <c r="P190" i="15"/>
  <c r="Q190" i="15"/>
  <c r="T338" i="15"/>
  <c r="K338" i="15"/>
  <c r="L338" i="15" s="1"/>
  <c r="M338" i="15" s="1"/>
  <c r="R338" i="15"/>
  <c r="P338" i="15"/>
  <c r="Q338" i="15"/>
  <c r="T389" i="15"/>
  <c r="K389" i="15"/>
  <c r="L389" i="15" s="1"/>
  <c r="M389" i="15" s="1"/>
  <c r="R389" i="15"/>
  <c r="P389" i="15"/>
  <c r="Q389" i="15"/>
  <c r="T510" i="15"/>
  <c r="K510" i="15"/>
  <c r="L510" i="15" s="1"/>
  <c r="M510" i="15" s="1"/>
  <c r="R510" i="15"/>
  <c r="P510" i="15"/>
  <c r="Q510" i="15"/>
  <c r="T346" i="15"/>
  <c r="K346" i="15"/>
  <c r="L346" i="15" s="1"/>
  <c r="M346" i="15" s="1"/>
  <c r="R346" i="15"/>
  <c r="P346" i="15"/>
  <c r="Q346" i="15"/>
  <c r="T478" i="15"/>
  <c r="K478" i="15"/>
  <c r="L478" i="15" s="1"/>
  <c r="M478" i="15" s="1"/>
  <c r="R478" i="15"/>
  <c r="P478" i="15"/>
  <c r="Q478" i="15"/>
  <c r="P481" i="15"/>
  <c r="K481" i="15"/>
  <c r="L481" i="15" s="1"/>
  <c r="M481" i="15" s="1"/>
  <c r="R481" i="15"/>
  <c r="T481" i="15"/>
  <c r="Q481" i="15"/>
  <c r="S356" i="15"/>
  <c r="K356" i="15"/>
  <c r="L356" i="15" s="1"/>
  <c r="M356" i="15" s="1"/>
  <c r="Q356" i="15"/>
  <c r="P356" i="15"/>
  <c r="R295" i="15"/>
  <c r="Q295" i="15"/>
  <c r="P295" i="15"/>
  <c r="T295" i="15"/>
  <c r="K295" i="15"/>
  <c r="L295" i="15" s="1"/>
  <c r="M295" i="15" s="1"/>
  <c r="T106" i="15"/>
  <c r="K106" i="15"/>
  <c r="L106" i="15" s="1"/>
  <c r="M106" i="15" s="1"/>
  <c r="Q106" i="15"/>
  <c r="P106" i="15"/>
  <c r="R106" i="15"/>
  <c r="T679" i="15"/>
  <c r="K679" i="15"/>
  <c r="L679" i="15" s="1"/>
  <c r="M679" i="15" s="1"/>
  <c r="R679" i="15"/>
  <c r="Q679" i="15"/>
  <c r="P679" i="15"/>
  <c r="R475" i="15"/>
  <c r="Q475" i="15"/>
  <c r="P475" i="15"/>
  <c r="T475" i="15"/>
  <c r="K475" i="15"/>
  <c r="L475" i="15" s="1"/>
  <c r="M475" i="15" s="1"/>
  <c r="Q61" i="15"/>
  <c r="P61" i="15"/>
  <c r="T61" i="15"/>
  <c r="K61" i="15"/>
  <c r="L61" i="15" s="1"/>
  <c r="M61" i="15" s="1"/>
  <c r="R61" i="15"/>
  <c r="R171" i="15"/>
  <c r="Q171" i="15"/>
  <c r="P171" i="15"/>
  <c r="T171" i="15"/>
  <c r="K171" i="15"/>
  <c r="L171" i="15" s="1"/>
  <c r="M171" i="15" s="1"/>
  <c r="Q343" i="15"/>
  <c r="P343" i="15"/>
  <c r="S343" i="15"/>
  <c r="K343" i="15"/>
  <c r="L343" i="15" s="1"/>
  <c r="M343" i="15" s="1"/>
  <c r="R467" i="15"/>
  <c r="Q467" i="15"/>
  <c r="P467" i="15"/>
  <c r="T467" i="15"/>
  <c r="K467" i="15"/>
  <c r="L467" i="15" s="1"/>
  <c r="M467" i="15" s="1"/>
  <c r="T316" i="15"/>
  <c r="R316" i="15"/>
  <c r="Q316" i="15"/>
  <c r="K316" i="15"/>
  <c r="L316" i="15" s="1"/>
  <c r="M316" i="15" s="1"/>
  <c r="P316" i="15"/>
  <c r="Q581" i="15"/>
  <c r="K581" i="15"/>
  <c r="L581" i="15" s="1"/>
  <c r="M581" i="15" s="1"/>
  <c r="S581" i="15"/>
  <c r="P581" i="15"/>
  <c r="K312" i="15"/>
  <c r="L312" i="15" s="1"/>
  <c r="M312" i="15" s="1"/>
  <c r="R312" i="15"/>
  <c r="Q312" i="15"/>
  <c r="P312" i="15"/>
  <c r="T312" i="15"/>
  <c r="R40" i="15"/>
  <c r="Q40" i="15"/>
  <c r="P40" i="15"/>
  <c r="T40" i="15"/>
  <c r="K40" i="15"/>
  <c r="L40" i="15" s="1"/>
  <c r="M40" i="15" s="1"/>
  <c r="R484" i="15"/>
  <c r="T484" i="15"/>
  <c r="Q484" i="15"/>
  <c r="P484" i="15"/>
  <c r="K484" i="15"/>
  <c r="L484" i="15" s="1"/>
  <c r="M484" i="15" s="1"/>
  <c r="K355" i="15"/>
  <c r="L355" i="15" s="1"/>
  <c r="M355" i="15" s="1"/>
  <c r="R355" i="15"/>
  <c r="Q355" i="15"/>
  <c r="P355" i="15"/>
  <c r="T355" i="15"/>
  <c r="K196" i="15"/>
  <c r="L196" i="15" s="1"/>
  <c r="M196" i="15" s="1"/>
  <c r="R196" i="15"/>
  <c r="Q196" i="15"/>
  <c r="P196" i="15"/>
  <c r="T196" i="15"/>
  <c r="P225" i="15"/>
  <c r="K225" i="15"/>
  <c r="L225" i="15" s="1"/>
  <c r="M225" i="15" s="1"/>
  <c r="R225" i="15"/>
  <c r="T225" i="15"/>
  <c r="Q225" i="15"/>
  <c r="P465" i="15"/>
  <c r="K465" i="15"/>
  <c r="L465" i="15" s="1"/>
  <c r="M465" i="15" s="1"/>
  <c r="R465" i="15"/>
  <c r="T465" i="15"/>
  <c r="Q465" i="15"/>
  <c r="P590" i="15"/>
  <c r="K590" i="15"/>
  <c r="L590" i="15" s="1"/>
  <c r="M590" i="15" s="1"/>
  <c r="R590" i="15"/>
  <c r="T590" i="15"/>
  <c r="Q590" i="15"/>
  <c r="K524" i="15"/>
  <c r="L524" i="15" s="1"/>
  <c r="M524" i="15" s="1"/>
  <c r="R524" i="15"/>
  <c r="Q524" i="15"/>
  <c r="P524" i="15"/>
  <c r="T524" i="15"/>
  <c r="P341" i="15"/>
  <c r="K341" i="15"/>
  <c r="L341" i="15" s="1"/>
  <c r="M341" i="15" s="1"/>
  <c r="R341" i="15"/>
  <c r="T341" i="15"/>
  <c r="Q341" i="15"/>
  <c r="K352" i="15"/>
  <c r="L352" i="15" s="1"/>
  <c r="M352" i="15" s="1"/>
  <c r="R352" i="15"/>
  <c r="T352" i="15"/>
  <c r="P352" i="15"/>
  <c r="Q352" i="15"/>
  <c r="P261" i="15"/>
  <c r="K261" i="15"/>
  <c r="L261" i="15" s="1"/>
  <c r="M261" i="15" s="1"/>
  <c r="R261" i="15"/>
  <c r="T261" i="15"/>
  <c r="Q261" i="15"/>
  <c r="S19" i="15"/>
  <c r="K19" i="15"/>
  <c r="L19" i="15" s="1"/>
  <c r="M19" i="15" s="1"/>
  <c r="Q19" i="15"/>
  <c r="P19" i="15"/>
  <c r="S290" i="15"/>
  <c r="K290" i="15"/>
  <c r="L290" i="15" s="1"/>
  <c r="M290" i="15" s="1"/>
  <c r="P290" i="15"/>
  <c r="Q290" i="15"/>
  <c r="T611" i="15"/>
  <c r="K611" i="15"/>
  <c r="L611" i="15" s="1"/>
  <c r="M611" i="15" s="1"/>
  <c r="R611" i="15"/>
  <c r="P611" i="15"/>
  <c r="Q611" i="15"/>
  <c r="T632" i="15"/>
  <c r="K632" i="15"/>
  <c r="L632" i="15" s="1"/>
  <c r="M632" i="15" s="1"/>
  <c r="R632" i="15"/>
  <c r="P632" i="15"/>
  <c r="Q632" i="15"/>
  <c r="T247" i="15"/>
  <c r="K247" i="15"/>
  <c r="L247" i="15" s="1"/>
  <c r="M247" i="15" s="1"/>
  <c r="Q247" i="15"/>
  <c r="P247" i="15"/>
  <c r="R247" i="15"/>
  <c r="T402" i="15"/>
  <c r="K402" i="15"/>
  <c r="L402" i="15" s="1"/>
  <c r="M402" i="15" s="1"/>
  <c r="Q402" i="15"/>
  <c r="P402" i="15"/>
  <c r="R402" i="15"/>
  <c r="T418" i="15"/>
  <c r="K418" i="15"/>
  <c r="L418" i="15" s="1"/>
  <c r="M418" i="15" s="1"/>
  <c r="Q418" i="15"/>
  <c r="P418" i="15"/>
  <c r="R418" i="15"/>
  <c r="P428" i="15"/>
  <c r="K428" i="15"/>
  <c r="L428" i="15" s="1"/>
  <c r="M428" i="15" s="1"/>
  <c r="R428" i="15"/>
  <c r="T428" i="15"/>
  <c r="Q428" i="15"/>
  <c r="P537" i="15"/>
  <c r="S537" i="15"/>
  <c r="K537" i="15"/>
  <c r="L537" i="15" s="1"/>
  <c r="M537" i="15" s="1"/>
  <c r="Q537" i="15"/>
  <c r="S281" i="15"/>
  <c r="K281" i="15"/>
  <c r="L281" i="15" s="1"/>
  <c r="M281" i="15" s="1"/>
  <c r="Q281" i="15"/>
  <c r="P281" i="15"/>
  <c r="T372" i="15"/>
  <c r="K372" i="15"/>
  <c r="L372" i="15" s="1"/>
  <c r="M372" i="15" s="1"/>
  <c r="R372" i="15"/>
  <c r="Q372" i="15"/>
  <c r="P372" i="15"/>
  <c r="T501" i="15"/>
  <c r="K501" i="15"/>
  <c r="L501" i="15" s="1"/>
  <c r="M501" i="15" s="1"/>
  <c r="R501" i="15"/>
  <c r="Q501" i="15"/>
  <c r="P501" i="15"/>
  <c r="T157" i="15"/>
  <c r="K157" i="15"/>
  <c r="L157" i="15" s="1"/>
  <c r="M157" i="15" s="1"/>
  <c r="R157" i="15"/>
  <c r="Q157" i="15"/>
  <c r="P157" i="15"/>
  <c r="T197" i="15"/>
  <c r="K197" i="15"/>
  <c r="L197" i="15" s="1"/>
  <c r="M197" i="15" s="1"/>
  <c r="R197" i="15"/>
  <c r="Q197" i="15"/>
  <c r="P197" i="15"/>
  <c r="S400" i="15"/>
  <c r="K400" i="15"/>
  <c r="L400" i="15" s="1"/>
  <c r="M400" i="15" s="1"/>
  <c r="P400" i="15"/>
  <c r="Q400" i="15"/>
  <c r="T104" i="15"/>
  <c r="K104" i="15"/>
  <c r="L104" i="15" s="1"/>
  <c r="M104" i="15" s="1"/>
  <c r="R104" i="15"/>
  <c r="Q104" i="15"/>
  <c r="P104" i="15"/>
  <c r="T345" i="15"/>
  <c r="K345" i="15"/>
  <c r="L345" i="15" s="1"/>
  <c r="M345" i="15" s="1"/>
  <c r="R345" i="15"/>
  <c r="Q345" i="15"/>
  <c r="P345" i="15"/>
  <c r="T72" i="15"/>
  <c r="K72" i="15"/>
  <c r="L72" i="15" s="1"/>
  <c r="M72" i="15" s="1"/>
  <c r="R72" i="15"/>
  <c r="Q72" i="15"/>
  <c r="P72" i="15"/>
  <c r="T719" i="15"/>
  <c r="K719" i="15"/>
  <c r="L719" i="15" s="1"/>
  <c r="M719" i="15" s="1"/>
  <c r="R719" i="15"/>
  <c r="P719" i="15"/>
  <c r="Q719" i="15"/>
  <c r="K441" i="15"/>
  <c r="L441" i="15" s="1"/>
  <c r="M441" i="15" s="1"/>
  <c r="R441" i="15"/>
  <c r="Q441" i="15"/>
  <c r="P441" i="15"/>
  <c r="T441" i="15"/>
  <c r="P169" i="15"/>
  <c r="K169" i="15"/>
  <c r="L169" i="15" s="1"/>
  <c r="M169" i="15" s="1"/>
  <c r="R169" i="15"/>
  <c r="T169" i="15"/>
  <c r="Q169" i="15"/>
  <c r="Q154" i="15"/>
  <c r="P154" i="15"/>
  <c r="T154" i="15"/>
  <c r="K154" i="15"/>
  <c r="L154" i="15" s="1"/>
  <c r="M154" i="15" s="1"/>
  <c r="R154" i="15"/>
  <c r="R126" i="15"/>
  <c r="Q126" i="15"/>
  <c r="P126" i="15"/>
  <c r="T126" i="15"/>
  <c r="K126" i="15"/>
  <c r="L126" i="15" s="1"/>
  <c r="M126" i="15" s="1"/>
  <c r="R155" i="15"/>
  <c r="Q155" i="15"/>
  <c r="P155" i="15"/>
  <c r="T155" i="15"/>
  <c r="K155" i="15"/>
  <c r="L155" i="15" s="1"/>
  <c r="M155" i="15" s="1"/>
  <c r="R651" i="15"/>
  <c r="Q651" i="15"/>
  <c r="P651" i="15"/>
  <c r="T651" i="15"/>
  <c r="K651" i="15"/>
  <c r="L651" i="15" s="1"/>
  <c r="M651" i="15" s="1"/>
  <c r="T300" i="15"/>
  <c r="R300" i="15"/>
  <c r="Q300" i="15"/>
  <c r="P300" i="15"/>
  <c r="K300" i="15"/>
  <c r="L300" i="15" s="1"/>
  <c r="M300" i="15" s="1"/>
  <c r="Q583" i="15"/>
  <c r="P583" i="15"/>
  <c r="T583" i="15"/>
  <c r="K583" i="15"/>
  <c r="L583" i="15" s="1"/>
  <c r="M583" i="15" s="1"/>
  <c r="R583" i="15"/>
  <c r="T456" i="15"/>
  <c r="R456" i="15"/>
  <c r="Q456" i="15"/>
  <c r="P456" i="15"/>
  <c r="K456" i="15"/>
  <c r="L456" i="15" s="1"/>
  <c r="M456" i="15" s="1"/>
  <c r="T655" i="15"/>
  <c r="R655" i="15"/>
  <c r="Q655" i="15"/>
  <c r="P655" i="15"/>
  <c r="K655" i="15"/>
  <c r="L655" i="15" s="1"/>
  <c r="M655" i="15" s="1"/>
  <c r="P84" i="15"/>
  <c r="S84" i="15"/>
  <c r="K84" i="15"/>
  <c r="L84" i="15" s="1"/>
  <c r="M84" i="15" s="1"/>
  <c r="Q84" i="15"/>
  <c r="Q167" i="15"/>
  <c r="P167" i="15"/>
  <c r="R167" i="15"/>
  <c r="K167" i="15"/>
  <c r="L167" i="15" s="1"/>
  <c r="M167" i="15" s="1"/>
  <c r="T167" i="15"/>
  <c r="T144" i="15"/>
  <c r="K144" i="15"/>
  <c r="L144" i="15" s="1"/>
  <c r="M144" i="15" s="1"/>
  <c r="R144" i="15"/>
  <c r="Q144" i="15"/>
  <c r="P144" i="15"/>
  <c r="S594" i="15"/>
  <c r="K594" i="15"/>
  <c r="L594" i="15" s="1"/>
  <c r="M594" i="15" s="1"/>
  <c r="Q594" i="15"/>
  <c r="P594" i="15"/>
  <c r="T638" i="15"/>
  <c r="K638" i="15"/>
  <c r="L638" i="15" s="1"/>
  <c r="M638" i="15" s="1"/>
  <c r="R638" i="15"/>
  <c r="Q638" i="15"/>
  <c r="P638" i="15"/>
  <c r="T703" i="15"/>
  <c r="K703" i="15"/>
  <c r="L703" i="15" s="1"/>
  <c r="M703" i="15" s="1"/>
  <c r="R703" i="15"/>
  <c r="Q703" i="15"/>
  <c r="P703" i="15"/>
  <c r="T533" i="15"/>
  <c r="K533" i="15"/>
  <c r="L533" i="15" s="1"/>
  <c r="M533" i="15" s="1"/>
  <c r="R533" i="15"/>
  <c r="Q533" i="15"/>
  <c r="P533" i="15"/>
  <c r="T189" i="15"/>
  <c r="K189" i="15"/>
  <c r="L189" i="15" s="1"/>
  <c r="M189" i="15" s="1"/>
  <c r="R189" i="15"/>
  <c r="Q189" i="15"/>
  <c r="P189" i="15"/>
  <c r="K630" i="15"/>
  <c r="L630" i="15" s="1"/>
  <c r="M630" i="15" s="1"/>
  <c r="R630" i="15"/>
  <c r="Q630" i="15"/>
  <c r="P630" i="15"/>
  <c r="T630" i="15"/>
  <c r="T182" i="15"/>
  <c r="K182" i="15"/>
  <c r="L182" i="15" s="1"/>
  <c r="M182" i="15" s="1"/>
  <c r="R182" i="15"/>
  <c r="P182" i="15"/>
  <c r="Q182" i="15"/>
  <c r="Q575" i="15"/>
  <c r="P575" i="15"/>
  <c r="T575" i="15"/>
  <c r="K575" i="15"/>
  <c r="L575" i="15" s="1"/>
  <c r="M575" i="15" s="1"/>
  <c r="R575" i="15"/>
  <c r="T315" i="15"/>
  <c r="K315" i="15"/>
  <c r="L315" i="15" s="1"/>
  <c r="M315" i="15" s="1"/>
  <c r="Q315" i="15"/>
  <c r="P315" i="15"/>
  <c r="R315" i="15"/>
  <c r="T455" i="15"/>
  <c r="K455" i="15"/>
  <c r="L455" i="15" s="1"/>
  <c r="M455" i="15" s="1"/>
  <c r="Q455" i="15"/>
  <c r="P455" i="15"/>
  <c r="R455" i="15"/>
  <c r="T83" i="15"/>
  <c r="R83" i="15"/>
  <c r="Q83" i="15"/>
  <c r="K83" i="15"/>
  <c r="L83" i="15" s="1"/>
  <c r="M83" i="15" s="1"/>
  <c r="P83" i="15"/>
  <c r="T115" i="15"/>
  <c r="R115" i="15"/>
  <c r="Q115" i="15"/>
  <c r="K115" i="15"/>
  <c r="L115" i="15" s="1"/>
  <c r="M115" i="15" s="1"/>
  <c r="P115" i="15"/>
  <c r="T232" i="15"/>
  <c r="R232" i="15"/>
  <c r="Q232" i="15"/>
  <c r="P232" i="15"/>
  <c r="K232" i="15"/>
  <c r="L232" i="15" s="1"/>
  <c r="M232" i="15" s="1"/>
  <c r="T97" i="15"/>
  <c r="K97" i="15"/>
  <c r="L97" i="15" s="1"/>
  <c r="M97" i="15" s="1"/>
  <c r="R97" i="15"/>
  <c r="P97" i="15"/>
  <c r="Q97" i="15"/>
  <c r="T550" i="15"/>
  <c r="K550" i="15"/>
  <c r="L550" i="15" s="1"/>
  <c r="M550" i="15" s="1"/>
  <c r="R550" i="15"/>
  <c r="P550" i="15"/>
  <c r="Q550" i="15"/>
  <c r="R351" i="15"/>
  <c r="Q351" i="15"/>
  <c r="P351" i="15"/>
  <c r="T351" i="15"/>
  <c r="K351" i="15"/>
  <c r="L351" i="15" s="1"/>
  <c r="M351" i="15" s="1"/>
  <c r="K188" i="15"/>
  <c r="L188" i="15" s="1"/>
  <c r="M188" i="15" s="1"/>
  <c r="R188" i="15"/>
  <c r="Q188" i="15"/>
  <c r="P188" i="15"/>
  <c r="T188" i="15"/>
  <c r="S36" i="15"/>
  <c r="K36" i="15"/>
  <c r="L36" i="15" s="1"/>
  <c r="M36" i="15" s="1"/>
  <c r="Q36" i="15"/>
  <c r="P36" i="15"/>
  <c r="Q99" i="15"/>
  <c r="S99" i="15"/>
  <c r="P99" i="15"/>
  <c r="K99" i="15"/>
  <c r="L99" i="15" s="1"/>
  <c r="M99" i="15" s="1"/>
  <c r="T544" i="15"/>
  <c r="R544" i="15"/>
  <c r="Q544" i="15"/>
  <c r="P544" i="15"/>
  <c r="K544" i="15"/>
  <c r="L544" i="15" s="1"/>
  <c r="M544" i="15" s="1"/>
  <c r="P233" i="15"/>
  <c r="K233" i="15"/>
  <c r="L233" i="15" s="1"/>
  <c r="M233" i="15" s="1"/>
  <c r="R233" i="15"/>
  <c r="T233" i="15"/>
  <c r="Q233" i="15"/>
  <c r="T231" i="15"/>
  <c r="K231" i="15"/>
  <c r="L231" i="15" s="1"/>
  <c r="M231" i="15" s="1"/>
  <c r="Q231" i="15"/>
  <c r="P231" i="15"/>
  <c r="R231" i="15"/>
  <c r="T580" i="15"/>
  <c r="K580" i="15"/>
  <c r="L580" i="15" s="1"/>
  <c r="M580" i="15" s="1"/>
  <c r="Q580" i="15"/>
  <c r="P580" i="15"/>
  <c r="R580" i="15"/>
  <c r="R195" i="15"/>
  <c r="Q195" i="15"/>
  <c r="P195" i="15"/>
  <c r="T195" i="15"/>
  <c r="K195" i="15"/>
  <c r="L195" i="15" s="1"/>
  <c r="M195" i="15" s="1"/>
  <c r="R592" i="15"/>
  <c r="Q592" i="15"/>
  <c r="P592" i="15"/>
  <c r="T592" i="15"/>
  <c r="K592" i="15"/>
  <c r="L592" i="15" s="1"/>
  <c r="M592" i="15" s="1"/>
  <c r="K735" i="15"/>
  <c r="L735" i="15" s="1"/>
  <c r="M735" i="15" s="1"/>
  <c r="S735" i="15"/>
  <c r="Q735" i="15"/>
  <c r="P735" i="15"/>
  <c r="R716" i="15"/>
  <c r="Q716" i="15"/>
  <c r="P716" i="15"/>
  <c r="K716" i="15"/>
  <c r="L716" i="15" s="1"/>
  <c r="M716" i="15" s="1"/>
  <c r="T716" i="15"/>
  <c r="Q302" i="15"/>
  <c r="P302" i="15"/>
  <c r="T302" i="15"/>
  <c r="K302" i="15"/>
  <c r="L302" i="15" s="1"/>
  <c r="M302" i="15" s="1"/>
  <c r="R302" i="15"/>
  <c r="Q361" i="15"/>
  <c r="P361" i="15"/>
  <c r="T361" i="15"/>
  <c r="K361" i="15"/>
  <c r="L361" i="15" s="1"/>
  <c r="M361" i="15" s="1"/>
  <c r="R361" i="15"/>
  <c r="T260" i="15"/>
  <c r="R260" i="15"/>
  <c r="Q260" i="15"/>
  <c r="P260" i="15"/>
  <c r="K260" i="15"/>
  <c r="L260" i="15" s="1"/>
  <c r="M260" i="15" s="1"/>
  <c r="Q607" i="15"/>
  <c r="P607" i="15"/>
  <c r="T607" i="15"/>
  <c r="K607" i="15"/>
  <c r="L607" i="15" s="1"/>
  <c r="M607" i="15" s="1"/>
  <c r="R607" i="15"/>
  <c r="P598" i="15"/>
  <c r="K598" i="15"/>
  <c r="L598" i="15" s="1"/>
  <c r="M598" i="15" s="1"/>
  <c r="R598" i="15"/>
  <c r="Q598" i="15"/>
  <c r="T598" i="15"/>
  <c r="P649" i="15"/>
  <c r="K649" i="15"/>
  <c r="L649" i="15" s="1"/>
  <c r="M649" i="15" s="1"/>
  <c r="R649" i="15"/>
  <c r="Q649" i="15"/>
  <c r="T649" i="15"/>
  <c r="Q692" i="15"/>
  <c r="P692" i="15"/>
  <c r="T692" i="15"/>
  <c r="K692" i="15"/>
  <c r="L692" i="15" s="1"/>
  <c r="M692" i="15" s="1"/>
  <c r="R692" i="15"/>
  <c r="Q141" i="15"/>
  <c r="P141" i="15"/>
  <c r="T141" i="15"/>
  <c r="K141" i="15"/>
  <c r="L141" i="15" s="1"/>
  <c r="M141" i="15" s="1"/>
  <c r="R141" i="15"/>
  <c r="T184" i="15"/>
  <c r="R184" i="15"/>
  <c r="Q184" i="15"/>
  <c r="P184" i="15"/>
  <c r="K184" i="15"/>
  <c r="L184" i="15" s="1"/>
  <c r="M184" i="15" s="1"/>
  <c r="P691" i="15"/>
  <c r="K691" i="15"/>
  <c r="L691" i="15" s="1"/>
  <c r="M691" i="15" s="1"/>
  <c r="R691" i="15"/>
  <c r="Q691" i="15"/>
  <c r="T691" i="15"/>
  <c r="P185" i="15"/>
  <c r="K185" i="15"/>
  <c r="L185" i="15" s="1"/>
  <c r="M185" i="15" s="1"/>
  <c r="R185" i="15"/>
  <c r="T185" i="15"/>
  <c r="Q185" i="15"/>
  <c r="P349" i="15"/>
  <c r="K349" i="15"/>
  <c r="L349" i="15" s="1"/>
  <c r="M349" i="15" s="1"/>
  <c r="R349" i="15"/>
  <c r="T349" i="15"/>
  <c r="Q349" i="15"/>
  <c r="T18" i="15"/>
  <c r="K18" i="15"/>
  <c r="L18" i="15" s="1"/>
  <c r="M18" i="15" s="1"/>
  <c r="R18" i="15"/>
  <c r="Q18" i="15"/>
  <c r="P18" i="15"/>
  <c r="T245" i="15"/>
  <c r="K245" i="15"/>
  <c r="L245" i="15" s="1"/>
  <c r="M245" i="15" s="1"/>
  <c r="R245" i="15"/>
  <c r="Q245" i="15"/>
  <c r="P245" i="15"/>
  <c r="K653" i="15"/>
  <c r="L653" i="15" s="1"/>
  <c r="M653" i="15" s="1"/>
  <c r="S653" i="15"/>
  <c r="U653" i="15" s="1"/>
  <c r="Q653" i="15"/>
  <c r="W653" i="15" s="1"/>
  <c r="R653" i="17" s="1"/>
  <c r="R235" i="15"/>
  <c r="Q235" i="15"/>
  <c r="P235" i="15"/>
  <c r="T235" i="15"/>
  <c r="K235" i="15"/>
  <c r="L235" i="15" s="1"/>
  <c r="M235" i="15" s="1"/>
  <c r="T426" i="15"/>
  <c r="K426" i="15"/>
  <c r="L426" i="15" s="1"/>
  <c r="M426" i="15" s="1"/>
  <c r="Q426" i="15"/>
  <c r="P426" i="15"/>
  <c r="R426" i="15"/>
  <c r="T511" i="15"/>
  <c r="K511" i="15"/>
  <c r="L511" i="15" s="1"/>
  <c r="M511" i="15" s="1"/>
  <c r="Q511" i="15"/>
  <c r="P511" i="15"/>
  <c r="R511" i="15"/>
  <c r="T208" i="15"/>
  <c r="R208" i="15"/>
  <c r="Q208" i="15"/>
  <c r="P208" i="15"/>
  <c r="K208" i="15"/>
  <c r="L208" i="15" s="1"/>
  <c r="M208" i="15" s="1"/>
  <c r="Q385" i="15"/>
  <c r="P385" i="15"/>
  <c r="S385" i="15"/>
  <c r="K385" i="15"/>
  <c r="L385" i="15" s="1"/>
  <c r="M385" i="15" s="1"/>
  <c r="Q643" i="15"/>
  <c r="P643" i="15"/>
  <c r="T643" i="15"/>
  <c r="K643" i="15"/>
  <c r="L643" i="15" s="1"/>
  <c r="M643" i="15" s="1"/>
  <c r="R643" i="15"/>
  <c r="P744" i="15"/>
  <c r="T744" i="15"/>
  <c r="R744" i="15"/>
  <c r="Q744" i="15"/>
  <c r="K744" i="15"/>
  <c r="L744" i="15" s="1"/>
  <c r="M744" i="15" s="1"/>
  <c r="S79" i="15"/>
  <c r="K79" i="15"/>
  <c r="L79" i="15" s="1"/>
  <c r="M79" i="15" s="1"/>
  <c r="Q79" i="15"/>
  <c r="P79" i="15"/>
  <c r="T560" i="15"/>
  <c r="R560" i="15"/>
  <c r="Q560" i="15"/>
  <c r="P560" i="15"/>
  <c r="K560" i="15"/>
  <c r="L560" i="15" s="1"/>
  <c r="M560" i="15" s="1"/>
  <c r="S601" i="15"/>
  <c r="K601" i="15"/>
  <c r="L601" i="15" s="1"/>
  <c r="M601" i="15" s="1"/>
  <c r="Q601" i="15"/>
  <c r="P601" i="15"/>
  <c r="Q270" i="15"/>
  <c r="P270" i="15"/>
  <c r="T270" i="15"/>
  <c r="K270" i="15"/>
  <c r="L270" i="15" s="1"/>
  <c r="M270" i="15" s="1"/>
  <c r="R270" i="15"/>
  <c r="Q326" i="15"/>
  <c r="P326" i="15"/>
  <c r="T326" i="15"/>
  <c r="K326" i="15"/>
  <c r="L326" i="15" s="1"/>
  <c r="M326" i="15" s="1"/>
  <c r="R326" i="15"/>
  <c r="P100" i="15"/>
  <c r="K100" i="15"/>
  <c r="L100" i="15" s="1"/>
  <c r="M100" i="15" s="1"/>
  <c r="R100" i="15"/>
  <c r="T100" i="15"/>
  <c r="Q100" i="15"/>
  <c r="T472" i="15"/>
  <c r="R472" i="15"/>
  <c r="Q472" i="15"/>
  <c r="K472" i="15"/>
  <c r="L472" i="15" s="1"/>
  <c r="M472" i="15" s="1"/>
  <c r="P472" i="15"/>
  <c r="Q202" i="15"/>
  <c r="P202" i="15"/>
  <c r="T202" i="15"/>
  <c r="K202" i="15"/>
  <c r="L202" i="15" s="1"/>
  <c r="M202" i="15" s="1"/>
  <c r="R202" i="15"/>
  <c r="Q375" i="15"/>
  <c r="S375" i="15"/>
  <c r="P375" i="15"/>
  <c r="K375" i="15"/>
  <c r="L375" i="15" s="1"/>
  <c r="M375" i="15" s="1"/>
  <c r="K710" i="15"/>
  <c r="L710" i="15" s="1"/>
  <c r="M710" i="15" s="1"/>
  <c r="Q710" i="15"/>
  <c r="S710" i="15"/>
  <c r="P710" i="15"/>
  <c r="P108" i="15"/>
  <c r="S108" i="15"/>
  <c r="K108" i="15"/>
  <c r="L108" i="15" s="1"/>
  <c r="M108" i="15" s="1"/>
  <c r="Q108" i="15"/>
  <c r="P384" i="15"/>
  <c r="K384" i="15"/>
  <c r="L384" i="15" s="1"/>
  <c r="M384" i="15" s="1"/>
  <c r="R384" i="15"/>
  <c r="T384" i="15"/>
  <c r="Q384" i="15"/>
  <c r="P497" i="15"/>
  <c r="K497" i="15"/>
  <c r="L497" i="15" s="1"/>
  <c r="M497" i="15" s="1"/>
  <c r="R497" i="15"/>
  <c r="T497" i="15"/>
  <c r="Q497" i="15"/>
  <c r="O12" i="28" a="1"/>
  <c r="O12" i="28" s="1"/>
  <c r="O13" i="28" a="1"/>
  <c r="O13" i="28" s="1"/>
  <c r="T42" i="15"/>
  <c r="K42" i="15"/>
  <c r="L42" i="15" s="1"/>
  <c r="M42" i="15" s="1"/>
  <c r="R42" i="15"/>
  <c r="Q42" i="15"/>
  <c r="P42" i="15"/>
  <c r="S96" i="15"/>
  <c r="K96" i="15"/>
  <c r="L96" i="15" s="1"/>
  <c r="M96" i="15" s="1"/>
  <c r="Q96" i="15"/>
  <c r="P96" i="15"/>
  <c r="T445" i="15"/>
  <c r="K445" i="15"/>
  <c r="L445" i="15" s="1"/>
  <c r="M445" i="15" s="1"/>
  <c r="R445" i="15"/>
  <c r="Q445" i="15"/>
  <c r="P445" i="15"/>
  <c r="T688" i="15"/>
  <c r="K688" i="15"/>
  <c r="L688" i="15" s="1"/>
  <c r="M688" i="15" s="1"/>
  <c r="R688" i="15"/>
  <c r="P688" i="15"/>
  <c r="Q688" i="15"/>
  <c r="T718" i="15"/>
  <c r="K718" i="15"/>
  <c r="L718" i="15" s="1"/>
  <c r="M718" i="15" s="1"/>
  <c r="Q718" i="15"/>
  <c r="P718" i="15"/>
  <c r="R718" i="15"/>
  <c r="P442" i="15"/>
  <c r="T442" i="15"/>
  <c r="K442" i="15"/>
  <c r="L442" i="15" s="1"/>
  <c r="M442" i="15" s="1"/>
  <c r="R442" i="15"/>
  <c r="Q442" i="15"/>
  <c r="T49" i="15"/>
  <c r="P49" i="15"/>
  <c r="K49" i="15"/>
  <c r="L49" i="15" s="1"/>
  <c r="M49" i="15" s="1"/>
  <c r="R49" i="15"/>
  <c r="Q49" i="15"/>
  <c r="R163" i="15"/>
  <c r="Q163" i="15"/>
  <c r="T163" i="15"/>
  <c r="K163" i="15"/>
  <c r="L163" i="15" s="1"/>
  <c r="M163" i="15" s="1"/>
  <c r="P163" i="15"/>
  <c r="Q443" i="15"/>
  <c r="K443" i="15"/>
  <c r="L443" i="15" s="1"/>
  <c r="M443" i="15" s="1"/>
  <c r="S443" i="15"/>
  <c r="P443" i="15"/>
  <c r="R110" i="15"/>
  <c r="Q110" i="15"/>
  <c r="P110" i="15"/>
  <c r="T110" i="15"/>
  <c r="K110" i="15"/>
  <c r="L110" i="15" s="1"/>
  <c r="M110" i="15" s="1"/>
  <c r="S114" i="15"/>
  <c r="K114" i="15"/>
  <c r="L114" i="15" s="1"/>
  <c r="M114" i="15" s="1"/>
  <c r="Q114" i="15"/>
  <c r="P114" i="15"/>
  <c r="S299" i="15"/>
  <c r="K299" i="15"/>
  <c r="L299" i="15" s="1"/>
  <c r="M299" i="15" s="1"/>
  <c r="Q299" i="15"/>
  <c r="P299" i="15"/>
  <c r="T215" i="15"/>
  <c r="K215" i="15"/>
  <c r="L215" i="15" s="1"/>
  <c r="M215" i="15" s="1"/>
  <c r="Q215" i="15"/>
  <c r="P215" i="15"/>
  <c r="R215" i="15"/>
  <c r="Q342" i="15"/>
  <c r="P342" i="15"/>
  <c r="T342" i="15"/>
  <c r="K342" i="15"/>
  <c r="L342" i="15" s="1"/>
  <c r="M342" i="15" s="1"/>
  <c r="R342" i="15"/>
  <c r="P301" i="15"/>
  <c r="K301" i="15"/>
  <c r="L301" i="15" s="1"/>
  <c r="M301" i="15" s="1"/>
  <c r="R301" i="15"/>
  <c r="Q301" i="15"/>
  <c r="T301" i="15"/>
  <c r="Q369" i="15"/>
  <c r="P369" i="15"/>
  <c r="T369" i="15"/>
  <c r="K369" i="15"/>
  <c r="L369" i="15" s="1"/>
  <c r="M369" i="15" s="1"/>
  <c r="R369" i="15"/>
  <c r="Q482" i="15"/>
  <c r="P482" i="15"/>
  <c r="T482" i="15"/>
  <c r="K482" i="15"/>
  <c r="L482" i="15" s="1"/>
  <c r="M482" i="15" s="1"/>
  <c r="R482" i="15"/>
  <c r="Q591" i="15"/>
  <c r="P591" i="15"/>
  <c r="S591" i="15"/>
  <c r="K591" i="15"/>
  <c r="L591" i="15" s="1"/>
  <c r="M591" i="15" s="1"/>
  <c r="Q657" i="15"/>
  <c r="P657" i="15"/>
  <c r="T657" i="15"/>
  <c r="K657" i="15"/>
  <c r="L657" i="15" s="1"/>
  <c r="M657" i="15" s="1"/>
  <c r="R657" i="15"/>
  <c r="Q53" i="15"/>
  <c r="P53" i="15"/>
  <c r="T53" i="15"/>
  <c r="K53" i="15"/>
  <c r="L53" i="15" s="1"/>
  <c r="M53" i="15" s="1"/>
  <c r="R53" i="15"/>
  <c r="K71" i="15"/>
  <c r="L71" i="15" s="1"/>
  <c r="M71" i="15" s="1"/>
  <c r="R71" i="15"/>
  <c r="Q71" i="15"/>
  <c r="P71" i="15"/>
  <c r="T71" i="15"/>
  <c r="K379" i="15"/>
  <c r="L379" i="15" s="1"/>
  <c r="M379" i="15" s="1"/>
  <c r="R379" i="15"/>
  <c r="Q379" i="15"/>
  <c r="P379" i="15"/>
  <c r="T379" i="15"/>
  <c r="Q573" i="15"/>
  <c r="S573" i="15"/>
  <c r="K573" i="15"/>
  <c r="L573" i="15" s="1"/>
  <c r="M573" i="15" s="1"/>
  <c r="P573" i="15"/>
  <c r="T206" i="15"/>
  <c r="K206" i="15"/>
  <c r="L206" i="15" s="1"/>
  <c r="M206" i="15" s="1"/>
  <c r="R206" i="15"/>
  <c r="P206" i="15"/>
  <c r="Q206" i="15"/>
  <c r="R621" i="15"/>
  <c r="Q621" i="15"/>
  <c r="P621" i="15"/>
  <c r="T621" i="15"/>
  <c r="K621" i="15"/>
  <c r="L621" i="15" s="1"/>
  <c r="M621" i="15" s="1"/>
  <c r="K704" i="15"/>
  <c r="L704" i="15" s="1"/>
  <c r="M704" i="15" s="1"/>
  <c r="S704" i="15"/>
  <c r="U704" i="15" s="1"/>
  <c r="Q704" i="15"/>
  <c r="W704" i="15" s="1"/>
  <c r="R704" i="17" s="1"/>
  <c r="P529" i="15"/>
  <c r="K529" i="15"/>
  <c r="L529" i="15" s="1"/>
  <c r="M529" i="15" s="1"/>
  <c r="R529" i="15"/>
  <c r="T529" i="15"/>
  <c r="Q529" i="15"/>
  <c r="T307" i="15"/>
  <c r="K307" i="15"/>
  <c r="L307" i="15" s="1"/>
  <c r="M307" i="15" s="1"/>
  <c r="Q307" i="15"/>
  <c r="P307" i="15"/>
  <c r="R307" i="15"/>
  <c r="T390" i="15"/>
  <c r="K390" i="15"/>
  <c r="L390" i="15" s="1"/>
  <c r="M390" i="15" s="1"/>
  <c r="Q390" i="15"/>
  <c r="P390" i="15"/>
  <c r="R390" i="15"/>
  <c r="T487" i="15"/>
  <c r="K487" i="15"/>
  <c r="L487" i="15" s="1"/>
  <c r="M487" i="15" s="1"/>
  <c r="Q487" i="15"/>
  <c r="P487" i="15"/>
  <c r="R487" i="15"/>
  <c r="T640" i="15"/>
  <c r="K640" i="15"/>
  <c r="L640" i="15" s="1"/>
  <c r="M640" i="15" s="1"/>
  <c r="Q640" i="15"/>
  <c r="P640" i="15"/>
  <c r="R640" i="15"/>
  <c r="T224" i="15"/>
  <c r="R224" i="15"/>
  <c r="Q224" i="15"/>
  <c r="K224" i="15"/>
  <c r="L224" i="15" s="1"/>
  <c r="M224" i="15" s="1"/>
  <c r="P224" i="15"/>
  <c r="P253" i="15"/>
  <c r="K253" i="15"/>
  <c r="L253" i="15" s="1"/>
  <c r="M253" i="15" s="1"/>
  <c r="R253" i="15"/>
  <c r="T253" i="15"/>
  <c r="Q253" i="15"/>
  <c r="T367" i="15"/>
  <c r="R367" i="15"/>
  <c r="Q367" i="15"/>
  <c r="P367" i="15"/>
  <c r="K367" i="15"/>
  <c r="L367" i="15" s="1"/>
  <c r="M367" i="15" s="1"/>
  <c r="K399" i="15"/>
  <c r="L399" i="15" s="1"/>
  <c r="M399" i="15" s="1"/>
  <c r="R399" i="15"/>
  <c r="Q399" i="15"/>
  <c r="P399" i="15"/>
  <c r="T399" i="15"/>
  <c r="T488" i="15"/>
  <c r="R488" i="15"/>
  <c r="Q488" i="15"/>
  <c r="K488" i="15"/>
  <c r="L488" i="15" s="1"/>
  <c r="M488" i="15" s="1"/>
  <c r="P488" i="15"/>
  <c r="P38" i="15"/>
  <c r="T38" i="15"/>
  <c r="K38" i="15"/>
  <c r="L38" i="15" s="1"/>
  <c r="M38" i="15" s="1"/>
  <c r="R38" i="15"/>
  <c r="Q38" i="15"/>
  <c r="K212" i="15"/>
  <c r="L212" i="15" s="1"/>
  <c r="M212" i="15" s="1"/>
  <c r="R212" i="15"/>
  <c r="Q212" i="15"/>
  <c r="P212" i="15"/>
  <c r="T212" i="15"/>
  <c r="P325" i="15"/>
  <c r="K325" i="15"/>
  <c r="L325" i="15" s="1"/>
  <c r="M325" i="15" s="1"/>
  <c r="R325" i="15"/>
  <c r="T325" i="15"/>
  <c r="Q325" i="15"/>
  <c r="P561" i="15"/>
  <c r="K561" i="15"/>
  <c r="L561" i="15" s="1"/>
  <c r="M561" i="15" s="1"/>
  <c r="R561" i="15"/>
  <c r="T561" i="15"/>
  <c r="Q561" i="15"/>
  <c r="P675" i="15"/>
  <c r="K675" i="15"/>
  <c r="L675" i="15" s="1"/>
  <c r="M675" i="15" s="1"/>
  <c r="R675" i="15"/>
  <c r="T675" i="15"/>
  <c r="Q675" i="15"/>
  <c r="K508" i="15"/>
  <c r="L508" i="15" s="1"/>
  <c r="M508" i="15" s="1"/>
  <c r="R508" i="15"/>
  <c r="Q508" i="15"/>
  <c r="P508" i="15"/>
  <c r="T508" i="15"/>
  <c r="K95" i="15"/>
  <c r="L95" i="15" s="1"/>
  <c r="M95" i="15" s="1"/>
  <c r="R95" i="15"/>
  <c r="Q95" i="15"/>
  <c r="P95" i="15"/>
  <c r="T95" i="15"/>
  <c r="K236" i="15"/>
  <c r="L236" i="15" s="1"/>
  <c r="M236" i="15" s="1"/>
  <c r="R236" i="15"/>
  <c r="Q236" i="15"/>
  <c r="P236" i="15"/>
  <c r="T236" i="15"/>
  <c r="K460" i="15"/>
  <c r="L460" i="15" s="1"/>
  <c r="M460" i="15" s="1"/>
  <c r="R460" i="15"/>
  <c r="Q460" i="15"/>
  <c r="P460" i="15"/>
  <c r="T460" i="15"/>
  <c r="T265" i="15"/>
  <c r="K265" i="15"/>
  <c r="L265" i="15" s="1"/>
  <c r="M265" i="15" s="1"/>
  <c r="R265" i="15"/>
  <c r="Q265" i="15"/>
  <c r="P265" i="15"/>
  <c r="T330" i="15"/>
  <c r="K330" i="15"/>
  <c r="L330" i="15" s="1"/>
  <c r="M330" i="15" s="1"/>
  <c r="R330" i="15"/>
  <c r="P330" i="15"/>
  <c r="Q330" i="15"/>
  <c r="T447" i="15"/>
  <c r="K447" i="15"/>
  <c r="L447" i="15" s="1"/>
  <c r="M447" i="15" s="1"/>
  <c r="Q447" i="15"/>
  <c r="P447" i="15"/>
  <c r="R447" i="15"/>
  <c r="T91" i="15"/>
  <c r="R91" i="15"/>
  <c r="Q91" i="15"/>
  <c r="P91" i="15"/>
  <c r="K91" i="15"/>
  <c r="L91" i="15" s="1"/>
  <c r="M91" i="15" s="1"/>
  <c r="R16" i="15"/>
  <c r="Q16" i="15"/>
  <c r="P16" i="15"/>
  <c r="T16" i="15"/>
  <c r="K16" i="15"/>
  <c r="L16" i="15" s="1"/>
  <c r="M16" i="15" s="1"/>
  <c r="Q483" i="15"/>
  <c r="P483" i="15"/>
  <c r="K483" i="15"/>
  <c r="L483" i="15" s="1"/>
  <c r="M483" i="15" s="1"/>
  <c r="S483" i="15"/>
  <c r="Q69" i="15"/>
  <c r="P69" i="15"/>
  <c r="S69" i="15"/>
  <c r="K69" i="15"/>
  <c r="L69" i="15" s="1"/>
  <c r="M69" i="15" s="1"/>
  <c r="T709" i="15"/>
  <c r="K709" i="15"/>
  <c r="L709" i="15" s="1"/>
  <c r="M709" i="15" s="1"/>
  <c r="R709" i="15"/>
  <c r="Q709" i="15"/>
  <c r="P709" i="15"/>
  <c r="K532" i="15"/>
  <c r="L532" i="15" s="1"/>
  <c r="M532" i="15" s="1"/>
  <c r="R532" i="15"/>
  <c r="P532" i="15"/>
  <c r="T532" i="15"/>
  <c r="Q532" i="15"/>
  <c r="T37" i="15"/>
  <c r="K37" i="15"/>
  <c r="L37" i="15" s="1"/>
  <c r="M37" i="15" s="1"/>
  <c r="R37" i="15"/>
  <c r="Q37" i="15"/>
  <c r="P37" i="15"/>
  <c r="P473" i="15"/>
  <c r="S473" i="15"/>
  <c r="K473" i="15"/>
  <c r="L473" i="15" s="1"/>
  <c r="M473" i="15" s="1"/>
  <c r="Q473" i="15"/>
  <c r="K127" i="15"/>
  <c r="L127" i="15" s="1"/>
  <c r="M127" i="15" s="1"/>
  <c r="R127" i="15"/>
  <c r="Q127" i="15"/>
  <c r="P127" i="15"/>
  <c r="T127" i="15"/>
  <c r="S33" i="15"/>
  <c r="K33" i="15"/>
  <c r="L33" i="15" s="1"/>
  <c r="M33" i="15" s="1"/>
  <c r="Q33" i="15"/>
  <c r="P33" i="15"/>
  <c r="K272" i="15"/>
  <c r="L272" i="15" s="1"/>
  <c r="M272" i="15" s="1"/>
  <c r="R272" i="15"/>
  <c r="Q272" i="15"/>
  <c r="P272" i="15"/>
  <c r="T272" i="15"/>
  <c r="T82" i="15"/>
  <c r="K82" i="15"/>
  <c r="L82" i="15" s="1"/>
  <c r="M82" i="15" s="1"/>
  <c r="Q82" i="15"/>
  <c r="P82" i="15"/>
  <c r="R82" i="15"/>
  <c r="S685" i="15"/>
  <c r="Q685" i="15"/>
  <c r="P685" i="15"/>
  <c r="K685" i="15"/>
  <c r="L685" i="15" s="1"/>
  <c r="M685" i="15" s="1"/>
  <c r="Q398" i="15"/>
  <c r="P398" i="15"/>
  <c r="T398" i="15"/>
  <c r="R398" i="15"/>
  <c r="K398" i="15"/>
  <c r="L398" i="15" s="1"/>
  <c r="M398" i="15" s="1"/>
  <c r="T353" i="15"/>
  <c r="K353" i="15"/>
  <c r="L353" i="15" s="1"/>
  <c r="M353" i="15" s="1"/>
  <c r="Q353" i="15"/>
  <c r="P353" i="15"/>
  <c r="R353" i="15"/>
  <c r="T259" i="15"/>
  <c r="K259" i="15"/>
  <c r="L259" i="15" s="1"/>
  <c r="M259" i="15" s="1"/>
  <c r="Q259" i="15"/>
  <c r="P259" i="15"/>
  <c r="R259" i="15"/>
  <c r="S347" i="15"/>
  <c r="K347" i="15"/>
  <c r="L347" i="15" s="1"/>
  <c r="M347" i="15" s="1"/>
  <c r="Q347" i="15"/>
  <c r="P347" i="15"/>
  <c r="S479" i="15"/>
  <c r="K479" i="15"/>
  <c r="L479" i="15" s="1"/>
  <c r="M479" i="15" s="1"/>
  <c r="Q479" i="15"/>
  <c r="P479" i="15"/>
  <c r="T223" i="15"/>
  <c r="K223" i="15"/>
  <c r="L223" i="15" s="1"/>
  <c r="M223" i="15" s="1"/>
  <c r="Q223" i="15"/>
  <c r="P223" i="15"/>
  <c r="R223" i="15"/>
  <c r="R547" i="15"/>
  <c r="Q547" i="15"/>
  <c r="P547" i="15"/>
  <c r="T547" i="15"/>
  <c r="K547" i="15"/>
  <c r="L547" i="15" s="1"/>
  <c r="M547" i="15" s="1"/>
  <c r="T519" i="15"/>
  <c r="K519" i="15"/>
  <c r="L519" i="15" s="1"/>
  <c r="M519" i="15" s="1"/>
  <c r="Q519" i="15"/>
  <c r="P519" i="15"/>
  <c r="R519" i="15"/>
  <c r="P44" i="15"/>
  <c r="R44" i="15"/>
  <c r="T44" i="15"/>
  <c r="Q44" i="15"/>
  <c r="K44" i="15"/>
  <c r="L44" i="15" s="1"/>
  <c r="M44" i="15" s="1"/>
  <c r="T123" i="15"/>
  <c r="R123" i="15"/>
  <c r="Q123" i="15"/>
  <c r="P123" i="15"/>
  <c r="K123" i="15"/>
  <c r="L123" i="15" s="1"/>
  <c r="M123" i="15" s="1"/>
  <c r="Q218" i="15"/>
  <c r="P218" i="15"/>
  <c r="T218" i="15"/>
  <c r="K218" i="15"/>
  <c r="L218" i="15" s="1"/>
  <c r="M218" i="15" s="1"/>
  <c r="R218" i="15"/>
  <c r="Q474" i="15"/>
  <c r="P474" i="15"/>
  <c r="T474" i="15"/>
  <c r="K474" i="15"/>
  <c r="L474" i="15" s="1"/>
  <c r="M474" i="15" s="1"/>
  <c r="R474" i="15"/>
  <c r="T427" i="15"/>
  <c r="R427" i="15"/>
  <c r="Q427" i="15"/>
  <c r="P427" i="15"/>
  <c r="K427" i="15"/>
  <c r="L427" i="15" s="1"/>
  <c r="M427" i="15" s="1"/>
  <c r="Q554" i="15"/>
  <c r="P554" i="15"/>
  <c r="T554" i="15"/>
  <c r="K554" i="15"/>
  <c r="L554" i="15" s="1"/>
  <c r="M554" i="15" s="1"/>
  <c r="R554" i="15"/>
  <c r="Q7" i="15"/>
  <c r="P7" i="15"/>
  <c r="T7" i="15"/>
  <c r="K7" i="15"/>
  <c r="L7" i="15" s="1"/>
  <c r="M7" i="15" s="1"/>
  <c r="R7" i="15"/>
  <c r="P193" i="15"/>
  <c r="K193" i="15"/>
  <c r="L193" i="15" s="1"/>
  <c r="M193" i="15" s="1"/>
  <c r="R193" i="15"/>
  <c r="T193" i="15"/>
  <c r="Q193" i="15"/>
  <c r="Q39" i="15"/>
  <c r="P39" i="15"/>
  <c r="S39" i="15"/>
  <c r="K39" i="15"/>
  <c r="L39" i="15" s="1"/>
  <c r="M39" i="15" s="1"/>
  <c r="S3" i="15"/>
  <c r="K3" i="15"/>
  <c r="L3" i="15" s="1"/>
  <c r="M3" i="15" s="1"/>
  <c r="P3" i="15"/>
  <c r="Q3" i="15"/>
  <c r="T65" i="15"/>
  <c r="K65" i="15"/>
  <c r="L65" i="15" s="1"/>
  <c r="M65" i="15" s="1"/>
  <c r="R65" i="15"/>
  <c r="P65" i="15"/>
  <c r="Q65" i="15"/>
  <c r="T417" i="15"/>
  <c r="K417" i="15"/>
  <c r="L417" i="15" s="1"/>
  <c r="M417" i="15" s="1"/>
  <c r="R417" i="15"/>
  <c r="P417" i="15"/>
  <c r="Q417" i="15"/>
  <c r="T689" i="15"/>
  <c r="K689" i="15"/>
  <c r="L689" i="15" s="1"/>
  <c r="M689" i="15" s="1"/>
  <c r="Q689" i="15"/>
  <c r="P689" i="15"/>
  <c r="R689" i="15"/>
  <c r="T696" i="15"/>
  <c r="K696" i="15"/>
  <c r="L696" i="15" s="1"/>
  <c r="M696" i="15" s="1"/>
  <c r="R696" i="15"/>
  <c r="P696" i="15"/>
  <c r="Q696" i="15"/>
  <c r="T275" i="15"/>
  <c r="K275" i="15"/>
  <c r="L275" i="15" s="1"/>
  <c r="M275" i="15" s="1"/>
  <c r="Q275" i="15"/>
  <c r="P275" i="15"/>
  <c r="R275" i="15"/>
  <c r="T358" i="15"/>
  <c r="K358" i="15"/>
  <c r="L358" i="15" s="1"/>
  <c r="M358" i="15" s="1"/>
  <c r="Q358" i="15"/>
  <c r="P358" i="15"/>
  <c r="R358" i="15"/>
  <c r="T633" i="15"/>
  <c r="K633" i="15"/>
  <c r="L633" i="15" s="1"/>
  <c r="M633" i="15" s="1"/>
  <c r="Q633" i="15"/>
  <c r="P633" i="15"/>
  <c r="R633" i="15"/>
  <c r="K687" i="15"/>
  <c r="L687" i="15" s="1"/>
  <c r="M687" i="15" s="1"/>
  <c r="R687" i="15"/>
  <c r="T687" i="15"/>
  <c r="Q687" i="15"/>
  <c r="P687" i="15"/>
  <c r="Q318" i="15"/>
  <c r="P318" i="15"/>
  <c r="S318" i="15"/>
  <c r="K318" i="15"/>
  <c r="L318" i="15" s="1"/>
  <c r="M318" i="15" s="1"/>
  <c r="T176" i="15"/>
  <c r="R176" i="15"/>
  <c r="Q176" i="15"/>
  <c r="P176" i="15"/>
  <c r="K176" i="15"/>
  <c r="L176" i="15" s="1"/>
  <c r="M176" i="15" s="1"/>
  <c r="Q324" i="15"/>
  <c r="S324" i="15"/>
  <c r="P324" i="15"/>
  <c r="K324" i="15"/>
  <c r="L324" i="15" s="1"/>
  <c r="M324" i="15" s="1"/>
  <c r="T480" i="15"/>
  <c r="R480" i="15"/>
  <c r="Q480" i="15"/>
  <c r="P480" i="15"/>
  <c r="K480" i="15"/>
  <c r="L480" i="15" s="1"/>
  <c r="M480" i="15" s="1"/>
  <c r="T589" i="15"/>
  <c r="R589" i="15"/>
  <c r="Q589" i="15"/>
  <c r="P589" i="15"/>
  <c r="K589" i="15"/>
  <c r="L589" i="15" s="1"/>
  <c r="M589" i="15" s="1"/>
  <c r="Q13" i="15"/>
  <c r="S13" i="15"/>
  <c r="P13" i="15"/>
  <c r="K13" i="15"/>
  <c r="L13" i="15" s="1"/>
  <c r="M13" i="15" s="1"/>
  <c r="Q51" i="15"/>
  <c r="S51" i="15"/>
  <c r="P51" i="15"/>
  <c r="K51" i="15"/>
  <c r="L51" i="15" s="1"/>
  <c r="M51" i="15" s="1"/>
  <c r="K336" i="15"/>
  <c r="L336" i="15" s="1"/>
  <c r="M336" i="15" s="1"/>
  <c r="R336" i="15"/>
  <c r="Q336" i="15"/>
  <c r="P336" i="15"/>
  <c r="T336" i="15"/>
  <c r="S423" i="15"/>
  <c r="K423" i="15"/>
  <c r="L423" i="15" s="1"/>
  <c r="M423" i="15" s="1"/>
  <c r="Q423" i="15"/>
  <c r="P423" i="15"/>
  <c r="Q24" i="15"/>
  <c r="P24" i="15"/>
  <c r="S24" i="15"/>
  <c r="K24" i="15"/>
  <c r="L24" i="15" s="1"/>
  <c r="M24" i="15" s="1"/>
  <c r="P60" i="15"/>
  <c r="K60" i="15"/>
  <c r="L60" i="15" s="1"/>
  <c r="M60" i="15" s="1"/>
  <c r="R60" i="15"/>
  <c r="T60" i="15"/>
  <c r="Q60" i="15"/>
  <c r="P614" i="15"/>
  <c r="K614" i="15"/>
  <c r="L614" i="15" s="1"/>
  <c r="M614" i="15" s="1"/>
  <c r="R614" i="15"/>
  <c r="T614" i="15"/>
  <c r="Q614" i="15"/>
  <c r="S664" i="15"/>
  <c r="P664" i="15"/>
  <c r="K664" i="15"/>
  <c r="L664" i="15" s="1"/>
  <c r="M664" i="15" s="1"/>
  <c r="Q664" i="15"/>
  <c r="P711" i="15"/>
  <c r="R711" i="15"/>
  <c r="T711" i="15"/>
  <c r="Q711" i="15"/>
  <c r="K711" i="15"/>
  <c r="L711" i="15" s="1"/>
  <c r="M711" i="15" s="1"/>
  <c r="T314" i="15"/>
  <c r="K314" i="15"/>
  <c r="L314" i="15" s="1"/>
  <c r="M314" i="15" s="1"/>
  <c r="R314" i="15"/>
  <c r="P314" i="15"/>
  <c r="Q314" i="15"/>
  <c r="T365" i="15"/>
  <c r="K365" i="15"/>
  <c r="L365" i="15" s="1"/>
  <c r="M365" i="15" s="1"/>
  <c r="R365" i="15"/>
  <c r="P365" i="15"/>
  <c r="Q365" i="15"/>
  <c r="T486" i="15"/>
  <c r="K486" i="15"/>
  <c r="L486" i="15" s="1"/>
  <c r="M486" i="15" s="1"/>
  <c r="R486" i="15"/>
  <c r="P486" i="15"/>
  <c r="Q486" i="15"/>
  <c r="S129" i="15"/>
  <c r="K129" i="15"/>
  <c r="L129" i="15" s="1"/>
  <c r="M129" i="15" s="1"/>
  <c r="P129" i="15"/>
  <c r="Q129" i="15"/>
  <c r="T198" i="15"/>
  <c r="K198" i="15"/>
  <c r="L198" i="15" s="1"/>
  <c r="M198" i="15" s="1"/>
  <c r="R198" i="15"/>
  <c r="P198" i="15"/>
  <c r="Q198" i="15"/>
  <c r="S518" i="15"/>
  <c r="K518" i="15"/>
  <c r="L518" i="15" s="1"/>
  <c r="M518" i="15" s="1"/>
  <c r="P518" i="15"/>
  <c r="Q518" i="15"/>
  <c r="T266" i="15"/>
  <c r="K266" i="15"/>
  <c r="L266" i="15" s="1"/>
  <c r="M266" i="15" s="1"/>
  <c r="R266" i="15"/>
  <c r="P266" i="15"/>
  <c r="Q266" i="15"/>
  <c r="T283" i="15"/>
  <c r="K283" i="15"/>
  <c r="L283" i="15" s="1"/>
  <c r="M283" i="15" s="1"/>
  <c r="Q283" i="15"/>
  <c r="P283" i="15"/>
  <c r="R283" i="15"/>
  <c r="T410" i="15"/>
  <c r="K410" i="15"/>
  <c r="L410" i="15" s="1"/>
  <c r="M410" i="15" s="1"/>
  <c r="Q410" i="15"/>
  <c r="P410" i="15"/>
  <c r="R410" i="15"/>
  <c r="T662" i="15"/>
  <c r="K662" i="15"/>
  <c r="L662" i="15" s="1"/>
  <c r="M662" i="15" s="1"/>
  <c r="Q662" i="15"/>
  <c r="P662" i="15"/>
  <c r="R662" i="15"/>
  <c r="S138" i="15"/>
  <c r="K138" i="15"/>
  <c r="L138" i="15" s="1"/>
  <c r="M138" i="15" s="1"/>
  <c r="Q138" i="15"/>
  <c r="P138" i="15"/>
  <c r="Q730" i="15"/>
  <c r="P730" i="15"/>
  <c r="K730" i="15"/>
  <c r="L730" i="15" s="1"/>
  <c r="M730" i="15" s="1"/>
  <c r="T730" i="15"/>
  <c r="R730" i="15"/>
  <c r="K593" i="15"/>
  <c r="L593" i="15" s="1"/>
  <c r="M593" i="15" s="1"/>
  <c r="R593" i="15"/>
  <c r="Q593" i="15"/>
  <c r="P593" i="15"/>
  <c r="T593" i="15"/>
  <c r="K143" i="15"/>
  <c r="L143" i="15" s="1"/>
  <c r="M143" i="15" s="1"/>
  <c r="R143" i="15"/>
  <c r="Q143" i="15"/>
  <c r="P143" i="15"/>
  <c r="T143" i="15"/>
  <c r="T308" i="15"/>
  <c r="R308" i="15"/>
  <c r="Q308" i="15"/>
  <c r="P308" i="15"/>
  <c r="K308" i="15"/>
  <c r="L308" i="15" s="1"/>
  <c r="M308" i="15" s="1"/>
  <c r="Q464" i="15"/>
  <c r="P464" i="15"/>
  <c r="K464" i="15"/>
  <c r="L464" i="15" s="1"/>
  <c r="M464" i="15" s="1"/>
  <c r="S464" i="15"/>
  <c r="K516" i="15"/>
  <c r="L516" i="15" s="1"/>
  <c r="M516" i="15" s="1"/>
  <c r="R516" i="15"/>
  <c r="Q516" i="15"/>
  <c r="P516" i="15"/>
  <c r="T516" i="15"/>
  <c r="T663" i="15"/>
  <c r="R663" i="15"/>
  <c r="Q663" i="15"/>
  <c r="P663" i="15"/>
  <c r="K663" i="15"/>
  <c r="L663" i="15" s="1"/>
  <c r="M663" i="15" s="1"/>
  <c r="T29" i="15"/>
  <c r="K29" i="15"/>
  <c r="L29" i="15" s="1"/>
  <c r="M29" i="15" s="1"/>
  <c r="R29" i="15"/>
  <c r="Q29" i="15"/>
  <c r="P29" i="15"/>
  <c r="T75" i="15"/>
  <c r="R75" i="15"/>
  <c r="Q75" i="15"/>
  <c r="P75" i="15"/>
  <c r="K75" i="15"/>
  <c r="L75" i="15" s="1"/>
  <c r="M75" i="15" s="1"/>
  <c r="K220" i="15"/>
  <c r="L220" i="15" s="1"/>
  <c r="M220" i="15" s="1"/>
  <c r="R220" i="15"/>
  <c r="Q220" i="15"/>
  <c r="P220" i="15"/>
  <c r="T220" i="15"/>
  <c r="T411" i="15"/>
  <c r="R411" i="15"/>
  <c r="Q411" i="15"/>
  <c r="P411" i="15"/>
  <c r="K411" i="15"/>
  <c r="L411" i="15" s="1"/>
  <c r="M411" i="15" s="1"/>
  <c r="Q186" i="15"/>
  <c r="P186" i="15"/>
  <c r="T186" i="15"/>
  <c r="K186" i="15"/>
  <c r="L186" i="15" s="1"/>
  <c r="M186" i="15" s="1"/>
  <c r="R186" i="15"/>
  <c r="Q437" i="15"/>
  <c r="P437" i="15"/>
  <c r="T437" i="15"/>
  <c r="K437" i="15"/>
  <c r="L437" i="15" s="1"/>
  <c r="M437" i="15" s="1"/>
  <c r="R437" i="15"/>
  <c r="Q506" i="15"/>
  <c r="P506" i="15"/>
  <c r="T506" i="15"/>
  <c r="K506" i="15"/>
  <c r="L506" i="15" s="1"/>
  <c r="M506" i="15" s="1"/>
  <c r="R506" i="15"/>
  <c r="R528" i="15"/>
  <c r="K528" i="15"/>
  <c r="L528" i="15" s="1"/>
  <c r="M528" i="15" s="1"/>
  <c r="Q528" i="15"/>
  <c r="P528" i="15"/>
  <c r="T528" i="15"/>
  <c r="S165" i="15"/>
  <c r="K165" i="15"/>
  <c r="L165" i="15" s="1"/>
  <c r="M165" i="15" s="1"/>
  <c r="Q165" i="15"/>
  <c r="P165" i="15"/>
  <c r="T610" i="15"/>
  <c r="K610" i="15"/>
  <c r="L610" i="15" s="1"/>
  <c r="M610" i="15" s="1"/>
  <c r="R610" i="15"/>
  <c r="Q610" i="15"/>
  <c r="P610" i="15"/>
  <c r="T230" i="15"/>
  <c r="K230" i="15"/>
  <c r="L230" i="15" s="1"/>
  <c r="M230" i="15" s="1"/>
  <c r="R230" i="15"/>
  <c r="P230" i="15"/>
  <c r="Q230" i="15"/>
  <c r="T250" i="15"/>
  <c r="P250" i="15"/>
  <c r="Q250" i="15"/>
  <c r="K250" i="15"/>
  <c r="L250" i="15" s="1"/>
  <c r="M250" i="15" s="1"/>
  <c r="R250" i="15"/>
  <c r="S726" i="15"/>
  <c r="K726" i="15"/>
  <c r="L726" i="15" s="1"/>
  <c r="M726" i="15" s="1"/>
  <c r="Q726" i="15"/>
  <c r="P726" i="15"/>
  <c r="T357" i="15"/>
  <c r="K357" i="15"/>
  <c r="L357" i="15" s="1"/>
  <c r="M357" i="15" s="1"/>
  <c r="R357" i="15"/>
  <c r="P357" i="15"/>
  <c r="Q357" i="15"/>
  <c r="T566" i="15"/>
  <c r="K566" i="15"/>
  <c r="L566" i="15" s="1"/>
  <c r="M566" i="15" s="1"/>
  <c r="R566" i="15"/>
  <c r="P566" i="15"/>
  <c r="Q566" i="15"/>
  <c r="T587" i="15"/>
  <c r="K587" i="15"/>
  <c r="L587" i="15" s="1"/>
  <c r="M587" i="15" s="1"/>
  <c r="R587" i="15"/>
  <c r="P587" i="15"/>
  <c r="Q587" i="15"/>
  <c r="T166" i="15"/>
  <c r="P166" i="15"/>
  <c r="R166" i="15"/>
  <c r="Q166" i="15"/>
  <c r="K166" i="15"/>
  <c r="L166" i="15" s="1"/>
  <c r="M166" i="15" s="1"/>
  <c r="S27" i="15"/>
  <c r="K27" i="15"/>
  <c r="L27" i="15" s="1"/>
  <c r="M27" i="15" s="1"/>
  <c r="Q27" i="15"/>
  <c r="P27" i="15"/>
  <c r="T81" i="15"/>
  <c r="K81" i="15"/>
  <c r="L81" i="15" s="1"/>
  <c r="M81" i="15" s="1"/>
  <c r="R81" i="15"/>
  <c r="P81" i="15"/>
  <c r="Q81" i="15"/>
  <c r="T433" i="15"/>
  <c r="K433" i="15"/>
  <c r="L433" i="15" s="1"/>
  <c r="M433" i="15" s="1"/>
  <c r="R433" i="15"/>
  <c r="P433" i="15"/>
  <c r="Q433" i="15"/>
  <c r="T534" i="15"/>
  <c r="K534" i="15"/>
  <c r="L534" i="15" s="1"/>
  <c r="M534" i="15" s="1"/>
  <c r="R534" i="15"/>
  <c r="P534" i="15"/>
  <c r="Q534" i="15"/>
  <c r="R203" i="15"/>
  <c r="Q203" i="15"/>
  <c r="P203" i="15"/>
  <c r="T203" i="15"/>
  <c r="K203" i="15"/>
  <c r="L203" i="15" s="1"/>
  <c r="M203" i="15" s="1"/>
  <c r="R600" i="15"/>
  <c r="Q600" i="15"/>
  <c r="P600" i="15"/>
  <c r="T600" i="15"/>
  <c r="K600" i="15"/>
  <c r="L600" i="15" s="1"/>
  <c r="M600" i="15" s="1"/>
  <c r="R161" i="15"/>
  <c r="P161" i="15"/>
  <c r="K161" i="15"/>
  <c r="L161" i="15" s="1"/>
  <c r="M161" i="15" s="1"/>
  <c r="T161" i="15"/>
  <c r="Q161" i="15"/>
  <c r="Q133" i="15"/>
  <c r="P133" i="15"/>
  <c r="T133" i="15"/>
  <c r="K133" i="15"/>
  <c r="L133" i="15" s="1"/>
  <c r="M133" i="15" s="1"/>
  <c r="R133" i="15"/>
  <c r="T403" i="15"/>
  <c r="R403" i="15"/>
  <c r="Q403" i="15"/>
  <c r="P403" i="15"/>
  <c r="K403" i="15"/>
  <c r="L403" i="15" s="1"/>
  <c r="M403" i="15" s="1"/>
  <c r="R568" i="15"/>
  <c r="Q568" i="15"/>
  <c r="K568" i="15"/>
  <c r="L568" i="15" s="1"/>
  <c r="M568" i="15" s="1"/>
  <c r="T568" i="15"/>
  <c r="P568" i="15"/>
  <c r="K564" i="15"/>
  <c r="L564" i="15" s="1"/>
  <c r="M564" i="15" s="1"/>
  <c r="R564" i="15"/>
  <c r="Q564" i="15"/>
  <c r="P564" i="15"/>
  <c r="T564" i="15"/>
  <c r="Q466" i="15"/>
  <c r="P466" i="15"/>
  <c r="T466" i="15"/>
  <c r="K466" i="15"/>
  <c r="L466" i="15" s="1"/>
  <c r="M466" i="15" s="1"/>
  <c r="R466" i="15"/>
  <c r="R705" i="15"/>
  <c r="P705" i="15"/>
  <c r="T705" i="15"/>
  <c r="K705" i="15"/>
  <c r="L705" i="15" s="1"/>
  <c r="M705" i="15" s="1"/>
  <c r="Q705" i="15"/>
  <c r="T617" i="15"/>
  <c r="K617" i="15"/>
  <c r="L617" i="15" s="1"/>
  <c r="M617" i="15" s="1"/>
  <c r="R617" i="15"/>
  <c r="Q617" i="15"/>
  <c r="P617" i="15"/>
  <c r="R32" i="15"/>
  <c r="Q32" i="15"/>
  <c r="P32" i="15"/>
  <c r="T32" i="15"/>
  <c r="K32" i="15"/>
  <c r="L32" i="15" s="1"/>
  <c r="M32" i="15" s="1"/>
  <c r="T258" i="15"/>
  <c r="K258" i="15"/>
  <c r="L258" i="15" s="1"/>
  <c r="M258" i="15" s="1"/>
  <c r="R258" i="15"/>
  <c r="P258" i="15"/>
  <c r="Q258" i="15"/>
  <c r="T470" i="15"/>
  <c r="K470" i="15"/>
  <c r="L470" i="15" s="1"/>
  <c r="M470" i="15" s="1"/>
  <c r="R470" i="15"/>
  <c r="P470" i="15"/>
  <c r="Q470" i="15"/>
  <c r="S381" i="15"/>
  <c r="K381" i="15"/>
  <c r="L381" i="15" s="1"/>
  <c r="M381" i="15" s="1"/>
  <c r="P381" i="15"/>
  <c r="Q381" i="15"/>
  <c r="R723" i="15"/>
  <c r="Q723" i="15"/>
  <c r="P723" i="15"/>
  <c r="T723" i="15"/>
  <c r="K723" i="15"/>
  <c r="L723" i="15" s="1"/>
  <c r="M723" i="15" s="1"/>
  <c r="K609" i="15"/>
  <c r="L609" i="15" s="1"/>
  <c r="M609" i="15" s="1"/>
  <c r="R609" i="15"/>
  <c r="Q609" i="15"/>
  <c r="P609" i="15"/>
  <c r="T609" i="15"/>
  <c r="K371" i="15"/>
  <c r="L371" i="15" s="1"/>
  <c r="M371" i="15" s="1"/>
  <c r="R371" i="15"/>
  <c r="Q371" i="15"/>
  <c r="P371" i="15"/>
  <c r="T371" i="15"/>
  <c r="K41" i="15"/>
  <c r="L41" i="15" s="1"/>
  <c r="M41" i="15" s="1"/>
  <c r="R41" i="15"/>
  <c r="Q41" i="15"/>
  <c r="P41" i="15"/>
  <c r="T41" i="15"/>
  <c r="K527" i="15"/>
  <c r="L527" i="15" s="1"/>
  <c r="M527" i="15" s="1"/>
  <c r="Q527" i="15"/>
  <c r="S527" i="15"/>
  <c r="P527" i="15"/>
  <c r="R179" i="15"/>
  <c r="Q179" i="15"/>
  <c r="P179" i="15"/>
  <c r="T179" i="15"/>
  <c r="K179" i="15"/>
  <c r="L179" i="15" s="1"/>
  <c r="M179" i="15" s="1"/>
  <c r="P436" i="15"/>
  <c r="K436" i="15"/>
  <c r="L436" i="15" s="1"/>
  <c r="M436" i="15" s="1"/>
  <c r="R436" i="15"/>
  <c r="Q436" i="15"/>
  <c r="T436" i="15"/>
  <c r="P457" i="15"/>
  <c r="K457" i="15"/>
  <c r="L457" i="15" s="1"/>
  <c r="M457" i="15" s="1"/>
  <c r="R457" i="15"/>
  <c r="Q457" i="15"/>
  <c r="T457" i="15"/>
  <c r="Q419" i="15"/>
  <c r="K419" i="15"/>
  <c r="L419" i="15" s="1"/>
  <c r="M419" i="15" s="1"/>
  <c r="S419" i="15"/>
  <c r="P419" i="15"/>
  <c r="K652" i="15"/>
  <c r="L652" i="15" s="1"/>
  <c r="M652" i="15" s="1"/>
  <c r="R652" i="15"/>
  <c r="Q652" i="15"/>
  <c r="P652" i="15"/>
  <c r="T652" i="15"/>
  <c r="T654" i="15"/>
  <c r="K654" i="15"/>
  <c r="L654" i="15" s="1"/>
  <c r="M654" i="15" s="1"/>
  <c r="Q654" i="15"/>
  <c r="P654" i="15"/>
  <c r="R654" i="15"/>
  <c r="T698" i="15"/>
  <c r="R698" i="15"/>
  <c r="Q698" i="15"/>
  <c r="P698" i="15"/>
  <c r="K698" i="15"/>
  <c r="L698" i="15" s="1"/>
  <c r="M698" i="15" s="1"/>
  <c r="S714" i="15"/>
  <c r="K714" i="15"/>
  <c r="L714" i="15" s="1"/>
  <c r="M714" i="15" s="1"/>
  <c r="Q714" i="15"/>
  <c r="P714" i="15"/>
  <c r="T462" i="15"/>
  <c r="K462" i="15"/>
  <c r="L462" i="15" s="1"/>
  <c r="M462" i="15" s="1"/>
  <c r="R462" i="15"/>
  <c r="P462" i="15"/>
  <c r="Q462" i="15"/>
  <c r="T571" i="15"/>
  <c r="K571" i="15"/>
  <c r="L571" i="15" s="1"/>
  <c r="M571" i="15" s="1"/>
  <c r="P571" i="15"/>
  <c r="Q571" i="15"/>
  <c r="R571" i="15"/>
  <c r="Q620" i="15"/>
  <c r="P620" i="15"/>
  <c r="S620" i="15"/>
  <c r="K620" i="15"/>
  <c r="L620" i="15" s="1"/>
  <c r="M620" i="15" s="1"/>
  <c r="T503" i="15"/>
  <c r="K503" i="15"/>
  <c r="L503" i="15" s="1"/>
  <c r="M503" i="15" s="1"/>
  <c r="Q503" i="15"/>
  <c r="P503" i="15"/>
  <c r="R503" i="15"/>
  <c r="S559" i="15"/>
  <c r="K559" i="15"/>
  <c r="L559" i="15" s="1"/>
  <c r="M559" i="15" s="1"/>
  <c r="Q559" i="15"/>
  <c r="P559" i="15"/>
  <c r="S74" i="15"/>
  <c r="K74" i="15"/>
  <c r="L74" i="15" s="1"/>
  <c r="M74" i="15" s="1"/>
  <c r="Q74" i="15"/>
  <c r="P74" i="15"/>
  <c r="S90" i="15"/>
  <c r="K90" i="15"/>
  <c r="L90" i="15" s="1"/>
  <c r="M90" i="15" s="1"/>
  <c r="Q90" i="15"/>
  <c r="P90" i="15"/>
  <c r="T463" i="15"/>
  <c r="K463" i="15"/>
  <c r="L463" i="15" s="1"/>
  <c r="M463" i="15" s="1"/>
  <c r="Q463" i="15"/>
  <c r="P463" i="15"/>
  <c r="R463" i="15"/>
  <c r="T495" i="15"/>
  <c r="K495" i="15"/>
  <c r="L495" i="15" s="1"/>
  <c r="M495" i="15" s="1"/>
  <c r="Q495" i="15"/>
  <c r="P495" i="15"/>
  <c r="R495" i="15"/>
  <c r="R263" i="15"/>
  <c r="Q263" i="15"/>
  <c r="P263" i="15"/>
  <c r="T263" i="15"/>
  <c r="K263" i="15"/>
  <c r="L263" i="15" s="1"/>
  <c r="M263" i="15" s="1"/>
  <c r="R422" i="15"/>
  <c r="Q422" i="15"/>
  <c r="P422" i="15"/>
  <c r="T422" i="15"/>
  <c r="K422" i="15"/>
  <c r="L422" i="15" s="1"/>
  <c r="M422" i="15" s="1"/>
  <c r="T323" i="15"/>
  <c r="K323" i="15"/>
  <c r="L323" i="15" s="1"/>
  <c r="M323" i="15" s="1"/>
  <c r="Q323" i="15"/>
  <c r="P323" i="15"/>
  <c r="R323" i="15"/>
  <c r="T673" i="15"/>
  <c r="K673" i="15"/>
  <c r="L673" i="15" s="1"/>
  <c r="M673" i="15" s="1"/>
  <c r="Q673" i="15"/>
  <c r="P673" i="15"/>
  <c r="R673" i="15"/>
  <c r="T73" i="15"/>
  <c r="K73" i="15"/>
  <c r="L73" i="15" s="1"/>
  <c r="M73" i="15" s="1"/>
  <c r="R73" i="15"/>
  <c r="P73" i="15"/>
  <c r="Q73" i="15"/>
  <c r="T158" i="15"/>
  <c r="K158" i="15"/>
  <c r="L158" i="15" s="1"/>
  <c r="M158" i="15" s="1"/>
  <c r="R158" i="15"/>
  <c r="P158" i="15"/>
  <c r="Q158" i="15"/>
  <c r="R396" i="15"/>
  <c r="K396" i="15"/>
  <c r="L396" i="15" s="1"/>
  <c r="M396" i="15" s="1"/>
  <c r="T396" i="15"/>
  <c r="Q396" i="15"/>
  <c r="P396" i="15"/>
  <c r="T425" i="15"/>
  <c r="K425" i="15"/>
  <c r="L425" i="15" s="1"/>
  <c r="M425" i="15" s="1"/>
  <c r="R425" i="15"/>
  <c r="P425" i="15"/>
  <c r="Q425" i="15"/>
  <c r="T43" i="15"/>
  <c r="K43" i="15"/>
  <c r="L43" i="15" s="1"/>
  <c r="M43" i="15" s="1"/>
  <c r="R43" i="15"/>
  <c r="Q43" i="15"/>
  <c r="P43" i="15"/>
  <c r="T214" i="15"/>
  <c r="K214" i="15"/>
  <c r="L214" i="15" s="1"/>
  <c r="M214" i="15" s="1"/>
  <c r="R214" i="15"/>
  <c r="P214" i="15"/>
  <c r="Q214" i="15"/>
  <c r="S717" i="15"/>
  <c r="K717" i="15"/>
  <c r="L717" i="15" s="1"/>
  <c r="M717" i="15" s="1"/>
  <c r="Q717" i="15"/>
  <c r="P717" i="15"/>
  <c r="R8" i="15"/>
  <c r="Q8" i="15"/>
  <c r="P8" i="15"/>
  <c r="T8" i="15"/>
  <c r="K8" i="15"/>
  <c r="L8" i="15" s="1"/>
  <c r="M8" i="15" s="1"/>
  <c r="R335" i="15"/>
  <c r="Q335" i="15"/>
  <c r="P335" i="15"/>
  <c r="T335" i="15"/>
  <c r="K335" i="15"/>
  <c r="L335" i="15" s="1"/>
  <c r="M335" i="15" s="1"/>
  <c r="Q459" i="15"/>
  <c r="P459" i="15"/>
  <c r="S459" i="15"/>
  <c r="K459" i="15"/>
  <c r="L459" i="15" s="1"/>
  <c r="M459" i="15" s="1"/>
  <c r="T131" i="15"/>
  <c r="R131" i="15"/>
  <c r="Q131" i="15"/>
  <c r="P131" i="15"/>
  <c r="K131" i="15"/>
  <c r="L131" i="15" s="1"/>
  <c r="M131" i="15" s="1"/>
  <c r="Q286" i="15"/>
  <c r="P286" i="15"/>
  <c r="T286" i="15"/>
  <c r="K286" i="15"/>
  <c r="L286" i="15" s="1"/>
  <c r="M286" i="15" s="1"/>
  <c r="R286" i="15"/>
  <c r="T435" i="15"/>
  <c r="R435" i="15"/>
  <c r="Q435" i="15"/>
  <c r="P435" i="15"/>
  <c r="K435" i="15"/>
  <c r="L435" i="15" s="1"/>
  <c r="M435" i="15" s="1"/>
  <c r="T536" i="15"/>
  <c r="R536" i="15"/>
  <c r="Q536" i="15"/>
  <c r="K536" i="15"/>
  <c r="L536" i="15" s="1"/>
  <c r="M536" i="15" s="1"/>
  <c r="P536" i="15"/>
  <c r="T674" i="15"/>
  <c r="R674" i="15"/>
  <c r="Q674" i="15"/>
  <c r="P674" i="15"/>
  <c r="K674" i="15"/>
  <c r="L674" i="15" s="1"/>
  <c r="M674" i="15" s="1"/>
  <c r="S156" i="15"/>
  <c r="K156" i="15"/>
  <c r="L156" i="15" s="1"/>
  <c r="M156" i="15" s="1"/>
  <c r="Q156" i="15"/>
  <c r="P156" i="15"/>
  <c r="K296" i="15"/>
  <c r="L296" i="15" s="1"/>
  <c r="M296" i="15" s="1"/>
  <c r="R296" i="15"/>
  <c r="Q296" i="15"/>
  <c r="P296" i="15"/>
  <c r="T296" i="15"/>
  <c r="T297" i="15"/>
  <c r="K297" i="15"/>
  <c r="L297" i="15" s="1"/>
  <c r="M297" i="15" s="1"/>
  <c r="R297" i="15"/>
  <c r="Q297" i="15"/>
  <c r="P297" i="15"/>
  <c r="T388" i="15"/>
  <c r="K388" i="15"/>
  <c r="L388" i="15" s="1"/>
  <c r="M388" i="15" s="1"/>
  <c r="R388" i="15"/>
  <c r="Q388" i="15"/>
  <c r="P388" i="15"/>
  <c r="T517" i="15"/>
  <c r="K517" i="15"/>
  <c r="L517" i="15" s="1"/>
  <c r="M517" i="15" s="1"/>
  <c r="R517" i="15"/>
  <c r="Q517" i="15"/>
  <c r="P517" i="15"/>
  <c r="T602" i="15"/>
  <c r="K602" i="15"/>
  <c r="L602" i="15" s="1"/>
  <c r="M602" i="15" s="1"/>
  <c r="R602" i="15"/>
  <c r="Q602" i="15"/>
  <c r="P602" i="15"/>
  <c r="T34" i="15"/>
  <c r="K34" i="15"/>
  <c r="L34" i="15" s="1"/>
  <c r="M34" i="15" s="1"/>
  <c r="R34" i="15"/>
  <c r="Q34" i="15"/>
  <c r="P34" i="15"/>
  <c r="T461" i="15"/>
  <c r="K461" i="15"/>
  <c r="L461" i="15" s="1"/>
  <c r="M461" i="15" s="1"/>
  <c r="R461" i="15"/>
  <c r="Q461" i="15"/>
  <c r="P461" i="15"/>
  <c r="S105" i="15"/>
  <c r="K105" i="15"/>
  <c r="L105" i="15" s="1"/>
  <c r="M105" i="15" s="1"/>
  <c r="P105" i="15"/>
  <c r="Q105" i="15"/>
  <c r="T137" i="15"/>
  <c r="K137" i="15"/>
  <c r="L137" i="15" s="1"/>
  <c r="M137" i="15" s="1"/>
  <c r="R137" i="15"/>
  <c r="P137" i="15"/>
  <c r="Q137" i="15"/>
  <c r="T646" i="15"/>
  <c r="K646" i="15"/>
  <c r="L646" i="15" s="1"/>
  <c r="M646" i="15" s="1"/>
  <c r="R646" i="15"/>
  <c r="P646" i="15"/>
  <c r="Q646" i="15"/>
  <c r="T734" i="15"/>
  <c r="K734" i="15"/>
  <c r="L734" i="15" s="1"/>
  <c r="M734" i="15" s="1"/>
  <c r="R734" i="15"/>
  <c r="Q734" i="15"/>
  <c r="P734" i="15"/>
  <c r="T708" i="15"/>
  <c r="K708" i="15"/>
  <c r="L708" i="15" s="1"/>
  <c r="M708" i="15" s="1"/>
  <c r="R708" i="15"/>
  <c r="P708" i="15"/>
  <c r="Q708" i="15"/>
  <c r="R46" i="15"/>
  <c r="Q46" i="15"/>
  <c r="T46" i="15"/>
  <c r="P46" i="15"/>
  <c r="K46" i="15"/>
  <c r="L46" i="15" s="1"/>
  <c r="M46" i="15" s="1"/>
  <c r="R370" i="15"/>
  <c r="Q370" i="15"/>
  <c r="P370" i="15"/>
  <c r="T370" i="15"/>
  <c r="K370" i="15"/>
  <c r="L370" i="15" s="1"/>
  <c r="M370" i="15" s="1"/>
  <c r="R499" i="15"/>
  <c r="Q499" i="15"/>
  <c r="P499" i="15"/>
  <c r="T499" i="15"/>
  <c r="K499" i="15"/>
  <c r="L499" i="15" s="1"/>
  <c r="M499" i="15" s="1"/>
  <c r="Q690" i="15"/>
  <c r="P690" i="15"/>
  <c r="S690" i="15"/>
  <c r="K690" i="15"/>
  <c r="L690" i="15" s="1"/>
  <c r="M690" i="15" s="1"/>
  <c r="T191" i="15"/>
  <c r="K191" i="15"/>
  <c r="L191" i="15" s="1"/>
  <c r="M191" i="15" s="1"/>
  <c r="Q191" i="15"/>
  <c r="P191" i="15"/>
  <c r="R191" i="15"/>
  <c r="T239" i="15"/>
  <c r="K239" i="15"/>
  <c r="L239" i="15" s="1"/>
  <c r="M239" i="15" s="1"/>
  <c r="Q239" i="15"/>
  <c r="P239" i="15"/>
  <c r="R239" i="15"/>
  <c r="T434" i="15"/>
  <c r="K434" i="15"/>
  <c r="L434" i="15" s="1"/>
  <c r="M434" i="15" s="1"/>
  <c r="Q434" i="15"/>
  <c r="P434" i="15"/>
  <c r="R434" i="15"/>
  <c r="T98" i="15"/>
  <c r="K98" i="15"/>
  <c r="L98" i="15" s="1"/>
  <c r="M98" i="15" s="1"/>
  <c r="Q98" i="15"/>
  <c r="P98" i="15"/>
  <c r="R98" i="15"/>
  <c r="T20" i="15"/>
  <c r="K20" i="15"/>
  <c r="L20" i="15" s="1"/>
  <c r="M20" i="15" s="1"/>
  <c r="R20" i="15"/>
  <c r="Q20" i="15"/>
  <c r="P20" i="15"/>
  <c r="T146" i="15"/>
  <c r="K146" i="15"/>
  <c r="L146" i="15" s="1"/>
  <c r="M146" i="15" s="1"/>
  <c r="Q146" i="15"/>
  <c r="P146" i="15"/>
  <c r="R146" i="15"/>
  <c r="R327" i="15"/>
  <c r="Q327" i="15"/>
  <c r="P327" i="15"/>
  <c r="T327" i="15"/>
  <c r="K327" i="15"/>
  <c r="L327" i="15" s="1"/>
  <c r="M327" i="15" s="1"/>
  <c r="Q219" i="15"/>
  <c r="P219" i="15"/>
  <c r="S219" i="15"/>
  <c r="K219" i="15"/>
  <c r="L219" i="15" s="1"/>
  <c r="M219" i="15" s="1"/>
  <c r="R616" i="15"/>
  <c r="Q616" i="15"/>
  <c r="P616" i="15"/>
  <c r="T616" i="15"/>
  <c r="K616" i="15"/>
  <c r="L616" i="15" s="1"/>
  <c r="M616" i="15" s="1"/>
  <c r="T727" i="15"/>
  <c r="Q727" i="15"/>
  <c r="P727" i="15"/>
  <c r="K727" i="15"/>
  <c r="L727" i="15" s="1"/>
  <c r="M727" i="15" s="1"/>
  <c r="R727" i="15"/>
  <c r="R94" i="15"/>
  <c r="Q94" i="15"/>
  <c r="P94" i="15"/>
  <c r="T94" i="15"/>
  <c r="K94" i="15"/>
  <c r="L94" i="15" s="1"/>
  <c r="M94" i="15" s="1"/>
  <c r="Q394" i="15"/>
  <c r="P394" i="15"/>
  <c r="S394" i="15"/>
  <c r="K394" i="15"/>
  <c r="L394" i="15" s="1"/>
  <c r="M394" i="15" s="1"/>
  <c r="R523" i="15"/>
  <c r="Q523" i="15"/>
  <c r="P523" i="15"/>
  <c r="T523" i="15"/>
  <c r="K523" i="15"/>
  <c r="L523" i="15" s="1"/>
  <c r="M523" i="15" s="1"/>
  <c r="T248" i="15"/>
  <c r="R248" i="15"/>
  <c r="Q248" i="15"/>
  <c r="P248" i="15"/>
  <c r="K248" i="15"/>
  <c r="L248" i="15" s="1"/>
  <c r="M248" i="15" s="1"/>
  <c r="T512" i="15"/>
  <c r="R512" i="15"/>
  <c r="Q512" i="15"/>
  <c r="P512" i="15"/>
  <c r="K512" i="15"/>
  <c r="L512" i="15" s="1"/>
  <c r="M512" i="15" s="1"/>
  <c r="K548" i="15"/>
  <c r="L548" i="15" s="1"/>
  <c r="M548" i="15" s="1"/>
  <c r="R548" i="15"/>
  <c r="Q548" i="15"/>
  <c r="P548" i="15"/>
  <c r="T548" i="15"/>
  <c r="K659" i="15"/>
  <c r="L659" i="15" s="1"/>
  <c r="M659" i="15" s="1"/>
  <c r="R659" i="15"/>
  <c r="Q659" i="15"/>
  <c r="P659" i="15"/>
  <c r="T659" i="15"/>
  <c r="Q210" i="15"/>
  <c r="P210" i="15"/>
  <c r="S210" i="15"/>
  <c r="K210" i="15"/>
  <c r="L210" i="15" s="1"/>
  <c r="M210" i="15" s="1"/>
  <c r="T249" i="15"/>
  <c r="P249" i="15"/>
  <c r="K249" i="15"/>
  <c r="L249" i="15" s="1"/>
  <c r="M249" i="15" s="1"/>
  <c r="R249" i="15"/>
  <c r="Q249" i="15"/>
  <c r="Q393" i="15"/>
  <c r="P393" i="15"/>
  <c r="T393" i="15"/>
  <c r="K393" i="15"/>
  <c r="L393" i="15" s="1"/>
  <c r="M393" i="15" s="1"/>
  <c r="R393" i="15"/>
  <c r="Q77" i="15"/>
  <c r="P77" i="15"/>
  <c r="T77" i="15"/>
  <c r="K77" i="15"/>
  <c r="L77" i="15" s="1"/>
  <c r="M77" i="15" s="1"/>
  <c r="R77" i="15"/>
  <c r="T720" i="15"/>
  <c r="R720" i="15"/>
  <c r="Q720" i="15"/>
  <c r="P720" i="15"/>
  <c r="K720" i="15"/>
  <c r="L720" i="15" s="1"/>
  <c r="M720" i="15" s="1"/>
  <c r="T120" i="15"/>
  <c r="K120" i="15"/>
  <c r="L120" i="15" s="1"/>
  <c r="M120" i="15" s="1"/>
  <c r="R120" i="15"/>
  <c r="Q120" i="15"/>
  <c r="P120" i="15"/>
  <c r="T469" i="15"/>
  <c r="K469" i="15"/>
  <c r="L469" i="15" s="1"/>
  <c r="M469" i="15" s="1"/>
  <c r="R469" i="15"/>
  <c r="Q469" i="15"/>
  <c r="P469" i="15"/>
  <c r="T570" i="15"/>
  <c r="K570" i="15"/>
  <c r="L570" i="15" s="1"/>
  <c r="M570" i="15" s="1"/>
  <c r="R570" i="15"/>
  <c r="Q570" i="15"/>
  <c r="P570" i="15"/>
  <c r="T725" i="15"/>
  <c r="K725" i="15"/>
  <c r="L725" i="15" s="1"/>
  <c r="M725" i="15" s="1"/>
  <c r="R725" i="15"/>
  <c r="P725" i="15"/>
  <c r="Q725" i="15"/>
  <c r="T205" i="15"/>
  <c r="K205" i="15"/>
  <c r="L205" i="15" s="1"/>
  <c r="M205" i="15" s="1"/>
  <c r="R205" i="15"/>
  <c r="Q205" i="15"/>
  <c r="P205" i="15"/>
  <c r="T453" i="15"/>
  <c r="K453" i="15"/>
  <c r="L453" i="15" s="1"/>
  <c r="M453" i="15" s="1"/>
  <c r="R453" i="15"/>
  <c r="Q453" i="15"/>
  <c r="P453" i="15"/>
  <c r="T149" i="15"/>
  <c r="K149" i="15"/>
  <c r="L149" i="15" s="1"/>
  <c r="M149" i="15" s="1"/>
  <c r="R149" i="15"/>
  <c r="P149" i="15"/>
  <c r="Q149" i="15"/>
  <c r="T282" i="15"/>
  <c r="K282" i="15"/>
  <c r="L282" i="15" s="1"/>
  <c r="M282" i="15" s="1"/>
  <c r="R282" i="15"/>
  <c r="P282" i="15"/>
  <c r="Q282" i="15"/>
  <c r="T603" i="15"/>
  <c r="K603" i="15"/>
  <c r="L603" i="15" s="1"/>
  <c r="M603" i="15" s="1"/>
  <c r="R603" i="15"/>
  <c r="P603" i="15"/>
  <c r="Q603" i="15"/>
  <c r="T624" i="15"/>
  <c r="K624" i="15"/>
  <c r="L624" i="15" s="1"/>
  <c r="M624" i="15" s="1"/>
  <c r="R624" i="15"/>
  <c r="P624" i="15"/>
  <c r="Q624" i="15"/>
  <c r="P397" i="15"/>
  <c r="T397" i="15"/>
  <c r="K397" i="15"/>
  <c r="L397" i="15" s="1"/>
  <c r="M397" i="15" s="1"/>
  <c r="R397" i="15"/>
  <c r="Q397" i="15"/>
  <c r="K148" i="15"/>
  <c r="L148" i="15" s="1"/>
  <c r="M148" i="15" s="1"/>
  <c r="R148" i="15"/>
  <c r="T148" i="15"/>
  <c r="Q148" i="15"/>
  <c r="P148" i="15"/>
  <c r="R658" i="15"/>
  <c r="Q658" i="15"/>
  <c r="P658" i="15"/>
  <c r="T658" i="15"/>
  <c r="K658" i="15"/>
  <c r="L658" i="15" s="1"/>
  <c r="M658" i="15" s="1"/>
  <c r="Q125" i="15"/>
  <c r="P125" i="15"/>
  <c r="S125" i="15"/>
  <c r="K125" i="15"/>
  <c r="L125" i="15" s="1"/>
  <c r="M125" i="15" s="1"/>
  <c r="Q234" i="15"/>
  <c r="P234" i="15"/>
  <c r="T234" i="15"/>
  <c r="K234" i="15"/>
  <c r="L234" i="15" s="1"/>
  <c r="M234" i="15" s="1"/>
  <c r="R234" i="15"/>
  <c r="T240" i="15"/>
  <c r="R240" i="15"/>
  <c r="Q240" i="15"/>
  <c r="P240" i="15"/>
  <c r="K240" i="15"/>
  <c r="L240" i="15" s="1"/>
  <c r="M240" i="15" s="1"/>
  <c r="P269" i="15"/>
  <c r="K269" i="15"/>
  <c r="L269" i="15" s="1"/>
  <c r="M269" i="15" s="1"/>
  <c r="R269" i="15"/>
  <c r="Q269" i="15"/>
  <c r="T269" i="15"/>
  <c r="Q538" i="15"/>
  <c r="P538" i="15"/>
  <c r="T538" i="15"/>
  <c r="K538" i="15"/>
  <c r="L538" i="15" s="1"/>
  <c r="M538" i="15" s="1"/>
  <c r="R538" i="15"/>
  <c r="T504" i="15"/>
  <c r="R504" i="15"/>
  <c r="Q504" i="15"/>
  <c r="P504" i="15"/>
  <c r="K504" i="15"/>
  <c r="L504" i="15" s="1"/>
  <c r="M504" i="15" s="1"/>
  <c r="P22" i="15"/>
  <c r="T22" i="15"/>
  <c r="K22" i="15"/>
  <c r="L22" i="15" s="1"/>
  <c r="M22" i="15" s="1"/>
  <c r="R22" i="15"/>
  <c r="Q22" i="15"/>
  <c r="S228" i="15"/>
  <c r="K228" i="15"/>
  <c r="L228" i="15" s="1"/>
  <c r="M228" i="15" s="1"/>
  <c r="Q228" i="15"/>
  <c r="P228" i="15"/>
  <c r="K622" i="15"/>
  <c r="L622" i="15" s="1"/>
  <c r="M622" i="15" s="1"/>
  <c r="R622" i="15"/>
  <c r="Q622" i="15"/>
  <c r="T622" i="15"/>
  <c r="P622" i="15"/>
  <c r="P124" i="15"/>
  <c r="K124" i="15"/>
  <c r="L124" i="15" s="1"/>
  <c r="M124" i="15" s="1"/>
  <c r="R124" i="15"/>
  <c r="T124" i="15"/>
  <c r="Q124" i="15"/>
  <c r="P513" i="15"/>
  <c r="K513" i="15"/>
  <c r="L513" i="15" s="1"/>
  <c r="M513" i="15" s="1"/>
  <c r="R513" i="15"/>
  <c r="T513" i="15"/>
  <c r="Q513" i="15"/>
  <c r="P642" i="15"/>
  <c r="S642" i="15"/>
  <c r="K642" i="15"/>
  <c r="L642" i="15" s="1"/>
  <c r="M642" i="15" s="1"/>
  <c r="Q642" i="15"/>
  <c r="P699" i="15"/>
  <c r="K699" i="15"/>
  <c r="L699" i="15" s="1"/>
  <c r="M699" i="15" s="1"/>
  <c r="R699" i="15"/>
  <c r="T699" i="15"/>
  <c r="Q699" i="15"/>
  <c r="T273" i="15"/>
  <c r="K273" i="15"/>
  <c r="L273" i="15" s="1"/>
  <c r="M273" i="15" s="1"/>
  <c r="R273" i="15"/>
  <c r="Q273" i="15"/>
  <c r="P273" i="15"/>
  <c r="T364" i="15"/>
  <c r="K364" i="15"/>
  <c r="L364" i="15" s="1"/>
  <c r="M364" i="15" s="1"/>
  <c r="R364" i="15"/>
  <c r="Q364" i="15"/>
  <c r="P364" i="15"/>
  <c r="T493" i="15"/>
  <c r="K493" i="15"/>
  <c r="L493" i="15" s="1"/>
  <c r="M493" i="15" s="1"/>
  <c r="R493" i="15"/>
  <c r="Q493" i="15"/>
  <c r="P493" i="15"/>
  <c r="T80" i="15"/>
  <c r="K80" i="15"/>
  <c r="L80" i="15" s="1"/>
  <c r="M80" i="15" s="1"/>
  <c r="R80" i="15"/>
  <c r="Q80" i="15"/>
  <c r="P80" i="15"/>
  <c r="T26" i="15"/>
  <c r="K26" i="15"/>
  <c r="L26" i="15" s="1"/>
  <c r="M26" i="15" s="1"/>
  <c r="R26" i="15"/>
  <c r="Q26" i="15"/>
  <c r="P26" i="15"/>
  <c r="T313" i="15"/>
  <c r="K313" i="15"/>
  <c r="L313" i="15" s="1"/>
  <c r="M313" i="15" s="1"/>
  <c r="R313" i="15"/>
  <c r="Q313" i="15"/>
  <c r="P313" i="15"/>
  <c r="K672" i="15"/>
  <c r="L672" i="15" s="1"/>
  <c r="S672" i="15"/>
  <c r="U672" i="15" s="1"/>
  <c r="Q672" i="15"/>
  <c r="R672" i="15" s="1"/>
  <c r="S674" i="15" s="1"/>
  <c r="R670" i="15"/>
  <c r="Q670" i="15"/>
  <c r="P670" i="15"/>
  <c r="T670" i="15"/>
  <c r="K670" i="15"/>
  <c r="L670" i="15" s="1"/>
  <c r="M670" i="15" s="1"/>
  <c r="R86" i="15"/>
  <c r="Q86" i="15"/>
  <c r="P86" i="15"/>
  <c r="T86" i="15"/>
  <c r="K86" i="15"/>
  <c r="L86" i="15" s="1"/>
  <c r="M86" i="15" s="1"/>
  <c r="R386" i="15"/>
  <c r="Q386" i="15"/>
  <c r="P386" i="15"/>
  <c r="T386" i="15"/>
  <c r="K386" i="15"/>
  <c r="L386" i="15" s="1"/>
  <c r="M386" i="15" s="1"/>
  <c r="R515" i="15"/>
  <c r="Q515" i="15"/>
  <c r="P515" i="15"/>
  <c r="T515" i="15"/>
  <c r="K515" i="15"/>
  <c r="L515" i="15" s="1"/>
  <c r="M515" i="15" s="1"/>
  <c r="W63" i="15" l="1"/>
  <c r="R63" i="17" s="1"/>
  <c r="R413" i="15"/>
  <c r="S416" i="15" s="1"/>
  <c r="R710" i="15"/>
  <c r="W620" i="15"/>
  <c r="R620" i="17" s="1"/>
  <c r="W464" i="15"/>
  <c r="R464" i="17" s="1"/>
  <c r="W479" i="15"/>
  <c r="R479" i="17" s="1"/>
  <c r="R51" i="15"/>
  <c r="S55" i="15" s="1"/>
  <c r="W264" i="15"/>
  <c r="R264" i="17" s="1"/>
  <c r="U556" i="15"/>
  <c r="W87" i="15"/>
  <c r="R87" i="17" s="1"/>
  <c r="U228" i="15"/>
  <c r="U527" i="15"/>
  <c r="R3" i="15"/>
  <c r="S4" i="15" s="1"/>
  <c r="W4" i="15" s="1"/>
  <c r="R4" i="17" s="1"/>
  <c r="U541" i="15"/>
  <c r="U174" i="15"/>
  <c r="W661" i="15"/>
  <c r="R661" i="17" s="1"/>
  <c r="R125" i="15"/>
  <c r="S126" i="15" s="1"/>
  <c r="W27" i="15"/>
  <c r="R27" i="17" s="1"/>
  <c r="W324" i="15"/>
  <c r="R324" i="17" s="1"/>
  <c r="W79" i="15"/>
  <c r="R79" i="17" s="1"/>
  <c r="W147" i="15"/>
  <c r="R147" i="17" s="1"/>
  <c r="R645" i="15"/>
  <c r="S647" i="15" s="1"/>
  <c r="R246" i="15"/>
  <c r="S248" i="15" s="1"/>
  <c r="R439" i="15"/>
  <c r="S441" i="15" s="1"/>
  <c r="S418" i="15"/>
  <c r="U418" i="15" s="1"/>
  <c r="R742" i="15"/>
  <c r="S743" i="15" s="1"/>
  <c r="U743" i="15" s="1"/>
  <c r="U509" i="15"/>
  <c r="U492" i="15"/>
  <c r="U5" i="15"/>
  <c r="R57" i="15"/>
  <c r="S506" i="15" s="1"/>
  <c r="W36" i="15"/>
  <c r="R36" i="17" s="1"/>
  <c r="U581" i="15"/>
  <c r="T17" i="15"/>
  <c r="U192" i="15"/>
  <c r="U255" i="15"/>
  <c r="R549" i="15"/>
  <c r="S555" i="15" s="1"/>
  <c r="R328" i="15"/>
  <c r="S335" i="15" s="1"/>
  <c r="T219" i="15"/>
  <c r="T36" i="15"/>
  <c r="T620" i="15"/>
  <c r="W99" i="15"/>
  <c r="R99" i="17" s="1"/>
  <c r="U588" i="15"/>
  <c r="W24" i="15"/>
  <c r="R24" i="17" s="1"/>
  <c r="U742" i="15"/>
  <c r="U623" i="15"/>
  <c r="T492" i="15"/>
  <c r="U530" i="15"/>
  <c r="W165" i="15"/>
  <c r="R165" i="17" s="1"/>
  <c r="T362" i="15"/>
  <c r="U562" i="15"/>
  <c r="R680" i="15"/>
  <c r="S681" i="15" s="1"/>
  <c r="W681" i="15" s="1"/>
  <c r="R681" i="17" s="1"/>
  <c r="R717" i="15"/>
  <c r="S718" i="15" s="1"/>
  <c r="T717" i="15"/>
  <c r="W90" i="15"/>
  <c r="R90" i="17" s="1"/>
  <c r="W138" i="15"/>
  <c r="R138" i="17" s="1"/>
  <c r="T479" i="15"/>
  <c r="T69" i="15"/>
  <c r="T573" i="15"/>
  <c r="R114" i="15"/>
  <c r="S116" i="15" s="1"/>
  <c r="W108" i="15"/>
  <c r="R108" i="17" s="1"/>
  <c r="R99" i="15"/>
  <c r="S101" i="15" s="1"/>
  <c r="W101" i="15" s="1"/>
  <c r="R101" i="17" s="1"/>
  <c r="U594" i="15"/>
  <c r="R464" i="15"/>
  <c r="U129" i="15"/>
  <c r="U69" i="15"/>
  <c r="W375" i="15"/>
  <c r="R375" i="17" s="1"/>
  <c r="T738" i="15"/>
  <c r="W318" i="15"/>
  <c r="R318" i="17" s="1"/>
  <c r="W33" i="15"/>
  <c r="R33" i="17" s="1"/>
  <c r="U400" i="15"/>
  <c r="R290" i="15"/>
  <c r="S291" i="15" s="1"/>
  <c r="U404" i="15"/>
  <c r="T255" i="15"/>
  <c r="U738" i="15"/>
  <c r="U183" i="15"/>
  <c r="W30" i="15"/>
  <c r="R30" i="17" s="1"/>
  <c r="T556" i="15"/>
  <c r="U366" i="15"/>
  <c r="U726" i="15"/>
  <c r="U156" i="15"/>
  <c r="W74" i="15"/>
  <c r="R74" i="17" s="1"/>
  <c r="W57" i="15"/>
  <c r="R57" i="17" s="1"/>
  <c r="U695" i="15"/>
  <c r="U569" i="15"/>
  <c r="W642" i="15"/>
  <c r="R642" i="17" s="1"/>
  <c r="U210" i="15"/>
  <c r="R685" i="15"/>
  <c r="S688" i="15" s="1"/>
  <c r="W688" i="15" s="1"/>
  <c r="R688" i="17" s="1"/>
  <c r="R601" i="15"/>
  <c r="S604" i="15" s="1"/>
  <c r="R653" i="15"/>
  <c r="S656" i="15" s="1"/>
  <c r="W656" i="15" s="1"/>
  <c r="R656" i="17" s="1"/>
  <c r="T281" i="15"/>
  <c r="W9" i="15"/>
  <c r="R9" i="17" s="1"/>
  <c r="W111" i="15"/>
  <c r="R111" i="17" s="1"/>
  <c r="R147" i="15"/>
  <c r="S150" i="15" s="1"/>
  <c r="W228" i="15"/>
  <c r="R228" i="17" s="1"/>
  <c r="W733" i="15"/>
  <c r="R733" i="17" s="1"/>
  <c r="W680" i="15"/>
  <c r="R680" i="17" s="1"/>
  <c r="W337" i="15"/>
  <c r="R337" i="17" s="1"/>
  <c r="T305" i="15"/>
  <c r="W559" i="15"/>
  <c r="R559" i="17" s="1"/>
  <c r="W3" i="15"/>
  <c r="R3" i="17" s="1"/>
  <c r="R479" i="15"/>
  <c r="R108" i="15"/>
  <c r="S109" i="15" s="1"/>
  <c r="W109" i="15" s="1"/>
  <c r="R109" i="17" s="1"/>
  <c r="R735" i="15"/>
  <c r="S737" i="15" s="1"/>
  <c r="W737" i="15" s="1"/>
  <c r="R737" i="17" s="1"/>
  <c r="R36" i="15"/>
  <c r="S482" i="15" s="1"/>
  <c r="U84" i="15"/>
  <c r="T271" i="15"/>
  <c r="W362" i="15"/>
  <c r="R362" i="17" s="1"/>
  <c r="T45" i="15"/>
  <c r="U102" i="15"/>
  <c r="T667" i="15"/>
  <c r="R661" i="15"/>
  <c r="R337" i="15"/>
  <c r="T114" i="15"/>
  <c r="T594" i="15"/>
  <c r="T343" i="15"/>
  <c r="U271" i="15"/>
  <c r="R509" i="15"/>
  <c r="U45" i="15"/>
  <c r="W219" i="15"/>
  <c r="R219" i="17" s="1"/>
  <c r="T156" i="15"/>
  <c r="R419" i="15"/>
  <c r="S421" i="15" s="1"/>
  <c r="T518" i="15"/>
  <c r="T318" i="15"/>
  <c r="U96" i="15"/>
  <c r="W290" i="15"/>
  <c r="R290" i="17" s="1"/>
  <c r="U343" i="15"/>
  <c r="U93" i="15"/>
  <c r="T413" i="15"/>
  <c r="W502" i="15"/>
  <c r="R502" i="17" s="1"/>
  <c r="W672" i="15"/>
  <c r="R672" i="17" s="1"/>
  <c r="R74" i="15"/>
  <c r="S76" i="15" s="1"/>
  <c r="W76" i="15" s="1"/>
  <c r="R76" i="17" s="1"/>
  <c r="T559" i="15"/>
  <c r="U381" i="15"/>
  <c r="T726" i="15"/>
  <c r="T423" i="15"/>
  <c r="R473" i="15"/>
  <c r="R79" i="15"/>
  <c r="S82" i="15" s="1"/>
  <c r="W82" i="15" s="1"/>
  <c r="R82" i="17" s="1"/>
  <c r="T19" i="15"/>
  <c r="W343" i="15"/>
  <c r="R343" i="17" s="1"/>
  <c r="U356" i="15"/>
  <c r="W117" i="15"/>
  <c r="R117" i="17" s="1"/>
  <c r="U328" i="15"/>
  <c r="W413" i="15"/>
  <c r="R413" i="17" s="1"/>
  <c r="W201" i="15"/>
  <c r="R201" i="17" s="1"/>
  <c r="U423" i="15"/>
  <c r="R375" i="15"/>
  <c r="S378" i="15" s="1"/>
  <c r="W378" i="15" s="1"/>
  <c r="R378" i="17" s="1"/>
  <c r="W17" i="15"/>
  <c r="R17" i="17" s="1"/>
  <c r="U648" i="15"/>
  <c r="R667" i="15"/>
  <c r="S668" i="15" s="1"/>
  <c r="T228" i="15"/>
  <c r="W125" i="15"/>
  <c r="R125" i="17" s="1"/>
  <c r="R394" i="15"/>
  <c r="S397" i="15" s="1"/>
  <c r="U717" i="15"/>
  <c r="T84" i="15"/>
  <c r="W276" i="15"/>
  <c r="R276" i="17" s="1"/>
  <c r="S415" i="15"/>
  <c r="U415" i="15" s="1"/>
  <c r="W541" i="15"/>
  <c r="R541" i="17" s="1"/>
  <c r="R87" i="15"/>
  <c r="S89" i="15" s="1"/>
  <c r="W89" i="15" s="1"/>
  <c r="R89" i="17" s="1"/>
  <c r="S713" i="15"/>
  <c r="U713" i="15" s="1"/>
  <c r="S711" i="15"/>
  <c r="W711" i="15" s="1"/>
  <c r="R711" i="17" s="1"/>
  <c r="W626" i="15"/>
  <c r="R626" i="17" s="1"/>
  <c r="T287" i="15"/>
  <c r="W156" i="15"/>
  <c r="R156" i="17" s="1"/>
  <c r="U459" i="15"/>
  <c r="R714" i="15"/>
  <c r="S715" i="15" s="1"/>
  <c r="U13" i="15"/>
  <c r="U591" i="15"/>
  <c r="T710" i="15"/>
  <c r="W735" i="15"/>
  <c r="R735" i="17" s="1"/>
  <c r="W126" i="15"/>
  <c r="R126" i="17" s="1"/>
  <c r="R356" i="15"/>
  <c r="S357" i="15" s="1"/>
  <c r="W357" i="15" s="1"/>
  <c r="R357" i="17" s="1"/>
  <c r="W271" i="15"/>
  <c r="R271" i="17" s="1"/>
  <c r="W255" i="15"/>
  <c r="R255" i="17" s="1"/>
  <c r="R63" i="15"/>
  <c r="S517" i="15" s="1"/>
  <c r="T147" i="15"/>
  <c r="W246" i="15"/>
  <c r="R246" i="17" s="1"/>
  <c r="W174" i="15"/>
  <c r="R174" i="17" s="1"/>
  <c r="R634" i="15"/>
  <c r="R192" i="15"/>
  <c r="U439" i="15"/>
  <c r="U287" i="15"/>
  <c r="U305" i="15"/>
  <c r="R27" i="15"/>
  <c r="S461" i="15" s="1"/>
  <c r="W461" i="15" s="1"/>
  <c r="R461" i="17" s="1"/>
  <c r="R318" i="15"/>
  <c r="S321" i="15" s="1"/>
  <c r="W321" i="15" s="1"/>
  <c r="R321" i="17" s="1"/>
  <c r="T347" i="15"/>
  <c r="W591" i="15"/>
  <c r="R591" i="17" s="1"/>
  <c r="U605" i="15"/>
  <c r="T629" i="15"/>
  <c r="T733" i="15"/>
  <c r="R276" i="15"/>
  <c r="S278" i="15" s="1"/>
  <c r="W613" i="15"/>
  <c r="R613" i="17" s="1"/>
  <c r="R102" i="15"/>
  <c r="S103" i="15" s="1"/>
  <c r="W103" i="15" s="1"/>
  <c r="R103" i="17" s="1"/>
  <c r="W645" i="15"/>
  <c r="R645" i="17" s="1"/>
  <c r="T264" i="15"/>
  <c r="T192" i="15"/>
  <c r="W305" i="15"/>
  <c r="R305" i="17" s="1"/>
  <c r="W394" i="15"/>
  <c r="R394" i="17" s="1"/>
  <c r="W717" i="15"/>
  <c r="R717" i="17" s="1"/>
  <c r="T74" i="15"/>
  <c r="T90" i="15"/>
  <c r="R726" i="15"/>
  <c r="S728" i="15" s="1"/>
  <c r="W728" i="15" s="1"/>
  <c r="R728" i="17" s="1"/>
  <c r="T165" i="15"/>
  <c r="W664" i="15"/>
  <c r="R664" i="17" s="1"/>
  <c r="R423" i="15"/>
  <c r="S431" i="15" s="1"/>
  <c r="W431" i="15" s="1"/>
  <c r="R431" i="17" s="1"/>
  <c r="T39" i="15"/>
  <c r="W685" i="15"/>
  <c r="R685" i="17" s="1"/>
  <c r="T33" i="15"/>
  <c r="R483" i="15"/>
  <c r="T299" i="15"/>
  <c r="T601" i="15"/>
  <c r="R84" i="15"/>
  <c r="S633" i="15" s="1"/>
  <c r="W633" i="15" s="1"/>
  <c r="R633" i="17" s="1"/>
  <c r="U537" i="15"/>
  <c r="W19" i="15"/>
  <c r="R19" i="17" s="1"/>
  <c r="U629" i="15"/>
  <c r="R9" i="15"/>
  <c r="S282" i="15" s="1"/>
  <c r="W282" i="15" s="1"/>
  <c r="R282" i="17" s="1"/>
  <c r="W722" i="15"/>
  <c r="R722" i="17" s="1"/>
  <c r="T700" i="15"/>
  <c r="T57" i="15"/>
  <c r="R174" i="15"/>
  <c r="S176" i="15" s="1"/>
  <c r="W176" i="15" s="1"/>
  <c r="R176" i="17" s="1"/>
  <c r="T30" i="15"/>
  <c r="W192" i="15"/>
  <c r="R192" i="17" s="1"/>
  <c r="U309" i="15"/>
  <c r="R201" i="15"/>
  <c r="R626" i="15"/>
  <c r="R459" i="15"/>
  <c r="U559" i="15"/>
  <c r="W527" i="15"/>
  <c r="R527" i="17" s="1"/>
  <c r="R138" i="15"/>
  <c r="S145" i="15" s="1"/>
  <c r="W145" i="15" s="1"/>
  <c r="R145" i="17" s="1"/>
  <c r="T24" i="15"/>
  <c r="T13" i="15"/>
  <c r="U39" i="15"/>
  <c r="T483" i="15"/>
  <c r="R704" i="15"/>
  <c r="S707" i="15" s="1"/>
  <c r="W114" i="15"/>
  <c r="R114" i="17" s="1"/>
  <c r="U601" i="15"/>
  <c r="R281" i="15"/>
  <c r="R19" i="15"/>
  <c r="S20" i="15" s="1"/>
  <c r="W20" i="15" s="1"/>
  <c r="R20" i="17" s="1"/>
  <c r="U17" i="15"/>
  <c r="W629" i="15"/>
  <c r="R629" i="17" s="1"/>
  <c r="T623" i="15"/>
  <c r="R492" i="15"/>
  <c r="T111" i="15"/>
  <c r="T549" i="15"/>
  <c r="R45" i="15"/>
  <c r="S48" i="15" s="1"/>
  <c r="W48" i="15" s="1"/>
  <c r="R48" i="17" s="1"/>
  <c r="U700" i="15"/>
  <c r="T237" i="15"/>
  <c r="W667" i="15"/>
  <c r="R667" i="17" s="1"/>
  <c r="U452" i="15"/>
  <c r="R305" i="15"/>
  <c r="U502" i="15"/>
  <c r="R90" i="15"/>
  <c r="S92" i="15" s="1"/>
  <c r="U92" i="15" s="1"/>
  <c r="W419" i="15"/>
  <c r="R419" i="17" s="1"/>
  <c r="W13" i="15"/>
  <c r="R13" i="17" s="1"/>
  <c r="U33" i="15"/>
  <c r="W573" i="15"/>
  <c r="R573" i="17" s="1"/>
  <c r="T96" i="15"/>
  <c r="W710" i="15"/>
  <c r="R710" i="17" s="1"/>
  <c r="T400" i="15"/>
  <c r="T117" i="15"/>
  <c r="U498" i="15"/>
  <c r="T337" i="15"/>
  <c r="U30" i="15"/>
  <c r="W588" i="15"/>
  <c r="R588" i="17" s="1"/>
  <c r="W366" i="15"/>
  <c r="R366" i="17" s="1"/>
  <c r="R210" i="15"/>
  <c r="S214" i="15" s="1"/>
  <c r="W214" i="15" s="1"/>
  <c r="R214" i="17" s="1"/>
  <c r="U74" i="15"/>
  <c r="U518" i="15"/>
  <c r="U347" i="15"/>
  <c r="W473" i="15"/>
  <c r="R473" i="17" s="1"/>
  <c r="R591" i="15"/>
  <c r="S593" i="15" s="1"/>
  <c r="W593" i="15" s="1"/>
  <c r="R593" i="17" s="1"/>
  <c r="R443" i="15"/>
  <c r="S444" i="15" s="1"/>
  <c r="T634" i="15"/>
  <c r="U90" i="15"/>
  <c r="W51" i="15"/>
  <c r="R51" i="17" s="1"/>
  <c r="T685" i="15"/>
  <c r="R299" i="15"/>
  <c r="S302" i="15" s="1"/>
  <c r="U302" i="15" s="1"/>
  <c r="T375" i="15"/>
  <c r="U385" i="15"/>
  <c r="T99" i="15"/>
  <c r="W509" i="15"/>
  <c r="R509" i="17" s="1"/>
  <c r="R733" i="15"/>
  <c r="S734" i="15" s="1"/>
  <c r="W734" i="15" s="1"/>
  <c r="R734" i="17" s="1"/>
  <c r="W562" i="15"/>
  <c r="R562" i="17" s="1"/>
  <c r="U680" i="15"/>
  <c r="T569" i="15"/>
  <c r="M672" i="15"/>
  <c r="T672" i="15"/>
  <c r="U690" i="15"/>
  <c r="R690" i="15"/>
  <c r="W690" i="15"/>
  <c r="R690" i="17" s="1"/>
  <c r="W674" i="15"/>
  <c r="R674" i="17" s="1"/>
  <c r="S398" i="15"/>
  <c r="W398" i="15" s="1"/>
  <c r="R398" i="17" s="1"/>
  <c r="U105" i="15"/>
  <c r="W105" i="15"/>
  <c r="R105" i="17" s="1"/>
  <c r="R105" i="15"/>
  <c r="S422" i="15"/>
  <c r="W422" i="15" s="1"/>
  <c r="R422" i="17" s="1"/>
  <c r="S677" i="15"/>
  <c r="W677" i="15" s="1"/>
  <c r="R677" i="17" s="1"/>
  <c r="S679" i="15"/>
  <c r="W679" i="15" s="1"/>
  <c r="R679" i="17" s="1"/>
  <c r="S675" i="15"/>
  <c r="W675" i="15" s="1"/>
  <c r="R675" i="17" s="1"/>
  <c r="S673" i="15"/>
  <c r="W673" i="15" s="1"/>
  <c r="R673" i="17" s="1"/>
  <c r="S676" i="15"/>
  <c r="U676" i="15" s="1"/>
  <c r="S678" i="15"/>
  <c r="W678" i="15" s="1"/>
  <c r="R678" i="17" s="1"/>
  <c r="S720" i="15"/>
  <c r="W720" i="15" s="1"/>
  <c r="R720" i="17" s="1"/>
  <c r="R17" i="28" a="1"/>
  <c r="R17" i="28" s="1"/>
  <c r="U642" i="15"/>
  <c r="U219" i="15"/>
  <c r="U620" i="15"/>
  <c r="T714" i="15"/>
  <c r="T27" i="15"/>
  <c r="W726" i="15"/>
  <c r="R726" i="17" s="1"/>
  <c r="T138" i="15"/>
  <c r="R518" i="15"/>
  <c r="R664" i="15"/>
  <c r="U24" i="15"/>
  <c r="U318" i="15"/>
  <c r="T3" i="15"/>
  <c r="U479" i="15"/>
  <c r="R69" i="15"/>
  <c r="W483" i="15"/>
  <c r="R483" i="17" s="1"/>
  <c r="S110" i="15"/>
  <c r="W110" i="15" s="1"/>
  <c r="R110" i="17" s="1"/>
  <c r="W96" i="15"/>
  <c r="R96" i="17" s="1"/>
  <c r="W594" i="15"/>
  <c r="R594" i="17" s="1"/>
  <c r="W400" i="15"/>
  <c r="R400" i="17" s="1"/>
  <c r="T290" i="15"/>
  <c r="R343" i="15"/>
  <c r="R271" i="15"/>
  <c r="U362" i="15"/>
  <c r="R629" i="15"/>
  <c r="S380" i="15"/>
  <c r="W380" i="15" s="1"/>
  <c r="R380" i="17" s="1"/>
  <c r="W623" i="15"/>
  <c r="R623" i="17" s="1"/>
  <c r="T9" i="15"/>
  <c r="U111" i="15"/>
  <c r="R5" i="15"/>
  <c r="R255" i="15"/>
  <c r="U549" i="15"/>
  <c r="T63" i="15"/>
  <c r="W45" i="15"/>
  <c r="R45" i="17" s="1"/>
  <c r="R93" i="15"/>
  <c r="S377" i="15"/>
  <c r="W377" i="15" s="1"/>
  <c r="R377" i="17" s="1"/>
  <c r="U117" i="15"/>
  <c r="R498" i="15"/>
  <c r="R613" i="15"/>
  <c r="T645" i="15"/>
  <c r="U237" i="15"/>
  <c r="T246" i="15"/>
  <c r="T661" i="15"/>
  <c r="R695" i="15"/>
  <c r="U432" i="15"/>
  <c r="T452" i="15"/>
  <c r="W439" i="15"/>
  <c r="R439" i="17" s="1"/>
  <c r="U201" i="15"/>
  <c r="U87" i="15"/>
  <c r="T626" i="15"/>
  <c r="O14" i="28" a="1"/>
  <c r="O14" i="28" s="1"/>
  <c r="T210" i="15"/>
  <c r="R156" i="15"/>
  <c r="T459" i="15"/>
  <c r="W714" i="15"/>
  <c r="R714" i="17" s="1"/>
  <c r="T419" i="15"/>
  <c r="T381" i="15"/>
  <c r="R165" i="15"/>
  <c r="U464" i="15"/>
  <c r="T129" i="15"/>
  <c r="R324" i="15"/>
  <c r="R573" i="15"/>
  <c r="W299" i="15"/>
  <c r="R299" i="17" s="1"/>
  <c r="T443" i="15"/>
  <c r="U108" i="15"/>
  <c r="T79" i="15"/>
  <c r="T385" i="15"/>
  <c r="U735" i="15"/>
  <c r="U36" i="15"/>
  <c r="R400" i="15"/>
  <c r="U281" i="15"/>
  <c r="S632" i="15"/>
  <c r="W632" i="15" s="1"/>
  <c r="R632" i="17" s="1"/>
  <c r="R581" i="15"/>
  <c r="T356" i="15"/>
  <c r="R605" i="15"/>
  <c r="T404" i="15"/>
  <c r="S128" i="15"/>
  <c r="W128" i="15" s="1"/>
  <c r="R128" i="17" s="1"/>
  <c r="U276" i="15"/>
  <c r="T5" i="15"/>
  <c r="W549" i="15"/>
  <c r="R549" i="17" s="1"/>
  <c r="R722" i="15"/>
  <c r="U147" i="15"/>
  <c r="T613" i="15"/>
  <c r="R562" i="15"/>
  <c r="T183" i="15"/>
  <c r="W237" i="15"/>
  <c r="R237" i="17" s="1"/>
  <c r="U264" i="15"/>
  <c r="S631" i="15"/>
  <c r="W631" i="15" s="1"/>
  <c r="R631" i="17" s="1"/>
  <c r="R15" i="28" a="1"/>
  <c r="R15" i="28" s="1"/>
  <c r="R16" i="28" a="1"/>
  <c r="R16" i="28" s="1"/>
  <c r="R18" i="28" s="1" a="1"/>
  <c r="R18" i="28" s="1"/>
  <c r="W569" i="15"/>
  <c r="R569" i="17" s="1"/>
  <c r="U337" i="15"/>
  <c r="U413" i="15"/>
  <c r="R30" i="15"/>
  <c r="W432" i="15"/>
  <c r="R432" i="17" s="1"/>
  <c r="S712" i="15"/>
  <c r="W712" i="15" s="1"/>
  <c r="R712" i="17" s="1"/>
  <c r="R556" i="15"/>
  <c r="W452" i="15"/>
  <c r="R452" i="17" s="1"/>
  <c r="R541" i="15"/>
  <c r="R502" i="15"/>
  <c r="R228" i="15"/>
  <c r="T125" i="15"/>
  <c r="W210" i="15"/>
  <c r="R210" i="17" s="1"/>
  <c r="T394" i="15"/>
  <c r="R219" i="15"/>
  <c r="T690" i="15"/>
  <c r="T105" i="15"/>
  <c r="W459" i="15"/>
  <c r="R459" i="17" s="1"/>
  <c r="U714" i="15"/>
  <c r="S179" i="15"/>
  <c r="W179" i="15" s="1"/>
  <c r="R179" i="17" s="1"/>
  <c r="U165" i="15"/>
  <c r="T664" i="15"/>
  <c r="R24" i="15"/>
  <c r="U51" i="15"/>
  <c r="T324" i="15"/>
  <c r="R39" i="15"/>
  <c r="R33" i="15"/>
  <c r="U473" i="15"/>
  <c r="U483" i="15"/>
  <c r="S657" i="15"/>
  <c r="W657" i="15" s="1"/>
  <c r="R657" i="17" s="1"/>
  <c r="T591" i="15"/>
  <c r="U114" i="15"/>
  <c r="W443" i="15"/>
  <c r="R443" i="17" s="1"/>
  <c r="R96" i="15"/>
  <c r="U710" i="15"/>
  <c r="U375" i="15"/>
  <c r="W385" i="15"/>
  <c r="R385" i="17" s="1"/>
  <c r="U99" i="15"/>
  <c r="S630" i="15"/>
  <c r="W630" i="15" s="1"/>
  <c r="R630" i="17" s="1"/>
  <c r="R594" i="15"/>
  <c r="W84" i="15"/>
  <c r="R84" i="17" s="1"/>
  <c r="U126" i="15"/>
  <c r="W281" i="15"/>
  <c r="R281" i="17" s="1"/>
  <c r="T537" i="15"/>
  <c r="U19" i="15"/>
  <c r="T581" i="15"/>
  <c r="R362" i="15"/>
  <c r="T742" i="15"/>
  <c r="R17" i="15"/>
  <c r="S18" i="15" s="1"/>
  <c r="U18" i="15" s="1"/>
  <c r="T605" i="15"/>
  <c r="T509" i="15"/>
  <c r="U733" i="15"/>
  <c r="R623" i="15"/>
  <c r="U9" i="15"/>
  <c r="R111" i="15"/>
  <c r="W5" i="15"/>
  <c r="R5" i="17" s="1"/>
  <c r="S331" i="15"/>
  <c r="U331" i="15" s="1"/>
  <c r="U63" i="15"/>
  <c r="R648" i="15"/>
  <c r="R700" i="15"/>
  <c r="S376" i="15"/>
  <c r="U376" i="15" s="1"/>
  <c r="U645" i="15"/>
  <c r="U667" i="15"/>
  <c r="T680" i="15"/>
  <c r="T174" i="15"/>
  <c r="R569" i="15"/>
  <c r="T309" i="15"/>
  <c r="R530" i="15"/>
  <c r="S91" i="15"/>
  <c r="W91" i="15" s="1"/>
  <c r="R91" i="17" s="1"/>
  <c r="R620" i="15"/>
  <c r="R527" i="15"/>
  <c r="U27" i="15"/>
  <c r="U633" i="15"/>
  <c r="U685" i="15"/>
  <c r="S127" i="15"/>
  <c r="U127" i="15" s="1"/>
  <c r="U299" i="15"/>
  <c r="U79" i="15"/>
  <c r="S744" i="15"/>
  <c r="W744" i="15" s="1"/>
  <c r="R744" i="17" s="1"/>
  <c r="R537" i="15"/>
  <c r="W581" i="15"/>
  <c r="R581" i="17" s="1"/>
  <c r="K13" i="28" a="1"/>
  <c r="K13" i="28" s="1"/>
  <c r="W605" i="15"/>
  <c r="R605" i="17" s="1"/>
  <c r="R404" i="15"/>
  <c r="T648" i="15"/>
  <c r="U722" i="15"/>
  <c r="S736" i="15"/>
  <c r="U736" i="15" s="1"/>
  <c r="T93" i="15"/>
  <c r="R117" i="15"/>
  <c r="T498" i="15"/>
  <c r="T102" i="15"/>
  <c r="R738" i="15"/>
  <c r="R183" i="15"/>
  <c r="R237" i="15"/>
  <c r="T328" i="15"/>
  <c r="U57" i="15"/>
  <c r="R264" i="15"/>
  <c r="T695" i="15"/>
  <c r="R432" i="15"/>
  <c r="U681" i="15"/>
  <c r="R309" i="15"/>
  <c r="W530" i="15"/>
  <c r="R530" i="17" s="1"/>
  <c r="T201" i="15"/>
  <c r="W287" i="15"/>
  <c r="R287" i="17" s="1"/>
  <c r="T642" i="15"/>
  <c r="R642" i="15"/>
  <c r="U125" i="15"/>
  <c r="U394" i="15"/>
  <c r="U419" i="15"/>
  <c r="T527" i="15"/>
  <c r="W381" i="15"/>
  <c r="R381" i="17" s="1"/>
  <c r="T464" i="15"/>
  <c r="U138" i="15"/>
  <c r="W129" i="15"/>
  <c r="R129" i="17" s="1"/>
  <c r="U664" i="15"/>
  <c r="W423" i="15"/>
  <c r="R423" i="17" s="1"/>
  <c r="T51" i="15"/>
  <c r="R13" i="15"/>
  <c r="U3" i="15"/>
  <c r="W69" i="15"/>
  <c r="R69" i="17" s="1"/>
  <c r="T704" i="15"/>
  <c r="U573" i="15"/>
  <c r="T108" i="15"/>
  <c r="W601" i="15"/>
  <c r="R601" i="17" s="1"/>
  <c r="U290" i="15"/>
  <c r="W356" i="15"/>
  <c r="R356" i="17" s="1"/>
  <c r="W742" i="15"/>
  <c r="R742" i="17" s="1"/>
  <c r="W492" i="15"/>
  <c r="R492" i="17" s="1"/>
  <c r="T276" i="15"/>
  <c r="S28" i="15"/>
  <c r="W28" i="15" s="1"/>
  <c r="R28" i="17" s="1"/>
  <c r="W648" i="15"/>
  <c r="R648" i="17" s="1"/>
  <c r="W93" i="15"/>
  <c r="R93" i="17" s="1"/>
  <c r="W498" i="15"/>
  <c r="R498" i="17" s="1"/>
  <c r="U613" i="15"/>
  <c r="W102" i="15"/>
  <c r="R102" i="17" s="1"/>
  <c r="S682" i="15"/>
  <c r="U682" i="15" s="1"/>
  <c r="T562" i="15"/>
  <c r="W183" i="15"/>
  <c r="R183" i="17" s="1"/>
  <c r="W328" i="15"/>
  <c r="R328" i="17" s="1"/>
  <c r="U246" i="15"/>
  <c r="U661" i="15"/>
  <c r="S178" i="15"/>
  <c r="W178" i="15" s="1"/>
  <c r="R178" i="17" s="1"/>
  <c r="R452" i="15"/>
  <c r="T588" i="15"/>
  <c r="T366" i="15"/>
  <c r="T541" i="15"/>
  <c r="U626" i="15"/>
  <c r="T502" i="15"/>
  <c r="S86" i="15"/>
  <c r="W86" i="15" s="1"/>
  <c r="R86" i="17" s="1"/>
  <c r="U674" i="15"/>
  <c r="R559" i="15"/>
  <c r="U176" i="15"/>
  <c r="R347" i="15"/>
  <c r="T473" i="15"/>
  <c r="S181" i="15"/>
  <c r="W181" i="15" s="1"/>
  <c r="R181" i="17" s="1"/>
  <c r="S684" i="15"/>
  <c r="W684" i="15" s="1"/>
  <c r="R684" i="17" s="1"/>
  <c r="S706" i="15"/>
  <c r="U706" i="15" s="1"/>
  <c r="R381" i="15"/>
  <c r="W518" i="15"/>
  <c r="R518" i="17" s="1"/>
  <c r="R129" i="15"/>
  <c r="U324" i="15"/>
  <c r="W39" i="15"/>
  <c r="R39" i="17" s="1"/>
  <c r="W347" i="15"/>
  <c r="R347" i="17" s="1"/>
  <c r="U443" i="15"/>
  <c r="R385" i="15"/>
  <c r="T653" i="15"/>
  <c r="T735" i="15"/>
  <c r="S655" i="15"/>
  <c r="U655" i="15" s="1"/>
  <c r="W537" i="15"/>
  <c r="R537" i="17" s="1"/>
  <c r="W404" i="15"/>
  <c r="R404" i="17" s="1"/>
  <c r="S332" i="15"/>
  <c r="W332" i="15" s="1"/>
  <c r="R332" i="17" s="1"/>
  <c r="T722" i="15"/>
  <c r="U101" i="15"/>
  <c r="W700" i="15"/>
  <c r="R700" i="17" s="1"/>
  <c r="W738" i="15"/>
  <c r="R738" i="17" s="1"/>
  <c r="W695" i="15"/>
  <c r="R695" i="17" s="1"/>
  <c r="T432" i="15"/>
  <c r="S731" i="15"/>
  <c r="W731" i="15" s="1"/>
  <c r="R731" i="17" s="1"/>
  <c r="W556" i="15"/>
  <c r="R556" i="17" s="1"/>
  <c r="R588" i="15"/>
  <c r="R366" i="15"/>
  <c r="T439" i="15"/>
  <c r="W309" i="15"/>
  <c r="R309" i="17" s="1"/>
  <c r="T530" i="15"/>
  <c r="T87" i="15"/>
  <c r="R287" i="15"/>
  <c r="S625" i="15" l="1"/>
  <c r="U625" i="15" s="1"/>
  <c r="S62" i="15"/>
  <c r="U62" i="15" s="1"/>
  <c r="S77" i="15"/>
  <c r="U77" i="15" s="1"/>
  <c r="S553" i="15"/>
  <c r="W553" i="15" s="1"/>
  <c r="R553" i="17" s="1"/>
  <c r="S507" i="15"/>
  <c r="W507" i="15" s="1"/>
  <c r="R507" i="17" s="1"/>
  <c r="S554" i="15"/>
  <c r="U554" i="15" s="1"/>
  <c r="S552" i="15"/>
  <c r="W552" i="15" s="1"/>
  <c r="R552" i="17" s="1"/>
  <c r="S75" i="15"/>
  <c r="U75" i="15" s="1"/>
  <c r="S624" i="15"/>
  <c r="W624" i="15" s="1"/>
  <c r="R624" i="17" s="1"/>
  <c r="S719" i="15"/>
  <c r="W719" i="15" s="1"/>
  <c r="R719" i="17" s="1"/>
  <c r="U282" i="15"/>
  <c r="W713" i="15"/>
  <c r="R713" i="17" s="1"/>
  <c r="U593" i="15"/>
  <c r="S294" i="15"/>
  <c r="W294" i="15" s="1"/>
  <c r="R294" i="17" s="1"/>
  <c r="S83" i="15"/>
  <c r="W83" i="15" s="1"/>
  <c r="R83" i="17" s="1"/>
  <c r="W743" i="15"/>
  <c r="R743" i="17" s="1"/>
  <c r="S628" i="15"/>
  <c r="W628" i="15" s="1"/>
  <c r="R628" i="17" s="1"/>
  <c r="S104" i="15"/>
  <c r="W104" i="15" s="1"/>
  <c r="R104" i="17" s="1"/>
  <c r="S292" i="15"/>
  <c r="U292" i="15" s="1"/>
  <c r="S53" i="15"/>
  <c r="W53" i="15" s="1"/>
  <c r="R53" i="17" s="1"/>
  <c r="U688" i="15"/>
  <c r="S59" i="15"/>
  <c r="U59" i="15" s="1"/>
  <c r="U673" i="15"/>
  <c r="S304" i="15"/>
  <c r="W304" i="15" s="1"/>
  <c r="R304" i="17" s="1"/>
  <c r="S182" i="15"/>
  <c r="U182" i="15" s="1"/>
  <c r="S177" i="15"/>
  <c r="W177" i="15" s="1"/>
  <c r="R177" i="17" s="1"/>
  <c r="S721" i="15"/>
  <c r="W721" i="15" s="1"/>
  <c r="R721" i="17" s="1"/>
  <c r="S78" i="15"/>
  <c r="W78" i="15" s="1"/>
  <c r="R78" i="17" s="1"/>
  <c r="S427" i="15"/>
  <c r="W427" i="15" s="1"/>
  <c r="R427" i="17" s="1"/>
  <c r="S494" i="15"/>
  <c r="W494" i="15" s="1"/>
  <c r="R494" i="17" s="1"/>
  <c r="S329" i="15"/>
  <c r="W329" i="15" s="1"/>
  <c r="R329" i="17" s="1"/>
  <c r="S426" i="15"/>
  <c r="W426" i="15" s="1"/>
  <c r="R426" i="17" s="1"/>
  <c r="S151" i="15"/>
  <c r="W151" i="15" s="1"/>
  <c r="R151" i="17" s="1"/>
  <c r="S154" i="15"/>
  <c r="S47" i="15"/>
  <c r="W47" i="15" s="1"/>
  <c r="R47" i="17" s="1"/>
  <c r="S428" i="15"/>
  <c r="W428" i="15" s="1"/>
  <c r="R428" i="17" s="1"/>
  <c r="S153" i="15"/>
  <c r="W153" i="15" s="1"/>
  <c r="R153" i="17" s="1"/>
  <c r="S334" i="15"/>
  <c r="W334" i="15" s="1"/>
  <c r="R334" i="17" s="1"/>
  <c r="U4" i="15"/>
  <c r="S708" i="15"/>
  <c r="U708" i="15" s="1"/>
  <c r="S100" i="15"/>
  <c r="W100" i="15" s="1"/>
  <c r="R100" i="17" s="1"/>
  <c r="S298" i="15"/>
  <c r="U298" i="15" s="1"/>
  <c r="S52" i="15"/>
  <c r="W52" i="15" s="1"/>
  <c r="R52" i="17" s="1"/>
  <c r="U737" i="15"/>
  <c r="W62" i="15"/>
  <c r="R62" i="17" s="1"/>
  <c r="S295" i="15"/>
  <c r="W295" i="15" s="1"/>
  <c r="R295" i="17" s="1"/>
  <c r="S686" i="15"/>
  <c r="W686" i="15" s="1"/>
  <c r="R686" i="17" s="1"/>
  <c r="S293" i="15"/>
  <c r="U293" i="15" s="1"/>
  <c r="S689" i="15"/>
  <c r="W689" i="15" s="1"/>
  <c r="R689" i="17" s="1"/>
  <c r="S687" i="15"/>
  <c r="W687" i="15" s="1"/>
  <c r="R687" i="17" s="1"/>
  <c r="S501" i="15"/>
  <c r="U501" i="15" s="1"/>
  <c r="S61" i="15"/>
  <c r="S430" i="15"/>
  <c r="U430" i="15" s="1"/>
  <c r="S496" i="15"/>
  <c r="W496" i="15" s="1"/>
  <c r="R496" i="17" s="1"/>
  <c r="S46" i="15"/>
  <c r="U46" i="15" s="1"/>
  <c r="S429" i="15"/>
  <c r="U429" i="15" s="1"/>
  <c r="W55" i="15"/>
  <c r="R55" i="17" s="1"/>
  <c r="U55" i="15"/>
  <c r="S54" i="15"/>
  <c r="W54" i="15" s="1"/>
  <c r="R54" i="17" s="1"/>
  <c r="S499" i="15"/>
  <c r="W499" i="15" s="1"/>
  <c r="R499" i="17" s="1"/>
  <c r="S251" i="15"/>
  <c r="W251" i="15" s="1"/>
  <c r="R251" i="17" s="1"/>
  <c r="S56" i="15"/>
  <c r="U56" i="15" s="1"/>
  <c r="S500" i="15"/>
  <c r="W500" i="15" s="1"/>
  <c r="R500" i="17" s="1"/>
  <c r="S493" i="15"/>
  <c r="W493" i="15" s="1"/>
  <c r="R493" i="17" s="1"/>
  <c r="S505" i="15"/>
  <c r="W418" i="15"/>
  <c r="R418" i="17" s="1"/>
  <c r="W718" i="15"/>
  <c r="R718" i="17" s="1"/>
  <c r="U718" i="15"/>
  <c r="W416" i="15"/>
  <c r="R416" i="17" s="1"/>
  <c r="U416" i="15"/>
  <c r="S175" i="15"/>
  <c r="W175" i="15" s="1"/>
  <c r="R175" i="17" s="1"/>
  <c r="S333" i="15"/>
  <c r="W333" i="15" s="1"/>
  <c r="R333" i="17" s="1"/>
  <c r="S417" i="15"/>
  <c r="W417" i="15" s="1"/>
  <c r="R417" i="17" s="1"/>
  <c r="S510" i="15"/>
  <c r="W510" i="15" s="1"/>
  <c r="R510" i="17" s="1"/>
  <c r="S414" i="15"/>
  <c r="S85" i="15"/>
  <c r="W85" i="15" s="1"/>
  <c r="R85" i="17" s="1"/>
  <c r="S379" i="15"/>
  <c r="W379" i="15" s="1"/>
  <c r="R379" i="17" s="1"/>
  <c r="U647" i="15"/>
  <c r="W647" i="15"/>
  <c r="R647" i="17" s="1"/>
  <c r="W415" i="15"/>
  <c r="R415" i="17" s="1"/>
  <c r="S50" i="15"/>
  <c r="W50" i="15" s="1"/>
  <c r="R50" i="17" s="1"/>
  <c r="S646" i="15"/>
  <c r="U646" i="15" s="1"/>
  <c r="S319" i="15"/>
  <c r="W319" i="15" s="1"/>
  <c r="R319" i="17" s="1"/>
  <c r="S320" i="15"/>
  <c r="W320" i="15" s="1"/>
  <c r="R320" i="17" s="1"/>
  <c r="S497" i="15"/>
  <c r="W497" i="15" s="1"/>
  <c r="R497" i="17" s="1"/>
  <c r="U103" i="15"/>
  <c r="S396" i="15"/>
  <c r="S213" i="15"/>
  <c r="S301" i="15"/>
  <c r="W301" i="15" s="1"/>
  <c r="R301" i="17" s="1"/>
  <c r="S330" i="15"/>
  <c r="W330" i="15" s="1"/>
  <c r="R330" i="17" s="1"/>
  <c r="S336" i="15"/>
  <c r="W336" i="15" s="1"/>
  <c r="R336" i="17" s="1"/>
  <c r="S303" i="15"/>
  <c r="U303" i="15" s="1"/>
  <c r="S442" i="15"/>
  <c r="S300" i="15"/>
  <c r="W300" i="15" s="1"/>
  <c r="R300" i="17" s="1"/>
  <c r="S440" i="15"/>
  <c r="S395" i="15"/>
  <c r="W395" i="15" s="1"/>
  <c r="R395" i="17" s="1"/>
  <c r="U380" i="15"/>
  <c r="S359" i="15"/>
  <c r="S592" i="15"/>
  <c r="W592" i="15" s="1"/>
  <c r="R592" i="17" s="1"/>
  <c r="S180" i="15"/>
  <c r="W180" i="15" s="1"/>
  <c r="R180" i="17" s="1"/>
  <c r="S358" i="15"/>
  <c r="U358" i="15" s="1"/>
  <c r="S451" i="15"/>
  <c r="S361" i="15"/>
  <c r="W361" i="15" s="1"/>
  <c r="R361" i="17" s="1"/>
  <c r="S399" i="15"/>
  <c r="W399" i="15" s="1"/>
  <c r="R399" i="17" s="1"/>
  <c r="S447" i="15"/>
  <c r="W447" i="15" s="1"/>
  <c r="R447" i="17" s="1"/>
  <c r="S212" i="15"/>
  <c r="W212" i="15" s="1"/>
  <c r="R212" i="17" s="1"/>
  <c r="S297" i="15"/>
  <c r="U297" i="15" s="1"/>
  <c r="S716" i="15"/>
  <c r="W716" i="15" s="1"/>
  <c r="R716" i="17" s="1"/>
  <c r="U632" i="15"/>
  <c r="U630" i="15"/>
  <c r="S296" i="15"/>
  <c r="W296" i="15" s="1"/>
  <c r="R296" i="17" s="1"/>
  <c r="W291" i="15"/>
  <c r="R291" i="17" s="1"/>
  <c r="U291" i="15"/>
  <c r="S508" i="15"/>
  <c r="W441" i="15"/>
  <c r="R441" i="17" s="1"/>
  <c r="U441" i="15"/>
  <c r="W302" i="15"/>
  <c r="R302" i="17" s="1"/>
  <c r="U82" i="15"/>
  <c r="S143" i="15"/>
  <c r="U553" i="15"/>
  <c r="S140" i="15"/>
  <c r="W140" i="15" s="1"/>
  <c r="R140" i="17" s="1"/>
  <c r="U76" i="15"/>
  <c r="U378" i="15"/>
  <c r="S60" i="15"/>
  <c r="U109" i="15"/>
  <c r="S88" i="15"/>
  <c r="S450" i="15"/>
  <c r="S360" i="15"/>
  <c r="W360" i="15" s="1"/>
  <c r="R360" i="17" s="1"/>
  <c r="S286" i="15"/>
  <c r="U679" i="15"/>
  <c r="S448" i="15"/>
  <c r="U448" i="15" s="1"/>
  <c r="S283" i="15"/>
  <c r="S285" i="15"/>
  <c r="S58" i="15"/>
  <c r="S446" i="15"/>
  <c r="W446" i="15" s="1"/>
  <c r="R446" i="17" s="1"/>
  <c r="S217" i="15"/>
  <c r="W217" i="15" s="1"/>
  <c r="R217" i="17" s="1"/>
  <c r="U248" i="15"/>
  <c r="W248" i="15"/>
  <c r="R248" i="17" s="1"/>
  <c r="W555" i="15"/>
  <c r="R555" i="17" s="1"/>
  <c r="U555" i="15"/>
  <c r="W668" i="15"/>
  <c r="R668" i="17" s="1"/>
  <c r="U668" i="15"/>
  <c r="U20" i="15"/>
  <c r="S671" i="15"/>
  <c r="W671" i="15" s="1"/>
  <c r="R671" i="17" s="1"/>
  <c r="S254" i="15"/>
  <c r="S550" i="15"/>
  <c r="W550" i="15" s="1"/>
  <c r="R550" i="17" s="1"/>
  <c r="S669" i="15"/>
  <c r="S252" i="15"/>
  <c r="W252" i="15" s="1"/>
  <c r="R252" i="17" s="1"/>
  <c r="S551" i="15"/>
  <c r="S670" i="15"/>
  <c r="W670" i="15" s="1"/>
  <c r="R670" i="17" s="1"/>
  <c r="S247" i="15"/>
  <c r="S38" i="15"/>
  <c r="S250" i="15"/>
  <c r="W250" i="15" s="1"/>
  <c r="R250" i="17" s="1"/>
  <c r="S480" i="15"/>
  <c r="U480" i="15" s="1"/>
  <c r="S253" i="15"/>
  <c r="U253" i="15" s="1"/>
  <c r="S37" i="15"/>
  <c r="U720" i="15"/>
  <c r="U89" i="15"/>
  <c r="S249" i="15"/>
  <c r="S481" i="15"/>
  <c r="U482" i="15"/>
  <c r="W482" i="15"/>
  <c r="R482" i="17" s="1"/>
  <c r="U179" i="15"/>
  <c r="S144" i="15"/>
  <c r="W144" i="15" s="1"/>
  <c r="R144" i="17" s="1"/>
  <c r="S12" i="15"/>
  <c r="S503" i="15"/>
  <c r="W335" i="15"/>
  <c r="R335" i="17" s="1"/>
  <c r="U335" i="15"/>
  <c r="W506" i="15"/>
  <c r="R506" i="17" s="1"/>
  <c r="U506" i="15"/>
  <c r="S139" i="15"/>
  <c r="S504" i="15"/>
  <c r="S141" i="15"/>
  <c r="S216" i="15"/>
  <c r="W216" i="15" s="1"/>
  <c r="R216" i="17" s="1"/>
  <c r="U712" i="15"/>
  <c r="S146" i="15"/>
  <c r="S284" i="15"/>
  <c r="S22" i="15"/>
  <c r="W22" i="15" s="1"/>
  <c r="R22" i="17" s="1"/>
  <c r="W554" i="15"/>
  <c r="R554" i="17" s="1"/>
  <c r="U711" i="15"/>
  <c r="U657" i="15"/>
  <c r="S142" i="15"/>
  <c r="W142" i="15" s="1"/>
  <c r="R142" i="17" s="1"/>
  <c r="S514" i="15"/>
  <c r="W514" i="15" s="1"/>
  <c r="R514" i="17" s="1"/>
  <c r="W116" i="15"/>
  <c r="R116" i="17" s="1"/>
  <c r="U116" i="15"/>
  <c r="W604" i="15"/>
  <c r="R604" i="17" s="1"/>
  <c r="U604" i="15"/>
  <c r="W397" i="15"/>
  <c r="R397" i="17" s="1"/>
  <c r="U397" i="15"/>
  <c r="U707" i="15"/>
  <c r="W707" i="15"/>
  <c r="R707" i="17" s="1"/>
  <c r="U421" i="15"/>
  <c r="W421" i="15"/>
  <c r="R421" i="17" s="1"/>
  <c r="W150" i="15"/>
  <c r="R150" i="17" s="1"/>
  <c r="U150" i="15"/>
  <c r="S683" i="15"/>
  <c r="W683" i="15" s="1"/>
  <c r="R683" i="17" s="1"/>
  <c r="U398" i="15"/>
  <c r="S21" i="15"/>
  <c r="W21" i="15" s="1"/>
  <c r="R21" i="17" s="1"/>
  <c r="S211" i="15"/>
  <c r="W211" i="15" s="1"/>
  <c r="R211" i="17" s="1"/>
  <c r="S68" i="15"/>
  <c r="U68" i="15" s="1"/>
  <c r="S155" i="15"/>
  <c r="U110" i="15"/>
  <c r="S420" i="15"/>
  <c r="S23" i="15"/>
  <c r="S218" i="15"/>
  <c r="S66" i="15"/>
  <c r="W66" i="15" s="1"/>
  <c r="R66" i="17" s="1"/>
  <c r="S148" i="15"/>
  <c r="W148" i="15" s="1"/>
  <c r="R148" i="17" s="1"/>
  <c r="U422" i="15"/>
  <c r="S516" i="15"/>
  <c r="S149" i="15"/>
  <c r="W18" i="15"/>
  <c r="R18" i="17" s="1"/>
  <c r="S152" i="15"/>
  <c r="S603" i="15"/>
  <c r="S602" i="15"/>
  <c r="S115" i="15"/>
  <c r="U48" i="15"/>
  <c r="U678" i="15"/>
  <c r="U734" i="15"/>
  <c r="S65" i="15"/>
  <c r="S660" i="15"/>
  <c r="S654" i="15"/>
  <c r="S659" i="15"/>
  <c r="S658" i="15"/>
  <c r="W444" i="15"/>
  <c r="R444" i="17" s="1"/>
  <c r="U444" i="15"/>
  <c r="U744" i="15"/>
  <c r="S449" i="15"/>
  <c r="U377" i="15"/>
  <c r="S445" i="15"/>
  <c r="S627" i="15"/>
  <c r="S81" i="15"/>
  <c r="S80" i="15"/>
  <c r="S339" i="15"/>
  <c r="S338" i="15"/>
  <c r="S341" i="15"/>
  <c r="S342" i="15"/>
  <c r="S340" i="15"/>
  <c r="S662" i="15"/>
  <c r="S663" i="15"/>
  <c r="U517" i="15"/>
  <c r="W517" i="15"/>
  <c r="R517" i="17" s="1"/>
  <c r="W715" i="15"/>
  <c r="R715" i="17" s="1"/>
  <c r="U715" i="15"/>
  <c r="W278" i="15"/>
  <c r="R278" i="17" s="1"/>
  <c r="U278" i="15"/>
  <c r="S729" i="15"/>
  <c r="S727" i="15"/>
  <c r="S198" i="15"/>
  <c r="S194" i="15"/>
  <c r="S200" i="15"/>
  <c r="S197" i="15"/>
  <c r="S193" i="15"/>
  <c r="S199" i="15"/>
  <c r="S196" i="15"/>
  <c r="S195" i="15"/>
  <c r="U91" i="15"/>
  <c r="U719" i="15"/>
  <c r="S730" i="15"/>
  <c r="W730" i="15" s="1"/>
  <c r="R730" i="17" s="1"/>
  <c r="U461" i="15"/>
  <c r="S515" i="15"/>
  <c r="S641" i="15"/>
  <c r="S639" i="15"/>
  <c r="S637" i="15"/>
  <c r="S640" i="15"/>
  <c r="S636" i="15"/>
  <c r="S635" i="15"/>
  <c r="S638" i="15"/>
  <c r="S29" i="15"/>
  <c r="S462" i="15"/>
  <c r="S460" i="15"/>
  <c r="S463" i="15"/>
  <c r="W127" i="15"/>
  <c r="R127" i="17" s="1"/>
  <c r="U675" i="15"/>
  <c r="U357" i="15"/>
  <c r="W376" i="15"/>
  <c r="R376" i="17" s="1"/>
  <c r="W92" i="15"/>
  <c r="R92" i="17" s="1"/>
  <c r="W736" i="15"/>
  <c r="R736" i="17" s="1"/>
  <c r="U624" i="15"/>
  <c r="U181" i="15"/>
  <c r="S215" i="15"/>
  <c r="S11" i="15"/>
  <c r="S512" i="15"/>
  <c r="S709" i="15"/>
  <c r="S705" i="15"/>
  <c r="S64" i="15"/>
  <c r="S49" i="15"/>
  <c r="S495" i="15"/>
  <c r="S424" i="15"/>
  <c r="S425" i="15"/>
  <c r="W331" i="15"/>
  <c r="R331" i="17" s="1"/>
  <c r="U728" i="15"/>
  <c r="U128" i="15"/>
  <c r="U677" i="15"/>
  <c r="S10" i="15"/>
  <c r="S67" i="15"/>
  <c r="S513" i="15"/>
  <c r="S279" i="15"/>
  <c r="S280" i="15"/>
  <c r="S277" i="15"/>
  <c r="U631" i="15"/>
  <c r="U431" i="15"/>
  <c r="U656" i="15"/>
  <c r="W706" i="15"/>
  <c r="R706" i="17" s="1"/>
  <c r="S732" i="15"/>
  <c r="W732" i="15" s="1"/>
  <c r="R732" i="17" s="1"/>
  <c r="S511" i="15"/>
  <c r="S308" i="15"/>
  <c r="S306" i="15"/>
  <c r="S307" i="15"/>
  <c r="S207" i="15"/>
  <c r="S208" i="15"/>
  <c r="S202" i="15"/>
  <c r="S206" i="15"/>
  <c r="S204" i="15"/>
  <c r="S203" i="15"/>
  <c r="S205" i="15"/>
  <c r="S209" i="15"/>
  <c r="S322" i="15"/>
  <c r="S323" i="15"/>
  <c r="R19" i="28" a="1"/>
  <c r="R19" i="28" s="1"/>
  <c r="R20" i="28" s="1" a="1"/>
  <c r="R20" i="28" s="1"/>
  <c r="R21" i="28" s="1" a="1"/>
  <c r="R21" i="28" s="1"/>
  <c r="R22" i="28" s="1" a="1"/>
  <c r="R22" i="28" s="1"/>
  <c r="R23" i="28" s="1" a="1"/>
  <c r="R23" i="28" s="1"/>
  <c r="R25" i="28" s="1"/>
  <c r="S236" i="15"/>
  <c r="S232" i="15"/>
  <c r="S233" i="15"/>
  <c r="S229" i="15"/>
  <c r="S235" i="15"/>
  <c r="S234" i="15"/>
  <c r="S231" i="15"/>
  <c r="S230" i="15"/>
  <c r="S590" i="15"/>
  <c r="S589" i="15"/>
  <c r="S438" i="15"/>
  <c r="S436" i="15"/>
  <c r="S435" i="15"/>
  <c r="S434" i="15"/>
  <c r="S437" i="15"/>
  <c r="S433" i="15"/>
  <c r="U321" i="15"/>
  <c r="U104" i="15"/>
  <c r="S703" i="15"/>
  <c r="S701" i="15"/>
  <c r="S702" i="15"/>
  <c r="K14" i="28" a="1"/>
  <c r="K14" i="28" s="1"/>
  <c r="K15" i="28" s="1" a="1"/>
  <c r="K15" i="28" s="1"/>
  <c r="K16" i="28" s="1" a="1"/>
  <c r="K16" i="28" s="1"/>
  <c r="K17" i="28" s="1" a="1"/>
  <c r="K17" i="28" s="1"/>
  <c r="K18" i="28" s="1" a="1"/>
  <c r="K18" i="28" s="1"/>
  <c r="K19" i="28" s="1" a="1"/>
  <c r="K19" i="28" s="1"/>
  <c r="K20" i="28" s="1" a="1"/>
  <c r="K20" i="28" s="1"/>
  <c r="K21" i="28" s="1" a="1"/>
  <c r="K21" i="28" s="1"/>
  <c r="K22" i="28" s="1" a="1"/>
  <c r="K22" i="28" s="1"/>
  <c r="K23" i="28" s="1" a="1"/>
  <c r="K23" i="28" s="1"/>
  <c r="K25" i="28" s="1"/>
  <c r="S608" i="15"/>
  <c r="S606" i="15"/>
  <c r="S612" i="15"/>
  <c r="S609" i="15"/>
  <c r="S610" i="15"/>
  <c r="S611" i="15"/>
  <c r="S607" i="15"/>
  <c r="S401" i="15"/>
  <c r="S403" i="15"/>
  <c r="S402" i="15"/>
  <c r="S327" i="15"/>
  <c r="S325" i="15"/>
  <c r="S326" i="15"/>
  <c r="S260" i="15"/>
  <c r="S258" i="15"/>
  <c r="S256" i="15"/>
  <c r="S261" i="15"/>
  <c r="S263" i="15"/>
  <c r="S257" i="15"/>
  <c r="S259" i="15"/>
  <c r="S262" i="15"/>
  <c r="W676" i="15"/>
  <c r="R676" i="17" s="1"/>
  <c r="W682" i="15"/>
  <c r="R682" i="17" s="1"/>
  <c r="W625" i="15"/>
  <c r="R625" i="17" s="1"/>
  <c r="S643" i="15"/>
  <c r="S644" i="15"/>
  <c r="S241" i="15"/>
  <c r="S238" i="15"/>
  <c r="S245" i="15"/>
  <c r="S240" i="15"/>
  <c r="S239" i="15"/>
  <c r="S243" i="15"/>
  <c r="S244" i="15"/>
  <c r="S242" i="15"/>
  <c r="S540" i="15"/>
  <c r="S539" i="15"/>
  <c r="S538" i="15"/>
  <c r="S587" i="15"/>
  <c r="S585" i="15"/>
  <c r="S583" i="15"/>
  <c r="S582" i="15"/>
  <c r="S584" i="15"/>
  <c r="S586" i="15"/>
  <c r="S618" i="15"/>
  <c r="S615" i="15"/>
  <c r="S617" i="15"/>
  <c r="S614" i="15"/>
  <c r="S619" i="15"/>
  <c r="S616" i="15"/>
  <c r="U28" i="15"/>
  <c r="S272" i="15"/>
  <c r="S275" i="15"/>
  <c r="S273" i="15"/>
  <c r="S274" i="15"/>
  <c r="S520" i="15"/>
  <c r="S519" i="15"/>
  <c r="S524" i="15"/>
  <c r="S526" i="15"/>
  <c r="S523" i="15"/>
  <c r="S522" i="15"/>
  <c r="S521" i="15"/>
  <c r="S525" i="15"/>
  <c r="U145" i="15"/>
  <c r="S188" i="15"/>
  <c r="S184" i="15"/>
  <c r="S191" i="15"/>
  <c r="S190" i="15"/>
  <c r="S187" i="15"/>
  <c r="S189" i="15"/>
  <c r="S185" i="15"/>
  <c r="S186" i="15"/>
  <c r="S529" i="15"/>
  <c r="S528" i="15"/>
  <c r="U178" i="15"/>
  <c r="S571" i="15"/>
  <c r="S570" i="15"/>
  <c r="S572" i="15"/>
  <c r="S650" i="15"/>
  <c r="S649" i="15"/>
  <c r="S652" i="15"/>
  <c r="S651" i="15"/>
  <c r="O16" i="28" a="1"/>
  <c r="O16" i="28" s="1"/>
  <c r="O17" i="28" s="1" a="1"/>
  <c r="O17" i="28" s="1"/>
  <c r="O18" i="28" s="1" a="1"/>
  <c r="O18" i="28" s="1"/>
  <c r="O19" i="28" s="1" a="1"/>
  <c r="O19" i="28" s="1"/>
  <c r="O20" i="28" s="1" a="1"/>
  <c r="O20" i="28" s="1"/>
  <c r="O21" i="28" s="1" a="1"/>
  <c r="O21" i="28" s="1"/>
  <c r="O22" i="28" s="1" a="1"/>
  <c r="O22" i="28" s="1"/>
  <c r="O23" i="28" s="1" a="1"/>
  <c r="O23" i="28" s="1"/>
  <c r="O25" i="28" s="1"/>
  <c r="U86" i="15"/>
  <c r="W75" i="15"/>
  <c r="R75" i="17" s="1"/>
  <c r="S106" i="15"/>
  <c r="S107" i="15"/>
  <c r="S694" i="15"/>
  <c r="S693" i="15"/>
  <c r="S692" i="15"/>
  <c r="S691" i="15"/>
  <c r="S112" i="15"/>
  <c r="S113" i="15"/>
  <c r="S344" i="15"/>
  <c r="S346" i="15"/>
  <c r="S345" i="15"/>
  <c r="S665" i="15"/>
  <c r="S666" i="15"/>
  <c r="S560" i="15"/>
  <c r="S561" i="15"/>
  <c r="S14" i="15"/>
  <c r="S15" i="15"/>
  <c r="S288" i="15"/>
  <c r="S289" i="15"/>
  <c r="S16" i="15"/>
  <c r="S392" i="15"/>
  <c r="S388" i="15"/>
  <c r="S390" i="15"/>
  <c r="S389" i="15"/>
  <c r="S387" i="15"/>
  <c r="S393" i="15"/>
  <c r="S391" i="15"/>
  <c r="S386" i="15"/>
  <c r="S134" i="15"/>
  <c r="S133" i="15"/>
  <c r="S131" i="15"/>
  <c r="S137" i="15"/>
  <c r="S135" i="15"/>
  <c r="S130" i="15"/>
  <c r="S136" i="15"/>
  <c r="S132" i="15"/>
  <c r="U332" i="15"/>
  <c r="S316" i="15"/>
  <c r="S314" i="15"/>
  <c r="S313" i="15"/>
  <c r="S312" i="15"/>
  <c r="S315" i="15"/>
  <c r="S311" i="15"/>
  <c r="S310" i="15"/>
  <c r="S317" i="15"/>
  <c r="S268" i="15"/>
  <c r="S270" i="15"/>
  <c r="S265" i="15"/>
  <c r="S266" i="15"/>
  <c r="S267" i="15"/>
  <c r="S269" i="15"/>
  <c r="S740" i="15"/>
  <c r="S741" i="15"/>
  <c r="S739" i="15"/>
  <c r="U731" i="15"/>
  <c r="S98" i="15"/>
  <c r="S97" i="15"/>
  <c r="S565" i="15"/>
  <c r="S566" i="15"/>
  <c r="S567" i="15"/>
  <c r="S563" i="15"/>
  <c r="S568" i="15"/>
  <c r="S564" i="15"/>
  <c r="S723" i="15"/>
  <c r="S724" i="15"/>
  <c r="S725" i="15"/>
  <c r="S168" i="15"/>
  <c r="S166" i="15"/>
  <c r="S172" i="15"/>
  <c r="S167" i="15"/>
  <c r="S170" i="15"/>
  <c r="S173" i="15"/>
  <c r="S171" i="15"/>
  <c r="S169" i="15"/>
  <c r="S699" i="15"/>
  <c r="S696" i="15"/>
  <c r="S698" i="15"/>
  <c r="S697" i="15"/>
  <c r="W77" i="15"/>
  <c r="R77" i="17" s="1"/>
  <c r="W655" i="15"/>
  <c r="R655" i="17" s="1"/>
  <c r="S352" i="15"/>
  <c r="S348" i="15"/>
  <c r="S354" i="15"/>
  <c r="S351" i="15"/>
  <c r="S350" i="15"/>
  <c r="S349" i="15"/>
  <c r="S355" i="15"/>
  <c r="S353" i="15"/>
  <c r="S599" i="15"/>
  <c r="S596" i="15"/>
  <c r="S597" i="15"/>
  <c r="S598" i="15"/>
  <c r="S595" i="15"/>
  <c r="S600" i="15"/>
  <c r="S490" i="15"/>
  <c r="S491" i="15"/>
  <c r="S484" i="15"/>
  <c r="S41" i="15"/>
  <c r="S43" i="15"/>
  <c r="S489" i="15"/>
  <c r="S44" i="15"/>
  <c r="S42" i="15"/>
  <c r="S485" i="15"/>
  <c r="S488" i="15"/>
  <c r="S486" i="15"/>
  <c r="S40" i="15"/>
  <c r="S487" i="15"/>
  <c r="S412" i="15"/>
  <c r="S407" i="15"/>
  <c r="S405" i="15"/>
  <c r="S410" i="15"/>
  <c r="S411" i="15"/>
  <c r="S408" i="15"/>
  <c r="S409" i="15"/>
  <c r="S406" i="15"/>
  <c r="S621" i="15"/>
  <c r="S622" i="15"/>
  <c r="S478" i="15"/>
  <c r="S35" i="15"/>
  <c r="S476" i="15"/>
  <c r="S477" i="15"/>
  <c r="S34" i="15"/>
  <c r="S475" i="15"/>
  <c r="S474" i="15"/>
  <c r="S545" i="15"/>
  <c r="S542" i="15"/>
  <c r="S544" i="15"/>
  <c r="S546" i="15"/>
  <c r="S543" i="15"/>
  <c r="S548" i="15"/>
  <c r="S547" i="15"/>
  <c r="S468" i="15"/>
  <c r="S471" i="15"/>
  <c r="S467" i="15"/>
  <c r="S466" i="15"/>
  <c r="S469" i="15"/>
  <c r="S470" i="15"/>
  <c r="S32" i="15"/>
  <c r="S31" i="15"/>
  <c r="S465" i="15"/>
  <c r="S472" i="15"/>
  <c r="O15" i="28" a="1"/>
  <c r="O15" i="28" s="1"/>
  <c r="U214" i="15"/>
  <c r="S368" i="15"/>
  <c r="S371" i="15"/>
  <c r="S369" i="15"/>
  <c r="S373" i="15"/>
  <c r="S372" i="15"/>
  <c r="S374" i="15"/>
  <c r="S370" i="15"/>
  <c r="S367" i="15"/>
  <c r="S383" i="15"/>
  <c r="S382" i="15"/>
  <c r="S384" i="15"/>
  <c r="S121" i="15"/>
  <c r="S123" i="15"/>
  <c r="S124" i="15"/>
  <c r="S120" i="15"/>
  <c r="S119" i="15"/>
  <c r="S122" i="15"/>
  <c r="S118" i="15"/>
  <c r="S25" i="15"/>
  <c r="S454" i="15"/>
  <c r="S456" i="15"/>
  <c r="S455" i="15"/>
  <c r="S453" i="15"/>
  <c r="S26" i="15"/>
  <c r="S458" i="15"/>
  <c r="S457" i="15"/>
  <c r="S224" i="15"/>
  <c r="S222" i="15"/>
  <c r="S227" i="15"/>
  <c r="S223" i="15"/>
  <c r="S221" i="15"/>
  <c r="S226" i="15"/>
  <c r="S220" i="15"/>
  <c r="S225" i="15"/>
  <c r="S557" i="15"/>
  <c r="S558" i="15"/>
  <c r="U83" i="15"/>
  <c r="S95" i="15"/>
  <c r="S94" i="15"/>
  <c r="S8" i="15"/>
  <c r="S7" i="15"/>
  <c r="S6" i="15"/>
  <c r="S72" i="15"/>
  <c r="S70" i="15"/>
  <c r="S73" i="15"/>
  <c r="S71" i="15"/>
  <c r="S161" i="15"/>
  <c r="S162" i="15"/>
  <c r="S163" i="15"/>
  <c r="S160" i="15"/>
  <c r="S158" i="15"/>
  <c r="S159" i="15"/>
  <c r="S164" i="15"/>
  <c r="S157" i="15"/>
  <c r="S536" i="15"/>
  <c r="S533" i="15"/>
  <c r="S535" i="15"/>
  <c r="S534" i="15"/>
  <c r="S531" i="15"/>
  <c r="S532" i="15"/>
  <c r="U552" i="15"/>
  <c r="S365" i="15"/>
  <c r="S363" i="15"/>
  <c r="S364" i="15"/>
  <c r="S579" i="15"/>
  <c r="S578" i="15"/>
  <c r="S580" i="15"/>
  <c r="S577" i="15"/>
  <c r="S574" i="15"/>
  <c r="S575" i="15"/>
  <c r="S576" i="15"/>
  <c r="U684" i="15"/>
  <c r="U507" i="15" l="1"/>
  <c r="W292" i="15"/>
  <c r="R292" i="17" s="1"/>
  <c r="U53" i="15"/>
  <c r="U294" i="15"/>
  <c r="U177" i="15"/>
  <c r="U251" i="15"/>
  <c r="U628" i="15"/>
  <c r="U151" i="15"/>
  <c r="U304" i="15"/>
  <c r="U426" i="15"/>
  <c r="U329" i="15"/>
  <c r="U334" i="15"/>
  <c r="W59" i="15"/>
  <c r="R59" i="17" s="1"/>
  <c r="U683" i="15"/>
  <c r="U427" i="15"/>
  <c r="W56" i="15"/>
  <c r="R56" i="17" s="1"/>
  <c r="U295" i="15"/>
  <c r="W430" i="15"/>
  <c r="R430" i="17" s="1"/>
  <c r="U500" i="15"/>
  <c r="U496" i="15"/>
  <c r="U100" i="15"/>
  <c r="U333" i="15"/>
  <c r="U689" i="15"/>
  <c r="U153" i="15"/>
  <c r="U395" i="15"/>
  <c r="U300" i="15"/>
  <c r="W182" i="15"/>
  <c r="R182" i="17" s="1"/>
  <c r="U494" i="15"/>
  <c r="W46" i="15"/>
  <c r="R46" i="17" s="1"/>
  <c r="U66" i="15"/>
  <c r="W646" i="15"/>
  <c r="R646" i="17" s="1"/>
  <c r="W429" i="15"/>
  <c r="R429" i="17" s="1"/>
  <c r="U296" i="15"/>
  <c r="U180" i="15"/>
  <c r="U716" i="15"/>
  <c r="U320" i="15"/>
  <c r="U379" i="15"/>
  <c r="W358" i="15"/>
  <c r="R358" i="17" s="1"/>
  <c r="U212" i="15"/>
  <c r="U336" i="15"/>
  <c r="W708" i="15"/>
  <c r="R708" i="17" s="1"/>
  <c r="U687" i="15"/>
  <c r="U493" i="15"/>
  <c r="U54" i="15"/>
  <c r="U446" i="15"/>
  <c r="U140" i="15"/>
  <c r="W501" i="15"/>
  <c r="R501" i="17" s="1"/>
  <c r="U175" i="15"/>
  <c r="W293" i="15"/>
  <c r="R293" i="17" s="1"/>
  <c r="U428" i="15"/>
  <c r="U47" i="15"/>
  <c r="U497" i="15"/>
  <c r="U78" i="15"/>
  <c r="U721" i="15"/>
  <c r="U670" i="15"/>
  <c r="W303" i="15"/>
  <c r="R303" i="17" s="1"/>
  <c r="U85" i="15"/>
  <c r="U52" i="15"/>
  <c r="W154" i="15"/>
  <c r="R154" i="17" s="1"/>
  <c r="U154" i="15"/>
  <c r="U514" i="15"/>
  <c r="U50" i="15"/>
  <c r="W298" i="15"/>
  <c r="R298" i="17" s="1"/>
  <c r="U417" i="15"/>
  <c r="U686" i="15"/>
  <c r="U61" i="15"/>
  <c r="W61" i="15"/>
  <c r="R61" i="17" s="1"/>
  <c r="U319" i="15"/>
  <c r="U499" i="15"/>
  <c r="U505" i="15"/>
  <c r="W505" i="15"/>
  <c r="R505" i="17" s="1"/>
  <c r="U592" i="15"/>
  <c r="U510" i="15"/>
  <c r="W414" i="15"/>
  <c r="R414" i="17" s="1"/>
  <c r="U414" i="15"/>
  <c r="U250" i="15"/>
  <c r="U361" i="15"/>
  <c r="U330" i="15"/>
  <c r="W213" i="15"/>
  <c r="R213" i="17" s="1"/>
  <c r="U213" i="15"/>
  <c r="U301" i="15"/>
  <c r="U399" i="15"/>
  <c r="W440" i="15"/>
  <c r="R440" i="17" s="1"/>
  <c r="U440" i="15"/>
  <c r="U396" i="15"/>
  <c r="W396" i="15"/>
  <c r="R396" i="17" s="1"/>
  <c r="U217" i="15"/>
  <c r="U442" i="15"/>
  <c r="W442" i="15"/>
  <c r="R442" i="17" s="1"/>
  <c r="W359" i="15"/>
  <c r="R359" i="17" s="1"/>
  <c r="U359" i="15"/>
  <c r="U671" i="15"/>
  <c r="U211" i="15"/>
  <c r="W297" i="15"/>
  <c r="R297" i="17" s="1"/>
  <c r="W451" i="15"/>
  <c r="R451" i="17" s="1"/>
  <c r="U451" i="15"/>
  <c r="U447" i="15"/>
  <c r="U148" i="15"/>
  <c r="W508" i="15"/>
  <c r="R508" i="17" s="1"/>
  <c r="U508" i="15"/>
  <c r="U360" i="15"/>
  <c r="W448" i="15"/>
  <c r="R448" i="17" s="1"/>
  <c r="W68" i="15"/>
  <c r="R68" i="17" s="1"/>
  <c r="W480" i="15"/>
  <c r="R480" i="17" s="1"/>
  <c r="U550" i="15"/>
  <c r="W253" i="15"/>
  <c r="R253" i="17" s="1"/>
  <c r="U143" i="15"/>
  <c r="W143" i="15"/>
  <c r="R143" i="17" s="1"/>
  <c r="W88" i="15"/>
  <c r="R88" i="17" s="1"/>
  <c r="U88" i="15"/>
  <c r="W60" i="15"/>
  <c r="R60" i="17" s="1"/>
  <c r="U60" i="15"/>
  <c r="W58" i="15"/>
  <c r="R58" i="17" s="1"/>
  <c r="U58" i="15"/>
  <c r="U286" i="15"/>
  <c r="W286" i="15"/>
  <c r="R286" i="17" s="1"/>
  <c r="W285" i="15"/>
  <c r="R285" i="17" s="1"/>
  <c r="U285" i="15"/>
  <c r="W283" i="15"/>
  <c r="R283" i="17" s="1"/>
  <c r="U283" i="15"/>
  <c r="W450" i="15"/>
  <c r="R450" i="17" s="1"/>
  <c r="U450" i="15"/>
  <c r="U37" i="15"/>
  <c r="W37" i="15"/>
  <c r="R37" i="17" s="1"/>
  <c r="W481" i="15"/>
  <c r="R481" i="17" s="1"/>
  <c r="U481" i="15"/>
  <c r="U247" i="15"/>
  <c r="W247" i="15"/>
  <c r="R247" i="17" s="1"/>
  <c r="U252" i="15"/>
  <c r="W249" i="15"/>
  <c r="R249" i="17" s="1"/>
  <c r="U249" i="15"/>
  <c r="W551" i="15"/>
  <c r="R551" i="17" s="1"/>
  <c r="U551" i="15"/>
  <c r="W669" i="15"/>
  <c r="R669" i="17" s="1"/>
  <c r="U669" i="15"/>
  <c r="U254" i="15"/>
  <c r="W254" i="15"/>
  <c r="R254" i="17" s="1"/>
  <c r="W38" i="15"/>
  <c r="R38" i="17" s="1"/>
  <c r="U38" i="15"/>
  <c r="W503" i="15"/>
  <c r="R503" i="17" s="1"/>
  <c r="U503" i="15"/>
  <c r="U216" i="15"/>
  <c r="U144" i="15"/>
  <c r="W12" i="15"/>
  <c r="R12" i="17" s="1"/>
  <c r="U12" i="15"/>
  <c r="U22" i="15"/>
  <c r="U142" i="15"/>
  <c r="W504" i="15"/>
  <c r="R504" i="17" s="1"/>
  <c r="U504" i="15"/>
  <c r="W139" i="15"/>
  <c r="R139" i="17" s="1"/>
  <c r="U139" i="15"/>
  <c r="U284" i="15"/>
  <c r="W284" i="15"/>
  <c r="R284" i="17" s="1"/>
  <c r="W146" i="15"/>
  <c r="R146" i="17" s="1"/>
  <c r="U146" i="15"/>
  <c r="U141" i="15"/>
  <c r="W141" i="15"/>
  <c r="R141" i="17" s="1"/>
  <c r="U149" i="15"/>
  <c r="W149" i="15"/>
  <c r="R149" i="17" s="1"/>
  <c r="W23" i="15"/>
  <c r="R23" i="17" s="1"/>
  <c r="U23" i="15"/>
  <c r="W516" i="15"/>
  <c r="R516" i="17" s="1"/>
  <c r="U516" i="15"/>
  <c r="W420" i="15"/>
  <c r="R420" i="17" s="1"/>
  <c r="U420" i="15"/>
  <c r="U152" i="15"/>
  <c r="W152" i="15"/>
  <c r="R152" i="17" s="1"/>
  <c r="W658" i="15"/>
  <c r="R658" i="17" s="1"/>
  <c r="U658" i="15"/>
  <c r="W218" i="15"/>
  <c r="R218" i="17" s="1"/>
  <c r="U218" i="15"/>
  <c r="W659" i="15"/>
  <c r="R659" i="17" s="1"/>
  <c r="U659" i="15"/>
  <c r="U21" i="15"/>
  <c r="W654" i="15"/>
  <c r="R654" i="17" s="1"/>
  <c r="U654" i="15"/>
  <c r="W115" i="15"/>
  <c r="R115" i="17" s="1"/>
  <c r="U115" i="15"/>
  <c r="W155" i="15"/>
  <c r="R155" i="17" s="1"/>
  <c r="U155" i="15"/>
  <c r="W660" i="15"/>
  <c r="R660" i="17" s="1"/>
  <c r="U660" i="15"/>
  <c r="U602" i="15"/>
  <c r="W602" i="15"/>
  <c r="R602" i="17" s="1"/>
  <c r="W65" i="15"/>
  <c r="R65" i="17" s="1"/>
  <c r="U65" i="15"/>
  <c r="W603" i="15"/>
  <c r="R603" i="17" s="1"/>
  <c r="U603" i="15"/>
  <c r="U342" i="15"/>
  <c r="W342" i="15"/>
  <c r="R342" i="17" s="1"/>
  <c r="U341" i="15"/>
  <c r="W341" i="15"/>
  <c r="R341" i="17" s="1"/>
  <c r="U338" i="15"/>
  <c r="W338" i="15"/>
  <c r="R338" i="17" s="1"/>
  <c r="U339" i="15"/>
  <c r="W339" i="15"/>
  <c r="R339" i="17" s="1"/>
  <c r="W449" i="15"/>
  <c r="R449" i="17" s="1"/>
  <c r="U449" i="15"/>
  <c r="U80" i="15"/>
  <c r="W80" i="15"/>
  <c r="R80" i="17" s="1"/>
  <c r="U732" i="15"/>
  <c r="W663" i="15"/>
  <c r="R663" i="17" s="1"/>
  <c r="U663" i="15"/>
  <c r="U81" i="15"/>
  <c r="W81" i="15"/>
  <c r="R81" i="17" s="1"/>
  <c r="W662" i="15"/>
  <c r="R662" i="17" s="1"/>
  <c r="U662" i="15"/>
  <c r="W627" i="15"/>
  <c r="R627" i="17" s="1"/>
  <c r="U627" i="15"/>
  <c r="U340" i="15"/>
  <c r="W340" i="15"/>
  <c r="R340" i="17" s="1"/>
  <c r="U445" i="15"/>
  <c r="W445" i="15"/>
  <c r="R445" i="17" s="1"/>
  <c r="W322" i="15"/>
  <c r="R322" i="17" s="1"/>
  <c r="U322" i="15"/>
  <c r="W207" i="15"/>
  <c r="R207" i="17" s="1"/>
  <c r="U207" i="15"/>
  <c r="W10" i="15"/>
  <c r="R10" i="17" s="1"/>
  <c r="U10" i="15"/>
  <c r="U705" i="15"/>
  <c r="W705" i="15"/>
  <c r="R705" i="17" s="1"/>
  <c r="U638" i="15"/>
  <c r="W638" i="15"/>
  <c r="R638" i="17" s="1"/>
  <c r="W196" i="15"/>
  <c r="R196" i="17" s="1"/>
  <c r="U196" i="15"/>
  <c r="U729" i="15"/>
  <c r="W729" i="15"/>
  <c r="R729" i="17" s="1"/>
  <c r="U307" i="15"/>
  <c r="W307" i="15"/>
  <c r="R307" i="17" s="1"/>
  <c r="U635" i="15"/>
  <c r="W635" i="15"/>
  <c r="R635" i="17" s="1"/>
  <c r="U205" i="15"/>
  <c r="W205" i="15"/>
  <c r="R205" i="17" s="1"/>
  <c r="W306" i="15"/>
  <c r="R306" i="17" s="1"/>
  <c r="U306" i="15"/>
  <c r="W277" i="15"/>
  <c r="R277" i="17" s="1"/>
  <c r="U277" i="15"/>
  <c r="U636" i="15"/>
  <c r="W636" i="15"/>
  <c r="R636" i="17" s="1"/>
  <c r="W193" i="15"/>
  <c r="R193" i="17" s="1"/>
  <c r="U193" i="15"/>
  <c r="W209" i="15"/>
  <c r="R209" i="17" s="1"/>
  <c r="U209" i="15"/>
  <c r="U709" i="15"/>
  <c r="W709" i="15"/>
  <c r="R709" i="17" s="1"/>
  <c r="W199" i="15"/>
  <c r="R199" i="17" s="1"/>
  <c r="U199" i="15"/>
  <c r="U203" i="15"/>
  <c r="W203" i="15"/>
  <c r="R203" i="17" s="1"/>
  <c r="W308" i="15"/>
  <c r="R308" i="17" s="1"/>
  <c r="U308" i="15"/>
  <c r="U280" i="15"/>
  <c r="W280" i="15"/>
  <c r="R280" i="17" s="1"/>
  <c r="W425" i="15"/>
  <c r="R425" i="17" s="1"/>
  <c r="U425" i="15"/>
  <c r="W512" i="15"/>
  <c r="R512" i="17" s="1"/>
  <c r="U512" i="15"/>
  <c r="U640" i="15"/>
  <c r="W640" i="15"/>
  <c r="R640" i="17" s="1"/>
  <c r="W197" i="15"/>
  <c r="R197" i="17" s="1"/>
  <c r="U197" i="15"/>
  <c r="U204" i="15"/>
  <c r="W204" i="15"/>
  <c r="R204" i="17" s="1"/>
  <c r="W511" i="15"/>
  <c r="R511" i="17" s="1"/>
  <c r="U511" i="15"/>
  <c r="W279" i="15"/>
  <c r="R279" i="17" s="1"/>
  <c r="U279" i="15"/>
  <c r="U424" i="15"/>
  <c r="W424" i="15"/>
  <c r="R424" i="17" s="1"/>
  <c r="W11" i="15"/>
  <c r="R11" i="17" s="1"/>
  <c r="U11" i="15"/>
  <c r="W463" i="15"/>
  <c r="R463" i="17" s="1"/>
  <c r="U463" i="15"/>
  <c r="U637" i="15"/>
  <c r="W637" i="15"/>
  <c r="R637" i="17" s="1"/>
  <c r="W200" i="15"/>
  <c r="R200" i="17" s="1"/>
  <c r="U200" i="15"/>
  <c r="U206" i="15"/>
  <c r="W206" i="15"/>
  <c r="R206" i="17" s="1"/>
  <c r="U495" i="15"/>
  <c r="W495" i="15"/>
  <c r="R495" i="17" s="1"/>
  <c r="W460" i="15"/>
  <c r="R460" i="17" s="1"/>
  <c r="U460" i="15"/>
  <c r="U639" i="15"/>
  <c r="W639" i="15"/>
  <c r="R639" i="17" s="1"/>
  <c r="U194" i="15"/>
  <c r="W194" i="15"/>
  <c r="R194" i="17" s="1"/>
  <c r="W202" i="15"/>
  <c r="R202" i="17" s="1"/>
  <c r="U202" i="15"/>
  <c r="W513" i="15"/>
  <c r="R513" i="17" s="1"/>
  <c r="U513" i="15"/>
  <c r="W49" i="15"/>
  <c r="R49" i="17" s="1"/>
  <c r="U49" i="15"/>
  <c r="U215" i="15"/>
  <c r="W215" i="15"/>
  <c r="R215" i="17" s="1"/>
  <c r="U462" i="15"/>
  <c r="W462" i="15"/>
  <c r="R462" i="17" s="1"/>
  <c r="U641" i="15"/>
  <c r="W641" i="15"/>
  <c r="R641" i="17" s="1"/>
  <c r="W198" i="15"/>
  <c r="R198" i="17" s="1"/>
  <c r="U198" i="15"/>
  <c r="U730" i="15"/>
  <c r="W323" i="15"/>
  <c r="R323" i="17" s="1"/>
  <c r="U323" i="15"/>
  <c r="W208" i="15"/>
  <c r="R208" i="17" s="1"/>
  <c r="U208" i="15"/>
  <c r="U67" i="15"/>
  <c r="W67" i="15"/>
  <c r="R67" i="17" s="1"/>
  <c r="U64" i="15"/>
  <c r="W64" i="15"/>
  <c r="R64" i="17" s="1"/>
  <c r="W29" i="15"/>
  <c r="R29" i="17" s="1"/>
  <c r="U29" i="15"/>
  <c r="U515" i="15"/>
  <c r="W515" i="15"/>
  <c r="R515" i="17" s="1"/>
  <c r="U195" i="15"/>
  <c r="W195" i="15"/>
  <c r="R195" i="17" s="1"/>
  <c r="W727" i="15"/>
  <c r="R727" i="17" s="1"/>
  <c r="U727" i="15"/>
  <c r="W223" i="15"/>
  <c r="R223" i="17" s="1"/>
  <c r="U223" i="15"/>
  <c r="U546" i="15"/>
  <c r="W546" i="15"/>
  <c r="R546" i="17" s="1"/>
  <c r="W315" i="15"/>
  <c r="R315" i="17" s="1"/>
  <c r="U315" i="15"/>
  <c r="W694" i="15"/>
  <c r="R694" i="17" s="1"/>
  <c r="U694" i="15"/>
  <c r="U522" i="15"/>
  <c r="W522" i="15"/>
  <c r="R522" i="17" s="1"/>
  <c r="W263" i="15"/>
  <c r="R263" i="17" s="1"/>
  <c r="U263" i="15"/>
  <c r="W229" i="15"/>
  <c r="R229" i="17" s="1"/>
  <c r="U229" i="15"/>
  <c r="W159" i="15"/>
  <c r="R159" i="17" s="1"/>
  <c r="U159" i="15"/>
  <c r="W456" i="15"/>
  <c r="R456" i="17" s="1"/>
  <c r="U456" i="15"/>
  <c r="U123" i="15"/>
  <c r="W123" i="15"/>
  <c r="R123" i="17" s="1"/>
  <c r="W372" i="15"/>
  <c r="R372" i="17" s="1"/>
  <c r="U372" i="15"/>
  <c r="W466" i="15"/>
  <c r="R466" i="17" s="1"/>
  <c r="U466" i="15"/>
  <c r="W544" i="15"/>
  <c r="R544" i="17" s="1"/>
  <c r="U544" i="15"/>
  <c r="U35" i="15"/>
  <c r="W35" i="15"/>
  <c r="R35" i="17" s="1"/>
  <c r="W410" i="15"/>
  <c r="R410" i="17" s="1"/>
  <c r="U410" i="15"/>
  <c r="W485" i="15"/>
  <c r="R485" i="17" s="1"/>
  <c r="U485" i="15"/>
  <c r="W490" i="15"/>
  <c r="R490" i="17" s="1"/>
  <c r="U490" i="15"/>
  <c r="W355" i="15"/>
  <c r="R355" i="17" s="1"/>
  <c r="U355" i="15"/>
  <c r="U173" i="15"/>
  <c r="W173" i="15"/>
  <c r="R173" i="17" s="1"/>
  <c r="W723" i="15"/>
  <c r="R723" i="17" s="1"/>
  <c r="U723" i="15"/>
  <c r="W97" i="15"/>
  <c r="R97" i="17" s="1"/>
  <c r="U97" i="15"/>
  <c r="W266" i="15"/>
  <c r="R266" i="17" s="1"/>
  <c r="U266" i="15"/>
  <c r="W312" i="15"/>
  <c r="R312" i="17" s="1"/>
  <c r="U312" i="15"/>
  <c r="U130" i="15"/>
  <c r="W130" i="15"/>
  <c r="R130" i="17" s="1"/>
  <c r="W393" i="15"/>
  <c r="R393" i="17" s="1"/>
  <c r="U393" i="15"/>
  <c r="W288" i="15"/>
  <c r="R288" i="17" s="1"/>
  <c r="U288" i="15"/>
  <c r="U346" i="15"/>
  <c r="W346" i="15"/>
  <c r="R346" i="17" s="1"/>
  <c r="U107" i="15"/>
  <c r="W107" i="15"/>
  <c r="R107" i="17" s="1"/>
  <c r="W651" i="15"/>
  <c r="R651" i="17" s="1"/>
  <c r="U651" i="15"/>
  <c r="W528" i="15"/>
  <c r="R528" i="17" s="1"/>
  <c r="U528" i="15"/>
  <c r="W191" i="15"/>
  <c r="R191" i="17" s="1"/>
  <c r="U191" i="15"/>
  <c r="W523" i="15"/>
  <c r="R523" i="17" s="1"/>
  <c r="U523" i="15"/>
  <c r="W272" i="15"/>
  <c r="R272" i="17" s="1"/>
  <c r="U272" i="15"/>
  <c r="W538" i="15"/>
  <c r="R538" i="17" s="1"/>
  <c r="U538" i="15"/>
  <c r="W239" i="15"/>
  <c r="R239" i="17" s="1"/>
  <c r="U239" i="15"/>
  <c r="U261" i="15"/>
  <c r="W261" i="15"/>
  <c r="R261" i="17" s="1"/>
  <c r="U403" i="15"/>
  <c r="W403" i="15"/>
  <c r="R403" i="17" s="1"/>
  <c r="W608" i="15"/>
  <c r="R608" i="17" s="1"/>
  <c r="U608" i="15"/>
  <c r="W233" i="15"/>
  <c r="R233" i="17" s="1"/>
  <c r="U233" i="15"/>
  <c r="W275" i="15"/>
  <c r="R275" i="17" s="1"/>
  <c r="U275" i="15"/>
  <c r="W243" i="15"/>
  <c r="R243" i="17" s="1"/>
  <c r="U243" i="15"/>
  <c r="W402" i="15"/>
  <c r="R402" i="17" s="1"/>
  <c r="U402" i="15"/>
  <c r="U532" i="15"/>
  <c r="W532" i="15"/>
  <c r="R532" i="17" s="1"/>
  <c r="U227" i="15"/>
  <c r="W227" i="15"/>
  <c r="R227" i="17" s="1"/>
  <c r="W531" i="15"/>
  <c r="R531" i="17" s="1"/>
  <c r="U531" i="15"/>
  <c r="W70" i="15"/>
  <c r="R70" i="17" s="1"/>
  <c r="U70" i="15"/>
  <c r="U222" i="15"/>
  <c r="W222" i="15"/>
  <c r="R222" i="17" s="1"/>
  <c r="W454" i="15"/>
  <c r="R454" i="17" s="1"/>
  <c r="U454" i="15"/>
  <c r="W121" i="15"/>
  <c r="R121" i="17" s="1"/>
  <c r="U121" i="15"/>
  <c r="W373" i="15"/>
  <c r="R373" i="17" s="1"/>
  <c r="U373" i="15"/>
  <c r="U467" i="15"/>
  <c r="W467" i="15"/>
  <c r="R467" i="17" s="1"/>
  <c r="U542" i="15"/>
  <c r="W542" i="15"/>
  <c r="R542" i="17" s="1"/>
  <c r="U478" i="15"/>
  <c r="W478" i="15"/>
  <c r="R478" i="17" s="1"/>
  <c r="W405" i="15"/>
  <c r="R405" i="17" s="1"/>
  <c r="U405" i="15"/>
  <c r="W42" i="15"/>
  <c r="R42" i="17" s="1"/>
  <c r="U42" i="15"/>
  <c r="U600" i="15"/>
  <c r="W600" i="15"/>
  <c r="R600" i="17" s="1"/>
  <c r="W349" i="15"/>
  <c r="R349" i="17" s="1"/>
  <c r="U349" i="15"/>
  <c r="W170" i="15"/>
  <c r="R170" i="17" s="1"/>
  <c r="U170" i="15"/>
  <c r="U564" i="15"/>
  <c r="W564" i="15"/>
  <c r="R564" i="17" s="1"/>
  <c r="W98" i="15"/>
  <c r="R98" i="17" s="1"/>
  <c r="U98" i="15"/>
  <c r="W265" i="15"/>
  <c r="R265" i="17" s="1"/>
  <c r="U265" i="15"/>
  <c r="W313" i="15"/>
  <c r="R313" i="17" s="1"/>
  <c r="U313" i="15"/>
  <c r="W135" i="15"/>
  <c r="R135" i="17" s="1"/>
  <c r="U135" i="15"/>
  <c r="W387" i="15"/>
  <c r="R387" i="17" s="1"/>
  <c r="U387" i="15"/>
  <c r="W15" i="15"/>
  <c r="R15" i="17" s="1"/>
  <c r="U15" i="15"/>
  <c r="W344" i="15"/>
  <c r="R344" i="17" s="1"/>
  <c r="U344" i="15"/>
  <c r="U106" i="15"/>
  <c r="W106" i="15"/>
  <c r="R106" i="17" s="1"/>
  <c r="W652" i="15"/>
  <c r="R652" i="17" s="1"/>
  <c r="U652" i="15"/>
  <c r="W529" i="15"/>
  <c r="R529" i="17" s="1"/>
  <c r="U529" i="15"/>
  <c r="W184" i="15"/>
  <c r="R184" i="17" s="1"/>
  <c r="U184" i="15"/>
  <c r="U526" i="15"/>
  <c r="W526" i="15"/>
  <c r="R526" i="17" s="1"/>
  <c r="W586" i="15"/>
  <c r="R586" i="17" s="1"/>
  <c r="U586" i="15"/>
  <c r="W539" i="15"/>
  <c r="R539" i="17" s="1"/>
  <c r="U539" i="15"/>
  <c r="W240" i="15"/>
  <c r="R240" i="17" s="1"/>
  <c r="U240" i="15"/>
  <c r="U256" i="15"/>
  <c r="W256" i="15"/>
  <c r="R256" i="17" s="1"/>
  <c r="U401" i="15"/>
  <c r="W401" i="15"/>
  <c r="R401" i="17" s="1"/>
  <c r="W433" i="15"/>
  <c r="R433" i="17" s="1"/>
  <c r="U433" i="15"/>
  <c r="W589" i="15"/>
  <c r="R589" i="17" s="1"/>
  <c r="U589" i="15"/>
  <c r="W232" i="15"/>
  <c r="R232" i="17" s="1"/>
  <c r="U232" i="15"/>
  <c r="W95" i="15"/>
  <c r="R95" i="17" s="1"/>
  <c r="U95" i="15"/>
  <c r="U411" i="15"/>
  <c r="W411" i="15"/>
  <c r="R411" i="17" s="1"/>
  <c r="W724" i="15"/>
  <c r="R724" i="17" s="1"/>
  <c r="U724" i="15"/>
  <c r="W289" i="15"/>
  <c r="R289" i="17" s="1"/>
  <c r="U289" i="15"/>
  <c r="W345" i="15"/>
  <c r="R345" i="17" s="1"/>
  <c r="U345" i="15"/>
  <c r="W190" i="15"/>
  <c r="R190" i="17" s="1"/>
  <c r="U190" i="15"/>
  <c r="W618" i="15"/>
  <c r="R618" i="17" s="1"/>
  <c r="U618" i="15"/>
  <c r="W606" i="15"/>
  <c r="R606" i="17" s="1"/>
  <c r="U606" i="15"/>
  <c r="W580" i="15"/>
  <c r="R580" i="17" s="1"/>
  <c r="U580" i="15"/>
  <c r="W73" i="15"/>
  <c r="R73" i="17" s="1"/>
  <c r="U73" i="15"/>
  <c r="W578" i="15"/>
  <c r="R578" i="17" s="1"/>
  <c r="U578" i="15"/>
  <c r="U158" i="15"/>
  <c r="W158" i="15"/>
  <c r="R158" i="17" s="1"/>
  <c r="W558" i="15"/>
  <c r="R558" i="17" s="1"/>
  <c r="U558" i="15"/>
  <c r="W579" i="15"/>
  <c r="R579" i="17" s="1"/>
  <c r="U579" i="15"/>
  <c r="U534" i="15"/>
  <c r="W534" i="15"/>
  <c r="R534" i="17" s="1"/>
  <c r="W160" i="15"/>
  <c r="R160" i="17" s="1"/>
  <c r="U160" i="15"/>
  <c r="U72" i="15"/>
  <c r="W72" i="15"/>
  <c r="R72" i="17" s="1"/>
  <c r="W557" i="15"/>
  <c r="R557" i="17" s="1"/>
  <c r="U557" i="15"/>
  <c r="U224" i="15"/>
  <c r="W224" i="15"/>
  <c r="R224" i="17" s="1"/>
  <c r="W25" i="15"/>
  <c r="R25" i="17" s="1"/>
  <c r="U25" i="15"/>
  <c r="W384" i="15"/>
  <c r="R384" i="17" s="1"/>
  <c r="U384" i="15"/>
  <c r="W369" i="15"/>
  <c r="R369" i="17" s="1"/>
  <c r="U369" i="15"/>
  <c r="W472" i="15"/>
  <c r="R472" i="17" s="1"/>
  <c r="U472" i="15"/>
  <c r="W471" i="15"/>
  <c r="R471" i="17" s="1"/>
  <c r="U471" i="15"/>
  <c r="W545" i="15"/>
  <c r="R545" i="17" s="1"/>
  <c r="U545" i="15"/>
  <c r="W622" i="15"/>
  <c r="R622" i="17" s="1"/>
  <c r="U622" i="15"/>
  <c r="W407" i="15"/>
  <c r="R407" i="17" s="1"/>
  <c r="U407" i="15"/>
  <c r="W44" i="15"/>
  <c r="R44" i="17" s="1"/>
  <c r="U44" i="15"/>
  <c r="U595" i="15"/>
  <c r="W595" i="15"/>
  <c r="R595" i="17" s="1"/>
  <c r="U350" i="15"/>
  <c r="W350" i="15"/>
  <c r="R350" i="17" s="1"/>
  <c r="U697" i="15"/>
  <c r="W697" i="15"/>
  <c r="R697" i="17" s="1"/>
  <c r="W167" i="15"/>
  <c r="R167" i="17" s="1"/>
  <c r="U167" i="15"/>
  <c r="W568" i="15"/>
  <c r="R568" i="17" s="1"/>
  <c r="U568" i="15"/>
  <c r="W270" i="15"/>
  <c r="R270" i="17" s="1"/>
  <c r="U270" i="15"/>
  <c r="U314" i="15"/>
  <c r="W314" i="15"/>
  <c r="R314" i="17" s="1"/>
  <c r="W137" i="15"/>
  <c r="R137" i="17" s="1"/>
  <c r="U137" i="15"/>
  <c r="W389" i="15"/>
  <c r="R389" i="17" s="1"/>
  <c r="U389" i="15"/>
  <c r="W14" i="15"/>
  <c r="R14" i="17" s="1"/>
  <c r="U14" i="15"/>
  <c r="U113" i="15"/>
  <c r="W113" i="15"/>
  <c r="R113" i="17" s="1"/>
  <c r="W649" i="15"/>
  <c r="R649" i="17" s="1"/>
  <c r="U649" i="15"/>
  <c r="W188" i="15"/>
  <c r="R188" i="17" s="1"/>
  <c r="U188" i="15"/>
  <c r="W524" i="15"/>
  <c r="R524" i="17" s="1"/>
  <c r="U524" i="15"/>
  <c r="W616" i="15"/>
  <c r="R616" i="17" s="1"/>
  <c r="U616" i="15"/>
  <c r="W584" i="15"/>
  <c r="R584" i="17" s="1"/>
  <c r="U584" i="15"/>
  <c r="W540" i="15"/>
  <c r="R540" i="17" s="1"/>
  <c r="U540" i="15"/>
  <c r="U245" i="15"/>
  <c r="W245" i="15"/>
  <c r="R245" i="17" s="1"/>
  <c r="W258" i="15"/>
  <c r="R258" i="17" s="1"/>
  <c r="U258" i="15"/>
  <c r="W607" i="15"/>
  <c r="R607" i="17" s="1"/>
  <c r="U607" i="15"/>
  <c r="U437" i="15"/>
  <c r="W437" i="15"/>
  <c r="R437" i="17" s="1"/>
  <c r="U590" i="15"/>
  <c r="W590" i="15"/>
  <c r="R590" i="17" s="1"/>
  <c r="W236" i="15"/>
  <c r="R236" i="17" s="1"/>
  <c r="U236" i="15"/>
  <c r="U71" i="15"/>
  <c r="W71" i="15"/>
  <c r="R71" i="17" s="1"/>
  <c r="U469" i="15"/>
  <c r="W469" i="15"/>
  <c r="R469" i="17" s="1"/>
  <c r="W491" i="15"/>
  <c r="R491" i="17" s="1"/>
  <c r="U491" i="15"/>
  <c r="U136" i="15"/>
  <c r="W136" i="15"/>
  <c r="R136" i="17" s="1"/>
  <c r="W225" i="15"/>
  <c r="R225" i="17" s="1"/>
  <c r="U225" i="15"/>
  <c r="W382" i="15"/>
  <c r="R382" i="17" s="1"/>
  <c r="U382" i="15"/>
  <c r="W468" i="15"/>
  <c r="R468" i="17" s="1"/>
  <c r="U468" i="15"/>
  <c r="W412" i="15"/>
  <c r="R412" i="17" s="1"/>
  <c r="U412" i="15"/>
  <c r="W351" i="15"/>
  <c r="R351" i="17" s="1"/>
  <c r="U351" i="15"/>
  <c r="W739" i="15"/>
  <c r="R739" i="17" s="1"/>
  <c r="U739" i="15"/>
  <c r="W131" i="15"/>
  <c r="R131" i="17" s="1"/>
  <c r="U131" i="15"/>
  <c r="U112" i="15"/>
  <c r="W112" i="15"/>
  <c r="R112" i="17" s="1"/>
  <c r="U186" i="15"/>
  <c r="W186" i="15"/>
  <c r="R186" i="17" s="1"/>
  <c r="W619" i="15"/>
  <c r="R619" i="17" s="1"/>
  <c r="U619" i="15"/>
  <c r="U582" i="15"/>
  <c r="W582" i="15"/>
  <c r="R582" i="17" s="1"/>
  <c r="U238" i="15"/>
  <c r="W238" i="15"/>
  <c r="R238" i="17" s="1"/>
  <c r="W260" i="15"/>
  <c r="R260" i="17" s="1"/>
  <c r="U260" i="15"/>
  <c r="U611" i="15"/>
  <c r="W611" i="15"/>
  <c r="R611" i="17" s="1"/>
  <c r="U702" i="15"/>
  <c r="W702" i="15"/>
  <c r="R702" i="17" s="1"/>
  <c r="W434" i="15"/>
  <c r="R434" i="17" s="1"/>
  <c r="U434" i="15"/>
  <c r="U230" i="15"/>
  <c r="W230" i="15"/>
  <c r="R230" i="17" s="1"/>
  <c r="W164" i="15"/>
  <c r="R164" i="17" s="1"/>
  <c r="U164" i="15"/>
  <c r="U124" i="15"/>
  <c r="W124" i="15"/>
  <c r="R124" i="17" s="1"/>
  <c r="W476" i="15"/>
  <c r="R476" i="17" s="1"/>
  <c r="U476" i="15"/>
  <c r="W171" i="15"/>
  <c r="R171" i="17" s="1"/>
  <c r="U171" i="15"/>
  <c r="U535" i="15"/>
  <c r="W535" i="15"/>
  <c r="R535" i="17" s="1"/>
  <c r="W457" i="15"/>
  <c r="R457" i="17" s="1"/>
  <c r="U457" i="15"/>
  <c r="W371" i="15"/>
  <c r="R371" i="17" s="1"/>
  <c r="U371" i="15"/>
  <c r="W474" i="15"/>
  <c r="R474" i="17" s="1"/>
  <c r="U474" i="15"/>
  <c r="W489" i="15"/>
  <c r="R489" i="17" s="1"/>
  <c r="U489" i="15"/>
  <c r="U172" i="15"/>
  <c r="W172" i="15"/>
  <c r="R172" i="17" s="1"/>
  <c r="W268" i="15"/>
  <c r="R268" i="17" s="1"/>
  <c r="U268" i="15"/>
  <c r="W390" i="15"/>
  <c r="R390" i="17" s="1"/>
  <c r="U390" i="15"/>
  <c r="W519" i="15"/>
  <c r="R519" i="17" s="1"/>
  <c r="U519" i="15"/>
  <c r="W364" i="15"/>
  <c r="R364" i="17" s="1"/>
  <c r="U364" i="15"/>
  <c r="W162" i="15"/>
  <c r="R162" i="17" s="1"/>
  <c r="U162" i="15"/>
  <c r="W7" i="15"/>
  <c r="R7" i="17" s="1"/>
  <c r="U7" i="15"/>
  <c r="W220" i="15"/>
  <c r="R220" i="17" s="1"/>
  <c r="U220" i="15"/>
  <c r="W458" i="15"/>
  <c r="R458" i="17" s="1"/>
  <c r="U458" i="15"/>
  <c r="U122" i="15"/>
  <c r="W122" i="15"/>
  <c r="R122" i="17" s="1"/>
  <c r="U383" i="15"/>
  <c r="W383" i="15"/>
  <c r="R383" i="17" s="1"/>
  <c r="W368" i="15"/>
  <c r="R368" i="17" s="1"/>
  <c r="U368" i="15"/>
  <c r="U31" i="15"/>
  <c r="W31" i="15"/>
  <c r="R31" i="17" s="1"/>
  <c r="U547" i="15"/>
  <c r="W547" i="15"/>
  <c r="R547" i="17" s="1"/>
  <c r="W475" i="15"/>
  <c r="R475" i="17" s="1"/>
  <c r="U475" i="15"/>
  <c r="U406" i="15"/>
  <c r="W406" i="15"/>
  <c r="R406" i="17" s="1"/>
  <c r="W487" i="15"/>
  <c r="R487" i="17" s="1"/>
  <c r="U487" i="15"/>
  <c r="W43" i="15"/>
  <c r="R43" i="17" s="1"/>
  <c r="U43" i="15"/>
  <c r="W597" i="15"/>
  <c r="R597" i="17" s="1"/>
  <c r="U597" i="15"/>
  <c r="U354" i="15"/>
  <c r="W354" i="15"/>
  <c r="R354" i="17" s="1"/>
  <c r="W696" i="15"/>
  <c r="R696" i="17" s="1"/>
  <c r="U696" i="15"/>
  <c r="W166" i="15"/>
  <c r="R166" i="17" s="1"/>
  <c r="U166" i="15"/>
  <c r="W567" i="15"/>
  <c r="R567" i="17" s="1"/>
  <c r="U567" i="15"/>
  <c r="U741" i="15"/>
  <c r="W741" i="15"/>
  <c r="R741" i="17" s="1"/>
  <c r="W317" i="15"/>
  <c r="R317" i="17" s="1"/>
  <c r="U317" i="15"/>
  <c r="W133" i="15"/>
  <c r="R133" i="17" s="1"/>
  <c r="U133" i="15"/>
  <c r="U388" i="15"/>
  <c r="W388" i="15"/>
  <c r="R388" i="17" s="1"/>
  <c r="U560" i="15"/>
  <c r="W560" i="15"/>
  <c r="R560" i="17" s="1"/>
  <c r="W691" i="15"/>
  <c r="R691" i="17" s="1"/>
  <c r="U691" i="15"/>
  <c r="W572" i="15"/>
  <c r="R572" i="17" s="1"/>
  <c r="U572" i="15"/>
  <c r="W185" i="15"/>
  <c r="R185" i="17" s="1"/>
  <c r="U185" i="15"/>
  <c r="U520" i="15"/>
  <c r="W520" i="15"/>
  <c r="R520" i="17" s="1"/>
  <c r="W614" i="15"/>
  <c r="R614" i="17" s="1"/>
  <c r="U614" i="15"/>
  <c r="U583" i="15"/>
  <c r="W583" i="15"/>
  <c r="R583" i="17" s="1"/>
  <c r="W241" i="15"/>
  <c r="R241" i="17" s="1"/>
  <c r="U241" i="15"/>
  <c r="W262" i="15"/>
  <c r="R262" i="17" s="1"/>
  <c r="U262" i="15"/>
  <c r="U326" i="15"/>
  <c r="W326" i="15"/>
  <c r="R326" i="17" s="1"/>
  <c r="W610" i="15"/>
  <c r="R610" i="17" s="1"/>
  <c r="U610" i="15"/>
  <c r="W701" i="15"/>
  <c r="R701" i="17" s="1"/>
  <c r="U701" i="15"/>
  <c r="U435" i="15"/>
  <c r="W435" i="15"/>
  <c r="R435" i="17" s="1"/>
  <c r="W231" i="15"/>
  <c r="R231" i="17" s="1"/>
  <c r="U231" i="15"/>
  <c r="U577" i="15"/>
  <c r="W577" i="15"/>
  <c r="R577" i="17" s="1"/>
  <c r="W374" i="15"/>
  <c r="R374" i="17" s="1"/>
  <c r="U374" i="15"/>
  <c r="W488" i="15"/>
  <c r="R488" i="17" s="1"/>
  <c r="U488" i="15"/>
  <c r="U267" i="15"/>
  <c r="W267" i="15"/>
  <c r="R267" i="17" s="1"/>
  <c r="W163" i="15"/>
  <c r="R163" i="17" s="1"/>
  <c r="U163" i="15"/>
  <c r="U118" i="15"/>
  <c r="W118" i="15"/>
  <c r="R118" i="17" s="1"/>
  <c r="U465" i="15"/>
  <c r="W465" i="15"/>
  <c r="R465" i="17" s="1"/>
  <c r="W621" i="15"/>
  <c r="R621" i="17" s="1"/>
  <c r="U621" i="15"/>
  <c r="U598" i="15"/>
  <c r="W598" i="15"/>
  <c r="R598" i="17" s="1"/>
  <c r="W698" i="15"/>
  <c r="R698" i="17" s="1"/>
  <c r="U698" i="15"/>
  <c r="W563" i="15"/>
  <c r="R563" i="17" s="1"/>
  <c r="U563" i="15"/>
  <c r="W316" i="15"/>
  <c r="R316" i="17" s="1"/>
  <c r="U316" i="15"/>
  <c r="W561" i="15"/>
  <c r="R561" i="17" s="1"/>
  <c r="U561" i="15"/>
  <c r="W650" i="15"/>
  <c r="R650" i="17" s="1"/>
  <c r="U650" i="15"/>
  <c r="W576" i="15"/>
  <c r="R576" i="17" s="1"/>
  <c r="U576" i="15"/>
  <c r="W533" i="15"/>
  <c r="R533" i="17" s="1"/>
  <c r="U533" i="15"/>
  <c r="U575" i="15"/>
  <c r="W575" i="15"/>
  <c r="R575" i="17" s="1"/>
  <c r="U363" i="15"/>
  <c r="W363" i="15"/>
  <c r="R363" i="17" s="1"/>
  <c r="W536" i="15"/>
  <c r="R536" i="17" s="1"/>
  <c r="U536" i="15"/>
  <c r="W161" i="15"/>
  <c r="R161" i="17" s="1"/>
  <c r="U161" i="15"/>
  <c r="W8" i="15"/>
  <c r="R8" i="17" s="1"/>
  <c r="U8" i="15"/>
  <c r="U226" i="15"/>
  <c r="W226" i="15"/>
  <c r="R226" i="17" s="1"/>
  <c r="W26" i="15"/>
  <c r="R26" i="17" s="1"/>
  <c r="U26" i="15"/>
  <c r="W119" i="15"/>
  <c r="R119" i="17" s="1"/>
  <c r="U119" i="15"/>
  <c r="W367" i="15"/>
  <c r="R367" i="17" s="1"/>
  <c r="U367" i="15"/>
  <c r="W32" i="15"/>
  <c r="R32" i="17" s="1"/>
  <c r="U32" i="15"/>
  <c r="W548" i="15"/>
  <c r="R548" i="17" s="1"/>
  <c r="U548" i="15"/>
  <c r="W34" i="15"/>
  <c r="R34" i="17" s="1"/>
  <c r="U34" i="15"/>
  <c r="W409" i="15"/>
  <c r="R409" i="17" s="1"/>
  <c r="U409" i="15"/>
  <c r="U40" i="15"/>
  <c r="W40" i="15"/>
  <c r="R40" i="17" s="1"/>
  <c r="W41" i="15"/>
  <c r="R41" i="17" s="1"/>
  <c r="U41" i="15"/>
  <c r="W596" i="15"/>
  <c r="R596" i="17" s="1"/>
  <c r="U596" i="15"/>
  <c r="W348" i="15"/>
  <c r="R348" i="17" s="1"/>
  <c r="U348" i="15"/>
  <c r="W699" i="15"/>
  <c r="R699" i="17" s="1"/>
  <c r="U699" i="15"/>
  <c r="W168" i="15"/>
  <c r="R168" i="17" s="1"/>
  <c r="U168" i="15"/>
  <c r="U566" i="15"/>
  <c r="W566" i="15"/>
  <c r="R566" i="17" s="1"/>
  <c r="W740" i="15"/>
  <c r="R740" i="17" s="1"/>
  <c r="U740" i="15"/>
  <c r="U310" i="15"/>
  <c r="W310" i="15"/>
  <c r="R310" i="17" s="1"/>
  <c r="W134" i="15"/>
  <c r="R134" i="17" s="1"/>
  <c r="U134" i="15"/>
  <c r="W392" i="15"/>
  <c r="R392" i="17" s="1"/>
  <c r="U392" i="15"/>
  <c r="U666" i="15"/>
  <c r="W666" i="15"/>
  <c r="R666" i="17" s="1"/>
  <c r="W692" i="15"/>
  <c r="R692" i="17" s="1"/>
  <c r="U692" i="15"/>
  <c r="W570" i="15"/>
  <c r="R570" i="17" s="1"/>
  <c r="U570" i="15"/>
  <c r="U189" i="15"/>
  <c r="W189" i="15"/>
  <c r="R189" i="17" s="1"/>
  <c r="U525" i="15"/>
  <c r="W525" i="15"/>
  <c r="R525" i="17" s="1"/>
  <c r="W274" i="15"/>
  <c r="R274" i="17" s="1"/>
  <c r="U274" i="15"/>
  <c r="W617" i="15"/>
  <c r="R617" i="17" s="1"/>
  <c r="U617" i="15"/>
  <c r="W585" i="15"/>
  <c r="R585" i="17" s="1"/>
  <c r="U585" i="15"/>
  <c r="W242" i="15"/>
  <c r="R242" i="17" s="1"/>
  <c r="U242" i="15"/>
  <c r="W644" i="15"/>
  <c r="R644" i="17" s="1"/>
  <c r="U644" i="15"/>
  <c r="U259" i="15"/>
  <c r="W259" i="15"/>
  <c r="R259" i="17" s="1"/>
  <c r="U325" i="15"/>
  <c r="W325" i="15"/>
  <c r="R325" i="17" s="1"/>
  <c r="W609" i="15"/>
  <c r="R609" i="17" s="1"/>
  <c r="U609" i="15"/>
  <c r="W703" i="15"/>
  <c r="R703" i="17" s="1"/>
  <c r="U703" i="15"/>
  <c r="W436" i="15"/>
  <c r="R436" i="17" s="1"/>
  <c r="U436" i="15"/>
  <c r="U234" i="15"/>
  <c r="W234" i="15"/>
  <c r="R234" i="17" s="1"/>
  <c r="W455" i="15"/>
  <c r="R455" i="17" s="1"/>
  <c r="U455" i="15"/>
  <c r="W353" i="15"/>
  <c r="R353" i="17" s="1"/>
  <c r="U353" i="15"/>
  <c r="W391" i="15"/>
  <c r="R391" i="17" s="1"/>
  <c r="U391" i="15"/>
  <c r="W6" i="15"/>
  <c r="R6" i="17" s="1"/>
  <c r="U6" i="15"/>
  <c r="W574" i="15"/>
  <c r="R574" i="17" s="1"/>
  <c r="U574" i="15"/>
  <c r="W365" i="15"/>
  <c r="R365" i="17" s="1"/>
  <c r="U365" i="15"/>
  <c r="U157" i="15"/>
  <c r="W157" i="15"/>
  <c r="R157" i="17" s="1"/>
  <c r="U94" i="15"/>
  <c r="W94" i="15"/>
  <c r="R94" i="17" s="1"/>
  <c r="W221" i="15"/>
  <c r="R221" i="17" s="1"/>
  <c r="U221" i="15"/>
  <c r="W453" i="15"/>
  <c r="R453" i="17" s="1"/>
  <c r="U453" i="15"/>
  <c r="W120" i="15"/>
  <c r="R120" i="17" s="1"/>
  <c r="U120" i="15"/>
  <c r="U370" i="15"/>
  <c r="W370" i="15"/>
  <c r="R370" i="17" s="1"/>
  <c r="W470" i="15"/>
  <c r="R470" i="17" s="1"/>
  <c r="U470" i="15"/>
  <c r="W543" i="15"/>
  <c r="R543" i="17" s="1"/>
  <c r="U543" i="15"/>
  <c r="U477" i="15"/>
  <c r="W477" i="15"/>
  <c r="R477" i="17" s="1"/>
  <c r="U408" i="15"/>
  <c r="W408" i="15"/>
  <c r="R408" i="17" s="1"/>
  <c r="W486" i="15"/>
  <c r="R486" i="17" s="1"/>
  <c r="U486" i="15"/>
  <c r="U484" i="15"/>
  <c r="W484" i="15"/>
  <c r="R484" i="17" s="1"/>
  <c r="W599" i="15"/>
  <c r="R599" i="17" s="1"/>
  <c r="U599" i="15"/>
  <c r="W352" i="15"/>
  <c r="R352" i="17" s="1"/>
  <c r="U352" i="15"/>
  <c r="W169" i="15"/>
  <c r="R169" i="17" s="1"/>
  <c r="U169" i="15"/>
  <c r="U725" i="15"/>
  <c r="W725" i="15"/>
  <c r="R725" i="17" s="1"/>
  <c r="U565" i="15"/>
  <c r="W565" i="15"/>
  <c r="R565" i="17" s="1"/>
  <c r="W269" i="15"/>
  <c r="R269" i="17" s="1"/>
  <c r="U269" i="15"/>
  <c r="U311" i="15"/>
  <c r="W311" i="15"/>
  <c r="R311" i="17" s="1"/>
  <c r="W132" i="15"/>
  <c r="R132" i="17" s="1"/>
  <c r="U132" i="15"/>
  <c r="W386" i="15"/>
  <c r="R386" i="17" s="1"/>
  <c r="U386" i="15"/>
  <c r="U16" i="15"/>
  <c r="W16" i="15"/>
  <c r="R16" i="17" s="1"/>
  <c r="W665" i="15"/>
  <c r="R665" i="17" s="1"/>
  <c r="U665" i="15"/>
  <c r="W693" i="15"/>
  <c r="R693" i="17" s="1"/>
  <c r="U693" i="15"/>
  <c r="W571" i="15"/>
  <c r="R571" i="17" s="1"/>
  <c r="U571" i="15"/>
  <c r="W187" i="15"/>
  <c r="R187" i="17" s="1"/>
  <c r="U187" i="15"/>
  <c r="W521" i="15"/>
  <c r="R521" i="17" s="1"/>
  <c r="U521" i="15"/>
  <c r="W273" i="15"/>
  <c r="R273" i="17" s="1"/>
  <c r="U273" i="15"/>
  <c r="U615" i="15"/>
  <c r="W615" i="15"/>
  <c r="R615" i="17" s="1"/>
  <c r="W587" i="15"/>
  <c r="R587" i="17" s="1"/>
  <c r="U587" i="15"/>
  <c r="U244" i="15"/>
  <c r="W244" i="15"/>
  <c r="R244" i="17" s="1"/>
  <c r="U643" i="15"/>
  <c r="W643" i="15"/>
  <c r="R643" i="17" s="1"/>
  <c r="W257" i="15"/>
  <c r="R257" i="17" s="1"/>
  <c r="U257" i="15"/>
  <c r="W327" i="15"/>
  <c r="R327" i="17" s="1"/>
  <c r="U327" i="15"/>
  <c r="W612" i="15"/>
  <c r="R612" i="17" s="1"/>
  <c r="U612" i="15"/>
  <c r="W438" i="15"/>
  <c r="R438" i="17" s="1"/>
  <c r="U438" i="15"/>
  <c r="U235" i="15"/>
  <c r="W235" i="15"/>
  <c r="R235" i="17" s="1"/>
  <c r="U732" i="17" l="1" a="1"/>
  <c r="U732" i="17" s="1"/>
  <c r="U727" i="17" a="1"/>
  <c r="U727" i="17" s="1"/>
  <c r="U689" i="17" a="1"/>
  <c r="U689" i="17" s="1"/>
  <c r="U757" i="17" a="1"/>
  <c r="U757" i="17" s="1"/>
  <c r="U739" i="17" a="1"/>
  <c r="U739" i="17" s="1"/>
  <c r="U695" i="17" a="1"/>
  <c r="U695" i="17" s="1"/>
  <c r="U672" i="17" a="1"/>
  <c r="U672" i="17" s="1"/>
  <c r="U687" i="17" a="1"/>
  <c r="U687" i="17" s="1"/>
  <c r="U638" i="17" a="1"/>
  <c r="U638" i="17" s="1"/>
  <c r="U606" i="17" a="1"/>
  <c r="U606" i="17" s="1"/>
  <c r="U574" i="17" a="1"/>
  <c r="U574" i="17" s="1"/>
  <c r="U542" i="17" a="1"/>
  <c r="U542" i="17" s="1"/>
  <c r="U673" i="17" a="1"/>
  <c r="U673" i="17" s="1"/>
  <c r="U744" i="17" a="1"/>
  <c r="U744" i="17" s="1"/>
  <c r="U694" i="17" a="1"/>
  <c r="U694" i="17" s="1"/>
  <c r="U726" i="17" a="1"/>
  <c r="U726" i="17" s="1"/>
  <c r="U652" i="17" a="1"/>
  <c r="U652" i="17" s="1"/>
  <c r="U620" i="17" a="1"/>
  <c r="U620" i="17" s="1"/>
  <c r="U588" i="17" a="1"/>
  <c r="U588" i="17" s="1"/>
  <c r="U556" i="17" a="1"/>
  <c r="U556" i="17" s="1"/>
  <c r="U524" i="17" a="1"/>
  <c r="U524" i="17" s="1"/>
  <c r="U492" i="17" a="1"/>
  <c r="U492" i="17" s="1"/>
  <c r="U722" i="17" a="1"/>
  <c r="U722" i="17" s="1"/>
  <c r="U657" i="17" a="1"/>
  <c r="U657" i="17" s="1"/>
  <c r="U625" i="17" a="1"/>
  <c r="U625" i="17" s="1"/>
  <c r="U593" i="17" a="1"/>
  <c r="U593" i="17" s="1"/>
  <c r="U561" i="17" a="1"/>
  <c r="U561" i="17" s="1"/>
  <c r="U529" i="17" a="1"/>
  <c r="U529" i="17" s="1"/>
  <c r="U497" i="17" a="1"/>
  <c r="U497" i="17" s="1"/>
  <c r="U543" i="17" a="1"/>
  <c r="U543" i="17" s="1"/>
  <c r="U469" i="17" a="1"/>
  <c r="U469" i="17" s="1"/>
  <c r="U437" i="17" a="1"/>
  <c r="U437" i="17" s="1"/>
  <c r="U405" i="17" a="1"/>
  <c r="U405" i="17" s="1"/>
  <c r="U373" i="17" a="1"/>
  <c r="U373" i="17" s="1"/>
  <c r="U341" i="17" a="1"/>
  <c r="U341" i="17" s="1"/>
  <c r="U309" i="17" a="1"/>
  <c r="U309" i="17" s="1"/>
  <c r="U277" i="17" a="1"/>
  <c r="U277" i="17" s="1"/>
  <c r="U245" i="17" a="1"/>
  <c r="U245" i="17" s="1"/>
  <c r="U213" i="17" a="1"/>
  <c r="U213" i="17" s="1"/>
  <c r="U734" i="17" a="1"/>
  <c r="U734" i="17" s="1"/>
  <c r="U611" i="17" a="1"/>
  <c r="U611" i="17" s="1"/>
  <c r="U478" i="17" a="1"/>
  <c r="U478" i="17" s="1"/>
  <c r="U446" i="17" a="1"/>
  <c r="U446" i="17" s="1"/>
  <c r="U414" i="17" a="1"/>
  <c r="U414" i="17" s="1"/>
  <c r="U382" i="17" a="1"/>
  <c r="U382" i="17" s="1"/>
  <c r="U350" i="17" a="1"/>
  <c r="U350" i="17" s="1"/>
  <c r="U318" i="17" a="1"/>
  <c r="U318" i="17" s="1"/>
  <c r="U286" i="17" a="1"/>
  <c r="U286" i="17" s="1"/>
  <c r="U254" i="17" a="1"/>
  <c r="U254" i="17" s="1"/>
  <c r="U222" i="17" a="1"/>
  <c r="U222" i="17" s="1"/>
  <c r="U190" i="17" a="1"/>
  <c r="U190" i="17" s="1"/>
  <c r="U158" i="17" a="1"/>
  <c r="U158" i="17" s="1"/>
  <c r="U126" i="17" a="1"/>
  <c r="U126" i="17" s="1"/>
  <c r="U615" i="17" a="1"/>
  <c r="U615" i="17" s="1"/>
  <c r="U502" i="17" a="1"/>
  <c r="U502" i="17" s="1"/>
  <c r="U451" i="17" a="1"/>
  <c r="U451" i="17" s="1"/>
  <c r="U419" i="17" a="1"/>
  <c r="U419" i="17" s="1"/>
  <c r="U387" i="17" a="1"/>
  <c r="U387" i="17" s="1"/>
  <c r="U355" i="17" a="1"/>
  <c r="U355" i="17" s="1"/>
  <c r="U323" i="17" a="1"/>
  <c r="U323" i="17" s="1"/>
  <c r="U291" i="17" a="1"/>
  <c r="U291" i="17" s="1"/>
  <c r="U259" i="17" a="1"/>
  <c r="U259" i="17" s="1"/>
  <c r="U227" i="17" a="1"/>
  <c r="U227" i="17" s="1"/>
  <c r="U195" i="17" a="1"/>
  <c r="U195" i="17" s="1"/>
  <c r="U163" i="17" a="1"/>
  <c r="U163" i="17" s="1"/>
  <c r="U683" i="17" a="1"/>
  <c r="U683" i="17" s="1"/>
  <c r="U180" i="17" a="1"/>
  <c r="U180" i="17" s="1"/>
  <c r="U98" i="17" a="1"/>
  <c r="U98" i="17" s="1"/>
  <c r="U41" i="17" a="1"/>
  <c r="U41" i="17" s="1"/>
  <c r="U571" i="17" a="1"/>
  <c r="U571" i="17" s="1"/>
  <c r="U364" i="17" a="1"/>
  <c r="U364" i="17" s="1"/>
  <c r="U236" i="17" a="1"/>
  <c r="U236" i="17" s="1"/>
  <c r="U125" i="17" a="1"/>
  <c r="U125" i="17" s="1"/>
  <c r="U48" i="17" a="1"/>
  <c r="U48" i="17" s="1"/>
  <c r="U165" i="17" a="1"/>
  <c r="U165" i="17" s="1"/>
  <c r="U87" i="17" a="1"/>
  <c r="U87" i="17" s="1"/>
  <c r="U23" i="17" a="1"/>
  <c r="U23" i="17" s="1"/>
  <c r="U464" i="17" a="1"/>
  <c r="U464" i="17" s="1"/>
  <c r="U336" i="17" a="1"/>
  <c r="U336" i="17" s="1"/>
  <c r="U208" i="17" a="1"/>
  <c r="U208" i="17" s="1"/>
  <c r="U86" i="17" a="1"/>
  <c r="U86" i="17" s="1"/>
  <c r="U22" i="17" a="1"/>
  <c r="U22" i="17" s="1"/>
  <c r="U116" i="17" a="1"/>
  <c r="U116" i="17" s="1"/>
  <c r="U53" i="17" a="1"/>
  <c r="U53" i="17" s="1"/>
  <c r="U539" i="17" a="1"/>
  <c r="U539" i="17" s="1"/>
  <c r="U372" i="17" a="1"/>
  <c r="U372" i="17" s="1"/>
  <c r="U244" i="17" a="1"/>
  <c r="U244" i="17" s="1"/>
  <c r="U113" i="17" a="1"/>
  <c r="U113" i="17" s="1"/>
  <c r="U28" i="17" a="1"/>
  <c r="U28" i="17" s="1"/>
  <c r="U123" i="17" a="1"/>
  <c r="U123" i="17" s="1"/>
  <c r="U51" i="17" a="1"/>
  <c r="U51" i="17" s="1"/>
  <c r="U514" i="17" a="1"/>
  <c r="U514" i="17" s="1"/>
  <c r="U360" i="17" a="1"/>
  <c r="U360" i="17" s="1"/>
  <c r="U232" i="17" a="1"/>
  <c r="U232" i="17" s="1"/>
  <c r="U104" i="17" a="1"/>
  <c r="U104" i="17" s="1"/>
  <c r="U50" i="17" a="1"/>
  <c r="U50" i="17" s="1"/>
  <c r="U743" i="17" a="1"/>
  <c r="U743" i="17" s="1"/>
  <c r="U678" i="17" a="1"/>
  <c r="U678" i="17" s="1"/>
  <c r="U550" i="17" a="1"/>
  <c r="U550" i="17" s="1"/>
  <c r="U668" i="17" a="1"/>
  <c r="U668" i="17" s="1"/>
  <c r="U532" i="17" a="1"/>
  <c r="U532" i="17" s="1"/>
  <c r="U601" i="17" a="1"/>
  <c r="U601" i="17" s="1"/>
  <c r="U413" i="17" a="1"/>
  <c r="U413" i="17" s="1"/>
  <c r="U189" i="17" a="1"/>
  <c r="U189" i="17" s="1"/>
  <c r="U422" i="17" a="1"/>
  <c r="U422" i="17" s="1"/>
  <c r="U230" i="17" a="1"/>
  <c r="U230" i="17" s="1"/>
  <c r="U647" i="17" a="1"/>
  <c r="U647" i="17" s="1"/>
  <c r="U299" i="17" a="1"/>
  <c r="U299" i="17" s="1"/>
  <c r="U499" i="17" a="1"/>
  <c r="U499" i="17" s="1"/>
  <c r="U144" i="17" a="1"/>
  <c r="U144" i="17" s="1"/>
  <c r="U523" i="17" a="1"/>
  <c r="U523" i="17" s="1"/>
  <c r="U132" i="17" a="1"/>
  <c r="U132" i="17" s="1"/>
  <c r="U44" i="17" a="1"/>
  <c r="U44" i="17" s="1"/>
  <c r="U264" i="17" a="1"/>
  <c r="U264" i="17" s="1"/>
  <c r="U602" i="17" a="1"/>
  <c r="U602" i="17" s="1"/>
  <c r="U570" i="17" a="1"/>
  <c r="U570" i="17" s="1"/>
  <c r="U538" i="17" a="1"/>
  <c r="U538" i="17" s="1"/>
  <c r="U670" i="17" a="1"/>
  <c r="U670" i="17" s="1"/>
  <c r="U721" i="17" a="1"/>
  <c r="U721" i="17" s="1"/>
  <c r="U692" i="17" a="1"/>
  <c r="U692" i="17" s="1"/>
  <c r="U698" i="17" a="1"/>
  <c r="U698" i="17" s="1"/>
  <c r="U648" i="17" a="1"/>
  <c r="U648" i="17" s="1"/>
  <c r="U616" i="17" a="1"/>
  <c r="U616" i="17" s="1"/>
  <c r="U584" i="17" a="1"/>
  <c r="U584" i="17" s="1"/>
  <c r="U552" i="17" a="1"/>
  <c r="U552" i="17" s="1"/>
  <c r="U520" i="17" a="1"/>
  <c r="U520" i="17" s="1"/>
  <c r="U488" i="17" a="1"/>
  <c r="U488" i="17" s="1"/>
  <c r="U717" i="17" a="1"/>
  <c r="U717" i="17" s="1"/>
  <c r="U653" i="17" a="1"/>
  <c r="U653" i="17" s="1"/>
  <c r="U621" i="17" a="1"/>
  <c r="U621" i="17" s="1"/>
  <c r="U589" i="17" a="1"/>
  <c r="U589" i="17" s="1"/>
  <c r="U557" i="17" a="1"/>
  <c r="U557" i="17" s="1"/>
  <c r="U525" i="17" a="1"/>
  <c r="U525" i="17" s="1"/>
  <c r="U655" i="17" a="1"/>
  <c r="U655" i="17" s="1"/>
  <c r="U527" i="17" a="1"/>
  <c r="U527" i="17" s="1"/>
  <c r="U465" i="17" a="1"/>
  <c r="U465" i="17" s="1"/>
  <c r="U433" i="17" a="1"/>
  <c r="U433" i="17" s="1"/>
  <c r="U401" i="17" a="1"/>
  <c r="U401" i="17" s="1"/>
  <c r="U369" i="17" a="1"/>
  <c r="U369" i="17" s="1"/>
  <c r="U337" i="17" a="1"/>
  <c r="U337" i="17" s="1"/>
  <c r="U305" i="17" a="1"/>
  <c r="U305" i="17" s="1"/>
  <c r="U273" i="17" a="1"/>
  <c r="U273" i="17" s="1"/>
  <c r="U241" i="17" a="1"/>
  <c r="U241" i="17" s="1"/>
  <c r="U209" i="17" a="1"/>
  <c r="U209" i="17" s="1"/>
  <c r="U680" i="17" a="1"/>
  <c r="U680" i="17" s="1"/>
  <c r="U595" i="17" a="1"/>
  <c r="U595" i="17" s="1"/>
  <c r="U474" i="17" a="1"/>
  <c r="U474" i="17" s="1"/>
  <c r="U442" i="17" a="1"/>
  <c r="U442" i="17" s="1"/>
  <c r="U410" i="17" a="1"/>
  <c r="U410" i="17" s="1"/>
  <c r="U378" i="17" a="1"/>
  <c r="U378" i="17" s="1"/>
  <c r="U346" i="17" a="1"/>
  <c r="U346" i="17" s="1"/>
  <c r="U314" i="17" a="1"/>
  <c r="U314" i="17" s="1"/>
  <c r="U282" i="17" a="1"/>
  <c r="U282" i="17" s="1"/>
  <c r="U250" i="17" a="1"/>
  <c r="U250" i="17" s="1"/>
  <c r="U218" i="17" a="1"/>
  <c r="U218" i="17" s="1"/>
  <c r="U186" i="17" a="1"/>
  <c r="U186" i="17" s="1"/>
  <c r="U154" i="17" a="1"/>
  <c r="U154" i="17" s="1"/>
  <c r="U122" i="17" a="1"/>
  <c r="U122" i="17" s="1"/>
  <c r="U599" i="17" a="1"/>
  <c r="U599" i="17" s="1"/>
  <c r="U479" i="17" a="1"/>
  <c r="U479" i="17" s="1"/>
  <c r="U447" i="17" a="1"/>
  <c r="U447" i="17" s="1"/>
  <c r="U415" i="17" a="1"/>
  <c r="U415" i="17" s="1"/>
  <c r="U383" i="17" a="1"/>
  <c r="U383" i="17" s="1"/>
  <c r="U351" i="17" a="1"/>
  <c r="U351" i="17" s="1"/>
  <c r="U319" i="17" a="1"/>
  <c r="U319" i="17" s="1"/>
  <c r="U287" i="17" a="1"/>
  <c r="U287" i="17" s="1"/>
  <c r="U255" i="17" a="1"/>
  <c r="U255" i="17" s="1"/>
  <c r="U223" i="17" a="1"/>
  <c r="U223" i="17" s="1"/>
  <c r="U191" i="17" a="1"/>
  <c r="U191" i="17" s="1"/>
  <c r="U159" i="17" a="1"/>
  <c r="U159" i="17" s="1"/>
  <c r="U510" i="17" a="1"/>
  <c r="U510" i="17" s="1"/>
  <c r="U173" i="17" a="1"/>
  <c r="U173" i="17" s="1"/>
  <c r="U93" i="17" a="1"/>
  <c r="U93" i="17" s="1"/>
  <c r="U33" i="17" a="1"/>
  <c r="U33" i="17" s="1"/>
  <c r="U476" i="17" a="1"/>
  <c r="U476" i="17" s="1"/>
  <c r="U348" i="17" a="1"/>
  <c r="U348" i="17" s="1"/>
  <c r="U220" i="17" a="1"/>
  <c r="U220" i="17" s="1"/>
  <c r="U117" i="17" a="1"/>
  <c r="U117" i="17" s="1"/>
  <c r="U40" i="17" a="1"/>
  <c r="U40" i="17" s="1"/>
  <c r="U140" i="17" a="1"/>
  <c r="U140" i="17" s="1"/>
  <c r="U79" i="17" a="1"/>
  <c r="U79" i="17" s="1"/>
  <c r="U15" i="17" a="1"/>
  <c r="U15" i="17" s="1"/>
  <c r="U448" i="17" a="1"/>
  <c r="U448" i="17" s="1"/>
  <c r="U320" i="17" a="1"/>
  <c r="U320" i="17" s="1"/>
  <c r="U192" i="17" a="1"/>
  <c r="U192" i="17" s="1"/>
  <c r="U78" i="17" a="1"/>
  <c r="U78" i="17" s="1"/>
  <c r="U14" i="17" a="1"/>
  <c r="U14" i="17" s="1"/>
  <c r="U111" i="17" a="1"/>
  <c r="U111" i="17" s="1"/>
  <c r="U45" i="17" a="1"/>
  <c r="U45" i="17" s="1"/>
  <c r="U494" i="17" a="1"/>
  <c r="U494" i="17" s="1"/>
  <c r="U356" i="17" a="1"/>
  <c r="U356" i="17" s="1"/>
  <c r="U228" i="17" a="1"/>
  <c r="U228" i="17" s="1"/>
  <c r="U84" i="17" a="1"/>
  <c r="U84" i="17" s="1"/>
  <c r="U20" i="17" a="1"/>
  <c r="U20" i="17" s="1"/>
  <c r="U115" i="17" a="1"/>
  <c r="U115" i="17" s="1"/>
  <c r="U43" i="17" a="1"/>
  <c r="U43" i="17" s="1"/>
  <c r="U472" i="17" a="1"/>
  <c r="U472" i="17" s="1"/>
  <c r="U344" i="17" a="1"/>
  <c r="U344" i="17" s="1"/>
  <c r="U216" i="17" a="1"/>
  <c r="U216" i="17" s="1"/>
  <c r="U100" i="17" a="1"/>
  <c r="U100" i="17" s="1"/>
  <c r="U42" i="17" a="1"/>
  <c r="U42" i="17" s="1"/>
  <c r="U774" i="17" a="1"/>
  <c r="U774" i="17" s="1"/>
  <c r="U716" i="17" a="1"/>
  <c r="U716" i="17" s="1"/>
  <c r="U713" i="17" a="1"/>
  <c r="U713" i="17" s="1"/>
  <c r="U762" i="17" a="1"/>
  <c r="U762" i="17" s="1"/>
  <c r="U741" i="17" a="1"/>
  <c r="U741" i="17" s="1"/>
  <c r="U723" i="17" a="1"/>
  <c r="U723" i="17" s="1"/>
  <c r="U729" i="17" a="1"/>
  <c r="U729" i="17" s="1"/>
  <c r="U761" i="17" a="1"/>
  <c r="U761" i="17" s="1"/>
  <c r="U661" i="17" a="1"/>
  <c r="U661" i="17" s="1"/>
  <c r="U630" i="17" a="1"/>
  <c r="U630" i="17" s="1"/>
  <c r="U598" i="17" a="1"/>
  <c r="U598" i="17" s="1"/>
  <c r="U566" i="17" a="1"/>
  <c r="U566" i="17" s="1"/>
  <c r="U534" i="17" a="1"/>
  <c r="U534" i="17" s="1"/>
  <c r="U667" i="17" a="1"/>
  <c r="U667" i="17" s="1"/>
  <c r="U690" i="17" a="1"/>
  <c r="U690" i="17" s="1"/>
  <c r="U688" i="17" a="1"/>
  <c r="U688" i="17" s="1"/>
  <c r="U696" i="17" a="1"/>
  <c r="U696" i="17" s="1"/>
  <c r="U644" i="17" a="1"/>
  <c r="U644" i="17" s="1"/>
  <c r="U612" i="17" a="1"/>
  <c r="U612" i="17" s="1"/>
  <c r="U580" i="17" a="1"/>
  <c r="U580" i="17" s="1"/>
  <c r="U548" i="17" a="1"/>
  <c r="U548" i="17" s="1"/>
  <c r="U516" i="17" a="1"/>
  <c r="U516" i="17" s="1"/>
  <c r="U484" i="17" a="1"/>
  <c r="U484" i="17" s="1"/>
  <c r="U706" i="17" a="1"/>
  <c r="U706" i="17" s="1"/>
  <c r="U649" i="17" a="1"/>
  <c r="U649" i="17" s="1"/>
  <c r="U617" i="17" a="1"/>
  <c r="U617" i="17" s="1"/>
  <c r="U585" i="17" a="1"/>
  <c r="U585" i="17" s="1"/>
  <c r="U553" i="17" a="1"/>
  <c r="U553" i="17" s="1"/>
  <c r="U521" i="17" a="1"/>
  <c r="U521" i="17" s="1"/>
  <c r="U639" i="17" a="1"/>
  <c r="U639" i="17" s="1"/>
  <c r="U506" i="17" a="1"/>
  <c r="U506" i="17" s="1"/>
  <c r="U461" i="17" a="1"/>
  <c r="U461" i="17" s="1"/>
  <c r="U429" i="17" a="1"/>
  <c r="U429" i="17" s="1"/>
  <c r="U397" i="17" a="1"/>
  <c r="U397" i="17" s="1"/>
  <c r="U365" i="17" a="1"/>
  <c r="U365" i="17" s="1"/>
  <c r="U333" i="17" a="1"/>
  <c r="U333" i="17" s="1"/>
  <c r="U301" i="17" a="1"/>
  <c r="U301" i="17" s="1"/>
  <c r="U269" i="17" a="1"/>
  <c r="U269" i="17" s="1"/>
  <c r="U237" i="17" a="1"/>
  <c r="U237" i="17" s="1"/>
  <c r="U205" i="17" a="1"/>
  <c r="U205" i="17" s="1"/>
  <c r="U503" i="17" a="1"/>
  <c r="U503" i="17" s="1"/>
  <c r="U579" i="17" a="1"/>
  <c r="U579" i="17" s="1"/>
  <c r="U470" i="17" a="1"/>
  <c r="U470" i="17" s="1"/>
  <c r="U438" i="17" a="1"/>
  <c r="U438" i="17" s="1"/>
  <c r="U406" i="17" a="1"/>
  <c r="U406" i="17" s="1"/>
  <c r="U374" i="17" a="1"/>
  <c r="U374" i="17" s="1"/>
  <c r="U342" i="17" a="1"/>
  <c r="U342" i="17" s="1"/>
  <c r="U310" i="17" a="1"/>
  <c r="U310" i="17" s="1"/>
  <c r="U278" i="17" a="1"/>
  <c r="U278" i="17" s="1"/>
  <c r="U246" i="17" a="1"/>
  <c r="U246" i="17" s="1"/>
  <c r="U214" i="17" a="1"/>
  <c r="U214" i="17" s="1"/>
  <c r="U182" i="17" a="1"/>
  <c r="U182" i="17" s="1"/>
  <c r="U150" i="17" a="1"/>
  <c r="U150" i="17" s="1"/>
  <c r="U118" i="17" a="1"/>
  <c r="U118" i="17" s="1"/>
  <c r="U583" i="17" a="1"/>
  <c r="U583" i="17" s="1"/>
  <c r="U475" i="17" a="1"/>
  <c r="U475" i="17" s="1"/>
  <c r="U443" i="17" a="1"/>
  <c r="U443" i="17" s="1"/>
  <c r="U411" i="17" a="1"/>
  <c r="U411" i="17" s="1"/>
  <c r="U379" i="17" a="1"/>
  <c r="U379" i="17" s="1"/>
  <c r="U347" i="17" a="1"/>
  <c r="U347" i="17" s="1"/>
  <c r="U315" i="17" a="1"/>
  <c r="U315" i="17" s="1"/>
  <c r="U283" i="17" a="1"/>
  <c r="U283" i="17" s="1"/>
  <c r="U251" i="17" a="1"/>
  <c r="U251" i="17" s="1"/>
  <c r="U219" i="17" a="1"/>
  <c r="U219" i="17" s="1"/>
  <c r="U187" i="17" a="1"/>
  <c r="U187" i="17" s="1"/>
  <c r="U155" i="17" a="1"/>
  <c r="U155" i="17" s="1"/>
  <c r="U482" i="17" a="1"/>
  <c r="U482" i="17" s="1"/>
  <c r="U148" i="17" a="1"/>
  <c r="U148" i="17" s="1"/>
  <c r="U89" i="17" a="1"/>
  <c r="U89" i="17" s="1"/>
  <c r="U25" i="17" a="1"/>
  <c r="U25" i="17" s="1"/>
  <c r="U460" i="17" a="1"/>
  <c r="U460" i="17" s="1"/>
  <c r="U332" i="17" a="1"/>
  <c r="U332" i="17" s="1"/>
  <c r="U204" i="17" a="1"/>
  <c r="U204" i="17" s="1"/>
  <c r="U112" i="17" a="1"/>
  <c r="U112" i="17" s="1"/>
  <c r="U32" i="17" a="1"/>
  <c r="U32" i="17" s="1"/>
  <c r="U133" i="17" a="1"/>
  <c r="U133" i="17" s="1"/>
  <c r="U71" i="17" a="1"/>
  <c r="U71" i="17" s="1"/>
  <c r="U7" i="17" a="1"/>
  <c r="U7" i="17" s="1"/>
  <c r="U432" i="17" a="1"/>
  <c r="U432" i="17" s="1"/>
  <c r="U304" i="17" a="1"/>
  <c r="U304" i="17" s="1"/>
  <c r="U168" i="17" a="1"/>
  <c r="U168" i="17" s="1"/>
  <c r="U70" i="17" a="1"/>
  <c r="U70" i="17" s="1"/>
  <c r="U6" i="17" a="1"/>
  <c r="U6" i="17" s="1"/>
  <c r="U109" i="17" a="1"/>
  <c r="U109" i="17" s="1"/>
  <c r="U37" i="17" a="1"/>
  <c r="U37" i="17" s="1"/>
  <c r="U468" i="17" a="1"/>
  <c r="U468" i="17" s="1"/>
  <c r="U340" i="17" a="1"/>
  <c r="U340" i="17" s="1"/>
  <c r="U212" i="17" a="1"/>
  <c r="U212" i="17" s="1"/>
  <c r="U76" i="17" a="1"/>
  <c r="U76" i="17" s="1"/>
  <c r="U12" i="17" a="1"/>
  <c r="U12" i="17" s="1"/>
  <c r="U102" i="17" a="1"/>
  <c r="U102" i="17" s="1"/>
  <c r="U35" i="17" a="1"/>
  <c r="U35" i="17" s="1"/>
  <c r="U456" i="17" a="1"/>
  <c r="U456" i="17" s="1"/>
  <c r="U328" i="17" a="1"/>
  <c r="U328" i="17" s="1"/>
  <c r="U200" i="17" a="1"/>
  <c r="U200" i="17" s="1"/>
  <c r="U96" i="17" a="1"/>
  <c r="U96" i="17" s="1"/>
  <c r="U34" i="17" a="1"/>
  <c r="U34" i="17" s="1"/>
  <c r="U730" i="17" a="1"/>
  <c r="U730" i="17" s="1"/>
  <c r="U714" i="17" a="1"/>
  <c r="U714" i="17" s="1"/>
  <c r="U582" i="17" a="1"/>
  <c r="U582" i="17" s="1"/>
  <c r="U676" i="17" a="1"/>
  <c r="U676" i="17" s="1"/>
  <c r="U596" i="17" a="1"/>
  <c r="U596" i="17" s="1"/>
  <c r="U752" i="17" a="1"/>
  <c r="U752" i="17" s="1"/>
  <c r="U633" i="17" a="1"/>
  <c r="U633" i="17" s="1"/>
  <c r="U505" i="17" a="1"/>
  <c r="U505" i="17" s="1"/>
  <c r="U445" i="17" a="1"/>
  <c r="U445" i="17" s="1"/>
  <c r="U317" i="17" a="1"/>
  <c r="U317" i="17" s="1"/>
  <c r="U253" i="17" a="1"/>
  <c r="U253" i="17" s="1"/>
  <c r="U495" i="17" a="1"/>
  <c r="U495" i="17" s="1"/>
  <c r="U358" i="17" a="1"/>
  <c r="U358" i="17" s="1"/>
  <c r="U262" i="17" a="1"/>
  <c r="U262" i="17" s="1"/>
  <c r="U166" i="17" a="1"/>
  <c r="U166" i="17" s="1"/>
  <c r="U459" i="17" a="1"/>
  <c r="U459" i="17" s="1"/>
  <c r="U331" i="17" a="1"/>
  <c r="U331" i="17" s="1"/>
  <c r="U235" i="17" a="1"/>
  <c r="U235" i="17" s="1"/>
  <c r="U139" i="17" a="1"/>
  <c r="U139" i="17" s="1"/>
  <c r="U700" i="17" a="1"/>
  <c r="U700" i="17" s="1"/>
  <c r="U64" i="17" a="1"/>
  <c r="U64" i="17" s="1"/>
  <c r="U39" i="17" a="1"/>
  <c r="U39" i="17" s="1"/>
  <c r="U105" i="17" a="1"/>
  <c r="U105" i="17" s="1"/>
  <c r="U404" i="17" a="1"/>
  <c r="U404" i="17" s="1"/>
  <c r="U619" i="17" a="1"/>
  <c r="U619" i="17" s="1"/>
  <c r="U770" i="17" a="1"/>
  <c r="U770" i="17" s="1"/>
  <c r="U767" i="17" a="1"/>
  <c r="U767" i="17" s="1"/>
  <c r="U709" i="17" a="1"/>
  <c r="U709" i="17" s="1"/>
  <c r="U754" i="17" a="1"/>
  <c r="U754" i="17" s="1"/>
  <c r="U733" i="17" a="1"/>
  <c r="U733" i="17" s="1"/>
  <c r="U715" i="17" a="1"/>
  <c r="U715" i="17" s="1"/>
  <c r="U710" i="17" a="1"/>
  <c r="U710" i="17" s="1"/>
  <c r="U745" i="17" a="1"/>
  <c r="U745" i="17" s="1"/>
  <c r="U658" i="17" a="1"/>
  <c r="U658" i="17" s="1"/>
  <c r="U626" i="17" a="1"/>
  <c r="U626" i="17" s="1"/>
  <c r="U594" i="17" a="1"/>
  <c r="U594" i="17" s="1"/>
  <c r="U562" i="17" a="1"/>
  <c r="U562" i="17" s="1"/>
  <c r="U530" i="17" a="1"/>
  <c r="U530" i="17" s="1"/>
  <c r="U664" i="17" a="1"/>
  <c r="U664" i="17" s="1"/>
  <c r="U685" i="17" a="1"/>
  <c r="U685" i="17" s="1"/>
  <c r="U665" i="17" a="1"/>
  <c r="U665" i="17" s="1"/>
  <c r="U677" i="17" a="1"/>
  <c r="U677" i="17" s="1"/>
  <c r="U640" i="17" a="1"/>
  <c r="U640" i="17" s="1"/>
  <c r="U608" i="17" a="1"/>
  <c r="U608" i="17" s="1"/>
  <c r="U576" i="17" a="1"/>
  <c r="U576" i="17" s="1"/>
  <c r="U544" i="17" a="1"/>
  <c r="U544" i="17" s="1"/>
  <c r="U512" i="17" a="1"/>
  <c r="U512" i="17" s="1"/>
  <c r="U480" i="17" a="1"/>
  <c r="U480" i="17" s="1"/>
  <c r="U704" i="17" a="1"/>
  <c r="U704" i="17" s="1"/>
  <c r="U645" i="17" a="1"/>
  <c r="U645" i="17" s="1"/>
  <c r="U613" i="17" a="1"/>
  <c r="U613" i="17" s="1"/>
  <c r="U581" i="17" a="1"/>
  <c r="U581" i="17" s="1"/>
  <c r="U549" i="17" a="1"/>
  <c r="U549" i="17" s="1"/>
  <c r="U517" i="17" a="1"/>
  <c r="U517" i="17" s="1"/>
  <c r="U623" i="17" a="1"/>
  <c r="U623" i="17" s="1"/>
  <c r="U498" i="17" a="1"/>
  <c r="U498" i="17" s="1"/>
  <c r="U457" i="17" a="1"/>
  <c r="U457" i="17" s="1"/>
  <c r="U425" i="17" a="1"/>
  <c r="U425" i="17" s="1"/>
  <c r="U393" i="17" a="1"/>
  <c r="U393" i="17" s="1"/>
  <c r="U361" i="17" a="1"/>
  <c r="U361" i="17" s="1"/>
  <c r="U329" i="17" a="1"/>
  <c r="U329" i="17" s="1"/>
  <c r="U297" i="17" a="1"/>
  <c r="U297" i="17" s="1"/>
  <c r="U265" i="17" a="1"/>
  <c r="U265" i="17" s="1"/>
  <c r="U233" i="17" a="1"/>
  <c r="U233" i="17" s="1"/>
  <c r="U201" i="17" a="1"/>
  <c r="U201" i="17" s="1"/>
  <c r="U493" i="17" a="1"/>
  <c r="U493" i="17" s="1"/>
  <c r="U563" i="17" a="1"/>
  <c r="U563" i="17" s="1"/>
  <c r="U466" i="17" a="1"/>
  <c r="U466" i="17" s="1"/>
  <c r="U434" i="17" a="1"/>
  <c r="U434" i="17" s="1"/>
  <c r="U402" i="17" a="1"/>
  <c r="U402" i="17" s="1"/>
  <c r="U370" i="17" a="1"/>
  <c r="U370" i="17" s="1"/>
  <c r="U338" i="17" a="1"/>
  <c r="U338" i="17" s="1"/>
  <c r="U306" i="17" a="1"/>
  <c r="U306" i="17" s="1"/>
  <c r="U274" i="17" a="1"/>
  <c r="U274" i="17" s="1"/>
  <c r="U242" i="17" a="1"/>
  <c r="U242" i="17" s="1"/>
  <c r="U210" i="17" a="1"/>
  <c r="U210" i="17" s="1"/>
  <c r="U178" i="17" a="1"/>
  <c r="U178" i="17" s="1"/>
  <c r="U146" i="17" a="1"/>
  <c r="U146" i="17" s="1"/>
  <c r="U114" i="17" a="1"/>
  <c r="U114" i="17" s="1"/>
  <c r="U567" i="17" a="1"/>
  <c r="U567" i="17" s="1"/>
  <c r="U471" i="17" a="1"/>
  <c r="U471" i="17" s="1"/>
  <c r="U439" i="17" a="1"/>
  <c r="U439" i="17" s="1"/>
  <c r="U407" i="17" a="1"/>
  <c r="U407" i="17" s="1"/>
  <c r="U375" i="17" a="1"/>
  <c r="U375" i="17" s="1"/>
  <c r="U343" i="17" a="1"/>
  <c r="U343" i="17" s="1"/>
  <c r="U311" i="17" a="1"/>
  <c r="U311" i="17" s="1"/>
  <c r="U279" i="17" a="1"/>
  <c r="U279" i="17" s="1"/>
  <c r="U247" i="17" a="1"/>
  <c r="U247" i="17" s="1"/>
  <c r="U215" i="17" a="1"/>
  <c r="U215" i="17" s="1"/>
  <c r="U183" i="17" a="1"/>
  <c r="U183" i="17" s="1"/>
  <c r="U151" i="17" a="1"/>
  <c r="U151" i="17" s="1"/>
  <c r="U97" i="17" a="1"/>
  <c r="U97" i="17" s="1"/>
  <c r="U141" i="17" a="1"/>
  <c r="U141" i="17" s="1"/>
  <c r="U81" i="17" a="1"/>
  <c r="U81" i="17" s="1"/>
  <c r="U17" i="17" a="1"/>
  <c r="U17" i="17" s="1"/>
  <c r="U444" i="17" a="1"/>
  <c r="U444" i="17" s="1"/>
  <c r="U316" i="17" a="1"/>
  <c r="U316" i="17" s="1"/>
  <c r="U188" i="17" a="1"/>
  <c r="U188" i="17" s="1"/>
  <c r="U88" i="17" a="1"/>
  <c r="U88" i="17" s="1"/>
  <c r="U24" i="17" a="1"/>
  <c r="U24" i="17" s="1"/>
  <c r="U127" i="17" a="1"/>
  <c r="U127" i="17" s="1"/>
  <c r="U63" i="17" a="1"/>
  <c r="U63" i="17" s="1"/>
  <c r="U4" i="17" a="1"/>
  <c r="U4" i="17" s="1"/>
  <c r="U416" i="17" a="1"/>
  <c r="U416" i="17" s="1"/>
  <c r="U288" i="17" a="1"/>
  <c r="U288" i="17" s="1"/>
  <c r="U161" i="17" a="1"/>
  <c r="U161" i="17" s="1"/>
  <c r="U62" i="17" a="1"/>
  <c r="U62" i="17" s="1"/>
  <c r="U486" i="17" a="1"/>
  <c r="U486" i="17" s="1"/>
  <c r="U95" i="17" a="1"/>
  <c r="U95" i="17" s="1"/>
  <c r="U29" i="17" a="1"/>
  <c r="U29" i="17" s="1"/>
  <c r="U452" i="17" a="1"/>
  <c r="U452" i="17" s="1"/>
  <c r="U324" i="17" a="1"/>
  <c r="U324" i="17" s="1"/>
  <c r="U196" i="17" a="1"/>
  <c r="U196" i="17" s="1"/>
  <c r="U68" i="17" a="1"/>
  <c r="U68" i="17" s="1"/>
  <c r="U720" i="17" a="1"/>
  <c r="U720" i="17" s="1"/>
  <c r="U91" i="17" a="1"/>
  <c r="U91" i="17" s="1"/>
  <c r="U27" i="17" a="1"/>
  <c r="U27" i="17" s="1"/>
  <c r="U440" i="17" a="1"/>
  <c r="U440" i="17" s="1"/>
  <c r="U312" i="17" a="1"/>
  <c r="U312" i="17" s="1"/>
  <c r="U184" i="17" a="1"/>
  <c r="U184" i="17" s="1"/>
  <c r="U90" i="17" a="1"/>
  <c r="U90" i="17" s="1"/>
  <c r="U26" i="17" a="1"/>
  <c r="U26" i="17" s="1"/>
  <c r="U748" i="17" a="1"/>
  <c r="U748" i="17" s="1"/>
  <c r="U703" i="17" a="1"/>
  <c r="U703" i="17" s="1"/>
  <c r="U614" i="17" a="1"/>
  <c r="U614" i="17" s="1"/>
  <c r="U760" i="17" a="1"/>
  <c r="U760" i="17" s="1"/>
  <c r="U628" i="17" a="1"/>
  <c r="U628" i="17" s="1"/>
  <c r="U500" i="17" a="1"/>
  <c r="U500" i="17" s="1"/>
  <c r="U537" i="17" a="1"/>
  <c r="U537" i="17" s="1"/>
  <c r="U381" i="17" a="1"/>
  <c r="U381" i="17" s="1"/>
  <c r="U221" i="17" a="1"/>
  <c r="U221" i="17" s="1"/>
  <c r="U454" i="17" a="1"/>
  <c r="U454" i="17" s="1"/>
  <c r="U326" i="17" a="1"/>
  <c r="U326" i="17" s="1"/>
  <c r="U134" i="17" a="1"/>
  <c r="U134" i="17" s="1"/>
  <c r="U363" i="17" a="1"/>
  <c r="U363" i="17" s="1"/>
  <c r="U203" i="17" a="1"/>
  <c r="U203" i="17" s="1"/>
  <c r="U396" i="17" a="1"/>
  <c r="U396" i="17" s="1"/>
  <c r="U101" i="17" a="1"/>
  <c r="U101" i="17" s="1"/>
  <c r="U240" i="17" a="1"/>
  <c r="U240" i="17" s="1"/>
  <c r="U5" i="17" a="1"/>
  <c r="U5" i="17" s="1"/>
  <c r="U67" i="17" a="1"/>
  <c r="U67" i="17" s="1"/>
  <c r="U764" i="17" a="1"/>
  <c r="U764" i="17" s="1"/>
  <c r="U759" i="17" a="1"/>
  <c r="U759" i="17" s="1"/>
  <c r="U705" i="17" a="1"/>
  <c r="U705" i="17" s="1"/>
  <c r="U746" i="17" a="1"/>
  <c r="U746" i="17" s="1"/>
  <c r="U725" i="17" a="1"/>
  <c r="U725" i="17" s="1"/>
  <c r="U711" i="17" a="1"/>
  <c r="U711" i="17" s="1"/>
  <c r="U708" i="17" a="1"/>
  <c r="U708" i="17" s="1"/>
  <c r="U737" i="17" a="1"/>
  <c r="U737" i="17" s="1"/>
  <c r="U654" i="17" a="1"/>
  <c r="U654" i="17" s="1"/>
  <c r="U622" i="17" a="1"/>
  <c r="U622" i="17" s="1"/>
  <c r="U590" i="17" a="1"/>
  <c r="U590" i="17" s="1"/>
  <c r="U558" i="17" a="1"/>
  <c r="U558" i="17" s="1"/>
  <c r="U526" i="17" a="1"/>
  <c r="U526" i="17" s="1"/>
  <c r="U769" i="17" a="1"/>
  <c r="U769" i="17" s="1"/>
  <c r="U682" i="17" a="1"/>
  <c r="U682" i="17" s="1"/>
  <c r="U662" i="17" a="1"/>
  <c r="U662" i="17" s="1"/>
  <c r="U674" i="17" a="1"/>
  <c r="U674" i="17" s="1"/>
  <c r="U636" i="17" a="1"/>
  <c r="U636" i="17" s="1"/>
  <c r="U604" i="17" a="1"/>
  <c r="U604" i="17" s="1"/>
  <c r="U572" i="17" a="1"/>
  <c r="U572" i="17" s="1"/>
  <c r="U540" i="17" a="1"/>
  <c r="U540" i="17" s="1"/>
  <c r="U508" i="17" a="1"/>
  <c r="U508" i="17" s="1"/>
  <c r="U768" i="17" a="1"/>
  <c r="U768" i="17" s="1"/>
  <c r="U669" i="17" a="1"/>
  <c r="U669" i="17" s="1"/>
  <c r="U641" i="17" a="1"/>
  <c r="U641" i="17" s="1"/>
  <c r="U609" i="17" a="1"/>
  <c r="U609" i="17" s="1"/>
  <c r="U577" i="17" a="1"/>
  <c r="U577" i="17" s="1"/>
  <c r="U545" i="17" a="1"/>
  <c r="U545" i="17" s="1"/>
  <c r="U513" i="17" a="1"/>
  <c r="U513" i="17" s="1"/>
  <c r="U607" i="17" a="1"/>
  <c r="U607" i="17" s="1"/>
  <c r="U489" i="17" a="1"/>
  <c r="U489" i="17" s="1"/>
  <c r="U453" i="17" a="1"/>
  <c r="U453" i="17" s="1"/>
  <c r="U421" i="17" a="1"/>
  <c r="U421" i="17" s="1"/>
  <c r="U389" i="17" a="1"/>
  <c r="U389" i="17" s="1"/>
  <c r="U357" i="17" a="1"/>
  <c r="U357" i="17" s="1"/>
  <c r="U325" i="17" a="1"/>
  <c r="U325" i="17" s="1"/>
  <c r="U293" i="17" a="1"/>
  <c r="U293" i="17" s="1"/>
  <c r="U261" i="17" a="1"/>
  <c r="U261" i="17" s="1"/>
  <c r="U229" i="17" a="1"/>
  <c r="U229" i="17" s="1"/>
  <c r="U197" i="17" a="1"/>
  <c r="U197" i="17" s="1"/>
  <c r="U491" i="17" a="1"/>
  <c r="U491" i="17" s="1"/>
  <c r="U547" i="17" a="1"/>
  <c r="U547" i="17" s="1"/>
  <c r="U462" i="17" a="1"/>
  <c r="U462" i="17" s="1"/>
  <c r="U430" i="17" a="1"/>
  <c r="U430" i="17" s="1"/>
  <c r="U398" i="17" a="1"/>
  <c r="U398" i="17" s="1"/>
  <c r="U366" i="17" a="1"/>
  <c r="U366" i="17" s="1"/>
  <c r="U334" i="17" a="1"/>
  <c r="U334" i="17" s="1"/>
  <c r="U302" i="17" a="1"/>
  <c r="U302" i="17" s="1"/>
  <c r="U270" i="17" a="1"/>
  <c r="U270" i="17" s="1"/>
  <c r="U238" i="17" a="1"/>
  <c r="U238" i="17" s="1"/>
  <c r="U206" i="17" a="1"/>
  <c r="U206" i="17" s="1"/>
  <c r="U174" i="17" a="1"/>
  <c r="U174" i="17" s="1"/>
  <c r="U142" i="17" a="1"/>
  <c r="U142" i="17" s="1"/>
  <c r="U481" i="17" a="1"/>
  <c r="U481" i="17" s="1"/>
  <c r="U551" i="17" a="1"/>
  <c r="U551" i="17" s="1"/>
  <c r="U467" i="17" a="1"/>
  <c r="U467" i="17" s="1"/>
  <c r="U435" i="17" a="1"/>
  <c r="U435" i="17" s="1"/>
  <c r="U403" i="17" a="1"/>
  <c r="U403" i="17" s="1"/>
  <c r="U371" i="17" a="1"/>
  <c r="U371" i="17" s="1"/>
  <c r="U339" i="17" a="1"/>
  <c r="U339" i="17" s="1"/>
  <c r="U307" i="17" a="1"/>
  <c r="U307" i="17" s="1"/>
  <c r="U275" i="17" a="1"/>
  <c r="U275" i="17" s="1"/>
  <c r="U243" i="17" a="1"/>
  <c r="U243" i="17" s="1"/>
  <c r="U211" i="17" a="1"/>
  <c r="U211" i="17" s="1"/>
  <c r="U179" i="17" a="1"/>
  <c r="U179" i="17" s="1"/>
  <c r="U147" i="17" a="1"/>
  <c r="U147" i="17" s="1"/>
  <c r="U702" i="17" a="1"/>
  <c r="U702" i="17" s="1"/>
  <c r="U128" i="17" a="1"/>
  <c r="U128" i="17" s="1"/>
  <c r="U73" i="17" a="1"/>
  <c r="U73" i="17" s="1"/>
  <c r="U9" i="17" a="1"/>
  <c r="U9" i="17" s="1"/>
  <c r="U428" i="17" a="1"/>
  <c r="U428" i="17" s="1"/>
  <c r="U300" i="17" a="1"/>
  <c r="U300" i="17" s="1"/>
  <c r="U176" i="17" a="1"/>
  <c r="U176" i="17" s="1"/>
  <c r="U80" i="17" a="1"/>
  <c r="U80" i="17" s="1"/>
  <c r="U16" i="17" a="1"/>
  <c r="U16" i="17" s="1"/>
  <c r="U119" i="17" a="1"/>
  <c r="U119" i="17" s="1"/>
  <c r="U55" i="17" a="1"/>
  <c r="U55" i="17" s="1"/>
  <c r="U651" i="17" a="1"/>
  <c r="U651" i="17" s="1"/>
  <c r="U400" i="17" a="1"/>
  <c r="U400" i="17" s="1"/>
  <c r="U272" i="17" a="1"/>
  <c r="U272" i="17" s="1"/>
  <c r="U136" i="17" a="1"/>
  <c r="U136" i="17" s="1"/>
  <c r="U54" i="17" a="1"/>
  <c r="U54" i="17" s="1"/>
  <c r="U164" i="17" a="1"/>
  <c r="U164" i="17" s="1"/>
  <c r="U85" i="17" a="1"/>
  <c r="U85" i="17" s="1"/>
  <c r="U21" i="17" a="1"/>
  <c r="U21" i="17" s="1"/>
  <c r="U436" i="17" a="1"/>
  <c r="U436" i="17" s="1"/>
  <c r="U308" i="17" a="1"/>
  <c r="U308" i="17" s="1"/>
  <c r="U160" i="17" a="1"/>
  <c r="U160" i="17" s="1"/>
  <c r="U60" i="17" a="1"/>
  <c r="U60" i="17" s="1"/>
  <c r="U181" i="17" a="1"/>
  <c r="U181" i="17" s="1"/>
  <c r="U83" i="17" a="1"/>
  <c r="U83" i="17" s="1"/>
  <c r="U19" i="17" a="1"/>
  <c r="U19" i="17" s="1"/>
  <c r="U424" i="17" a="1"/>
  <c r="U424" i="17" s="1"/>
  <c r="U296" i="17" a="1"/>
  <c r="U296" i="17" s="1"/>
  <c r="U177" i="17" a="1"/>
  <c r="U177" i="17" s="1"/>
  <c r="U82" i="17" a="1"/>
  <c r="U82" i="17" s="1"/>
  <c r="U18" i="17" a="1"/>
  <c r="U18" i="17" s="1"/>
  <c r="U756" i="17" a="1"/>
  <c r="U756" i="17" s="1"/>
  <c r="U751" i="17" a="1"/>
  <c r="U751" i="17" s="1"/>
  <c r="U701" i="17" a="1"/>
  <c r="U701" i="17" s="1"/>
  <c r="U738" i="17" a="1"/>
  <c r="U738" i="17" s="1"/>
  <c r="U763" i="17" a="1"/>
  <c r="U763" i="17" s="1"/>
  <c r="U707" i="17" a="1"/>
  <c r="U707" i="17" s="1"/>
  <c r="U681" i="17" a="1"/>
  <c r="U681" i="17" s="1"/>
  <c r="U728" i="17" a="1"/>
  <c r="U728" i="17" s="1"/>
  <c r="U650" i="17" a="1"/>
  <c r="U650" i="17" s="1"/>
  <c r="U618" i="17" a="1"/>
  <c r="U618" i="17" s="1"/>
  <c r="U586" i="17" a="1"/>
  <c r="U586" i="17" s="1"/>
  <c r="U554" i="17" a="1"/>
  <c r="U554" i="17" s="1"/>
  <c r="U522" i="17" a="1"/>
  <c r="U522" i="17" s="1"/>
  <c r="U766" i="17" a="1"/>
  <c r="U766" i="17" s="1"/>
  <c r="U679" i="17" a="1"/>
  <c r="U679" i="17" s="1"/>
  <c r="U659" i="17" a="1"/>
  <c r="U659" i="17" s="1"/>
  <c r="U671" i="17" a="1"/>
  <c r="U671" i="17" s="1"/>
  <c r="U632" i="17" a="1"/>
  <c r="U632" i="17" s="1"/>
  <c r="U600" i="17" a="1"/>
  <c r="U600" i="17" s="1"/>
  <c r="U568" i="17" a="1"/>
  <c r="U568" i="17" s="1"/>
  <c r="U536" i="17" a="1"/>
  <c r="U536" i="17" s="1"/>
  <c r="U504" i="17" a="1"/>
  <c r="U504" i="17" s="1"/>
  <c r="U758" i="17" a="1"/>
  <c r="U758" i="17" s="1"/>
  <c r="U666" i="17" a="1"/>
  <c r="U666" i="17" s="1"/>
  <c r="U637" i="17" a="1"/>
  <c r="U637" i="17" s="1"/>
  <c r="U605" i="17" a="1"/>
  <c r="U605" i="17" s="1"/>
  <c r="U573" i="17" a="1"/>
  <c r="U573" i="17" s="1"/>
  <c r="U541" i="17" a="1"/>
  <c r="U541" i="17" s="1"/>
  <c r="U509" i="17" a="1"/>
  <c r="U509" i="17" s="1"/>
  <c r="U591" i="17" a="1"/>
  <c r="U591" i="17" s="1"/>
  <c r="U487" i="17" a="1"/>
  <c r="U487" i="17" s="1"/>
  <c r="U449" i="17" a="1"/>
  <c r="U449" i="17" s="1"/>
  <c r="U417" i="17" a="1"/>
  <c r="U417" i="17" s="1"/>
  <c r="U385" i="17" a="1"/>
  <c r="U385" i="17" s="1"/>
  <c r="U353" i="17" a="1"/>
  <c r="U353" i="17" s="1"/>
  <c r="U321" i="17" a="1"/>
  <c r="U321" i="17" s="1"/>
  <c r="U289" i="17" a="1"/>
  <c r="U289" i="17" s="1"/>
  <c r="U257" i="17" a="1"/>
  <c r="U257" i="17" s="1"/>
  <c r="U225" i="17" a="1"/>
  <c r="U225" i="17" s="1"/>
  <c r="U193" i="17" a="1"/>
  <c r="U193" i="17" s="1"/>
  <c r="U485" i="17" a="1"/>
  <c r="U485" i="17" s="1"/>
  <c r="U531" i="17" a="1"/>
  <c r="U531" i="17" s="1"/>
  <c r="U458" i="17" a="1"/>
  <c r="U458" i="17" s="1"/>
  <c r="U426" i="17" a="1"/>
  <c r="U426" i="17" s="1"/>
  <c r="U394" i="17" a="1"/>
  <c r="U394" i="17" s="1"/>
  <c r="U362" i="17" a="1"/>
  <c r="U362" i="17" s="1"/>
  <c r="U330" i="17" a="1"/>
  <c r="U330" i="17" s="1"/>
  <c r="U298" i="17" a="1"/>
  <c r="U298" i="17" s="1"/>
  <c r="U266" i="17" a="1"/>
  <c r="U266" i="17" s="1"/>
  <c r="U234" i="17" a="1"/>
  <c r="U234" i="17" s="1"/>
  <c r="U202" i="17" a="1"/>
  <c r="U202" i="17" s="1"/>
  <c r="U170" i="17" a="1"/>
  <c r="U170" i="17" s="1"/>
  <c r="U138" i="17" a="1"/>
  <c r="U138" i="17" s="1"/>
  <c r="U92" i="17" a="1"/>
  <c r="U92" i="17" s="1"/>
  <c r="U535" i="17" a="1"/>
  <c r="U535" i="17" s="1"/>
  <c r="U463" i="17" a="1"/>
  <c r="U463" i="17" s="1"/>
  <c r="U431" i="17" a="1"/>
  <c r="U431" i="17" s="1"/>
  <c r="U399" i="17" a="1"/>
  <c r="U399" i="17" s="1"/>
  <c r="U367" i="17" a="1"/>
  <c r="U367" i="17" s="1"/>
  <c r="U335" i="17" a="1"/>
  <c r="U335" i="17" s="1"/>
  <c r="U303" i="17" a="1"/>
  <c r="U303" i="17" s="1"/>
  <c r="U271" i="17" a="1"/>
  <c r="U271" i="17" s="1"/>
  <c r="U239" i="17" a="1"/>
  <c r="U239" i="17" s="1"/>
  <c r="U207" i="17" a="1"/>
  <c r="U207" i="17" s="1"/>
  <c r="U175" i="17" a="1"/>
  <c r="U175" i="17" s="1"/>
  <c r="U143" i="17" a="1"/>
  <c r="U143" i="17" s="1"/>
  <c r="U511" i="17" a="1"/>
  <c r="U511" i="17" s="1"/>
  <c r="U120" i="17" a="1"/>
  <c r="U120" i="17" s="1"/>
  <c r="U65" i="17" a="1"/>
  <c r="U65" i="17" s="1"/>
  <c r="U3" i="17" a="1"/>
  <c r="U3" i="17" s="1"/>
  <c r="U412" i="17" a="1"/>
  <c r="U412" i="17" s="1"/>
  <c r="U284" i="17" a="1"/>
  <c r="U284" i="17" s="1"/>
  <c r="U169" i="17" a="1"/>
  <c r="U169" i="17" s="1"/>
  <c r="U72" i="17" a="1"/>
  <c r="U72" i="17" s="1"/>
  <c r="U8" i="17" a="1"/>
  <c r="U8" i="17" s="1"/>
  <c r="U103" i="17" a="1"/>
  <c r="U103" i="17" s="1"/>
  <c r="U47" i="17" a="1"/>
  <c r="U47" i="17" s="1"/>
  <c r="U587" i="17" a="1"/>
  <c r="U587" i="17" s="1"/>
  <c r="U384" i="17" a="1"/>
  <c r="U384" i="17" s="1"/>
  <c r="U256" i="17" a="1"/>
  <c r="U256" i="17" s="1"/>
  <c r="U107" i="17" a="1"/>
  <c r="U107" i="17" s="1"/>
  <c r="U46" i="17" a="1"/>
  <c r="U46" i="17" s="1"/>
  <c r="U157" i="17" a="1"/>
  <c r="U157" i="17" s="1"/>
  <c r="U77" i="17" a="1"/>
  <c r="U77" i="17" s="1"/>
  <c r="U13" i="17" a="1"/>
  <c r="U13" i="17" s="1"/>
  <c r="U420" i="17" a="1"/>
  <c r="U420" i="17" s="1"/>
  <c r="U292" i="17" a="1"/>
  <c r="U292" i="17" s="1"/>
  <c r="U153" i="17" a="1"/>
  <c r="U153" i="17" s="1"/>
  <c r="U52" i="17" a="1"/>
  <c r="U52" i="17" s="1"/>
  <c r="U156" i="17" a="1"/>
  <c r="U156" i="17" s="1"/>
  <c r="U75" i="17" a="1"/>
  <c r="U75" i="17" s="1"/>
  <c r="U11" i="17" a="1"/>
  <c r="U11" i="17" s="1"/>
  <c r="U408" i="17" a="1"/>
  <c r="U408" i="17" s="1"/>
  <c r="U280" i="17" a="1"/>
  <c r="U280" i="17" s="1"/>
  <c r="U152" i="17" a="1"/>
  <c r="U152" i="17" s="1"/>
  <c r="U74" i="17" a="1"/>
  <c r="U74" i="17" s="1"/>
  <c r="U10" i="17" a="1"/>
  <c r="U10" i="17" s="1"/>
  <c r="U477" i="17" a="1"/>
  <c r="U477" i="17" s="1"/>
  <c r="U57" i="17" a="1"/>
  <c r="U57" i="17" s="1"/>
  <c r="U69" i="17" a="1"/>
  <c r="U69" i="17" s="1"/>
  <c r="U149" i="17" a="1"/>
  <c r="U149" i="17" s="1"/>
  <c r="U145" i="17" a="1"/>
  <c r="U145" i="17" s="1"/>
  <c r="U697" i="17" a="1"/>
  <c r="U697" i="17" s="1"/>
  <c r="U427" i="17" a="1"/>
  <c r="U427" i="17" s="1"/>
  <c r="U129" i="17" a="1"/>
  <c r="U129" i="17" s="1"/>
  <c r="U740" i="17" a="1"/>
  <c r="U740" i="17" s="1"/>
  <c r="U735" i="17" a="1"/>
  <c r="U735" i="17" s="1"/>
  <c r="U693" i="17" a="1"/>
  <c r="U693" i="17" s="1"/>
  <c r="U765" i="17" a="1"/>
  <c r="U765" i="17" s="1"/>
  <c r="U747" i="17" a="1"/>
  <c r="U747" i="17" s="1"/>
  <c r="U699" i="17" a="1"/>
  <c r="U699" i="17" s="1"/>
  <c r="U675" i="17" a="1"/>
  <c r="U675" i="17" s="1"/>
  <c r="U712" i="17" a="1"/>
  <c r="U712" i="17" s="1"/>
  <c r="U642" i="17" a="1"/>
  <c r="U642" i="17" s="1"/>
  <c r="U610" i="17" a="1"/>
  <c r="U610" i="17" s="1"/>
  <c r="U578" i="17" a="1"/>
  <c r="U578" i="17" s="1"/>
  <c r="U546" i="17" a="1"/>
  <c r="U546" i="17" s="1"/>
  <c r="U736" i="17" a="1"/>
  <c r="U736" i="17" s="1"/>
  <c r="U750" i="17" a="1"/>
  <c r="U750" i="17" s="1"/>
  <c r="U718" i="17" a="1"/>
  <c r="U718" i="17" s="1"/>
  <c r="U753" i="17" a="1"/>
  <c r="U753" i="17" s="1"/>
  <c r="U656" i="17" a="1"/>
  <c r="U656" i="17" s="1"/>
  <c r="U624" i="17" a="1"/>
  <c r="U624" i="17" s="1"/>
  <c r="U592" i="17" a="1"/>
  <c r="U592" i="17" s="1"/>
  <c r="U560" i="17" a="1"/>
  <c r="U560" i="17" s="1"/>
  <c r="U528" i="17" a="1"/>
  <c r="U528" i="17" s="1"/>
  <c r="U496" i="17" a="1"/>
  <c r="U496" i="17" s="1"/>
  <c r="U742" i="17" a="1"/>
  <c r="U742" i="17" s="1"/>
  <c r="U660" i="17" a="1"/>
  <c r="U660" i="17" s="1"/>
  <c r="U629" i="17" a="1"/>
  <c r="U629" i="17" s="1"/>
  <c r="U597" i="17" a="1"/>
  <c r="U597" i="17" s="1"/>
  <c r="U565" i="17" a="1"/>
  <c r="U565" i="17" s="1"/>
  <c r="U533" i="17" a="1"/>
  <c r="U533" i="17" s="1"/>
  <c r="U501" i="17" a="1"/>
  <c r="U501" i="17" s="1"/>
  <c r="U559" i="17" a="1"/>
  <c r="U559" i="17" s="1"/>
  <c r="U473" i="17" a="1"/>
  <c r="U473" i="17" s="1"/>
  <c r="U441" i="17" a="1"/>
  <c r="U441" i="17" s="1"/>
  <c r="U409" i="17" a="1"/>
  <c r="U409" i="17" s="1"/>
  <c r="U377" i="17" a="1"/>
  <c r="U377" i="17" s="1"/>
  <c r="U345" i="17" a="1"/>
  <c r="U345" i="17" s="1"/>
  <c r="U313" i="17" a="1"/>
  <c r="U313" i="17" s="1"/>
  <c r="U281" i="17" a="1"/>
  <c r="U281" i="17" s="1"/>
  <c r="U249" i="17" a="1"/>
  <c r="U249" i="17" s="1"/>
  <c r="U217" i="17" a="1"/>
  <c r="U217" i="17" s="1"/>
  <c r="U185" i="17" a="1"/>
  <c r="U185" i="17" s="1"/>
  <c r="U627" i="17" a="1"/>
  <c r="U627" i="17" s="1"/>
  <c r="U483" i="17" a="1"/>
  <c r="U483" i="17" s="1"/>
  <c r="U450" i="17" a="1"/>
  <c r="U450" i="17" s="1"/>
  <c r="U418" i="17" a="1"/>
  <c r="U418" i="17" s="1"/>
  <c r="U386" i="17" a="1"/>
  <c r="U386" i="17" s="1"/>
  <c r="U354" i="17" a="1"/>
  <c r="U354" i="17" s="1"/>
  <c r="U322" i="17" a="1"/>
  <c r="U322" i="17" s="1"/>
  <c r="U290" i="17" a="1"/>
  <c r="U290" i="17" s="1"/>
  <c r="U258" i="17" a="1"/>
  <c r="U258" i="17" s="1"/>
  <c r="U226" i="17" a="1"/>
  <c r="U226" i="17" s="1"/>
  <c r="U194" i="17" a="1"/>
  <c r="U194" i="17" s="1"/>
  <c r="U162" i="17" a="1"/>
  <c r="U162" i="17" s="1"/>
  <c r="U130" i="17" a="1"/>
  <c r="U130" i="17" s="1"/>
  <c r="U631" i="17" a="1"/>
  <c r="U631" i="17" s="1"/>
  <c r="U515" i="17" a="1"/>
  <c r="U515" i="17" s="1"/>
  <c r="U455" i="17" a="1"/>
  <c r="U455" i="17" s="1"/>
  <c r="U423" i="17" a="1"/>
  <c r="U423" i="17" s="1"/>
  <c r="U391" i="17" a="1"/>
  <c r="U391" i="17" s="1"/>
  <c r="U359" i="17" a="1"/>
  <c r="U359" i="17" s="1"/>
  <c r="U327" i="17" a="1"/>
  <c r="U327" i="17" s="1"/>
  <c r="U295" i="17" a="1"/>
  <c r="U295" i="17" s="1"/>
  <c r="U263" i="17" a="1"/>
  <c r="U263" i="17" s="1"/>
  <c r="U231" i="17" a="1"/>
  <c r="U231" i="17" s="1"/>
  <c r="U199" i="17" a="1"/>
  <c r="U199" i="17" s="1"/>
  <c r="U167" i="17" a="1"/>
  <c r="U167" i="17" s="1"/>
  <c r="U135" i="17" a="1"/>
  <c r="U135" i="17" s="1"/>
  <c r="U490" i="17" a="1"/>
  <c r="U490" i="17" s="1"/>
  <c r="U108" i="17" a="1"/>
  <c r="U108" i="17" s="1"/>
  <c r="U49" i="17" a="1"/>
  <c r="U49" i="17" s="1"/>
  <c r="U635" i="17" a="1"/>
  <c r="U635" i="17" s="1"/>
  <c r="U380" i="17" a="1"/>
  <c r="U380" i="17" s="1"/>
  <c r="U252" i="17" a="1"/>
  <c r="U252" i="17" s="1"/>
  <c r="U137" i="17" a="1"/>
  <c r="U137" i="17" s="1"/>
  <c r="U56" i="17" a="1"/>
  <c r="U56" i="17" s="1"/>
  <c r="U172" i="17" a="1"/>
  <c r="U172" i="17" s="1"/>
  <c r="U94" i="17" a="1"/>
  <c r="U94" i="17" s="1"/>
  <c r="U31" i="17" a="1"/>
  <c r="U31" i="17" s="1"/>
  <c r="U507" i="17" a="1"/>
  <c r="U507" i="17" s="1"/>
  <c r="U352" i="17" a="1"/>
  <c r="U352" i="17" s="1"/>
  <c r="U224" i="17" a="1"/>
  <c r="U224" i="17" s="1"/>
  <c r="U99" i="17" a="1"/>
  <c r="U99" i="17" s="1"/>
  <c r="U30" i="17" a="1"/>
  <c r="U30" i="17" s="1"/>
  <c r="U124" i="17" a="1"/>
  <c r="U124" i="17" s="1"/>
  <c r="U61" i="17" a="1"/>
  <c r="U61" i="17" s="1"/>
  <c r="U603" i="17" a="1"/>
  <c r="U603" i="17" s="1"/>
  <c r="U388" i="17" a="1"/>
  <c r="U388" i="17" s="1"/>
  <c r="U260" i="17" a="1"/>
  <c r="U260" i="17" s="1"/>
  <c r="U121" i="17" a="1"/>
  <c r="U121" i="17" s="1"/>
  <c r="U36" i="17" a="1"/>
  <c r="U36" i="17" s="1"/>
  <c r="U131" i="17" a="1"/>
  <c r="U131" i="17" s="1"/>
  <c r="U59" i="17" a="1"/>
  <c r="U59" i="17" s="1"/>
  <c r="U555" i="17" a="1"/>
  <c r="U555" i="17" s="1"/>
  <c r="U376" i="17" a="1"/>
  <c r="U376" i="17" s="1"/>
  <c r="U248" i="17" a="1"/>
  <c r="U248" i="17" s="1"/>
  <c r="U106" i="17" a="1"/>
  <c r="U106" i="17" s="1"/>
  <c r="U58" i="17" a="1"/>
  <c r="U58" i="17" s="1"/>
  <c r="U755" i="17" a="1"/>
  <c r="U755" i="17" s="1"/>
  <c r="U646" i="17" a="1"/>
  <c r="U646" i="17" s="1"/>
  <c r="U518" i="17" a="1"/>
  <c r="U518" i="17" s="1"/>
  <c r="U773" i="17" a="1"/>
  <c r="U773" i="17" s="1"/>
  <c r="U564" i="17" a="1"/>
  <c r="U564" i="17" s="1"/>
  <c r="U663" i="17" a="1"/>
  <c r="U663" i="17" s="1"/>
  <c r="U569" i="17" a="1"/>
  <c r="U569" i="17" s="1"/>
  <c r="U575" i="17" a="1"/>
  <c r="U575" i="17" s="1"/>
  <c r="U349" i="17" a="1"/>
  <c r="U349" i="17" s="1"/>
  <c r="U285" i="17" a="1"/>
  <c r="U285" i="17" s="1"/>
  <c r="U643" i="17" a="1"/>
  <c r="U643" i="17" s="1"/>
  <c r="U390" i="17" a="1"/>
  <c r="U390" i="17" s="1"/>
  <c r="U294" i="17" a="1"/>
  <c r="U294" i="17" s="1"/>
  <c r="U198" i="17" a="1"/>
  <c r="U198" i="17" s="1"/>
  <c r="U519" i="17" a="1"/>
  <c r="U519" i="17" s="1"/>
  <c r="U395" i="17" a="1"/>
  <c r="U395" i="17" s="1"/>
  <c r="U267" i="17" a="1"/>
  <c r="U267" i="17" s="1"/>
  <c r="U171" i="17" a="1"/>
  <c r="U171" i="17" s="1"/>
  <c r="U110" i="17" a="1"/>
  <c r="U110" i="17" s="1"/>
  <c r="U268" i="17" a="1"/>
  <c r="U268" i="17" s="1"/>
  <c r="U686" i="17" a="1"/>
  <c r="U686" i="17" s="1"/>
  <c r="U368" i="17" a="1"/>
  <c r="U368" i="17" s="1"/>
  <c r="U38" i="17" a="1"/>
  <c r="U38" i="17" s="1"/>
  <c r="U276" i="17" a="1"/>
  <c r="U276" i="17" s="1"/>
  <c r="U392" i="17" a="1"/>
  <c r="U392" i="17" s="1"/>
  <c r="U66" i="17" a="1"/>
  <c r="U66" i="17" s="1"/>
  <c r="U731" i="17" a="1"/>
  <c r="U731" i="17" s="1"/>
  <c r="U719" i="17" a="1"/>
  <c r="U719" i="17" s="1"/>
  <c r="U724" i="17" a="1"/>
  <c r="U724" i="17" s="1"/>
  <c r="U749" i="17" a="1"/>
  <c r="U749" i="17" s="1"/>
  <c r="U771" i="17" a="1"/>
  <c r="U771" i="17" s="1"/>
  <c r="U634" i="17" a="1"/>
  <c r="U634" i="17" s="1"/>
  <c r="U691" i="17" a="1"/>
  <c r="U691" i="17" s="1"/>
  <c r="U684" i="17" a="1"/>
  <c r="U684" i="17" s="1"/>
  <c r="U772" i="17" a="1"/>
  <c r="U772" i="17" s="1"/>
  <c r="T248" i="17" l="1"/>
  <c r="B247" i="17" s="1"/>
  <c r="W248" i="17"/>
  <c r="W771" i="17"/>
  <c r="T771" i="17"/>
  <c r="W38" i="17"/>
  <c r="T38" i="17"/>
  <c r="W519" i="17"/>
  <c r="T519" i="17"/>
  <c r="B518" i="17" s="1"/>
  <c r="T569" i="17"/>
  <c r="B568" i="17" s="1"/>
  <c r="W569" i="17"/>
  <c r="W106" i="17"/>
  <c r="T106" i="17"/>
  <c r="B105" i="17" s="1"/>
  <c r="T260" i="17"/>
  <c r="B259" i="17" s="1"/>
  <c r="W260" i="17"/>
  <c r="T352" i="17"/>
  <c r="B351" i="17" s="1"/>
  <c r="W352" i="17"/>
  <c r="T380" i="17"/>
  <c r="B379" i="17" s="1"/>
  <c r="W380" i="17"/>
  <c r="W231" i="17"/>
  <c r="T231" i="17"/>
  <c r="B230" i="17" s="1"/>
  <c r="W515" i="17"/>
  <c r="T515" i="17"/>
  <c r="B514" i="17" s="1"/>
  <c r="W322" i="17"/>
  <c r="T322" i="17"/>
  <c r="B321" i="17" s="1"/>
  <c r="T217" i="17"/>
  <c r="B216" i="17" s="1"/>
  <c r="W217" i="17"/>
  <c r="T473" i="17"/>
  <c r="B472" i="17" s="1"/>
  <c r="W473" i="17"/>
  <c r="T742" i="17"/>
  <c r="W742" i="17"/>
  <c r="T718" i="17"/>
  <c r="W718" i="17"/>
  <c r="T675" i="17"/>
  <c r="B674" i="17" s="1"/>
  <c r="W675" i="17"/>
  <c r="W427" i="17"/>
  <c r="T427" i="17"/>
  <c r="B426" i="17" s="1"/>
  <c r="T74" i="17"/>
  <c r="W74" i="17"/>
  <c r="T153" i="17"/>
  <c r="B152" i="17" s="1"/>
  <c r="W153" i="17"/>
  <c r="T256" i="17"/>
  <c r="B255" i="17" s="1"/>
  <c r="W256" i="17"/>
  <c r="T284" i="17"/>
  <c r="B283" i="17" s="1"/>
  <c r="W284" i="17"/>
  <c r="W207" i="17"/>
  <c r="T207" i="17"/>
  <c r="B206" i="17" s="1"/>
  <c r="W463" i="17"/>
  <c r="T463" i="17"/>
  <c r="B462" i="17" s="1"/>
  <c r="W298" i="17"/>
  <c r="T298" i="17"/>
  <c r="B297" i="17" s="1"/>
  <c r="T193" i="17"/>
  <c r="B192" i="17" s="1"/>
  <c r="W193" i="17"/>
  <c r="T449" i="17"/>
  <c r="B448" i="17" s="1"/>
  <c r="W449" i="17"/>
  <c r="T666" i="17"/>
  <c r="B665" i="17" s="1"/>
  <c r="W666" i="17"/>
  <c r="W659" i="17"/>
  <c r="T659" i="17"/>
  <c r="B658" i="17" s="1"/>
  <c r="W728" i="17"/>
  <c r="T728" i="17"/>
  <c r="T18" i="17"/>
  <c r="W18" i="17"/>
  <c r="W60" i="17"/>
  <c r="T60" i="17"/>
  <c r="W136" i="17"/>
  <c r="T136" i="17"/>
  <c r="B135" i="17" s="1"/>
  <c r="W176" i="17"/>
  <c r="T176" i="17"/>
  <c r="B175" i="17" s="1"/>
  <c r="W179" i="17"/>
  <c r="T179" i="17"/>
  <c r="B178" i="17" s="1"/>
  <c r="W435" i="17"/>
  <c r="T435" i="17"/>
  <c r="B434" i="17" s="1"/>
  <c r="W270" i="17"/>
  <c r="T270" i="17"/>
  <c r="B269" i="17" s="1"/>
  <c r="W491" i="17"/>
  <c r="T491" i="17"/>
  <c r="B490" i="17" s="1"/>
  <c r="T421" i="17"/>
  <c r="B420" i="17" s="1"/>
  <c r="W421" i="17"/>
  <c r="T641" i="17"/>
  <c r="B640" i="17" s="1"/>
  <c r="W641" i="17"/>
  <c r="W674" i="17"/>
  <c r="T674" i="17"/>
  <c r="B673" i="17" s="1"/>
  <c r="W654" i="17"/>
  <c r="T654" i="17"/>
  <c r="B653" i="17" s="1"/>
  <c r="T764" i="17"/>
  <c r="W764" i="17"/>
  <c r="W134" i="17"/>
  <c r="T134" i="17"/>
  <c r="B133" i="17" s="1"/>
  <c r="W760" i="17"/>
  <c r="T760" i="17"/>
  <c r="T440" i="17"/>
  <c r="B439" i="17" s="1"/>
  <c r="W440" i="17"/>
  <c r="W29" i="17"/>
  <c r="T29" i="17"/>
  <c r="W63" i="17"/>
  <c r="T63" i="17"/>
  <c r="T81" i="17"/>
  <c r="W81" i="17"/>
  <c r="W311" i="17"/>
  <c r="T311" i="17"/>
  <c r="B310" i="17" s="1"/>
  <c r="W146" i="17"/>
  <c r="T146" i="17"/>
  <c r="B145" i="17" s="1"/>
  <c r="W402" i="17"/>
  <c r="T402" i="17"/>
  <c r="B401" i="17" s="1"/>
  <c r="T297" i="17"/>
  <c r="B296" i="17" s="1"/>
  <c r="W297" i="17"/>
  <c r="T517" i="17"/>
  <c r="B516" i="17" s="1"/>
  <c r="W517" i="17"/>
  <c r="W544" i="17"/>
  <c r="T544" i="17"/>
  <c r="B543" i="17" s="1"/>
  <c r="W530" i="17"/>
  <c r="T530" i="17"/>
  <c r="B529" i="17" s="1"/>
  <c r="W733" i="17"/>
  <c r="T733" i="17"/>
  <c r="W39" i="17"/>
  <c r="T39" i="17"/>
  <c r="W262" i="17"/>
  <c r="T262" i="17"/>
  <c r="B261" i="17" s="1"/>
  <c r="W752" i="17"/>
  <c r="T752" i="17"/>
  <c r="T200" i="17"/>
  <c r="B199" i="17" s="1"/>
  <c r="W200" i="17"/>
  <c r="T340" i="17"/>
  <c r="B339" i="17" s="1"/>
  <c r="W340" i="17"/>
  <c r="T432" i="17"/>
  <c r="B431" i="17" s="1"/>
  <c r="W432" i="17"/>
  <c r="T460" i="17"/>
  <c r="B459" i="17" s="1"/>
  <c r="W460" i="17"/>
  <c r="W251" i="17"/>
  <c r="T251" i="17"/>
  <c r="B250" i="17" s="1"/>
  <c r="W583" i="17"/>
  <c r="T583" i="17"/>
  <c r="B582" i="17" s="1"/>
  <c r="W342" i="17"/>
  <c r="T342" i="17"/>
  <c r="B341" i="17" s="1"/>
  <c r="T237" i="17"/>
  <c r="B236" i="17" s="1"/>
  <c r="W237" i="17"/>
  <c r="W506" i="17"/>
  <c r="T506" i="17"/>
  <c r="B505" i="17" s="1"/>
  <c r="T484" i="17"/>
  <c r="B483" i="17" s="1"/>
  <c r="W484" i="17"/>
  <c r="T690" i="17"/>
  <c r="B689" i="17" s="1"/>
  <c r="W690" i="17"/>
  <c r="T729" i="17"/>
  <c r="W729" i="17"/>
  <c r="T100" i="17"/>
  <c r="B99" i="17" s="1"/>
  <c r="W100" i="17"/>
  <c r="T228" i="17"/>
  <c r="B227" i="17" s="1"/>
  <c r="W228" i="17"/>
  <c r="T320" i="17"/>
  <c r="B319" i="17" s="1"/>
  <c r="W320" i="17"/>
  <c r="T348" i="17"/>
  <c r="B347" i="17" s="1"/>
  <c r="W348" i="17"/>
  <c r="W223" i="17"/>
  <c r="T223" i="17"/>
  <c r="B222" i="17" s="1"/>
  <c r="W479" i="17"/>
  <c r="T479" i="17"/>
  <c r="B478" i="17" s="1"/>
  <c r="W314" i="17"/>
  <c r="T314" i="17"/>
  <c r="B313" i="17" s="1"/>
  <c r="T209" i="17"/>
  <c r="B208" i="17" s="1"/>
  <c r="W209" i="17"/>
  <c r="T465" i="17"/>
  <c r="B464" i="17" s="1"/>
  <c r="W465" i="17"/>
  <c r="T717" i="17"/>
  <c r="W717" i="17"/>
  <c r="T692" i="17"/>
  <c r="B691" i="17" s="1"/>
  <c r="W692" i="17"/>
  <c r="W132" i="17"/>
  <c r="T132" i="17"/>
  <c r="B131" i="17" s="1"/>
  <c r="T189" i="17"/>
  <c r="B188" i="17" s="1"/>
  <c r="W189" i="17"/>
  <c r="T50" i="17"/>
  <c r="W50" i="17"/>
  <c r="W113" i="17"/>
  <c r="T113" i="17"/>
  <c r="B112" i="17" s="1"/>
  <c r="T208" i="17"/>
  <c r="B207" i="17" s="1"/>
  <c r="W208" i="17"/>
  <c r="T236" i="17"/>
  <c r="B235" i="17" s="1"/>
  <c r="W236" i="17"/>
  <c r="W195" i="17"/>
  <c r="T195" i="17"/>
  <c r="B194" i="17" s="1"/>
  <c r="W451" i="17"/>
  <c r="T451" i="17"/>
  <c r="B450" i="17" s="1"/>
  <c r="W286" i="17"/>
  <c r="T286" i="17"/>
  <c r="B285" i="17" s="1"/>
  <c r="T734" i="17"/>
  <c r="W734" i="17"/>
  <c r="T437" i="17"/>
  <c r="B436" i="17" s="1"/>
  <c r="W437" i="17"/>
  <c r="T657" i="17"/>
  <c r="B656" i="17" s="1"/>
  <c r="W657" i="17"/>
  <c r="T726" i="17"/>
  <c r="W726" i="17"/>
  <c r="W687" i="17"/>
  <c r="T687" i="17"/>
  <c r="B686" i="17" s="1"/>
  <c r="T328" i="17"/>
  <c r="B327" i="17" s="1"/>
  <c r="W328" i="17"/>
  <c r="T468" i="17"/>
  <c r="B467" i="17" s="1"/>
  <c r="W468" i="17"/>
  <c r="W7" i="17"/>
  <c r="T7" i="17"/>
  <c r="T25" i="17"/>
  <c r="W25" i="17"/>
  <c r="W283" i="17"/>
  <c r="T283" i="17"/>
  <c r="B282" i="17" s="1"/>
  <c r="W118" i="17"/>
  <c r="T118" i="17"/>
  <c r="B117" i="17" s="1"/>
  <c r="W374" i="17"/>
  <c r="T374" i="17"/>
  <c r="B373" i="17" s="1"/>
  <c r="T269" i="17"/>
  <c r="B268" i="17" s="1"/>
  <c r="W269" i="17"/>
  <c r="W639" i="17"/>
  <c r="T639" i="17"/>
  <c r="B638" i="17" s="1"/>
  <c r="W516" i="17"/>
  <c r="T516" i="17"/>
  <c r="B515" i="17" s="1"/>
  <c r="W667" i="17"/>
  <c r="T667" i="17"/>
  <c r="B666" i="17" s="1"/>
  <c r="W723" i="17"/>
  <c r="T723" i="17"/>
  <c r="T216" i="17"/>
  <c r="B215" i="17" s="1"/>
  <c r="W216" i="17"/>
  <c r="T356" i="17"/>
  <c r="B355" i="17" s="1"/>
  <c r="W356" i="17"/>
  <c r="T448" i="17"/>
  <c r="B447" i="17" s="1"/>
  <c r="W448" i="17"/>
  <c r="T476" i="17"/>
  <c r="B475" i="17" s="1"/>
  <c r="W476" i="17"/>
  <c r="W255" i="17"/>
  <c r="T255" i="17"/>
  <c r="B254" i="17" s="1"/>
  <c r="W599" i="17"/>
  <c r="T599" i="17"/>
  <c r="B598" i="17" s="1"/>
  <c r="W346" i="17"/>
  <c r="T346" i="17"/>
  <c r="B345" i="17" s="1"/>
  <c r="T241" i="17"/>
  <c r="B240" i="17" s="1"/>
  <c r="W241" i="17"/>
  <c r="W527" i="17"/>
  <c r="T527" i="17"/>
  <c r="B526" i="17" s="1"/>
  <c r="W488" i="17"/>
  <c r="T488" i="17"/>
  <c r="B487" i="17" s="1"/>
  <c r="T721" i="17"/>
  <c r="W721" i="17"/>
  <c r="W523" i="17"/>
  <c r="T523" i="17"/>
  <c r="B522" i="17" s="1"/>
  <c r="T413" i="17"/>
  <c r="B412" i="17" s="1"/>
  <c r="W413" i="17"/>
  <c r="T104" i="17"/>
  <c r="B103" i="17" s="1"/>
  <c r="W104" i="17"/>
  <c r="T244" i="17"/>
  <c r="B243" i="17" s="1"/>
  <c r="W244" i="17"/>
  <c r="T336" i="17"/>
  <c r="B335" i="17" s="1"/>
  <c r="W336" i="17"/>
  <c r="T364" i="17"/>
  <c r="B363" i="17" s="1"/>
  <c r="W364" i="17"/>
  <c r="W227" i="17"/>
  <c r="T227" i="17"/>
  <c r="B226" i="17" s="1"/>
  <c r="W502" i="17"/>
  <c r="T502" i="17"/>
  <c r="B501" i="17" s="1"/>
  <c r="W318" i="17"/>
  <c r="T318" i="17"/>
  <c r="B317" i="17" s="1"/>
  <c r="T213" i="17"/>
  <c r="B212" i="17" s="1"/>
  <c r="W213" i="17"/>
  <c r="T469" i="17"/>
  <c r="B468" i="17" s="1"/>
  <c r="W469" i="17"/>
  <c r="W722" i="17"/>
  <c r="T722" i="17"/>
  <c r="T694" i="17"/>
  <c r="B693" i="17" s="1"/>
  <c r="W694" i="17"/>
  <c r="T672" i="17"/>
  <c r="B671" i="17" s="1"/>
  <c r="W672" i="17"/>
  <c r="T368" i="17"/>
  <c r="B367" i="17" s="1"/>
  <c r="W368" i="17"/>
  <c r="T388" i="17"/>
  <c r="B387" i="17" s="1"/>
  <c r="W388" i="17"/>
  <c r="W263" i="17"/>
  <c r="T263" i="17"/>
  <c r="B262" i="17" s="1"/>
  <c r="T249" i="17"/>
  <c r="B248" i="17" s="1"/>
  <c r="W249" i="17"/>
  <c r="W496" i="17"/>
  <c r="T496" i="17"/>
  <c r="B495" i="17" s="1"/>
  <c r="W699" i="17"/>
  <c r="T699" i="17"/>
  <c r="B698" i="17" s="1"/>
  <c r="T152" i="17"/>
  <c r="B151" i="17" s="1"/>
  <c r="W152" i="17"/>
  <c r="T384" i="17"/>
  <c r="B383" i="17" s="1"/>
  <c r="W384" i="17"/>
  <c r="W239" i="17"/>
  <c r="T239" i="17"/>
  <c r="B238" i="17" s="1"/>
  <c r="T225" i="17"/>
  <c r="B224" i="17" s="1"/>
  <c r="W225" i="17"/>
  <c r="W679" i="17"/>
  <c r="T679" i="17"/>
  <c r="B678" i="17" s="1"/>
  <c r="T82" i="17"/>
  <c r="W82" i="17"/>
  <c r="T300" i="17"/>
  <c r="B299" i="17" s="1"/>
  <c r="W300" i="17"/>
  <c r="W467" i="17"/>
  <c r="T467" i="17"/>
  <c r="B466" i="17" s="1"/>
  <c r="T197" i="17"/>
  <c r="B196" i="17" s="1"/>
  <c r="W197" i="17"/>
  <c r="T67" i="17"/>
  <c r="W67" i="17"/>
  <c r="W614" i="17"/>
  <c r="T614" i="17"/>
  <c r="B613" i="17" s="1"/>
  <c r="W95" i="17"/>
  <c r="T95" i="17"/>
  <c r="W343" i="17"/>
  <c r="T343" i="17"/>
  <c r="B342" i="17" s="1"/>
  <c r="T329" i="17"/>
  <c r="B328" i="17" s="1"/>
  <c r="W329" i="17"/>
  <c r="W64" i="17"/>
  <c r="T64" i="17"/>
  <c r="W596" i="17"/>
  <c r="T596" i="17"/>
  <c r="B595" i="17" s="1"/>
  <c r="W724" i="17"/>
  <c r="T724" i="17"/>
  <c r="T686" i="17"/>
  <c r="B685" i="17" s="1"/>
  <c r="W686" i="17"/>
  <c r="W294" i="17"/>
  <c r="T294" i="17"/>
  <c r="B293" i="17" s="1"/>
  <c r="W564" i="17"/>
  <c r="T564" i="17"/>
  <c r="B563" i="17" s="1"/>
  <c r="T376" i="17"/>
  <c r="B375" i="17" s="1"/>
  <c r="W376" i="17"/>
  <c r="W603" i="17"/>
  <c r="T603" i="17"/>
  <c r="B602" i="17" s="1"/>
  <c r="W31" i="17"/>
  <c r="T31" i="17"/>
  <c r="T49" i="17"/>
  <c r="W49" i="17"/>
  <c r="W295" i="17"/>
  <c r="T295" i="17"/>
  <c r="B294" i="17" s="1"/>
  <c r="W130" i="17"/>
  <c r="T130" i="17"/>
  <c r="B129" i="17" s="1"/>
  <c r="W386" i="17"/>
  <c r="T386" i="17"/>
  <c r="B385" i="17" s="1"/>
  <c r="T281" i="17"/>
  <c r="B280" i="17" s="1"/>
  <c r="W281" i="17"/>
  <c r="T501" i="17"/>
  <c r="B500" i="17" s="1"/>
  <c r="W501" i="17"/>
  <c r="W528" i="17"/>
  <c r="T528" i="17"/>
  <c r="B527" i="17" s="1"/>
  <c r="W736" i="17"/>
  <c r="T736" i="17"/>
  <c r="W747" i="17"/>
  <c r="T747" i="17"/>
  <c r="T145" i="17"/>
  <c r="B144" i="17" s="1"/>
  <c r="W145" i="17"/>
  <c r="T280" i="17"/>
  <c r="B279" i="17" s="1"/>
  <c r="W280" i="17"/>
  <c r="T420" i="17"/>
  <c r="B419" i="17" s="1"/>
  <c r="W420" i="17"/>
  <c r="W587" i="17"/>
  <c r="T587" i="17"/>
  <c r="B586" i="17" s="1"/>
  <c r="T3" i="17"/>
  <c r="W3" i="17"/>
  <c r="W271" i="17"/>
  <c r="T271" i="17"/>
  <c r="B270" i="17" s="1"/>
  <c r="T92" i="17"/>
  <c r="W92" i="17"/>
  <c r="W362" i="17"/>
  <c r="T362" i="17"/>
  <c r="B361" i="17" s="1"/>
  <c r="T257" i="17"/>
  <c r="B256" i="17" s="1"/>
  <c r="W257" i="17"/>
  <c r="W591" i="17"/>
  <c r="T591" i="17"/>
  <c r="B590" i="17" s="1"/>
  <c r="W504" i="17"/>
  <c r="T504" i="17"/>
  <c r="B503" i="17" s="1"/>
  <c r="T766" i="17"/>
  <c r="W766" i="17"/>
  <c r="W707" i="17"/>
  <c r="T707" i="17"/>
  <c r="B706" i="17" s="1"/>
  <c r="T177" i="17"/>
  <c r="B176" i="17" s="1"/>
  <c r="W177" i="17"/>
  <c r="T308" i="17"/>
  <c r="B307" i="17" s="1"/>
  <c r="W308" i="17"/>
  <c r="T400" i="17"/>
  <c r="B399" i="17" s="1"/>
  <c r="W400" i="17"/>
  <c r="T428" i="17"/>
  <c r="B427" i="17" s="1"/>
  <c r="W428" i="17"/>
  <c r="W243" i="17"/>
  <c r="T243" i="17"/>
  <c r="B242" i="17" s="1"/>
  <c r="W551" i="17"/>
  <c r="T551" i="17"/>
  <c r="B550" i="17" s="1"/>
  <c r="W334" i="17"/>
  <c r="T334" i="17"/>
  <c r="B333" i="17" s="1"/>
  <c r="T229" i="17"/>
  <c r="B228" i="17" s="1"/>
  <c r="W229" i="17"/>
  <c r="T489" i="17"/>
  <c r="B488" i="17" s="1"/>
  <c r="W489" i="17"/>
  <c r="W768" i="17"/>
  <c r="T768" i="17"/>
  <c r="W682" i="17"/>
  <c r="T682" i="17"/>
  <c r="B681" i="17" s="1"/>
  <c r="T708" i="17"/>
  <c r="B707" i="17" s="1"/>
  <c r="W708" i="17"/>
  <c r="W5" i="17"/>
  <c r="T5" i="17"/>
  <c r="W454" i="17"/>
  <c r="T454" i="17"/>
  <c r="B453" i="17" s="1"/>
  <c r="W703" i="17"/>
  <c r="T703" i="17"/>
  <c r="B702" i="17" s="1"/>
  <c r="W91" i="17"/>
  <c r="T91" i="17"/>
  <c r="W486" i="17"/>
  <c r="T486" i="17"/>
  <c r="B485" i="17" s="1"/>
  <c r="W24" i="17"/>
  <c r="T24" i="17"/>
  <c r="W97" i="17"/>
  <c r="T97" i="17"/>
  <c r="W375" i="17"/>
  <c r="T375" i="17"/>
  <c r="B374" i="17" s="1"/>
  <c r="W210" i="17"/>
  <c r="T210" i="17"/>
  <c r="B209" i="17" s="1"/>
  <c r="W466" i="17"/>
  <c r="T466" i="17"/>
  <c r="B465" i="17" s="1"/>
  <c r="T361" i="17"/>
  <c r="B360" i="17" s="1"/>
  <c r="W361" i="17"/>
  <c r="T581" i="17"/>
  <c r="B580" i="17" s="1"/>
  <c r="W581" i="17"/>
  <c r="W608" i="17"/>
  <c r="T608" i="17"/>
  <c r="B607" i="17" s="1"/>
  <c r="W594" i="17"/>
  <c r="T594" i="17"/>
  <c r="B593" i="17" s="1"/>
  <c r="W709" i="17"/>
  <c r="T709" i="17"/>
  <c r="B708" i="17" s="1"/>
  <c r="T700" i="17"/>
  <c r="B699" i="17" s="1"/>
  <c r="W700" i="17"/>
  <c r="W495" i="17"/>
  <c r="T495" i="17"/>
  <c r="B494" i="17" s="1"/>
  <c r="W676" i="17"/>
  <c r="T676" i="17"/>
  <c r="B675" i="17" s="1"/>
  <c r="T456" i="17"/>
  <c r="B455" i="17" s="1"/>
  <c r="W456" i="17"/>
  <c r="W37" i="17"/>
  <c r="T37" i="17"/>
  <c r="W71" i="17"/>
  <c r="T71" i="17"/>
  <c r="T89" i="17"/>
  <c r="W89" i="17"/>
  <c r="W315" i="17"/>
  <c r="T315" i="17"/>
  <c r="B314" i="17" s="1"/>
  <c r="W150" i="17"/>
  <c r="T150" i="17"/>
  <c r="B149" i="17" s="1"/>
  <c r="W406" i="17"/>
  <c r="T406" i="17"/>
  <c r="B405" i="17" s="1"/>
  <c r="T301" i="17"/>
  <c r="B300" i="17" s="1"/>
  <c r="W301" i="17"/>
  <c r="T521" i="17"/>
  <c r="B520" i="17" s="1"/>
  <c r="W521" i="17"/>
  <c r="W548" i="17"/>
  <c r="T548" i="17"/>
  <c r="B547" i="17" s="1"/>
  <c r="W534" i="17"/>
  <c r="T534" i="17"/>
  <c r="B533" i="17" s="1"/>
  <c r="W741" i="17"/>
  <c r="T741" i="17"/>
  <c r="T344" i="17"/>
  <c r="B343" i="17" s="1"/>
  <c r="W344" i="17"/>
  <c r="T494" i="17"/>
  <c r="B493" i="17" s="1"/>
  <c r="W494" i="17"/>
  <c r="W15" i="17"/>
  <c r="T15" i="17"/>
  <c r="T33" i="17"/>
  <c r="W33" i="17"/>
  <c r="W287" i="17"/>
  <c r="T287" i="17"/>
  <c r="B286" i="17" s="1"/>
  <c r="W122" i="17"/>
  <c r="T122" i="17"/>
  <c r="B121" i="17" s="1"/>
  <c r="W378" i="17"/>
  <c r="T378" i="17"/>
  <c r="B377" i="17" s="1"/>
  <c r="T273" i="17"/>
  <c r="B272" i="17" s="1"/>
  <c r="W273" i="17"/>
  <c r="W655" i="17"/>
  <c r="T655" i="17"/>
  <c r="B654" i="17" s="1"/>
  <c r="W520" i="17"/>
  <c r="T520" i="17"/>
  <c r="B519" i="17" s="1"/>
  <c r="W670" i="17"/>
  <c r="T670" i="17"/>
  <c r="B669" i="17" s="1"/>
  <c r="W144" i="17"/>
  <c r="T144" i="17"/>
  <c r="B143" i="17" s="1"/>
  <c r="T601" i="17"/>
  <c r="B600" i="17" s="1"/>
  <c r="W601" i="17"/>
  <c r="T232" i="17"/>
  <c r="B231" i="17" s="1"/>
  <c r="W232" i="17"/>
  <c r="T372" i="17"/>
  <c r="B371" i="17" s="1"/>
  <c r="W372" i="17"/>
  <c r="T464" i="17"/>
  <c r="B463" i="17" s="1"/>
  <c r="W464" i="17"/>
  <c r="W571" i="17"/>
  <c r="T571" i="17"/>
  <c r="B570" i="17" s="1"/>
  <c r="W259" i="17"/>
  <c r="T259" i="17"/>
  <c r="B258" i="17" s="1"/>
  <c r="W615" i="17"/>
  <c r="T615" i="17"/>
  <c r="B614" i="17" s="1"/>
  <c r="W350" i="17"/>
  <c r="T350" i="17"/>
  <c r="B349" i="17" s="1"/>
  <c r="T245" i="17"/>
  <c r="B244" i="17" s="1"/>
  <c r="W245" i="17"/>
  <c r="W543" i="17"/>
  <c r="T543" i="17"/>
  <c r="B542" i="17" s="1"/>
  <c r="W492" i="17"/>
  <c r="T492" i="17"/>
  <c r="B491" i="17" s="1"/>
  <c r="W744" i="17"/>
  <c r="T744" i="17"/>
  <c r="W695" i="17"/>
  <c r="T695" i="17"/>
  <c r="B694" i="17" s="1"/>
  <c r="W198" i="17"/>
  <c r="T198" i="17"/>
  <c r="B197" i="17" s="1"/>
  <c r="W507" i="17"/>
  <c r="T507" i="17"/>
  <c r="B506" i="17" s="1"/>
  <c r="W631" i="17"/>
  <c r="T631" i="17"/>
  <c r="B630" i="17" s="1"/>
  <c r="W559" i="17"/>
  <c r="T559" i="17"/>
  <c r="B558" i="17" s="1"/>
  <c r="T750" i="17"/>
  <c r="W750" i="17"/>
  <c r="W697" i="17"/>
  <c r="T697" i="17"/>
  <c r="B696" i="17" s="1"/>
  <c r="T292" i="17"/>
  <c r="B291" i="17" s="1"/>
  <c r="W292" i="17"/>
  <c r="T412" i="17"/>
  <c r="B411" i="17" s="1"/>
  <c r="W412" i="17"/>
  <c r="W535" i="17"/>
  <c r="T535" i="17"/>
  <c r="B534" i="17" s="1"/>
  <c r="W487" i="17"/>
  <c r="T487" i="17"/>
  <c r="B486" i="17" s="1"/>
  <c r="W681" i="17"/>
  <c r="T681" i="17"/>
  <c r="B680" i="17" s="1"/>
  <c r="W160" i="17"/>
  <c r="T160" i="17"/>
  <c r="B159" i="17" s="1"/>
  <c r="W211" i="17"/>
  <c r="T211" i="17"/>
  <c r="B210" i="17" s="1"/>
  <c r="W302" i="17"/>
  <c r="T302" i="17"/>
  <c r="B301" i="17" s="1"/>
  <c r="W669" i="17"/>
  <c r="T669" i="17"/>
  <c r="B668" i="17" s="1"/>
  <c r="T662" i="17"/>
  <c r="B661" i="17" s="1"/>
  <c r="W662" i="17"/>
  <c r="T27" i="17"/>
  <c r="W27" i="17"/>
  <c r="T141" i="17"/>
  <c r="B140" i="17" s="1"/>
  <c r="W141" i="17"/>
  <c r="W434" i="17"/>
  <c r="T434" i="17"/>
  <c r="B433" i="17" s="1"/>
  <c r="W576" i="17"/>
  <c r="T576" i="17"/>
  <c r="B575" i="17" s="1"/>
  <c r="W754" i="17"/>
  <c r="T754" i="17"/>
  <c r="W358" i="17"/>
  <c r="T358" i="17"/>
  <c r="B357" i="17" s="1"/>
  <c r="W719" i="17"/>
  <c r="T719" i="17"/>
  <c r="T268" i="17"/>
  <c r="B267" i="17" s="1"/>
  <c r="W268" i="17"/>
  <c r="W390" i="17"/>
  <c r="T390" i="17"/>
  <c r="B389" i="17" s="1"/>
  <c r="T773" i="17"/>
  <c r="W773" i="17"/>
  <c r="W555" i="17"/>
  <c r="T555" i="17"/>
  <c r="B554" i="17" s="1"/>
  <c r="W61" i="17"/>
  <c r="T61" i="17"/>
  <c r="W94" i="17"/>
  <c r="T94" i="17"/>
  <c r="T108" i="17"/>
  <c r="B107" i="17" s="1"/>
  <c r="W108" i="17"/>
  <c r="W327" i="17"/>
  <c r="T327" i="17"/>
  <c r="B326" i="17" s="1"/>
  <c r="W162" i="17"/>
  <c r="T162" i="17"/>
  <c r="B161" i="17" s="1"/>
  <c r="W418" i="17"/>
  <c r="T418" i="17"/>
  <c r="B417" i="17" s="1"/>
  <c r="T313" i="17"/>
  <c r="B312" i="17" s="1"/>
  <c r="W313" i="17"/>
  <c r="T533" i="17"/>
  <c r="B532" i="17" s="1"/>
  <c r="W533" i="17"/>
  <c r="W560" i="17"/>
  <c r="T560" i="17"/>
  <c r="B559" i="17" s="1"/>
  <c r="W546" i="17"/>
  <c r="T546" i="17"/>
  <c r="B545" i="17" s="1"/>
  <c r="W765" i="17"/>
  <c r="T765" i="17"/>
  <c r="T149" i="17"/>
  <c r="B148" i="17" s="1"/>
  <c r="W149" i="17"/>
  <c r="T408" i="17"/>
  <c r="B407" i="17" s="1"/>
  <c r="W408" i="17"/>
  <c r="W13" i="17"/>
  <c r="T13" i="17"/>
  <c r="W47" i="17"/>
  <c r="T47" i="17"/>
  <c r="T65" i="17"/>
  <c r="W65" i="17"/>
  <c r="W303" i="17"/>
  <c r="T303" i="17"/>
  <c r="B302" i="17" s="1"/>
  <c r="W138" i="17"/>
  <c r="T138" i="17"/>
  <c r="B137" i="17" s="1"/>
  <c r="W394" i="17"/>
  <c r="T394" i="17"/>
  <c r="B393" i="17" s="1"/>
  <c r="T289" i="17"/>
  <c r="B288" i="17" s="1"/>
  <c r="W289" i="17"/>
  <c r="W509" i="17"/>
  <c r="T509" i="17"/>
  <c r="B508" i="17" s="1"/>
  <c r="W536" i="17"/>
  <c r="T536" i="17"/>
  <c r="B535" i="17" s="1"/>
  <c r="W522" i="17"/>
  <c r="T522" i="17"/>
  <c r="B521" i="17" s="1"/>
  <c r="W763" i="17"/>
  <c r="T763" i="17"/>
  <c r="T296" i="17"/>
  <c r="B295" i="17" s="1"/>
  <c r="W296" i="17"/>
  <c r="T436" i="17"/>
  <c r="B435" i="17" s="1"/>
  <c r="W436" i="17"/>
  <c r="W651" i="17"/>
  <c r="T651" i="17"/>
  <c r="B650" i="17" s="1"/>
  <c r="T9" i="17"/>
  <c r="W9" i="17"/>
  <c r="W275" i="17"/>
  <c r="T275" i="17"/>
  <c r="B274" i="17" s="1"/>
  <c r="W481" i="17"/>
  <c r="T481" i="17"/>
  <c r="B480" i="17" s="1"/>
  <c r="W366" i="17"/>
  <c r="T366" i="17"/>
  <c r="B365" i="17" s="1"/>
  <c r="T261" i="17"/>
  <c r="B260" i="17" s="1"/>
  <c r="W261" i="17"/>
  <c r="W607" i="17"/>
  <c r="T607" i="17"/>
  <c r="B606" i="17" s="1"/>
  <c r="W508" i="17"/>
  <c r="T508" i="17"/>
  <c r="B507" i="17" s="1"/>
  <c r="T769" i="17"/>
  <c r="W769" i="17"/>
  <c r="W711" i="17"/>
  <c r="T711" i="17"/>
  <c r="B710" i="17" s="1"/>
  <c r="T240" i="17"/>
  <c r="B239" i="17" s="1"/>
  <c r="W240" i="17"/>
  <c r="T221" i="17"/>
  <c r="B220" i="17" s="1"/>
  <c r="W221" i="17"/>
  <c r="T748" i="17"/>
  <c r="W748" i="17"/>
  <c r="W720" i="17"/>
  <c r="T720" i="17"/>
  <c r="W62" i="17"/>
  <c r="T62" i="17"/>
  <c r="W88" i="17"/>
  <c r="T88" i="17"/>
  <c r="W151" i="17"/>
  <c r="T151" i="17"/>
  <c r="B150" i="17" s="1"/>
  <c r="W407" i="17"/>
  <c r="T407" i="17"/>
  <c r="B406" i="17" s="1"/>
  <c r="W242" i="17"/>
  <c r="T242" i="17"/>
  <c r="B241" i="17" s="1"/>
  <c r="W563" i="17"/>
  <c r="T563" i="17"/>
  <c r="B562" i="17" s="1"/>
  <c r="T393" i="17"/>
  <c r="B392" i="17" s="1"/>
  <c r="W393" i="17"/>
  <c r="T613" i="17"/>
  <c r="B612" i="17" s="1"/>
  <c r="W613" i="17"/>
  <c r="W640" i="17"/>
  <c r="T640" i="17"/>
  <c r="B639" i="17" s="1"/>
  <c r="W626" i="17"/>
  <c r="T626" i="17"/>
  <c r="B625" i="17" s="1"/>
  <c r="W767" i="17"/>
  <c r="T767" i="17"/>
  <c r="W139" i="17"/>
  <c r="T139" i="17"/>
  <c r="B138" i="17" s="1"/>
  <c r="T253" i="17"/>
  <c r="B252" i="17" s="1"/>
  <c r="W253" i="17"/>
  <c r="W582" i="17"/>
  <c r="T582" i="17"/>
  <c r="B581" i="17" s="1"/>
  <c r="T35" i="17"/>
  <c r="W35" i="17"/>
  <c r="W109" i="17"/>
  <c r="T109" i="17"/>
  <c r="B108" i="17" s="1"/>
  <c r="T133" i="17"/>
  <c r="B132" i="17" s="1"/>
  <c r="W133" i="17"/>
  <c r="T148" i="17"/>
  <c r="B147" i="17" s="1"/>
  <c r="W148" i="17"/>
  <c r="W347" i="17"/>
  <c r="T347" i="17"/>
  <c r="B346" i="17" s="1"/>
  <c r="W182" i="17"/>
  <c r="T182" i="17"/>
  <c r="B181" i="17" s="1"/>
  <c r="W438" i="17"/>
  <c r="T438" i="17"/>
  <c r="B437" i="17" s="1"/>
  <c r="T333" i="17"/>
  <c r="B332" i="17" s="1"/>
  <c r="W333" i="17"/>
  <c r="T553" i="17"/>
  <c r="B552" i="17" s="1"/>
  <c r="W553" i="17"/>
  <c r="W580" i="17"/>
  <c r="T580" i="17"/>
  <c r="B579" i="17" s="1"/>
  <c r="W566" i="17"/>
  <c r="T566" i="17"/>
  <c r="B565" i="17" s="1"/>
  <c r="W762" i="17"/>
  <c r="T762" i="17"/>
  <c r="T472" i="17"/>
  <c r="B471" i="17" s="1"/>
  <c r="W472" i="17"/>
  <c r="W45" i="17"/>
  <c r="T45" i="17"/>
  <c r="W79" i="17"/>
  <c r="T79" i="17"/>
  <c r="T93" i="17"/>
  <c r="D92" i="17" s="1"/>
  <c r="W93" i="17"/>
  <c r="W319" i="17"/>
  <c r="T319" i="17"/>
  <c r="B318" i="17" s="1"/>
  <c r="W154" i="17"/>
  <c r="T154" i="17"/>
  <c r="B153" i="17" s="1"/>
  <c r="W410" i="17"/>
  <c r="T410" i="17"/>
  <c r="B409" i="17" s="1"/>
  <c r="T305" i="17"/>
  <c r="B304" i="17" s="1"/>
  <c r="W305" i="17"/>
  <c r="T525" i="17"/>
  <c r="B524" i="17" s="1"/>
  <c r="W525" i="17"/>
  <c r="W552" i="17"/>
  <c r="T552" i="17"/>
  <c r="B551" i="17" s="1"/>
  <c r="W538" i="17"/>
  <c r="T538" i="17"/>
  <c r="B537" i="17" s="1"/>
  <c r="W499" i="17"/>
  <c r="T499" i="17"/>
  <c r="B498" i="17" s="1"/>
  <c r="W532" i="17"/>
  <c r="T532" i="17"/>
  <c r="B531" i="17" s="1"/>
  <c r="T360" i="17"/>
  <c r="B359" i="17" s="1"/>
  <c r="W360" i="17"/>
  <c r="W539" i="17"/>
  <c r="T539" i="17"/>
  <c r="B538" i="17" s="1"/>
  <c r="W23" i="17"/>
  <c r="T23" i="17"/>
  <c r="T41" i="17"/>
  <c r="W41" i="17"/>
  <c r="W291" i="17"/>
  <c r="T291" i="17"/>
  <c r="B290" i="17" s="1"/>
  <c r="W126" i="17"/>
  <c r="T126" i="17"/>
  <c r="B125" i="17" s="1"/>
  <c r="W382" i="17"/>
  <c r="T382" i="17"/>
  <c r="B381" i="17" s="1"/>
  <c r="T277" i="17"/>
  <c r="B276" i="17" s="1"/>
  <c r="W277" i="17"/>
  <c r="W497" i="17"/>
  <c r="T497" i="17"/>
  <c r="B496" i="17" s="1"/>
  <c r="W524" i="17"/>
  <c r="T524" i="17"/>
  <c r="B523" i="17" s="1"/>
  <c r="W673" i="17"/>
  <c r="T673" i="17"/>
  <c r="B672" i="17" s="1"/>
  <c r="W739" i="17"/>
  <c r="T739" i="17"/>
  <c r="T663" i="17"/>
  <c r="B662" i="17" s="1"/>
  <c r="W663" i="17"/>
  <c r="W635" i="17"/>
  <c r="T635" i="17"/>
  <c r="B634" i="17" s="1"/>
  <c r="W354" i="17"/>
  <c r="T354" i="17"/>
  <c r="B353" i="17" s="1"/>
  <c r="W330" i="17"/>
  <c r="T330" i="17"/>
  <c r="B329" i="17" s="1"/>
  <c r="T758" i="17"/>
  <c r="W758" i="17"/>
  <c r="T272" i="17"/>
  <c r="B271" i="17" s="1"/>
  <c r="W272" i="17"/>
  <c r="T453" i="17"/>
  <c r="B452" i="17" s="1"/>
  <c r="W453" i="17"/>
  <c r="T737" i="17"/>
  <c r="W737" i="17"/>
  <c r="W326" i="17"/>
  <c r="T326" i="17"/>
  <c r="B325" i="17" s="1"/>
  <c r="W127" i="17"/>
  <c r="T127" i="17"/>
  <c r="B126" i="17" s="1"/>
  <c r="W178" i="17"/>
  <c r="T178" i="17"/>
  <c r="B177" i="17" s="1"/>
  <c r="T549" i="17"/>
  <c r="B548" i="17" s="1"/>
  <c r="W549" i="17"/>
  <c r="W562" i="17"/>
  <c r="T562" i="17"/>
  <c r="B561" i="17" s="1"/>
  <c r="W772" i="17"/>
  <c r="T772" i="17"/>
  <c r="W731" i="17"/>
  <c r="T731" i="17"/>
  <c r="W110" i="17"/>
  <c r="T110" i="17"/>
  <c r="B109" i="17" s="1"/>
  <c r="W643" i="17"/>
  <c r="T643" i="17"/>
  <c r="B642" i="17" s="1"/>
  <c r="W518" i="17"/>
  <c r="T518" i="17"/>
  <c r="B517" i="17" s="1"/>
  <c r="T59" i="17"/>
  <c r="W59" i="17"/>
  <c r="W124" i="17"/>
  <c r="T124" i="17"/>
  <c r="B123" i="17" s="1"/>
  <c r="W172" i="17"/>
  <c r="T172" i="17"/>
  <c r="B171" i="17" s="1"/>
  <c r="W490" i="17"/>
  <c r="T490" i="17"/>
  <c r="B489" i="17" s="1"/>
  <c r="W359" i="17"/>
  <c r="T359" i="17"/>
  <c r="B358" i="17" s="1"/>
  <c r="W194" i="17"/>
  <c r="T194" i="17"/>
  <c r="B193" i="17" s="1"/>
  <c r="W450" i="17"/>
  <c r="T450" i="17"/>
  <c r="B449" i="17" s="1"/>
  <c r="T345" i="17"/>
  <c r="B344" i="17" s="1"/>
  <c r="W345" i="17"/>
  <c r="T565" i="17"/>
  <c r="B564" i="17" s="1"/>
  <c r="W565" i="17"/>
  <c r="W592" i="17"/>
  <c r="T592" i="17"/>
  <c r="B591" i="17" s="1"/>
  <c r="W578" i="17"/>
  <c r="T578" i="17"/>
  <c r="B577" i="17" s="1"/>
  <c r="W693" i="17"/>
  <c r="T693" i="17"/>
  <c r="B692" i="17" s="1"/>
  <c r="W69" i="17"/>
  <c r="T69" i="17"/>
  <c r="T11" i="17"/>
  <c r="W11" i="17"/>
  <c r="W77" i="17"/>
  <c r="T77" i="17"/>
  <c r="W103" i="17"/>
  <c r="T103" i="17"/>
  <c r="B102" i="17" s="1"/>
  <c r="T120" i="17"/>
  <c r="B119" i="17" s="1"/>
  <c r="W120" i="17"/>
  <c r="W335" i="17"/>
  <c r="T335" i="17"/>
  <c r="B334" i="17" s="1"/>
  <c r="W170" i="17"/>
  <c r="T170" i="17"/>
  <c r="B169" i="17" s="1"/>
  <c r="W426" i="17"/>
  <c r="T426" i="17"/>
  <c r="B425" i="17" s="1"/>
  <c r="T321" i="17"/>
  <c r="B320" i="17" s="1"/>
  <c r="W321" i="17"/>
  <c r="T541" i="17"/>
  <c r="B540" i="17" s="1"/>
  <c r="W541" i="17"/>
  <c r="W568" i="17"/>
  <c r="T568" i="17"/>
  <c r="B567" i="17" s="1"/>
  <c r="W554" i="17"/>
  <c r="T554" i="17"/>
  <c r="B553" i="17" s="1"/>
  <c r="W738" i="17"/>
  <c r="T738" i="17"/>
  <c r="T424" i="17"/>
  <c r="B423" i="17" s="1"/>
  <c r="W424" i="17"/>
  <c r="W21" i="17"/>
  <c r="T21" i="17"/>
  <c r="W55" i="17"/>
  <c r="T55" i="17"/>
  <c r="T73" i="17"/>
  <c r="W73" i="17"/>
  <c r="W307" i="17"/>
  <c r="T307" i="17"/>
  <c r="B306" i="17" s="1"/>
  <c r="W142" i="17"/>
  <c r="T142" i="17"/>
  <c r="B141" i="17" s="1"/>
  <c r="W398" i="17"/>
  <c r="T398" i="17"/>
  <c r="B397" i="17" s="1"/>
  <c r="T293" i="17"/>
  <c r="B292" i="17" s="1"/>
  <c r="W293" i="17"/>
  <c r="W513" i="17"/>
  <c r="T513" i="17"/>
  <c r="B512" i="17" s="1"/>
  <c r="W540" i="17"/>
  <c r="T540" i="17"/>
  <c r="B539" i="17" s="1"/>
  <c r="W526" i="17"/>
  <c r="T526" i="17"/>
  <c r="B525" i="17" s="1"/>
  <c r="W725" i="17"/>
  <c r="T725" i="17"/>
  <c r="W101" i="17"/>
  <c r="T101" i="17"/>
  <c r="B100" i="17" s="1"/>
  <c r="T381" i="17"/>
  <c r="B380" i="17" s="1"/>
  <c r="W381" i="17"/>
  <c r="T26" i="17"/>
  <c r="W26" i="17"/>
  <c r="W68" i="17"/>
  <c r="T68" i="17"/>
  <c r="T161" i="17"/>
  <c r="B160" i="17" s="1"/>
  <c r="W161" i="17"/>
  <c r="T188" i="17"/>
  <c r="B187" i="17" s="1"/>
  <c r="W188" i="17"/>
  <c r="W183" i="17"/>
  <c r="T183" i="17"/>
  <c r="B182" i="17" s="1"/>
  <c r="W439" i="17"/>
  <c r="T439" i="17"/>
  <c r="B438" i="17" s="1"/>
  <c r="W274" i="17"/>
  <c r="T274" i="17"/>
  <c r="B273" i="17" s="1"/>
  <c r="W493" i="17"/>
  <c r="T493" i="17"/>
  <c r="B492" i="17" s="1"/>
  <c r="T425" i="17"/>
  <c r="B424" i="17" s="1"/>
  <c r="W425" i="17"/>
  <c r="T645" i="17"/>
  <c r="B644" i="17" s="1"/>
  <c r="W645" i="17"/>
  <c r="W677" i="17"/>
  <c r="T677" i="17"/>
  <c r="B676" i="17" s="1"/>
  <c r="W658" i="17"/>
  <c r="T658" i="17"/>
  <c r="B657" i="17" s="1"/>
  <c r="T770" i="17"/>
  <c r="W770" i="17"/>
  <c r="W235" i="17"/>
  <c r="T235" i="17"/>
  <c r="B234" i="17" s="1"/>
  <c r="T317" i="17"/>
  <c r="B316" i="17" s="1"/>
  <c r="W317" i="17"/>
  <c r="T714" i="17"/>
  <c r="B713" i="17" s="1"/>
  <c r="W714" i="17"/>
  <c r="W102" i="17"/>
  <c r="T102" i="17"/>
  <c r="B101" i="17" s="1"/>
  <c r="W6" i="17"/>
  <c r="T6" i="17"/>
  <c r="W32" i="17"/>
  <c r="T32" i="17"/>
  <c r="T482" i="17"/>
  <c r="B481" i="17" s="1"/>
  <c r="W482" i="17"/>
  <c r="W379" i="17"/>
  <c r="T379" i="17"/>
  <c r="B378" i="17" s="1"/>
  <c r="W214" i="17"/>
  <c r="T214" i="17"/>
  <c r="B213" i="17" s="1"/>
  <c r="W470" i="17"/>
  <c r="T470" i="17"/>
  <c r="B469" i="17" s="1"/>
  <c r="T365" i="17"/>
  <c r="B364" i="17" s="1"/>
  <c r="W365" i="17"/>
  <c r="T585" i="17"/>
  <c r="B584" i="17" s="1"/>
  <c r="W585" i="17"/>
  <c r="W612" i="17"/>
  <c r="T612" i="17"/>
  <c r="B611" i="17" s="1"/>
  <c r="W598" i="17"/>
  <c r="T598" i="17"/>
  <c r="B597" i="17" s="1"/>
  <c r="W713" i="17"/>
  <c r="T713" i="17"/>
  <c r="B712" i="17" s="1"/>
  <c r="T43" i="17"/>
  <c r="W43" i="17"/>
  <c r="W111" i="17"/>
  <c r="T111" i="17"/>
  <c r="B110" i="17" s="1"/>
  <c r="W140" i="17"/>
  <c r="T140" i="17"/>
  <c r="B139" i="17" s="1"/>
  <c r="T173" i="17"/>
  <c r="B172" i="17" s="1"/>
  <c r="W173" i="17"/>
  <c r="W351" i="17"/>
  <c r="T351" i="17"/>
  <c r="B350" i="17" s="1"/>
  <c r="W186" i="17"/>
  <c r="T186" i="17"/>
  <c r="B185" i="17" s="1"/>
  <c r="W442" i="17"/>
  <c r="T442" i="17"/>
  <c r="B441" i="17" s="1"/>
  <c r="T337" i="17"/>
  <c r="B336" i="17" s="1"/>
  <c r="W337" i="17"/>
  <c r="T557" i="17"/>
  <c r="B556" i="17" s="1"/>
  <c r="W557" i="17"/>
  <c r="W584" i="17"/>
  <c r="T584" i="17"/>
  <c r="B583" i="17" s="1"/>
  <c r="W570" i="17"/>
  <c r="T570" i="17"/>
  <c r="B569" i="17" s="1"/>
  <c r="W299" i="17"/>
  <c r="T299" i="17"/>
  <c r="B298" i="17" s="1"/>
  <c r="W668" i="17"/>
  <c r="T668" i="17"/>
  <c r="B667" i="17" s="1"/>
  <c r="W514" i="17"/>
  <c r="T514" i="17"/>
  <c r="B513" i="17" s="1"/>
  <c r="W53" i="17"/>
  <c r="T53" i="17"/>
  <c r="W87" i="17"/>
  <c r="T87" i="17"/>
  <c r="T98" i="17"/>
  <c r="W98" i="17"/>
  <c r="W323" i="17"/>
  <c r="T323" i="17"/>
  <c r="B322" i="17" s="1"/>
  <c r="W158" i="17"/>
  <c r="T158" i="17"/>
  <c r="B157" i="17" s="1"/>
  <c r="W414" i="17"/>
  <c r="T414" i="17"/>
  <c r="B413" i="17" s="1"/>
  <c r="T309" i="17"/>
  <c r="B308" i="17" s="1"/>
  <c r="W309" i="17"/>
  <c r="T529" i="17"/>
  <c r="B528" i="17" s="1"/>
  <c r="W529" i="17"/>
  <c r="W556" i="17"/>
  <c r="T556" i="17"/>
  <c r="B555" i="17" s="1"/>
  <c r="W542" i="17"/>
  <c r="T542" i="17"/>
  <c r="B541" i="17" s="1"/>
  <c r="W757" i="17"/>
  <c r="T757" i="17"/>
  <c r="W749" i="17"/>
  <c r="T749" i="17"/>
  <c r="W171" i="17"/>
  <c r="T171" i="17"/>
  <c r="B170" i="17" s="1"/>
  <c r="T353" i="17"/>
  <c r="B352" i="17" s="1"/>
  <c r="W353" i="17"/>
  <c r="T19" i="17"/>
  <c r="W19" i="17"/>
  <c r="T128" i="17"/>
  <c r="B127" i="17" s="1"/>
  <c r="W128" i="17"/>
  <c r="W430" i="17"/>
  <c r="T430" i="17"/>
  <c r="B429" i="17" s="1"/>
  <c r="W572" i="17"/>
  <c r="T572" i="17"/>
  <c r="B571" i="17" s="1"/>
  <c r="T396" i="17"/>
  <c r="B395" i="17" s="1"/>
  <c r="W396" i="17"/>
  <c r="T196" i="17"/>
  <c r="B195" i="17" s="1"/>
  <c r="W196" i="17"/>
  <c r="T288" i="17"/>
  <c r="B287" i="17" s="1"/>
  <c r="W288" i="17"/>
  <c r="T316" i="17"/>
  <c r="B315" i="17" s="1"/>
  <c r="W316" i="17"/>
  <c r="W215" i="17"/>
  <c r="T215" i="17"/>
  <c r="B214" i="17" s="1"/>
  <c r="W471" i="17"/>
  <c r="T471" i="17"/>
  <c r="B470" i="17" s="1"/>
  <c r="W306" i="17"/>
  <c r="T306" i="17"/>
  <c r="B305" i="17" s="1"/>
  <c r="T201" i="17"/>
  <c r="B200" i="17" s="1"/>
  <c r="W201" i="17"/>
  <c r="T457" i="17"/>
  <c r="B456" i="17" s="1"/>
  <c r="W457" i="17"/>
  <c r="T704" i="17"/>
  <c r="B703" i="17" s="1"/>
  <c r="W704" i="17"/>
  <c r="W665" i="17"/>
  <c r="T665" i="17"/>
  <c r="B664" i="17" s="1"/>
  <c r="T745" i="17"/>
  <c r="W745" i="17"/>
  <c r="W619" i="17"/>
  <c r="T619" i="17"/>
  <c r="B618" i="17" s="1"/>
  <c r="W331" i="17"/>
  <c r="T331" i="17"/>
  <c r="B330" i="17" s="1"/>
  <c r="T445" i="17"/>
  <c r="B444" i="17" s="1"/>
  <c r="W445" i="17"/>
  <c r="W730" i="17"/>
  <c r="T730" i="17"/>
  <c r="W12" i="17"/>
  <c r="T12" i="17"/>
  <c r="W70" i="17"/>
  <c r="T70" i="17"/>
  <c r="W112" i="17"/>
  <c r="T112" i="17"/>
  <c r="B111" i="17" s="1"/>
  <c r="W155" i="17"/>
  <c r="T155" i="17"/>
  <c r="B154" i="17" s="1"/>
  <c r="W411" i="17"/>
  <c r="T411" i="17"/>
  <c r="B410" i="17" s="1"/>
  <c r="W246" i="17"/>
  <c r="T246" i="17"/>
  <c r="B245" i="17" s="1"/>
  <c r="W579" i="17"/>
  <c r="T579" i="17"/>
  <c r="B578" i="17" s="1"/>
  <c r="T397" i="17"/>
  <c r="B396" i="17" s="1"/>
  <c r="W397" i="17"/>
  <c r="T617" i="17"/>
  <c r="B616" i="17" s="1"/>
  <c r="W617" i="17"/>
  <c r="W644" i="17"/>
  <c r="T644" i="17"/>
  <c r="B643" i="17" s="1"/>
  <c r="W630" i="17"/>
  <c r="T630" i="17"/>
  <c r="B629" i="17" s="1"/>
  <c r="W716" i="17"/>
  <c r="T716" i="17"/>
  <c r="B715" i="17" s="1"/>
  <c r="W115" i="17"/>
  <c r="T115" i="17"/>
  <c r="B114" i="17" s="1"/>
  <c r="W14" i="17"/>
  <c r="T14" i="17"/>
  <c r="W40" i="17"/>
  <c r="T40" i="17"/>
  <c r="W510" i="17"/>
  <c r="T510" i="17"/>
  <c r="B509" i="17" s="1"/>
  <c r="W383" i="17"/>
  <c r="T383" i="17"/>
  <c r="B382" i="17" s="1"/>
  <c r="W218" i="17"/>
  <c r="T218" i="17"/>
  <c r="B217" i="17" s="1"/>
  <c r="W474" i="17"/>
  <c r="T474" i="17"/>
  <c r="B473" i="17" s="1"/>
  <c r="T369" i="17"/>
  <c r="B368" i="17" s="1"/>
  <c r="W369" i="17"/>
  <c r="T589" i="17"/>
  <c r="B588" i="17" s="1"/>
  <c r="W589" i="17"/>
  <c r="W616" i="17"/>
  <c r="T616" i="17"/>
  <c r="B615" i="17" s="1"/>
  <c r="W602" i="17"/>
  <c r="T602" i="17"/>
  <c r="B601" i="17" s="1"/>
  <c r="W647" i="17"/>
  <c r="T647" i="17"/>
  <c r="B646" i="17" s="1"/>
  <c r="W550" i="17"/>
  <c r="T550" i="17"/>
  <c r="B549" i="17" s="1"/>
  <c r="T51" i="17"/>
  <c r="W51" i="17"/>
  <c r="W116" i="17"/>
  <c r="T116" i="17"/>
  <c r="B115" i="17" s="1"/>
  <c r="T165" i="17"/>
  <c r="B164" i="17" s="1"/>
  <c r="W165" i="17"/>
  <c r="T180" i="17"/>
  <c r="B179" i="17" s="1"/>
  <c r="W180" i="17"/>
  <c r="W355" i="17"/>
  <c r="T355" i="17"/>
  <c r="B354" i="17" s="1"/>
  <c r="W190" i="17"/>
  <c r="T190" i="17"/>
  <c r="B189" i="17" s="1"/>
  <c r="W446" i="17"/>
  <c r="T446" i="17"/>
  <c r="B445" i="17" s="1"/>
  <c r="T341" i="17"/>
  <c r="B340" i="17" s="1"/>
  <c r="W341" i="17"/>
  <c r="T561" i="17"/>
  <c r="B560" i="17" s="1"/>
  <c r="W561" i="17"/>
  <c r="W588" i="17"/>
  <c r="T588" i="17"/>
  <c r="B587" i="17" s="1"/>
  <c r="W574" i="17"/>
  <c r="T574" i="17"/>
  <c r="B573" i="17" s="1"/>
  <c r="W689" i="17"/>
  <c r="T689" i="17"/>
  <c r="B688" i="17" s="1"/>
  <c r="W684" i="17"/>
  <c r="T684" i="17"/>
  <c r="B683" i="17" s="1"/>
  <c r="T285" i="17"/>
  <c r="B284" i="17" s="1"/>
  <c r="W285" i="17"/>
  <c r="W131" i="17"/>
  <c r="T131" i="17"/>
  <c r="B130" i="17" s="1"/>
  <c r="W56" i="17"/>
  <c r="T56" i="17"/>
  <c r="W391" i="17"/>
  <c r="T391" i="17"/>
  <c r="B390" i="17" s="1"/>
  <c r="W483" i="17"/>
  <c r="T483" i="17"/>
  <c r="B482" i="17" s="1"/>
  <c r="T597" i="17"/>
  <c r="B596" i="17" s="1"/>
  <c r="W597" i="17"/>
  <c r="W610" i="17"/>
  <c r="T610" i="17"/>
  <c r="B609" i="17" s="1"/>
  <c r="T57" i="17"/>
  <c r="W57" i="17"/>
  <c r="T157" i="17"/>
  <c r="B156" i="17" s="1"/>
  <c r="W157" i="17"/>
  <c r="W367" i="17"/>
  <c r="T367" i="17"/>
  <c r="B366" i="17" s="1"/>
  <c r="W458" i="17"/>
  <c r="T458" i="17"/>
  <c r="B457" i="17" s="1"/>
  <c r="W600" i="17"/>
  <c r="T600" i="17"/>
  <c r="B599" i="17" s="1"/>
  <c r="W586" i="17"/>
  <c r="T586" i="17"/>
  <c r="B585" i="17" s="1"/>
  <c r="W85" i="17"/>
  <c r="T85" i="17"/>
  <c r="W339" i="17"/>
  <c r="T339" i="17"/>
  <c r="B338" i="17" s="1"/>
  <c r="T325" i="17"/>
  <c r="B324" i="17" s="1"/>
  <c r="W325" i="17"/>
  <c r="W558" i="17"/>
  <c r="T558" i="17"/>
  <c r="B557" i="17" s="1"/>
  <c r="T90" i="17"/>
  <c r="W90" i="17"/>
  <c r="T691" i="17"/>
  <c r="B690" i="17" s="1"/>
  <c r="W691" i="17"/>
  <c r="T392" i="17"/>
  <c r="B391" i="17" s="1"/>
  <c r="W392" i="17"/>
  <c r="W267" i="17"/>
  <c r="T267" i="17"/>
  <c r="B266" i="17" s="1"/>
  <c r="T349" i="17"/>
  <c r="B348" i="17" s="1"/>
  <c r="W349" i="17"/>
  <c r="T755" i="17"/>
  <c r="W755" i="17"/>
  <c r="W36" i="17"/>
  <c r="T36" i="17"/>
  <c r="W99" i="17"/>
  <c r="T99" i="17"/>
  <c r="T137" i="17"/>
  <c r="B136" i="17" s="1"/>
  <c r="W137" i="17"/>
  <c r="W167" i="17"/>
  <c r="T167" i="17"/>
  <c r="B166" i="17" s="1"/>
  <c r="W423" i="17"/>
  <c r="T423" i="17"/>
  <c r="B422" i="17" s="1"/>
  <c r="W258" i="17"/>
  <c r="T258" i="17"/>
  <c r="B257" i="17" s="1"/>
  <c r="W627" i="17"/>
  <c r="T627" i="17"/>
  <c r="B626" i="17" s="1"/>
  <c r="T409" i="17"/>
  <c r="B408" i="17" s="1"/>
  <c r="W409" i="17"/>
  <c r="T629" i="17"/>
  <c r="B628" i="17" s="1"/>
  <c r="W629" i="17"/>
  <c r="W656" i="17"/>
  <c r="T656" i="17"/>
  <c r="B655" i="17" s="1"/>
  <c r="W642" i="17"/>
  <c r="T642" i="17"/>
  <c r="B641" i="17" s="1"/>
  <c r="T740" i="17"/>
  <c r="W740" i="17"/>
  <c r="T477" i="17"/>
  <c r="B476" i="17" s="1"/>
  <c r="W477" i="17"/>
  <c r="W156" i="17"/>
  <c r="T156" i="17"/>
  <c r="B155" i="17" s="1"/>
  <c r="W46" i="17"/>
  <c r="T46" i="17"/>
  <c r="W72" i="17"/>
  <c r="T72" i="17"/>
  <c r="W143" i="17"/>
  <c r="T143" i="17"/>
  <c r="B142" i="17" s="1"/>
  <c r="W399" i="17"/>
  <c r="T399" i="17"/>
  <c r="B398" i="17" s="1"/>
  <c r="W234" i="17"/>
  <c r="T234" i="17"/>
  <c r="B233" i="17" s="1"/>
  <c r="W531" i="17"/>
  <c r="T531" i="17"/>
  <c r="B530" i="17" s="1"/>
  <c r="T385" i="17"/>
  <c r="B384" i="17" s="1"/>
  <c r="W385" i="17"/>
  <c r="T605" i="17"/>
  <c r="B604" i="17" s="1"/>
  <c r="W605" i="17"/>
  <c r="W632" i="17"/>
  <c r="T632" i="17"/>
  <c r="B631" i="17" s="1"/>
  <c r="W618" i="17"/>
  <c r="T618" i="17"/>
  <c r="B617" i="17" s="1"/>
  <c r="W751" i="17"/>
  <c r="T751" i="17"/>
  <c r="T83" i="17"/>
  <c r="W83" i="17"/>
  <c r="W164" i="17"/>
  <c r="T164" i="17"/>
  <c r="B163" i="17" s="1"/>
  <c r="W16" i="17"/>
  <c r="T16" i="17"/>
  <c r="T702" i="17"/>
  <c r="B701" i="17" s="1"/>
  <c r="W702" i="17"/>
  <c r="W371" i="17"/>
  <c r="T371" i="17"/>
  <c r="B370" i="17" s="1"/>
  <c r="W206" i="17"/>
  <c r="T206" i="17"/>
  <c r="B205" i="17" s="1"/>
  <c r="W462" i="17"/>
  <c r="T462" i="17"/>
  <c r="B461" i="17" s="1"/>
  <c r="T357" i="17"/>
  <c r="B356" i="17" s="1"/>
  <c r="W357" i="17"/>
  <c r="T577" i="17"/>
  <c r="B576" i="17" s="1"/>
  <c r="W577" i="17"/>
  <c r="W604" i="17"/>
  <c r="T604" i="17"/>
  <c r="B603" i="17" s="1"/>
  <c r="W590" i="17"/>
  <c r="T590" i="17"/>
  <c r="B589" i="17" s="1"/>
  <c r="W705" i="17"/>
  <c r="T705" i="17"/>
  <c r="B704" i="17" s="1"/>
  <c r="W203" i="17"/>
  <c r="T203" i="17"/>
  <c r="B202" i="17" s="1"/>
  <c r="W500" i="17"/>
  <c r="T500" i="17"/>
  <c r="B499" i="17" s="1"/>
  <c r="T184" i="17"/>
  <c r="B183" i="17" s="1"/>
  <c r="W184" i="17"/>
  <c r="T324" i="17"/>
  <c r="B323" i="17" s="1"/>
  <c r="W324" i="17"/>
  <c r="T416" i="17"/>
  <c r="B415" i="17" s="1"/>
  <c r="W416" i="17"/>
  <c r="T444" i="17"/>
  <c r="B443" i="17" s="1"/>
  <c r="W444" i="17"/>
  <c r="W247" i="17"/>
  <c r="T247" i="17"/>
  <c r="B246" i="17" s="1"/>
  <c r="W567" i="17"/>
  <c r="T567" i="17"/>
  <c r="B566" i="17" s="1"/>
  <c r="W338" i="17"/>
  <c r="T338" i="17"/>
  <c r="B337" i="17" s="1"/>
  <c r="T233" i="17"/>
  <c r="B232" i="17" s="1"/>
  <c r="W233" i="17"/>
  <c r="T498" i="17"/>
  <c r="B497" i="17" s="1"/>
  <c r="W498" i="17"/>
  <c r="T480" i="17"/>
  <c r="B479" i="17" s="1"/>
  <c r="W480" i="17"/>
  <c r="W685" i="17"/>
  <c r="T685" i="17"/>
  <c r="B684" i="17" s="1"/>
  <c r="T710" i="17"/>
  <c r="B709" i="17" s="1"/>
  <c r="W710" i="17"/>
  <c r="T404" i="17"/>
  <c r="B403" i="17" s="1"/>
  <c r="W404" i="17"/>
  <c r="W459" i="17"/>
  <c r="T459" i="17"/>
  <c r="B458" i="17" s="1"/>
  <c r="W505" i="17"/>
  <c r="T505" i="17"/>
  <c r="B504" i="17" s="1"/>
  <c r="T34" i="17"/>
  <c r="W34" i="17"/>
  <c r="W76" i="17"/>
  <c r="T76" i="17"/>
  <c r="W168" i="17"/>
  <c r="T168" i="17"/>
  <c r="B167" i="17" s="1"/>
  <c r="T204" i="17"/>
  <c r="B203" i="17" s="1"/>
  <c r="W204" i="17"/>
  <c r="W187" i="17"/>
  <c r="T187" i="17"/>
  <c r="B186" i="17" s="1"/>
  <c r="W443" i="17"/>
  <c r="T443" i="17"/>
  <c r="B442" i="17" s="1"/>
  <c r="W278" i="17"/>
  <c r="T278" i="17"/>
  <c r="B277" i="17" s="1"/>
  <c r="W503" i="17"/>
  <c r="T503" i="17"/>
  <c r="B502" i="17" s="1"/>
  <c r="T429" i="17"/>
  <c r="B428" i="17" s="1"/>
  <c r="W429" i="17"/>
  <c r="T649" i="17"/>
  <c r="B648" i="17" s="1"/>
  <c r="W649" i="17"/>
  <c r="T696" i="17"/>
  <c r="B695" i="17" s="1"/>
  <c r="W696" i="17"/>
  <c r="W661" i="17"/>
  <c r="T661" i="17"/>
  <c r="B660" i="17" s="1"/>
  <c r="T774" i="17"/>
  <c r="W774" i="17"/>
  <c r="W20" i="17"/>
  <c r="T20" i="17"/>
  <c r="W78" i="17"/>
  <c r="T78" i="17"/>
  <c r="T117" i="17"/>
  <c r="B116" i="17" s="1"/>
  <c r="W117" i="17"/>
  <c r="W159" i="17"/>
  <c r="T159" i="17"/>
  <c r="B158" i="17" s="1"/>
  <c r="W415" i="17"/>
  <c r="T415" i="17"/>
  <c r="B414" i="17" s="1"/>
  <c r="W250" i="17"/>
  <c r="T250" i="17"/>
  <c r="B249" i="17" s="1"/>
  <c r="W595" i="17"/>
  <c r="T595" i="17"/>
  <c r="B594" i="17" s="1"/>
  <c r="T401" i="17"/>
  <c r="B400" i="17" s="1"/>
  <c r="W401" i="17"/>
  <c r="T621" i="17"/>
  <c r="B620" i="17" s="1"/>
  <c r="W621" i="17"/>
  <c r="W648" i="17"/>
  <c r="T648" i="17"/>
  <c r="B647" i="17" s="1"/>
  <c r="T264" i="17"/>
  <c r="B263" i="17" s="1"/>
  <c r="W264" i="17"/>
  <c r="W230" i="17"/>
  <c r="T230" i="17"/>
  <c r="B229" i="17" s="1"/>
  <c r="T678" i="17"/>
  <c r="B677" i="17" s="1"/>
  <c r="W678" i="17"/>
  <c r="W123" i="17"/>
  <c r="T123" i="17"/>
  <c r="B122" i="17" s="1"/>
  <c r="W22" i="17"/>
  <c r="T22" i="17"/>
  <c r="W48" i="17"/>
  <c r="T48" i="17"/>
  <c r="T683" i="17"/>
  <c r="B682" i="17" s="1"/>
  <c r="W683" i="17"/>
  <c r="W387" i="17"/>
  <c r="T387" i="17"/>
  <c r="B386" i="17" s="1"/>
  <c r="W222" i="17"/>
  <c r="T222" i="17"/>
  <c r="B221" i="17" s="1"/>
  <c r="W478" i="17"/>
  <c r="T478" i="17"/>
  <c r="B477" i="17" s="1"/>
  <c r="T373" i="17"/>
  <c r="B372" i="17" s="1"/>
  <c r="W373" i="17"/>
  <c r="T593" i="17"/>
  <c r="B592" i="17" s="1"/>
  <c r="W593" i="17"/>
  <c r="W620" i="17"/>
  <c r="T620" i="17"/>
  <c r="B619" i="17" s="1"/>
  <c r="W606" i="17"/>
  <c r="T606" i="17"/>
  <c r="B605" i="17" s="1"/>
  <c r="W727" i="17"/>
  <c r="T727" i="17"/>
  <c r="T66" i="17"/>
  <c r="W66" i="17"/>
  <c r="W646" i="17"/>
  <c r="T646" i="17"/>
  <c r="B645" i="17" s="1"/>
  <c r="W30" i="17"/>
  <c r="T30" i="17"/>
  <c r="W135" i="17"/>
  <c r="T135" i="17"/>
  <c r="B134" i="17" s="1"/>
  <c r="W226" i="17"/>
  <c r="T226" i="17"/>
  <c r="B225" i="17" s="1"/>
  <c r="T377" i="17"/>
  <c r="B376" i="17" s="1"/>
  <c r="W377" i="17"/>
  <c r="W624" i="17"/>
  <c r="T624" i="17"/>
  <c r="B623" i="17" s="1"/>
  <c r="W735" i="17"/>
  <c r="T735" i="17"/>
  <c r="T75" i="17"/>
  <c r="W75" i="17"/>
  <c r="W8" i="17"/>
  <c r="T8" i="17"/>
  <c r="W511" i="17"/>
  <c r="T511" i="17"/>
  <c r="B510" i="17" s="1"/>
  <c r="W202" i="17"/>
  <c r="T202" i="17"/>
  <c r="B201" i="17" s="1"/>
  <c r="T573" i="17"/>
  <c r="B572" i="17" s="1"/>
  <c r="W573" i="17"/>
  <c r="W701" i="17"/>
  <c r="T701" i="17"/>
  <c r="B700" i="17" s="1"/>
  <c r="W119" i="17"/>
  <c r="T119" i="17"/>
  <c r="B118" i="17" s="1"/>
  <c r="W174" i="17"/>
  <c r="T174" i="17"/>
  <c r="B173" i="17" s="1"/>
  <c r="T545" i="17"/>
  <c r="B544" i="17" s="1"/>
  <c r="W545" i="17"/>
  <c r="W746" i="17"/>
  <c r="T746" i="17"/>
  <c r="T537" i="17"/>
  <c r="B536" i="17" s="1"/>
  <c r="W537" i="17"/>
  <c r="W634" i="17"/>
  <c r="T634" i="17"/>
  <c r="B633" i="17" s="1"/>
  <c r="T276" i="17"/>
  <c r="B275" i="17" s="1"/>
  <c r="W276" i="17"/>
  <c r="W395" i="17"/>
  <c r="T395" i="17"/>
  <c r="B394" i="17" s="1"/>
  <c r="W575" i="17"/>
  <c r="T575" i="17"/>
  <c r="B574" i="17" s="1"/>
  <c r="T58" i="17"/>
  <c r="W58" i="17"/>
  <c r="T121" i="17"/>
  <c r="B120" i="17" s="1"/>
  <c r="W121" i="17"/>
  <c r="T224" i="17"/>
  <c r="B223" i="17" s="1"/>
  <c r="W224" i="17"/>
  <c r="T252" i="17"/>
  <c r="B251" i="17" s="1"/>
  <c r="W252" i="17"/>
  <c r="W199" i="17"/>
  <c r="T199" i="17"/>
  <c r="B198" i="17" s="1"/>
  <c r="W455" i="17"/>
  <c r="T455" i="17"/>
  <c r="B454" i="17" s="1"/>
  <c r="W290" i="17"/>
  <c r="T290" i="17"/>
  <c r="B289" i="17" s="1"/>
  <c r="T185" i="17"/>
  <c r="B184" i="17" s="1"/>
  <c r="W185" i="17"/>
  <c r="T441" i="17"/>
  <c r="B440" i="17" s="1"/>
  <c r="W441" i="17"/>
  <c r="T660" i="17"/>
  <c r="B659" i="17" s="1"/>
  <c r="W660" i="17"/>
  <c r="T753" i="17"/>
  <c r="W753" i="17"/>
  <c r="T712" i="17"/>
  <c r="B711" i="17" s="1"/>
  <c r="W712" i="17"/>
  <c r="T129" i="17"/>
  <c r="B128" i="17" s="1"/>
  <c r="W129" i="17"/>
  <c r="T10" i="17"/>
  <c r="W10" i="17"/>
  <c r="W52" i="17"/>
  <c r="T52" i="17"/>
  <c r="W107" i="17"/>
  <c r="T107" i="17"/>
  <c r="B106" i="17" s="1"/>
  <c r="T169" i="17"/>
  <c r="B168" i="17" s="1"/>
  <c r="W169" i="17"/>
  <c r="W175" i="17"/>
  <c r="T175" i="17"/>
  <c r="B174" i="17" s="1"/>
  <c r="W431" i="17"/>
  <c r="T431" i="17"/>
  <c r="B430" i="17" s="1"/>
  <c r="W266" i="17"/>
  <c r="T266" i="17"/>
  <c r="B265" i="17" s="1"/>
  <c r="W485" i="17"/>
  <c r="T485" i="17"/>
  <c r="B484" i="17" s="1"/>
  <c r="T417" i="17"/>
  <c r="B416" i="17" s="1"/>
  <c r="W417" i="17"/>
  <c r="T637" i="17"/>
  <c r="B636" i="17" s="1"/>
  <c r="W637" i="17"/>
  <c r="W671" i="17"/>
  <c r="T671" i="17"/>
  <c r="B670" i="17" s="1"/>
  <c r="W650" i="17"/>
  <c r="T650" i="17"/>
  <c r="B649" i="17" s="1"/>
  <c r="T756" i="17"/>
  <c r="W756" i="17"/>
  <c r="T181" i="17"/>
  <c r="B180" i="17" s="1"/>
  <c r="W181" i="17"/>
  <c r="W54" i="17"/>
  <c r="T54" i="17"/>
  <c r="W80" i="17"/>
  <c r="T80" i="17"/>
  <c r="W147" i="17"/>
  <c r="T147" i="17"/>
  <c r="B146" i="17" s="1"/>
  <c r="W403" i="17"/>
  <c r="T403" i="17"/>
  <c r="B402" i="17" s="1"/>
  <c r="W238" i="17"/>
  <c r="T238" i="17"/>
  <c r="B237" i="17" s="1"/>
  <c r="W547" i="17"/>
  <c r="T547" i="17"/>
  <c r="B546" i="17" s="1"/>
  <c r="T389" i="17"/>
  <c r="B388" i="17" s="1"/>
  <c r="W389" i="17"/>
  <c r="T609" i="17"/>
  <c r="B608" i="17" s="1"/>
  <c r="W609" i="17"/>
  <c r="W636" i="17"/>
  <c r="T636" i="17"/>
  <c r="B635" i="17" s="1"/>
  <c r="W622" i="17"/>
  <c r="T622" i="17"/>
  <c r="B621" i="17" s="1"/>
  <c r="W759" i="17"/>
  <c r="T759" i="17"/>
  <c r="W363" i="17"/>
  <c r="T363" i="17"/>
  <c r="B362" i="17" s="1"/>
  <c r="W628" i="17"/>
  <c r="T628" i="17"/>
  <c r="B627" i="17" s="1"/>
  <c r="T312" i="17"/>
  <c r="B311" i="17" s="1"/>
  <c r="W312" i="17"/>
  <c r="T452" i="17"/>
  <c r="B451" i="17" s="1"/>
  <c r="W452" i="17"/>
  <c r="W4" i="17"/>
  <c r="T4" i="17"/>
  <c r="T17" i="17"/>
  <c r="W17" i="17"/>
  <c r="W279" i="17"/>
  <c r="T279" i="17"/>
  <c r="B278" i="17" s="1"/>
  <c r="W114" i="17"/>
  <c r="T114" i="17"/>
  <c r="B113" i="17" s="1"/>
  <c r="W370" i="17"/>
  <c r="T370" i="17"/>
  <c r="B369" i="17" s="1"/>
  <c r="T265" i="17"/>
  <c r="B264" i="17" s="1"/>
  <c r="W265" i="17"/>
  <c r="W623" i="17"/>
  <c r="T623" i="17"/>
  <c r="B622" i="17" s="1"/>
  <c r="W512" i="17"/>
  <c r="T512" i="17"/>
  <c r="B511" i="17" s="1"/>
  <c r="W664" i="17"/>
  <c r="T664" i="17"/>
  <c r="B663" i="17" s="1"/>
  <c r="W715" i="17"/>
  <c r="T715" i="17"/>
  <c r="B714" i="17" s="1"/>
  <c r="W105" i="17"/>
  <c r="T105" i="17"/>
  <c r="B104" i="17" s="1"/>
  <c r="W166" i="17"/>
  <c r="T166" i="17"/>
  <c r="B165" i="17" s="1"/>
  <c r="T633" i="17"/>
  <c r="B632" i="17" s="1"/>
  <c r="W633" i="17"/>
  <c r="W96" i="17"/>
  <c r="T96" i="17"/>
  <c r="T212" i="17"/>
  <c r="B211" i="17" s="1"/>
  <c r="W212" i="17"/>
  <c r="T304" i="17"/>
  <c r="B303" i="17" s="1"/>
  <c r="W304" i="17"/>
  <c r="T332" i="17"/>
  <c r="B331" i="17" s="1"/>
  <c r="W332" i="17"/>
  <c r="W219" i="17"/>
  <c r="T219" i="17"/>
  <c r="B218" i="17" s="1"/>
  <c r="W475" i="17"/>
  <c r="T475" i="17"/>
  <c r="B474" i="17" s="1"/>
  <c r="W310" i="17"/>
  <c r="T310" i="17"/>
  <c r="B309" i="17" s="1"/>
  <c r="T205" i="17"/>
  <c r="B204" i="17" s="1"/>
  <c r="W205" i="17"/>
  <c r="T461" i="17"/>
  <c r="B460" i="17" s="1"/>
  <c r="W461" i="17"/>
  <c r="T706" i="17"/>
  <c r="B705" i="17" s="1"/>
  <c r="W706" i="17"/>
  <c r="W688" i="17"/>
  <c r="T688" i="17"/>
  <c r="B687" i="17" s="1"/>
  <c r="T761" i="17"/>
  <c r="W761" i="17"/>
  <c r="T42" i="17"/>
  <c r="W42" i="17"/>
  <c r="W84" i="17"/>
  <c r="T84" i="17"/>
  <c r="T192" i="17"/>
  <c r="B191" i="17" s="1"/>
  <c r="W192" i="17"/>
  <c r="T220" i="17"/>
  <c r="B219" i="17" s="1"/>
  <c r="W220" i="17"/>
  <c r="W191" i="17"/>
  <c r="T191" i="17"/>
  <c r="B190" i="17" s="1"/>
  <c r="W447" i="17"/>
  <c r="T447" i="17"/>
  <c r="B446" i="17" s="1"/>
  <c r="W282" i="17"/>
  <c r="T282" i="17"/>
  <c r="B281" i="17" s="1"/>
  <c r="W680" i="17"/>
  <c r="T680" i="17"/>
  <c r="B679" i="17" s="1"/>
  <c r="T433" i="17"/>
  <c r="B432" i="17" s="1"/>
  <c r="W433" i="17"/>
  <c r="T653" i="17"/>
  <c r="B652" i="17" s="1"/>
  <c r="W653" i="17"/>
  <c r="T698" i="17"/>
  <c r="B697" i="17" s="1"/>
  <c r="W698" i="17"/>
  <c r="W44" i="17"/>
  <c r="T44" i="17"/>
  <c r="W422" i="17"/>
  <c r="T422" i="17"/>
  <c r="B421" i="17" s="1"/>
  <c r="W743" i="17"/>
  <c r="T743" i="17"/>
  <c r="W28" i="17"/>
  <c r="T28" i="17"/>
  <c r="W86" i="17"/>
  <c r="T86" i="17"/>
  <c r="T125" i="17"/>
  <c r="B124" i="17" s="1"/>
  <c r="W125" i="17"/>
  <c r="W163" i="17"/>
  <c r="T163" i="17"/>
  <c r="B162" i="17" s="1"/>
  <c r="W419" i="17"/>
  <c r="T419" i="17"/>
  <c r="B418" i="17" s="1"/>
  <c r="W254" i="17"/>
  <c r="T254" i="17"/>
  <c r="B253" i="17" s="1"/>
  <c r="W611" i="17"/>
  <c r="T611" i="17"/>
  <c r="B610" i="17" s="1"/>
  <c r="T405" i="17"/>
  <c r="B404" i="17" s="1"/>
  <c r="W405" i="17"/>
  <c r="T625" i="17"/>
  <c r="B624" i="17" s="1"/>
  <c r="W625" i="17"/>
  <c r="W652" i="17"/>
  <c r="T652" i="17"/>
  <c r="B651" i="17" s="1"/>
  <c r="W638" i="17"/>
  <c r="T638" i="17"/>
  <c r="B637" i="17" s="1"/>
  <c r="T732" i="17"/>
  <c r="W732" i="17"/>
  <c r="B93" i="17" l="1"/>
  <c r="F96" i="17" s="1"/>
  <c r="E95" i="17"/>
  <c r="B92" i="17"/>
  <c r="F95" i="17"/>
  <c r="E93" i="17"/>
  <c r="F93" i="17"/>
  <c r="D94" i="17"/>
  <c r="B90" i="17"/>
  <c r="B7" i="17"/>
  <c r="F10" i="17"/>
  <c r="E10" i="17"/>
  <c r="D10" i="17"/>
  <c r="B61" i="17"/>
  <c r="F64" i="17"/>
  <c r="E64" i="17"/>
  <c r="D64" i="17"/>
  <c r="F61" i="17"/>
  <c r="E61" i="17"/>
  <c r="D61" i="17"/>
  <c r="B58" i="17"/>
  <c r="D47" i="17"/>
  <c r="B44" i="17"/>
  <c r="F47" i="17"/>
  <c r="E47" i="17"/>
  <c r="F69" i="17"/>
  <c r="E69" i="17"/>
  <c r="D69" i="17"/>
  <c r="B66" i="17"/>
  <c r="E70" i="17"/>
  <c r="D70" i="17"/>
  <c r="B67" i="17"/>
  <c r="F70" i="17"/>
  <c r="B85" i="17"/>
  <c r="F88" i="17"/>
  <c r="E88" i="17"/>
  <c r="D88" i="17"/>
  <c r="F77" i="17"/>
  <c r="E77" i="17"/>
  <c r="D77" i="17"/>
  <c r="B74" i="17"/>
  <c r="B77" i="17"/>
  <c r="F80" i="17"/>
  <c r="E80" i="17"/>
  <c r="D80" i="17"/>
  <c r="E22" i="17"/>
  <c r="D22" i="17"/>
  <c r="B19" i="17"/>
  <c r="F22" i="17"/>
  <c r="E46" i="17"/>
  <c r="D46" i="17"/>
  <c r="B43" i="17"/>
  <c r="F46" i="17"/>
  <c r="F29" i="17"/>
  <c r="E29" i="17"/>
  <c r="D29" i="17"/>
  <c r="B26" i="17"/>
  <c r="B47" i="17"/>
  <c r="F50" i="17"/>
  <c r="E50" i="17"/>
  <c r="D50" i="17"/>
  <c r="B8" i="17"/>
  <c r="F11" i="17"/>
  <c r="E11" i="17"/>
  <c r="D11" i="17"/>
  <c r="F84" i="17"/>
  <c r="E84" i="17"/>
  <c r="D84" i="17"/>
  <c r="B81" i="17"/>
  <c r="D31" i="17"/>
  <c r="B28" i="17"/>
  <c r="F31" i="17"/>
  <c r="E31" i="17"/>
  <c r="D39" i="17"/>
  <c r="B36" i="17"/>
  <c r="F39" i="17"/>
  <c r="E39" i="17"/>
  <c r="B14" i="17"/>
  <c r="F17" i="17"/>
  <c r="E17" i="17"/>
  <c r="D17" i="17"/>
  <c r="B23" i="17"/>
  <c r="F26" i="17"/>
  <c r="E26" i="17"/>
  <c r="D26" i="17"/>
  <c r="B64" i="17"/>
  <c r="F67" i="17"/>
  <c r="E67" i="17"/>
  <c r="D67" i="17"/>
  <c r="B70" i="17"/>
  <c r="F73" i="17"/>
  <c r="E73" i="17"/>
  <c r="D73" i="17"/>
  <c r="B54" i="17"/>
  <c r="F57" i="17"/>
  <c r="E57" i="17"/>
  <c r="D57" i="17"/>
  <c r="B53" i="17"/>
  <c r="F56" i="17"/>
  <c r="E56" i="17"/>
  <c r="D56" i="17"/>
  <c r="D63" i="17"/>
  <c r="B60" i="17"/>
  <c r="F63" i="17"/>
  <c r="E63" i="17"/>
  <c r="E62" i="17"/>
  <c r="D62" i="17"/>
  <c r="B59" i="17"/>
  <c r="F62" i="17"/>
  <c r="B56" i="17"/>
  <c r="F59" i="17"/>
  <c r="E59" i="17"/>
  <c r="D59" i="17"/>
  <c r="E94" i="17"/>
  <c r="D95" i="17"/>
  <c r="F94" i="17"/>
  <c r="B91" i="17"/>
  <c r="D55" i="17"/>
  <c r="B52" i="17"/>
  <c r="F55" i="17"/>
  <c r="E55" i="17"/>
  <c r="B30" i="17"/>
  <c r="F33" i="17"/>
  <c r="E33" i="17"/>
  <c r="D33" i="17"/>
  <c r="B46" i="17"/>
  <c r="F49" i="17"/>
  <c r="E49" i="17"/>
  <c r="D49" i="17"/>
  <c r="E86" i="17"/>
  <c r="D86" i="17"/>
  <c r="B83" i="17"/>
  <c r="F86" i="17"/>
  <c r="B21" i="17"/>
  <c r="F24" i="17"/>
  <c r="E24" i="17"/>
  <c r="D24" i="17"/>
  <c r="E78" i="17"/>
  <c r="D78" i="17"/>
  <c r="B75" i="17"/>
  <c r="F78" i="17"/>
  <c r="B45" i="17"/>
  <c r="F48" i="17"/>
  <c r="E48" i="17"/>
  <c r="D48" i="17"/>
  <c r="B24" i="17"/>
  <c r="F27" i="17"/>
  <c r="E27" i="17"/>
  <c r="D27" i="17"/>
  <c r="B31" i="17"/>
  <c r="F34" i="17"/>
  <c r="E34" i="17"/>
  <c r="D34" i="17"/>
  <c r="B62" i="17"/>
  <c r="F65" i="17"/>
  <c r="E65" i="17"/>
  <c r="D65" i="17"/>
  <c r="B29" i="17"/>
  <c r="F32" i="17"/>
  <c r="E32" i="17"/>
  <c r="D32" i="17"/>
  <c r="B38" i="17"/>
  <c r="F41" i="17"/>
  <c r="E41" i="17"/>
  <c r="D41" i="17"/>
  <c r="D87" i="17"/>
  <c r="B84" i="17"/>
  <c r="F87" i="17"/>
  <c r="E87" i="17"/>
  <c r="D7" i="17"/>
  <c r="F7" i="17"/>
  <c r="B4" i="17"/>
  <c r="E7" i="17"/>
  <c r="F53" i="17"/>
  <c r="E53" i="17"/>
  <c r="D53" i="17"/>
  <c r="B50" i="17"/>
  <c r="F92" i="17"/>
  <c r="E92" i="17"/>
  <c r="D93" i="17"/>
  <c r="B89" i="17"/>
  <c r="F85" i="17"/>
  <c r="E85" i="17"/>
  <c r="D85" i="17"/>
  <c r="B82" i="17"/>
  <c r="B78" i="17"/>
  <c r="F81" i="17"/>
  <c r="E81" i="17"/>
  <c r="D81" i="17"/>
  <c r="D23" i="17"/>
  <c r="B20" i="17"/>
  <c r="F23" i="17"/>
  <c r="E23" i="17"/>
  <c r="B16" i="17"/>
  <c r="F19" i="17"/>
  <c r="E19" i="17"/>
  <c r="D19" i="17"/>
  <c r="D15" i="17"/>
  <c r="B12" i="17"/>
  <c r="F15" i="17"/>
  <c r="E15" i="17"/>
  <c r="F45" i="17"/>
  <c r="E45" i="17"/>
  <c r="D45" i="17"/>
  <c r="B42" i="17"/>
  <c r="F20" i="17"/>
  <c r="E20" i="17"/>
  <c r="D20" i="17"/>
  <c r="B17" i="17"/>
  <c r="F37" i="17"/>
  <c r="E37" i="17"/>
  <c r="D37" i="17"/>
  <c r="B34" i="17"/>
  <c r="F12" i="17"/>
  <c r="E12" i="17"/>
  <c r="D12" i="17"/>
  <c r="B9" i="17"/>
  <c r="B63" i="17"/>
  <c r="F66" i="17"/>
  <c r="E66" i="17"/>
  <c r="D66" i="17"/>
  <c r="F36" i="17"/>
  <c r="E36" i="17"/>
  <c r="D36" i="17"/>
  <c r="B33" i="17"/>
  <c r="B86" i="17"/>
  <c r="F89" i="17"/>
  <c r="E89" i="17"/>
  <c r="D89" i="17"/>
  <c r="B88" i="17"/>
  <c r="F91" i="17"/>
  <c r="E91" i="17"/>
  <c r="D91" i="17"/>
  <c r="F21" i="17"/>
  <c r="E21" i="17"/>
  <c r="D21" i="17"/>
  <c r="B18" i="17"/>
  <c r="B72" i="17"/>
  <c r="F75" i="17"/>
  <c r="E75" i="17"/>
  <c r="D75" i="17"/>
  <c r="B15" i="17"/>
  <c r="F18" i="17"/>
  <c r="E18" i="17"/>
  <c r="D18" i="17"/>
  <c r="B69" i="17"/>
  <c r="F72" i="17"/>
  <c r="E72" i="17"/>
  <c r="D72" i="17"/>
  <c r="B5" i="17"/>
  <c r="F8" i="17"/>
  <c r="E8" i="17"/>
  <c r="D8" i="17"/>
  <c r="B39" i="17"/>
  <c r="F42" i="17"/>
  <c r="E42" i="17"/>
  <c r="D42" i="17"/>
  <c r="B22" i="17"/>
  <c r="F25" i="17"/>
  <c r="E25" i="17"/>
  <c r="D25" i="17"/>
  <c r="B32" i="17"/>
  <c r="F35" i="17"/>
  <c r="E35" i="17"/>
  <c r="D35" i="17"/>
  <c r="E14" i="17"/>
  <c r="D14" i="17"/>
  <c r="B11" i="17"/>
  <c r="F14" i="17"/>
  <c r="F44" i="17"/>
  <c r="E44" i="17"/>
  <c r="D44" i="17"/>
  <c r="B41" i="17"/>
  <c r="E38" i="17"/>
  <c r="D38" i="17"/>
  <c r="B35" i="17"/>
  <c r="F38" i="17"/>
  <c r="F68" i="17"/>
  <c r="E68" i="17"/>
  <c r="D68" i="17"/>
  <c r="B65" i="17"/>
  <c r="B80" i="17"/>
  <c r="F83" i="17"/>
  <c r="E83" i="17"/>
  <c r="D83" i="17"/>
  <c r="B48" i="17"/>
  <c r="F51" i="17"/>
  <c r="E51" i="17"/>
  <c r="D51" i="17"/>
  <c r="B37" i="17"/>
  <c r="F40" i="17"/>
  <c r="E40" i="17"/>
  <c r="D40" i="17"/>
  <c r="B87" i="17"/>
  <c r="F90" i="17"/>
  <c r="E90" i="17"/>
  <c r="D90" i="17"/>
  <c r="B40" i="17"/>
  <c r="F43" i="17"/>
  <c r="E43" i="17"/>
  <c r="D43" i="17"/>
  <c r="E54" i="17"/>
  <c r="D54" i="17"/>
  <c r="B51" i="17"/>
  <c r="F54" i="17"/>
  <c r="D79" i="17"/>
  <c r="B76" i="17"/>
  <c r="F79" i="17"/>
  <c r="E79" i="17"/>
  <c r="D71" i="17"/>
  <c r="B68" i="17"/>
  <c r="F71" i="17"/>
  <c r="E71" i="17"/>
  <c r="B6" i="17"/>
  <c r="F9" i="17"/>
  <c r="E9" i="17"/>
  <c r="D9" i="17"/>
  <c r="B13" i="17"/>
  <c r="F16" i="17"/>
  <c r="E16" i="17"/>
  <c r="D16" i="17"/>
  <c r="F13" i="17"/>
  <c r="E13" i="17"/>
  <c r="D13" i="17"/>
  <c r="B10" i="17"/>
  <c r="F76" i="17"/>
  <c r="E76" i="17"/>
  <c r="D76" i="17"/>
  <c r="B73" i="17"/>
  <c r="B55" i="17"/>
  <c r="F58" i="17"/>
  <c r="E58" i="17"/>
  <c r="D58" i="17"/>
  <c r="F52" i="17"/>
  <c r="E52" i="17"/>
  <c r="D52" i="17"/>
  <c r="B49" i="17"/>
  <c r="B71" i="17"/>
  <c r="F74" i="17"/>
  <c r="E74" i="17"/>
  <c r="D74" i="17"/>
  <c r="F60" i="17"/>
  <c r="E60" i="17"/>
  <c r="D60" i="17"/>
  <c r="B57" i="17"/>
  <c r="E30" i="17"/>
  <c r="D30" i="17"/>
  <c r="B27" i="17"/>
  <c r="F30" i="17"/>
  <c r="E6" i="17"/>
  <c r="D6" i="17"/>
  <c r="F6" i="17"/>
  <c r="F28" i="17"/>
  <c r="E28" i="17"/>
  <c r="D28" i="17"/>
  <c r="B25" i="17"/>
  <c r="B79" i="17"/>
  <c r="F82" i="17"/>
  <c r="E82" i="17"/>
  <c r="D8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C6" authorId="0" shapeId="0" xr:uid="{00000000-0006-0000-0100-000001000000}">
      <text>
        <r>
          <rPr>
            <b/>
            <sz val="9"/>
            <color indexed="81"/>
            <rFont val="Tahoma"/>
            <family val="2"/>
          </rPr>
          <t>Please enter a DEVICE ID in the format TPS650861XX, where XX is any hexadecimal number.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N155" authorId="0" shapeId="0" xr:uid="{00000000-0006-0000-0700-000001000000}">
      <text>
        <r>
          <rPr>
            <b/>
            <sz val="9"/>
            <color indexed="81"/>
            <rFont val="Tahoma"/>
            <family val="2"/>
          </rPr>
          <t>LaRosa, Kevin:</t>
        </r>
        <r>
          <rPr>
            <sz val="9"/>
            <color indexed="81"/>
            <rFont val="Tahoma"/>
            <family val="2"/>
          </rPr>
          <t xml:space="preserve">
set to "yes" because customers shouldn't change</t>
        </r>
      </text>
    </comment>
    <comment ref="N767" authorId="0" shapeId="0" xr:uid="{00000000-0006-0000-0700-000002000000}">
      <text>
        <r>
          <rPr>
            <b/>
            <sz val="9"/>
            <color indexed="81"/>
            <rFont val="Tahoma"/>
            <family val="2"/>
          </rPr>
          <t>LaRosa, Kevin:</t>
        </r>
        <r>
          <rPr>
            <sz val="9"/>
            <color indexed="81"/>
            <rFont val="Tahoma"/>
            <family val="2"/>
          </rPr>
          <t xml:space="preserve">
changed to "yes" because I didn't allow customers to change it</t>
        </r>
      </text>
    </comment>
    <comment ref="N786" authorId="0" shapeId="0" xr:uid="{00000000-0006-0000-0700-000003000000}">
      <text>
        <r>
          <rPr>
            <b/>
            <sz val="9"/>
            <color indexed="81"/>
            <rFont val="Tahoma"/>
            <family val="2"/>
          </rPr>
          <t>LaRosa, Kevin:</t>
        </r>
        <r>
          <rPr>
            <sz val="9"/>
            <color indexed="81"/>
            <rFont val="Tahoma"/>
            <family val="2"/>
          </rPr>
          <t xml:space="preserve">
changed to "yes" because I didn't allow customers to change it</t>
        </r>
      </text>
    </comment>
    <comment ref="N805" authorId="0" shapeId="0" xr:uid="{00000000-0006-0000-0700-000004000000}">
      <text>
        <r>
          <rPr>
            <b/>
            <sz val="9"/>
            <color indexed="81"/>
            <rFont val="Tahoma"/>
            <family val="2"/>
          </rPr>
          <t>LaRosa, Kevin:</t>
        </r>
        <r>
          <rPr>
            <sz val="9"/>
            <color indexed="81"/>
            <rFont val="Tahoma"/>
            <family val="2"/>
          </rPr>
          <t xml:space="preserve">
changed to "yes" because I didn't allow customers to change it</t>
        </r>
      </text>
    </comment>
    <comment ref="V892" authorId="0" shapeId="0" xr:uid="{00000000-0006-0000-0700-000005000000}">
      <text>
        <r>
          <rPr>
            <b/>
            <sz val="9"/>
            <color indexed="81"/>
            <rFont val="Tahoma"/>
            <family val="2"/>
          </rPr>
          <t>LaRosa, Kevin:</t>
        </r>
        <r>
          <rPr>
            <sz val="9"/>
            <color indexed="81"/>
            <rFont val="Tahoma"/>
            <family val="2"/>
          </rPr>
          <t xml:space="preserve">
When copying to real EEPROM file, be sure to update this to link to the first page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LaRosa, Kevin</author>
  </authors>
  <commentList>
    <comment ref="B3" authorId="0" shapeId="0" xr:uid="{00000000-0006-0000-0900-000001000000}">
      <text>
        <r>
          <rPr>
            <b/>
            <sz val="9"/>
            <color indexed="81"/>
            <rFont val="Tahoma"/>
            <family val="2"/>
          </rPr>
          <t>LaRosa, Kevin:</t>
        </r>
        <r>
          <rPr>
            <sz val="9"/>
            <color indexed="81"/>
            <rFont val="Tahoma"/>
            <family val="2"/>
          </rPr>
          <t xml:space="preserve">
To get these to evaluate the first time, need to do CTRL + SHIFT + ENTER</t>
        </r>
      </text>
    </comment>
  </commentList>
</comments>
</file>

<file path=xl/sharedStrings.xml><?xml version="1.0" encoding="utf-8"?>
<sst xmlns="http://schemas.openxmlformats.org/spreadsheetml/2006/main" count="8241" uniqueCount="1577">
  <si>
    <t>VID Value</t>
  </si>
  <si>
    <t>0000000</t>
  </si>
  <si>
    <t>0000001</t>
  </si>
  <si>
    <t>0000010</t>
  </si>
  <si>
    <t>0000011</t>
  </si>
  <si>
    <t>0000100</t>
  </si>
  <si>
    <t>0000101</t>
  </si>
  <si>
    <t>0000110</t>
  </si>
  <si>
    <t>0000111</t>
  </si>
  <si>
    <t>0001000</t>
  </si>
  <si>
    <t>0001001</t>
  </si>
  <si>
    <t>0001010</t>
  </si>
  <si>
    <t>0001011</t>
  </si>
  <si>
    <t>0001100</t>
  </si>
  <si>
    <t>0001101</t>
  </si>
  <si>
    <t>0001110</t>
  </si>
  <si>
    <t>0001111</t>
  </si>
  <si>
    <t>0010000</t>
  </si>
  <si>
    <t>0010001</t>
  </si>
  <si>
    <t>0010010</t>
  </si>
  <si>
    <t>0010011</t>
  </si>
  <si>
    <t>0010100</t>
  </si>
  <si>
    <t>0010101</t>
  </si>
  <si>
    <t>0010110</t>
  </si>
  <si>
    <t>0010111</t>
  </si>
  <si>
    <t>0011000</t>
  </si>
  <si>
    <t>0011001</t>
  </si>
  <si>
    <t>0011010</t>
  </si>
  <si>
    <t>0011011</t>
  </si>
  <si>
    <t>0011100</t>
  </si>
  <si>
    <t>0011101</t>
  </si>
  <si>
    <t>0011110</t>
  </si>
  <si>
    <t>0011111</t>
  </si>
  <si>
    <t>0100000</t>
  </si>
  <si>
    <t>0100001</t>
  </si>
  <si>
    <t>0100010</t>
  </si>
  <si>
    <t>0100011</t>
  </si>
  <si>
    <t>0100100</t>
  </si>
  <si>
    <t>0100101</t>
  </si>
  <si>
    <t>0100110</t>
  </si>
  <si>
    <t>0100111</t>
  </si>
  <si>
    <t>0101000</t>
  </si>
  <si>
    <t>0101001</t>
  </si>
  <si>
    <t>0101010</t>
  </si>
  <si>
    <t>0101011</t>
  </si>
  <si>
    <t>0101100</t>
  </si>
  <si>
    <t>0101101</t>
  </si>
  <si>
    <t>0101110</t>
  </si>
  <si>
    <t>0101111</t>
  </si>
  <si>
    <t>0110000</t>
  </si>
  <si>
    <t>0110001</t>
  </si>
  <si>
    <t>0110010</t>
  </si>
  <si>
    <t>0110011</t>
  </si>
  <si>
    <t>0110100</t>
  </si>
  <si>
    <t>0110101</t>
  </si>
  <si>
    <t>0110110</t>
  </si>
  <si>
    <t>0110111</t>
  </si>
  <si>
    <t>0111000</t>
  </si>
  <si>
    <t>0111001</t>
  </si>
  <si>
    <t>0111010</t>
  </si>
  <si>
    <t>0111011</t>
  </si>
  <si>
    <t>0111100</t>
  </si>
  <si>
    <t>0111101</t>
  </si>
  <si>
    <t>0111110</t>
  </si>
  <si>
    <t>0111111</t>
  </si>
  <si>
    <t>1000000</t>
  </si>
  <si>
    <t>1000001</t>
  </si>
  <si>
    <t>1000010</t>
  </si>
  <si>
    <t>1000011</t>
  </si>
  <si>
    <t>1000100</t>
  </si>
  <si>
    <t>1000101</t>
  </si>
  <si>
    <t>1000110</t>
  </si>
  <si>
    <t>1000111</t>
  </si>
  <si>
    <t>1001000</t>
  </si>
  <si>
    <t>1001001</t>
  </si>
  <si>
    <t>1001010</t>
  </si>
  <si>
    <t>1001011</t>
  </si>
  <si>
    <t>1001100</t>
  </si>
  <si>
    <t>1001101</t>
  </si>
  <si>
    <t>1001110</t>
  </si>
  <si>
    <t>1001111</t>
  </si>
  <si>
    <t>1010000</t>
  </si>
  <si>
    <t>1010001</t>
  </si>
  <si>
    <t>1010010</t>
  </si>
  <si>
    <t>1010011</t>
  </si>
  <si>
    <t>1010100</t>
  </si>
  <si>
    <t>1010101</t>
  </si>
  <si>
    <t>1010110</t>
  </si>
  <si>
    <t>1010111</t>
  </si>
  <si>
    <t>1011000</t>
  </si>
  <si>
    <t>1011001</t>
  </si>
  <si>
    <t>1011010</t>
  </si>
  <si>
    <t>1011011</t>
  </si>
  <si>
    <t>1011100</t>
  </si>
  <si>
    <t>1011101</t>
  </si>
  <si>
    <t>1011110</t>
  </si>
  <si>
    <t>1011111</t>
  </si>
  <si>
    <t>1100000</t>
  </si>
  <si>
    <t>1100001</t>
  </si>
  <si>
    <t>1100010</t>
  </si>
  <si>
    <t>1100011</t>
  </si>
  <si>
    <t>1100100</t>
  </si>
  <si>
    <t>1100101</t>
  </si>
  <si>
    <t>1100110</t>
  </si>
  <si>
    <t>1100111</t>
  </si>
  <si>
    <t>1101000</t>
  </si>
  <si>
    <t>1101001</t>
  </si>
  <si>
    <t>1101010</t>
  </si>
  <si>
    <t>1101011</t>
  </si>
  <si>
    <t>1101100</t>
  </si>
  <si>
    <t>1101101</t>
  </si>
  <si>
    <t>1101110</t>
  </si>
  <si>
    <t>1101111</t>
  </si>
  <si>
    <t>1110000</t>
  </si>
  <si>
    <t>1110001</t>
  </si>
  <si>
    <t>1110010</t>
  </si>
  <si>
    <t>1110011</t>
  </si>
  <si>
    <t>1110100</t>
  </si>
  <si>
    <t>1110101</t>
  </si>
  <si>
    <t>1110110</t>
  </si>
  <si>
    <t>1110111</t>
  </si>
  <si>
    <t>1111000</t>
  </si>
  <si>
    <t>1111001</t>
  </si>
  <si>
    <t>1111010</t>
  </si>
  <si>
    <t>1111011</t>
  </si>
  <si>
    <t>1111100</t>
  </si>
  <si>
    <t>1111101</t>
  </si>
  <si>
    <t>1111110</t>
  </si>
  <si>
    <t>1111111</t>
  </si>
  <si>
    <t>Controllers</t>
  </si>
  <si>
    <t>Step size:</t>
  </si>
  <si>
    <t>25 mV</t>
  </si>
  <si>
    <t>10 mV</t>
  </si>
  <si>
    <t>Vout</t>
  </si>
  <si>
    <t>Converter</t>
  </si>
  <si>
    <t>BUCK1</t>
  </si>
  <si>
    <t>BUCK2</t>
  </si>
  <si>
    <t>BUCK3</t>
  </si>
  <si>
    <t>BUCK4</t>
  </si>
  <si>
    <t>BUCK5</t>
  </si>
  <si>
    <t>BUCK6</t>
  </si>
  <si>
    <t>BUCK3 (alternate)</t>
  </si>
  <si>
    <t>BUCK4 (alternate)</t>
  </si>
  <si>
    <t>BUCK5 (alternate)</t>
  </si>
  <si>
    <t>Purpose:</t>
  </si>
  <si>
    <t>Controller Unique Voltages</t>
  </si>
  <si>
    <t>-</t>
  </si>
  <si>
    <t>BUCK1 Options</t>
  </si>
  <si>
    <t>BUCK2 Options</t>
  </si>
  <si>
    <t>BUCK3 Options</t>
  </si>
  <si>
    <t>BUCK4 Options</t>
  </si>
  <si>
    <t>BUCK5 Options</t>
  </si>
  <si>
    <t>BUCK6 Options</t>
  </si>
  <si>
    <t>Step Size:</t>
  </si>
  <si>
    <t>Default VID</t>
  </si>
  <si>
    <t>4b0101</t>
  </si>
  <si>
    <t>2b00</t>
  </si>
  <si>
    <t>1b0</t>
  </si>
  <si>
    <t>3b000</t>
  </si>
  <si>
    <t>1b1</t>
  </si>
  <si>
    <t>2b11</t>
  </si>
  <si>
    <t>3b111</t>
  </si>
  <si>
    <t>7b0000000</t>
  </si>
  <si>
    <t>4b0000</t>
  </si>
  <si>
    <t>2b01</t>
  </si>
  <si>
    <t>5b00000</t>
  </si>
  <si>
    <t>8b00000000</t>
  </si>
  <si>
    <t>4b1010</t>
  </si>
  <si>
    <t>2b10</t>
  </si>
  <si>
    <t>7b0111000</t>
  </si>
  <si>
    <t>7b1100111</t>
  </si>
  <si>
    <t>7b1001011</t>
  </si>
  <si>
    <t>7b1010110</t>
  </si>
  <si>
    <t>4b1001</t>
  </si>
  <si>
    <t>6b000000</t>
  </si>
  <si>
    <t>3b010</t>
  </si>
  <si>
    <t>3b001</t>
  </si>
  <si>
    <t>3b011</t>
  </si>
  <si>
    <t>4b1000</t>
  </si>
  <si>
    <t>3b100</t>
  </si>
  <si>
    <t>5b10000</t>
  </si>
  <si>
    <t>5b10100</t>
  </si>
  <si>
    <t>5b11000</t>
  </si>
  <si>
    <t>Bitmapping</t>
  </si>
  <si>
    <t>I2C
(hex)</t>
  </si>
  <si>
    <t>Register 
Address (Hex)</t>
  </si>
  <si>
    <t>Register Name</t>
  </si>
  <si>
    <t>Access</t>
  </si>
  <si>
    <t>OTP</t>
  </si>
  <si>
    <t>OTPMap</t>
  </si>
  <si>
    <t>Protection</t>
  </si>
  <si>
    <t>Test skip</t>
  </si>
  <si>
    <t>Space</t>
  </si>
  <si>
    <t>Datasheet</t>
  </si>
  <si>
    <t>0x5E</t>
  </si>
  <si>
    <t>0x00</t>
  </si>
  <si>
    <t>VENDORID</t>
  </si>
  <si>
    <t>RW</t>
  </si>
  <si>
    <t>yes</t>
  </si>
  <si>
    <t>User</t>
  </si>
  <si>
    <t>0x01</t>
  </si>
  <si>
    <t>REVID</t>
  </si>
  <si>
    <t>0x02</t>
  </si>
  <si>
    <t>IRQ</t>
  </si>
  <si>
    <t>no</t>
  </si>
  <si>
    <t>DIETEMP</t>
  </si>
  <si>
    <t>R</t>
  </si>
  <si>
    <t>0x03</t>
  </si>
  <si>
    <t>IRQ_MASK</t>
  </si>
  <si>
    <t xml:space="preserve"> </t>
  </si>
  <si>
    <t>MDIETEMP</t>
  </si>
  <si>
    <t>0x04</t>
  </si>
  <si>
    <t>PMICSTAT</t>
  </si>
  <si>
    <t>SDIETEMP</t>
  </si>
  <si>
    <t>0x05</t>
  </si>
  <si>
    <t>OFFONSRC</t>
  </si>
  <si>
    <t>CRITTEMP</t>
  </si>
  <si>
    <t>OCP</t>
  </si>
  <si>
    <t>UVLO</t>
  </si>
  <si>
    <t>COLDOFF</t>
  </si>
  <si>
    <t>0x20</t>
  </si>
  <si>
    <t>BUCK1CTRL</t>
  </si>
  <si>
    <t>BUCK1_DECAY</t>
  </si>
  <si>
    <t>BUCK1_VID</t>
  </si>
  <si>
    <t>0x21</t>
  </si>
  <si>
    <t>BUCK2CTRL</t>
  </si>
  <si>
    <t>BUCK2_DECAY</t>
  </si>
  <si>
    <t>BUCK2_VID</t>
  </si>
  <si>
    <t>0x22</t>
  </si>
  <si>
    <t>BUCK3CTRL</t>
  </si>
  <si>
    <t>BUCK3_DECAY</t>
  </si>
  <si>
    <t>BUCK3_VID</t>
  </si>
  <si>
    <t>0x23</t>
  </si>
  <si>
    <t>BUCK3SLPEXIT</t>
  </si>
  <si>
    <t>0x24</t>
  </si>
  <si>
    <t>BUCK3SLP</t>
  </si>
  <si>
    <t>BUCK3_SLP_VID</t>
  </si>
  <si>
    <t>0x25</t>
  </si>
  <si>
    <t>BUCK4CTRL</t>
  </si>
  <si>
    <t>BUCK4_EN</t>
  </si>
  <si>
    <t>BUCK4_MODE</t>
  </si>
  <si>
    <t>0x26</t>
  </si>
  <si>
    <t>BUCK5CTRL</t>
  </si>
  <si>
    <t>BUCK5_EN</t>
  </si>
  <si>
    <t>BUCK5_MODE</t>
  </si>
  <si>
    <t>0x27</t>
  </si>
  <si>
    <t>BUCK6CTRL</t>
  </si>
  <si>
    <t>BUCK6_EN</t>
  </si>
  <si>
    <t>BUCK6_MODE</t>
  </si>
  <si>
    <t>0x28</t>
  </si>
  <si>
    <t>ALDO2CTRL</t>
  </si>
  <si>
    <t>0x29</t>
  </si>
  <si>
    <t>ALDO3CTRL</t>
  </si>
  <si>
    <t>0x40</t>
  </si>
  <si>
    <t>DISCHCNT1</t>
  </si>
  <si>
    <t>BUCK1_DIS</t>
  </si>
  <si>
    <t>BUCK2_DIS</t>
  </si>
  <si>
    <t>BUCK3_DIS</t>
  </si>
  <si>
    <t>BUCK4_DIS</t>
  </si>
  <si>
    <t>0x41</t>
  </si>
  <si>
    <t>DISCHCNT2</t>
  </si>
  <si>
    <t>BUCK5_DIS</t>
  </si>
  <si>
    <t>BUCK6_DIS</t>
  </si>
  <si>
    <t>0x42</t>
  </si>
  <si>
    <t>DISCHCNT3</t>
  </si>
  <si>
    <t>0x43</t>
  </si>
  <si>
    <t>POK_DELAY</t>
  </si>
  <si>
    <t>0x90</t>
  </si>
  <si>
    <t>REGLOCK</t>
  </si>
  <si>
    <t>filter1</t>
  </si>
  <si>
    <t>0x91</t>
  </si>
  <si>
    <t>SDWNCTRL</t>
  </si>
  <si>
    <t>0x92</t>
  </si>
  <si>
    <t>BUCK1VSLP</t>
  </si>
  <si>
    <t>0x93</t>
  </si>
  <si>
    <t>BUCK2VSLP</t>
  </si>
  <si>
    <t>0x94</t>
  </si>
  <si>
    <t>BUCK4_VID</t>
  </si>
  <si>
    <t>BUCK4_DECAY</t>
  </si>
  <si>
    <t>0x95</t>
  </si>
  <si>
    <t>BUCK4_VSLP</t>
  </si>
  <si>
    <t>0x96</t>
  </si>
  <si>
    <t>BUCK5_VID</t>
  </si>
  <si>
    <t>BUCK5_DECAY</t>
  </si>
  <si>
    <t>0x97</t>
  </si>
  <si>
    <t>BUCK5_VSLP</t>
  </si>
  <si>
    <t>0x98</t>
  </si>
  <si>
    <t>BUCK6_VID</t>
  </si>
  <si>
    <t>BUCK6_DECAY</t>
  </si>
  <si>
    <t>0x99</t>
  </si>
  <si>
    <t>BUCK6_VSLP</t>
  </si>
  <si>
    <t>0x9A</t>
  </si>
  <si>
    <t>ALDO2_VID</t>
  </si>
  <si>
    <t>0x9B</t>
  </si>
  <si>
    <t>ALDO3_VID</t>
  </si>
  <si>
    <t>0x9C</t>
  </si>
  <si>
    <t>BUCK_PWM_MODE</t>
  </si>
  <si>
    <t>BUCK1_EN</t>
  </si>
  <si>
    <t>BUCK2_EN</t>
  </si>
  <si>
    <t>BUCK3_EN</t>
  </si>
  <si>
    <t>BUCK1_MODE</t>
  </si>
  <si>
    <t>BUCK2_MODE</t>
  </si>
  <si>
    <t>BUCK3_MODE</t>
  </si>
  <si>
    <t>0x9D</t>
  </si>
  <si>
    <t>PWROK_DLY1</t>
  </si>
  <si>
    <t>0x9E</t>
  </si>
  <si>
    <t>PIN_EN_MASK1</t>
  </si>
  <si>
    <t>0x9F</t>
  </si>
  <si>
    <t>PIN_EN_MASK2</t>
  </si>
  <si>
    <t>VTT</t>
  </si>
  <si>
    <t>VTT_EN</t>
  </si>
  <si>
    <t>0xA0</t>
  </si>
  <si>
    <t>PIN_ENABLE1</t>
  </si>
  <si>
    <t>0xA1</t>
  </si>
  <si>
    <t>PIN_ENABLE2</t>
  </si>
  <si>
    <t>0xA2</t>
  </si>
  <si>
    <t>PWR_FAULT_MASK1</t>
  </si>
  <si>
    <t>0xA3</t>
  </si>
  <si>
    <t>PWR_FAULT_MASK2</t>
  </si>
  <si>
    <t>VTT_FLTMSK</t>
  </si>
  <si>
    <t>V5ANA_FLTMSK</t>
  </si>
  <si>
    <t>0xA4</t>
  </si>
  <si>
    <t>RSMRST_CTRL1</t>
  </si>
  <si>
    <t>0xA5</t>
  </si>
  <si>
    <t>RSMRST_CTRL2</t>
  </si>
  <si>
    <t>0xA6</t>
  </si>
  <si>
    <t>DPWROK_CTRL1</t>
  </si>
  <si>
    <t>0xA7</t>
  </si>
  <si>
    <t>DPWROK_CTRL2</t>
  </si>
  <si>
    <t>0xA8</t>
  </si>
  <si>
    <t>DRAMPWROK_CTRL1</t>
  </si>
  <si>
    <t>0xA9</t>
  </si>
  <si>
    <t>DRAMPWROK_CTRL2</t>
  </si>
  <si>
    <t>0xAA</t>
  </si>
  <si>
    <t>COREPWROK_CTRL1</t>
  </si>
  <si>
    <t>0xAB</t>
  </si>
  <si>
    <t>COREPWROK_CTRL2</t>
  </si>
  <si>
    <t>0xAC</t>
  </si>
  <si>
    <t>MISCPWROK_CTRL</t>
  </si>
  <si>
    <t>0xAD</t>
  </si>
  <si>
    <t>STDBY_V5IN_CTRL</t>
  </si>
  <si>
    <t>VTT_DIS</t>
  </si>
  <si>
    <t>0xAE</t>
  </si>
  <si>
    <t>ECLDO_CTRL</t>
  </si>
  <si>
    <t>0xAF</t>
  </si>
  <si>
    <t>BUCK345_OFFSET</t>
  </si>
  <si>
    <t>0xB0</t>
  </si>
  <si>
    <t>PGOOD_STAT1</t>
  </si>
  <si>
    <t>0xB1</t>
  </si>
  <si>
    <t>PGOOD_STAT2</t>
  </si>
  <si>
    <t>0xB2</t>
  </si>
  <si>
    <t>PWR_FLT_STAT1</t>
  </si>
  <si>
    <t>0xB3</t>
  </si>
  <si>
    <t>PWR_FLT_STAT2</t>
  </si>
  <si>
    <t>0xB4</t>
  </si>
  <si>
    <t>TEMPCRIT</t>
  </si>
  <si>
    <t>0xB5</t>
  </si>
  <si>
    <t>TEMPHOT</t>
  </si>
  <si>
    <t>0xB6</t>
  </si>
  <si>
    <t>OVERCURRENT</t>
  </si>
  <si>
    <t>0xB7</t>
  </si>
  <si>
    <t>BUCK1_STATUS</t>
  </si>
  <si>
    <t>0xB8</t>
  </si>
  <si>
    <t>BUCK2_STATUS</t>
  </si>
  <si>
    <t>0xB9</t>
  </si>
  <si>
    <t>BUCK3_STATUS</t>
  </si>
  <si>
    <t>0xBA</t>
  </si>
  <si>
    <t>BUCK4_STATUS</t>
  </si>
  <si>
    <t>0xBB</t>
  </si>
  <si>
    <t>BUCK5_STATUS</t>
  </si>
  <si>
    <t>0xBC</t>
  </si>
  <si>
    <t>BUCK6_STATUS</t>
  </si>
  <si>
    <t>0xBD</t>
  </si>
  <si>
    <t>ALDO23_STATUS</t>
  </si>
  <si>
    <t>0x38</t>
  </si>
  <si>
    <t>TEST_MUX</t>
  </si>
  <si>
    <t>Test</t>
  </si>
  <si>
    <t>DTEST_MUX</t>
  </si>
  <si>
    <t>GLOBAL_OTP_SEL</t>
  </si>
  <si>
    <t>AMUX_IO_TEST</t>
  </si>
  <si>
    <t>0x06</t>
  </si>
  <si>
    <t>DFT_TEST_REG1</t>
  </si>
  <si>
    <t>0x07</t>
  </si>
  <si>
    <t>V1_CTRL_EN1</t>
  </si>
  <si>
    <t>0x08</t>
  </si>
  <si>
    <t>V1_CTRL_EN2</t>
  </si>
  <si>
    <t>0x09</t>
  </si>
  <si>
    <t>V1_CTRL_EN3</t>
  </si>
  <si>
    <t>0x0A</t>
  </si>
  <si>
    <t>V2_CTRL_EN1</t>
  </si>
  <si>
    <t>0x0B</t>
  </si>
  <si>
    <t>V2_CTRL_EN2</t>
  </si>
  <si>
    <t>0x0C</t>
  </si>
  <si>
    <t>V2_CTRL_EN3</t>
  </si>
  <si>
    <t>0x0D</t>
  </si>
  <si>
    <t>V3_CTRL_EN1</t>
  </si>
  <si>
    <t>0x0E</t>
  </si>
  <si>
    <t>V3_CTRL_EN2</t>
  </si>
  <si>
    <t>0x0F</t>
  </si>
  <si>
    <t>V3_CTRL_EN3</t>
  </si>
  <si>
    <t>0x10</t>
  </si>
  <si>
    <t>V4_CTRL_EN1</t>
  </si>
  <si>
    <t>0x11</t>
  </si>
  <si>
    <t>V4_CTRL_EN2</t>
  </si>
  <si>
    <t>0x12</t>
  </si>
  <si>
    <t>V4_CTRL_EN3</t>
  </si>
  <si>
    <t>0x13</t>
  </si>
  <si>
    <t>V5_CTRL_EN1</t>
  </si>
  <si>
    <t>0x14</t>
  </si>
  <si>
    <t>V5_CTRL_EN2</t>
  </si>
  <si>
    <t>0x15</t>
  </si>
  <si>
    <t>V5_CTRL_EN3</t>
  </si>
  <si>
    <t>0x16</t>
  </si>
  <si>
    <t>V6_CTRL_EN1</t>
  </si>
  <si>
    <t>0x17</t>
  </si>
  <si>
    <t>V6_CTRL_EN2</t>
  </si>
  <si>
    <t>0x18</t>
  </si>
  <si>
    <t>V6_CTRL_EN3</t>
  </si>
  <si>
    <t>0x19</t>
  </si>
  <si>
    <t>ALDO1_CTRL_EN1</t>
  </si>
  <si>
    <t>0x1A</t>
  </si>
  <si>
    <t>ALDO1_CTRL_EN2</t>
  </si>
  <si>
    <t>0x1B</t>
  </si>
  <si>
    <t>ALDO1_CTRL_EN3</t>
  </si>
  <si>
    <t>VTT_EN_SEL</t>
  </si>
  <si>
    <t>0x1C</t>
  </si>
  <si>
    <t>ALDO2_CTRL_EN1</t>
  </si>
  <si>
    <t>0x1D</t>
  </si>
  <si>
    <t>ALDO2_CTRL_EN2</t>
  </si>
  <si>
    <t>0x1E</t>
  </si>
  <si>
    <t>ALDO2_CTRL_EN3</t>
  </si>
  <si>
    <t>0x1F</t>
  </si>
  <si>
    <t>ALDO3_CTRL_EN1</t>
  </si>
  <si>
    <t>ALDO3_CTRL_EN2</t>
  </si>
  <si>
    <t>ALDO3_CTRL_EN3</t>
  </si>
  <si>
    <t>BLDO1_CTRL_EN1</t>
  </si>
  <si>
    <t>BLDO1_CTRL_EN2</t>
  </si>
  <si>
    <t>BLDO1_CTRL_EN3</t>
  </si>
  <si>
    <t>BLDO2_CTRL_EN1</t>
  </si>
  <si>
    <t>BLDO2_CTRL_EN2</t>
  </si>
  <si>
    <t>BLDO2_CTRL_EN3</t>
  </si>
  <si>
    <t>OTP_MISC1</t>
  </si>
  <si>
    <t>STANDBY_SEL</t>
  </si>
  <si>
    <t>0x2A</t>
  </si>
  <si>
    <t>OUTPUT_MODE</t>
  </si>
  <si>
    <t>0x2B</t>
  </si>
  <si>
    <t>V1_OTP_CTRL0</t>
  </si>
  <si>
    <t>V1_TRIM_TON</t>
  </si>
  <si>
    <t>V1_TRIM_LS_OCL</t>
  </si>
  <si>
    <t>0x2C</t>
  </si>
  <si>
    <t>V1_OTP_CTRL1</t>
  </si>
  <si>
    <t>0x2D</t>
  </si>
  <si>
    <t>V1_OTP_CTRL2</t>
  </si>
  <si>
    <t>V1_HOP_TRIM</t>
  </si>
  <si>
    <t>V1_VOUT_TRIM</t>
  </si>
  <si>
    <t>0x2E</t>
  </si>
  <si>
    <t>V1_OTP_CTRL3</t>
  </si>
  <si>
    <t>0x2F</t>
  </si>
  <si>
    <t>V1_OTP_CTRL4</t>
  </si>
  <si>
    <t>V1_AZC_DELAY_TRIM</t>
  </si>
  <si>
    <t>0x30</t>
  </si>
  <si>
    <t>V1_OTP_CTRL5</t>
  </si>
  <si>
    <t>V1_CAUX_VDC</t>
  </si>
  <si>
    <t>0x31</t>
  </si>
  <si>
    <t>V2_OTP_CTRL0</t>
  </si>
  <si>
    <t>V2_TRIM_TON</t>
  </si>
  <si>
    <t>V2_TRIM_LS_OCL</t>
  </si>
  <si>
    <t>0x32</t>
  </si>
  <si>
    <t>V2_OTP_CTRL1</t>
  </si>
  <si>
    <t>0x33</t>
  </si>
  <si>
    <t>V2_OTP_CTRL2</t>
  </si>
  <si>
    <t>V2_HOP_TRIM</t>
  </si>
  <si>
    <t>V2_VOUT_TRIM</t>
  </si>
  <si>
    <t>0x34</t>
  </si>
  <si>
    <t>V2_OTP_CTRL3</t>
  </si>
  <si>
    <t>0x35</t>
  </si>
  <si>
    <t>V2_OTP_CTRL4</t>
  </si>
  <si>
    <t>V2_AZC_DELAY_TRIM</t>
  </si>
  <si>
    <t>0x36</t>
  </si>
  <si>
    <t>V2_OTP_CTRL5</t>
  </si>
  <si>
    <t>V2_CAUX_VDC</t>
  </si>
  <si>
    <t>0x37</t>
  </si>
  <si>
    <t>V6_OTP_CTRL0</t>
  </si>
  <si>
    <t>V6_TRIM_TON</t>
  </si>
  <si>
    <t>V6_TRIM_LS_OCL</t>
  </si>
  <si>
    <t>V6_OTP_CTRL1</t>
  </si>
  <si>
    <t>0x39</t>
  </si>
  <si>
    <t>V6_OTP_CTRL2</t>
  </si>
  <si>
    <t>V6_HOP_TRIM</t>
  </si>
  <si>
    <t>V6_VOUT_TRIM</t>
  </si>
  <si>
    <t>0x3A</t>
  </si>
  <si>
    <t>V6_OTP_CTRL3</t>
  </si>
  <si>
    <t>0x3B</t>
  </si>
  <si>
    <t>V6_OTP_CTRL4</t>
  </si>
  <si>
    <t>V6_AZC_DELAY_TRIM</t>
  </si>
  <si>
    <t>0x3C</t>
  </si>
  <si>
    <t>V6_OTP_CTRL5</t>
  </si>
  <si>
    <t>V6_CAUX_VDC</t>
  </si>
  <si>
    <t>0x3D</t>
  </si>
  <si>
    <t>V126_TEST1</t>
  </si>
  <si>
    <t>0x3E</t>
  </si>
  <si>
    <t>V126_TEST2</t>
  </si>
  <si>
    <t>0x3F</t>
  </si>
  <si>
    <t>V126_TEST3</t>
  </si>
  <si>
    <t>V126_TESTMUX</t>
  </si>
  <si>
    <t>V3_OTP_CTRL1</t>
  </si>
  <si>
    <t>V3_PG_TRIM</t>
  </si>
  <si>
    <t>V3_MOD_TRIM</t>
  </si>
  <si>
    <t>V3_OTP_CTRL2</t>
  </si>
  <si>
    <t>V3_OVPG_TRIM</t>
  </si>
  <si>
    <t>V3_UVPG_TRIM</t>
  </si>
  <si>
    <t>V3_OTP_CTRL3</t>
  </si>
  <si>
    <t>V3_LSDLIM_TRIM</t>
  </si>
  <si>
    <t>V3_HSDLIM_TRIM</t>
  </si>
  <si>
    <t>0x44</t>
  </si>
  <si>
    <t>V3_OTP_CTRL4</t>
  </si>
  <si>
    <t>V3_PFM2PWM</t>
  </si>
  <si>
    <t>0x45</t>
  </si>
  <si>
    <t>V4_OTP_CTRL1</t>
  </si>
  <si>
    <t>V4_PG_TRIM</t>
  </si>
  <si>
    <t>V4_MOD_TRIM</t>
  </si>
  <si>
    <t>0x46</t>
  </si>
  <si>
    <t>V4_OTP_CTRL2</t>
  </si>
  <si>
    <t>V4_OVPG_TRIM</t>
  </si>
  <si>
    <t>V4_UVPG_TRIM</t>
  </si>
  <si>
    <t>0x47</t>
  </si>
  <si>
    <t>V4_OTP_CTRL3</t>
  </si>
  <si>
    <t>V4_LSDLIM_TRIM</t>
  </si>
  <si>
    <t>V4_HSDLIM_TRIM</t>
  </si>
  <si>
    <t>0x48</t>
  </si>
  <si>
    <t>V4_OTP_CTRL4</t>
  </si>
  <si>
    <t>V4_PFM2PWM</t>
  </si>
  <si>
    <t>0x49</t>
  </si>
  <si>
    <t>V5_OTP_CTRL1</t>
  </si>
  <si>
    <t>V5_PG_TRIM</t>
  </si>
  <si>
    <t>V5_MOD_TRIM</t>
  </si>
  <si>
    <t>0x4A</t>
  </si>
  <si>
    <t>V5_OTP_CTRL2</t>
  </si>
  <si>
    <t>V5_OVPG_TRIM</t>
  </si>
  <si>
    <t>V5_UVPG_TRIM</t>
  </si>
  <si>
    <t>0x4B</t>
  </si>
  <si>
    <t>V5_OTP_CTRL3</t>
  </si>
  <si>
    <t>V5_LSDLIM_TRIM</t>
  </si>
  <si>
    <t>V5_HSDLIM_TRIM</t>
  </si>
  <si>
    <t>0x4C</t>
  </si>
  <si>
    <t>V5_OTP_CTRL4</t>
  </si>
  <si>
    <t>V5_PFM2PWM</t>
  </si>
  <si>
    <t>0x4D</t>
  </si>
  <si>
    <t>ALDO2_OTP_CTRL0</t>
  </si>
  <si>
    <t>ALDO2_VREF_TRIM</t>
  </si>
  <si>
    <t>ALDO2_UVPG_TRIM</t>
  </si>
  <si>
    <t>ALDO2_OVPG_TRIM</t>
  </si>
  <si>
    <t>0x4E</t>
  </si>
  <si>
    <t>ALDO3_OTP_CTRL0</t>
  </si>
  <si>
    <t>ALDO3_VREF_TRIM</t>
  </si>
  <si>
    <t>ALDO3_UVPG_TRIM</t>
  </si>
  <si>
    <t>ALDO3_OVPG_TRIM</t>
  </si>
  <si>
    <t>0x4F</t>
  </si>
  <si>
    <t>ECALDO_OTP_CTRL0</t>
  </si>
  <si>
    <t>ECLDO_OVPG_TRIM</t>
  </si>
  <si>
    <t>ECLDO_UVPG_TRIM</t>
  </si>
  <si>
    <t>ECLDO_VREF_TRIM</t>
  </si>
  <si>
    <t>0x50</t>
  </si>
  <si>
    <t>SWITCH_OTP_CTRL0</t>
  </si>
  <si>
    <t>SWA1_UVPG_TRIM</t>
  </si>
  <si>
    <t>SWA1_OVPG_TRIM</t>
  </si>
  <si>
    <t>SWB1_UVPG_TRIM</t>
  </si>
  <si>
    <t>SWB1_OVPG_TRIM</t>
  </si>
  <si>
    <t>0x51</t>
  </si>
  <si>
    <t>V345_TEST</t>
  </si>
  <si>
    <t>0x52</t>
  </si>
  <si>
    <t>VTT_TRIM1</t>
  </si>
  <si>
    <t>VTT_VREF</t>
  </si>
  <si>
    <t>0x53</t>
  </si>
  <si>
    <t>VTT_TRIM2</t>
  </si>
  <si>
    <t>SWB2_UVPG_TRIM</t>
  </si>
  <si>
    <t>SWB2_OVPG_TRIM</t>
  </si>
  <si>
    <t>0x54</t>
  </si>
  <si>
    <t>REFSYS_TRIM1</t>
  </si>
  <si>
    <t>Bandgap trim value</t>
  </si>
  <si>
    <t>IBCTRIM</t>
  </si>
  <si>
    <t>Constant current source trimming</t>
  </si>
  <si>
    <t>0x55</t>
  </si>
  <si>
    <t>REFSYS_TRIM2</t>
  </si>
  <si>
    <t>VREFTRIM</t>
  </si>
  <si>
    <t>0x56</t>
  </si>
  <si>
    <t>REFSYS_TRIM3</t>
  </si>
  <si>
    <t>OSCTRIM</t>
  </si>
  <si>
    <t>0x57</t>
  </si>
  <si>
    <t>INTLDO_TRIM</t>
  </si>
  <si>
    <t>LDO3</t>
  </si>
  <si>
    <t>LDO5</t>
  </si>
  <si>
    <t>0x58</t>
  </si>
  <si>
    <t>TSHUT_ENABLE</t>
  </si>
  <si>
    <t>0x59</t>
  </si>
  <si>
    <t>TSHUT_TEST</t>
  </si>
  <si>
    <t>0x5A</t>
  </si>
  <si>
    <t>LDO_TEST1</t>
  </si>
  <si>
    <t>0x5B</t>
  </si>
  <si>
    <t>LDO_TEST2</t>
  </si>
  <si>
    <t>0x5C</t>
  </si>
  <si>
    <t>DEVICE_ID1</t>
  </si>
  <si>
    <t>0x5D</t>
  </si>
  <si>
    <t>DEVICE_ID2</t>
  </si>
  <si>
    <t>PGD_DLY_DGBYP</t>
  </si>
  <si>
    <t>0x5F</t>
  </si>
  <si>
    <t>I2C_SLAVE_ADDR</t>
  </si>
  <si>
    <t>OTP Name:</t>
  </si>
  <si>
    <t>OTP Version:</t>
  </si>
  <si>
    <t>4b0001</t>
  </si>
  <si>
    <t>Decay</t>
  </si>
  <si>
    <t>DVS</t>
  </si>
  <si>
    <t>Decay or DVS Down:</t>
  </si>
  <si>
    <t>VTT LDO</t>
  </si>
  <si>
    <t>LDOA1</t>
  </si>
  <si>
    <t>LDOA2</t>
  </si>
  <si>
    <t>LDOA3</t>
  </si>
  <si>
    <t>Yes</t>
  </si>
  <si>
    <t>No</t>
  </si>
  <si>
    <t>Force PWM</t>
  </si>
  <si>
    <t>Auto</t>
  </si>
  <si>
    <t>Force PWM or Auto?</t>
  </si>
  <si>
    <t>CTL1</t>
  </si>
  <si>
    <t>CTL2</t>
  </si>
  <si>
    <t>CTL3</t>
  </si>
  <si>
    <t>CTL4</t>
  </si>
  <si>
    <t>CTL5</t>
  </si>
  <si>
    <t>CTL6</t>
  </si>
  <si>
    <t>3b110</t>
  </si>
  <si>
    <t>CTL3 &amp; CTL4</t>
  </si>
  <si>
    <t>3b101</t>
  </si>
  <si>
    <t>PINEN selects</t>
  </si>
  <si>
    <t>SWA1</t>
  </si>
  <si>
    <t>SWB1</t>
  </si>
  <si>
    <t>SWB2</t>
  </si>
  <si>
    <t>LDOA2 (alternate)</t>
  </si>
  <si>
    <t>LDOA3 (alternate)</t>
  </si>
  <si>
    <t>Merge SWB1 and SWB2:</t>
  </si>
  <si>
    <t>LDO EC</t>
  </si>
  <si>
    <t>LDO A2</t>
  </si>
  <si>
    <t>LDO A3</t>
  </si>
  <si>
    <t>VSEL&lt;3:0&gt;</t>
  </si>
  <si>
    <t>VOUT</t>
  </si>
  <si>
    <t>0000</t>
  </si>
  <si>
    <t>0001</t>
  </si>
  <si>
    <t>0010</t>
  </si>
  <si>
    <t>0011</t>
  </si>
  <si>
    <t>0100</t>
  </si>
  <si>
    <t>0101</t>
  </si>
  <si>
    <t>0110</t>
  </si>
  <si>
    <t>0111</t>
  </si>
  <si>
    <t>1000</t>
  </si>
  <si>
    <t>1001</t>
  </si>
  <si>
    <t>1010</t>
  </si>
  <si>
    <t>1011</t>
  </si>
  <si>
    <t>1100</t>
  </si>
  <si>
    <t>1101</t>
  </si>
  <si>
    <t>1110</t>
  </si>
  <si>
    <t>1111</t>
  </si>
  <si>
    <t>GPO1</t>
  </si>
  <si>
    <t>GPO2</t>
  </si>
  <si>
    <t>GPO3</t>
  </si>
  <si>
    <t>GPO4</t>
  </si>
  <si>
    <t>VTT Options</t>
  </si>
  <si>
    <t>GPO1,2 options</t>
  </si>
  <si>
    <t>Rising Delay</t>
  </si>
  <si>
    <t>No Delay</t>
  </si>
  <si>
    <t>2 ms</t>
  </si>
  <si>
    <t>4 ms</t>
  </si>
  <si>
    <t>8 ms</t>
  </si>
  <si>
    <t>16 ms</t>
  </si>
  <si>
    <t>24 ms</t>
  </si>
  <si>
    <t>32 ms</t>
  </si>
  <si>
    <t>64 ms</t>
  </si>
  <si>
    <t>Falling Delay</t>
  </si>
  <si>
    <t>GPO1 delays</t>
  </si>
  <si>
    <t>5 ms</t>
  </si>
  <si>
    <t>10 ms</t>
  </si>
  <si>
    <t>15 ms</t>
  </si>
  <si>
    <t>GPO3 delays</t>
  </si>
  <si>
    <t>20 ms</t>
  </si>
  <si>
    <t>50 ms</t>
  </si>
  <si>
    <t>75 ms</t>
  </si>
  <si>
    <t>100 ms</t>
  </si>
  <si>
    <t>GPO2 and GPO4 delays</t>
  </si>
  <si>
    <t>2.5 ms</t>
  </si>
  <si>
    <t>Regulator Delays</t>
  </si>
  <si>
    <t>100 Ohm</t>
  </si>
  <si>
    <t>200 Ohm</t>
  </si>
  <si>
    <t>500 Ohm</t>
  </si>
  <si>
    <t>SWB2 discharge</t>
  </si>
  <si>
    <t>SWA1 PG Voltage:</t>
  </si>
  <si>
    <t>1.8 V</t>
  </si>
  <si>
    <t>2.5 V</t>
  </si>
  <si>
    <t>3.3 V</t>
  </si>
  <si>
    <t>1.5 V</t>
  </si>
  <si>
    <t>LS PG Options</t>
  </si>
  <si>
    <t>Sleep1</t>
  </si>
  <si>
    <t>Sleep2</t>
  </si>
  <si>
    <t>Sleep3</t>
  </si>
  <si>
    <t>Sleep4</t>
  </si>
  <si>
    <t>Sleep5</t>
  </si>
  <si>
    <t>Sleep6</t>
  </si>
  <si>
    <t>SleepA2</t>
  </si>
  <si>
    <t>SleepA3</t>
  </si>
  <si>
    <t>Open Drain</t>
  </si>
  <si>
    <t>Push Pull</t>
  </si>
  <si>
    <t>Ext FB</t>
  </si>
  <si>
    <t>Long PN</t>
  </si>
  <si>
    <t>Vtt discharge</t>
  </si>
  <si>
    <t>Force Disabled
 by default?</t>
  </si>
  <si>
    <t>GPO options</t>
  </si>
  <si>
    <t>Power good</t>
  </si>
  <si>
    <t>I2C</t>
  </si>
  <si>
    <t>Default state if I2C</t>
  </si>
  <si>
    <t>High</t>
  </si>
  <si>
    <t>Low</t>
  </si>
  <si>
    <t>Mode</t>
  </si>
  <si>
    <t>GPO</t>
  </si>
  <si>
    <t>VTT_EN_MSK</t>
  </si>
  <si>
    <t>LDOA1 in sequence:</t>
  </si>
  <si>
    <t>Emergency Shutdown</t>
  </si>
  <si>
    <t>SHDN Duration</t>
  </si>
  <si>
    <t>TRIM Name</t>
  </si>
  <si>
    <t>Trim comment</t>
  </si>
  <si>
    <t>Units</t>
  </si>
  <si>
    <t>V</t>
  </si>
  <si>
    <t>uA</t>
  </si>
  <si>
    <t>Internal 2.25Mhz oscillator trim</t>
  </si>
  <si>
    <t>MHz</t>
  </si>
  <si>
    <t xml:space="preserve"> LDO3V vout</t>
  </si>
  <si>
    <t xml:space="preserve"> LDO5V vout</t>
  </si>
  <si>
    <t>ALDO2 Output trim</t>
  </si>
  <si>
    <t>ALDO3 Output trim</t>
  </si>
  <si>
    <t>ECLDO Output trim</t>
  </si>
  <si>
    <t>Under voltage trim</t>
  </si>
  <si>
    <t>%</t>
  </si>
  <si>
    <t>Over voltage trim</t>
  </si>
  <si>
    <t>Low side over current limit</t>
  </si>
  <si>
    <t>Minimum on time</t>
  </si>
  <si>
    <t>ns</t>
  </si>
  <si>
    <t>VOUT trim bits</t>
  </si>
  <si>
    <t>CAUX Trim</t>
  </si>
  <si>
    <t>Startup monitor trim</t>
  </si>
  <si>
    <t>Output voltage trim</t>
  </si>
  <si>
    <t>Low side current limit</t>
  </si>
  <si>
    <t>A</t>
  </si>
  <si>
    <t>High side current limit</t>
  </si>
  <si>
    <t>Caprio Trim</t>
  </si>
  <si>
    <t>Trim Target</t>
  </si>
  <si>
    <t>On by default</t>
  </si>
  <si>
    <t>LS PG Options SWB2</t>
  </si>
  <si>
    <t>Ignore GPO1</t>
  </si>
  <si>
    <t>CTL3/6 Options</t>
  </si>
  <si>
    <t>SWB1_EN</t>
  </si>
  <si>
    <t>                   {group: '</t>
  </si>
  <si>
    <t>},</t>
  </si>
  <si>
    <t>Bits</t>
  </si>
  <si>
    <t>Name</t>
  </si>
  <si>
    <t>Value</t>
  </si>
  <si>
    <t>OTP_VERSION</t>
  </si>
  <si>
    <t>PART_NUMBER</t>
  </si>
  <si>
    <t>Row</t>
  </si>
  <si>
    <t>BUCK3VID</t>
  </si>
  <si>
    <t>BUCK3DECAY</t>
  </si>
  <si>
    <t>BUCK3SLPCTRL</t>
  </si>
  <si>
    <t>BUCK3_SLP_EN</t>
  </si>
  <si>
    <t>BUCK4_SLP_EN</t>
  </si>
  <si>
    <t>OTP_RSVD_5E_25_32</t>
  </si>
  <si>
    <t>OTP_RSVD_5E_26_32</t>
  </si>
  <si>
    <t>BUCK5_SLP_EN</t>
  </si>
  <si>
    <t>BUCK6_SLP_EN</t>
  </si>
  <si>
    <t>OTP_RSVD_5E_27_32</t>
  </si>
  <si>
    <t>LDOA2CTRL</t>
  </si>
  <si>
    <t>LDOA2_DIS</t>
  </si>
  <si>
    <t>OTP_RSVD_5E_28_1</t>
  </si>
  <si>
    <t>OTP_RSVD_5E_28_32</t>
  </si>
  <si>
    <t>LDOA2_SLP_EN</t>
  </si>
  <si>
    <t>LDOA3CTRL</t>
  </si>
  <si>
    <t>LDOA3_DIS</t>
  </si>
  <si>
    <t>LDOA3_SLP_EN</t>
  </si>
  <si>
    <t>OTP_RSVD_5E_29_1</t>
  </si>
  <si>
    <t>DISCHCTRL1</t>
  </si>
  <si>
    <t>BUCK1_DISCHG</t>
  </si>
  <si>
    <t>BUCK2_DISCHG</t>
  </si>
  <si>
    <t>BUCK3_DISCHG</t>
  </si>
  <si>
    <t>BUCK4_DISCHG</t>
  </si>
  <si>
    <t>DISCHCTRL2</t>
  </si>
  <si>
    <t>LDOA2_DISCHG</t>
  </si>
  <si>
    <t>SWA1_DISCHG</t>
  </si>
  <si>
    <t>BUCK6_DISCHG</t>
  </si>
  <si>
    <t>BUCK5_DISCHG</t>
  </si>
  <si>
    <t>DISCHCTRL3</t>
  </si>
  <si>
    <t>LDOA3_DISCHG</t>
  </si>
  <si>
    <t>SWB1_DISCHG</t>
  </si>
  <si>
    <t>SWB2_DISCHG</t>
  </si>
  <si>
    <t>OTP_RSVD_5E_42_76</t>
  </si>
  <si>
    <t>PG_DELAY1</t>
  </si>
  <si>
    <t>GPO3_PG_DELAY</t>
  </si>
  <si>
    <t>BUCK1SLPCTRL</t>
  </si>
  <si>
    <t>BUCK1_SLP_VID</t>
  </si>
  <si>
    <t>BUCK1_SLP_EN</t>
  </si>
  <si>
    <t>BUCK2SLPCTRL</t>
  </si>
  <si>
    <t>BUCK2_SLP_EN</t>
  </si>
  <si>
    <t>BUCK2_SLP_VID</t>
  </si>
  <si>
    <t>BUCK4VID</t>
  </si>
  <si>
    <t>BUCK4SLPVID</t>
  </si>
  <si>
    <t>OTP_RSVD_5E_95_0</t>
  </si>
  <si>
    <t>BUCK4_SLP_VID</t>
  </si>
  <si>
    <t>BUCK5VID</t>
  </si>
  <si>
    <t>BUCK5SLPVID</t>
  </si>
  <si>
    <t>BUCK5_SLP_VID</t>
  </si>
  <si>
    <t>BUCK6VID</t>
  </si>
  <si>
    <t>BUCK6SLPVID</t>
  </si>
  <si>
    <t>BUCK6_SLP_VID</t>
  </si>
  <si>
    <t>OTP_RSVD_5E_97_0</t>
  </si>
  <si>
    <t>OTP_RSVD_5E_99_0</t>
  </si>
  <si>
    <t>LDOA2VID</t>
  </si>
  <si>
    <t>LDOA2_VID</t>
  </si>
  <si>
    <t>LDOA2_SLP_VID</t>
  </si>
  <si>
    <t>LDOA3VID</t>
  </si>
  <si>
    <t>LDOA3_VID</t>
  </si>
  <si>
    <t>LDOA3_SLP_VID</t>
  </si>
  <si>
    <t>BUCK123CTRL</t>
  </si>
  <si>
    <t>SPARE_5E_9C_76</t>
  </si>
  <si>
    <t>SPARE_5E_22_7654321</t>
  </si>
  <si>
    <t>PG_DELAY2</t>
  </si>
  <si>
    <t>GPO2_PG_DELAY</t>
  </si>
  <si>
    <t>GPO4_PG_DELAY</t>
  </si>
  <si>
    <t>GPO1_PG_DELAY</t>
  </si>
  <si>
    <t>OTP_RSVD_5E_9E_0</t>
  </si>
  <si>
    <t>OTP_RSVD_5E_9E_1</t>
  </si>
  <si>
    <t>OTP_RSVD_5E_9E_2</t>
  </si>
  <si>
    <t>OTP_RSVD_5E_9E_3</t>
  </si>
  <si>
    <t>OTP_RSVD_5E_9E_4</t>
  </si>
  <si>
    <t>OTP_RSVD_5E_9E_5</t>
  </si>
  <si>
    <t>OTP_RSVD_5E_9E_6</t>
  </si>
  <si>
    <t>OTP_RSVD_5E_9E_7</t>
  </si>
  <si>
    <t>OTP_RSVD_5E_9E</t>
  </si>
  <si>
    <t>SWVTT_DIS</t>
  </si>
  <si>
    <t>OTP_RSVD_5E_9F_0</t>
  </si>
  <si>
    <t>OTP_RSVD_5E_9F_1</t>
  </si>
  <si>
    <t>OTP_RSVD_5E_9F_2</t>
  </si>
  <si>
    <t>OTP_RSVD_5E_9F_3</t>
  </si>
  <si>
    <t>SWA1_DIS</t>
  </si>
  <si>
    <t>SWB1_DIS</t>
  </si>
  <si>
    <t>I2C_RAIL_EN1</t>
  </si>
  <si>
    <t>SWA1_EN</t>
  </si>
  <si>
    <t>LDOA2_EN</t>
  </si>
  <si>
    <t>I2C_RAIL_EN2</t>
  </si>
  <si>
    <t>LDOA3_EN</t>
  </si>
  <si>
    <t>LDOA1_SWB2_EN</t>
  </si>
  <si>
    <t>GPO1_LVL</t>
  </si>
  <si>
    <t>GPO2_LVL</t>
  </si>
  <si>
    <t>GPO3_LVL</t>
  </si>
  <si>
    <t>GPO4_LVL</t>
  </si>
  <si>
    <t>BUCK1_FLTMSK</t>
  </si>
  <si>
    <t>BUCK2_FLTMSK</t>
  </si>
  <si>
    <t>BUCK3_FLTMSK</t>
  </si>
  <si>
    <t>BUCK4_FLTMSK</t>
  </si>
  <si>
    <t>BUCK5_FLTMSK</t>
  </si>
  <si>
    <t>BUCK6_FLTMSK</t>
  </si>
  <si>
    <t>SWA1_FLTMSK</t>
  </si>
  <si>
    <t>LDOA2_FLTMSK</t>
  </si>
  <si>
    <t>LDOA3_FLTMSK</t>
  </si>
  <si>
    <t>SWB1_FLTMSK</t>
  </si>
  <si>
    <t>SWB2_FLTMSK</t>
  </si>
  <si>
    <t>LDOA1_FLTMSK</t>
  </si>
  <si>
    <t>OTP_RSVD_5E_A3_6</t>
  </si>
  <si>
    <t>OTP_RSVD_5E_A3_7</t>
  </si>
  <si>
    <t>GPO1PG_CTRL1</t>
  </si>
  <si>
    <t>SWA1_GPO1_MSK</t>
  </si>
  <si>
    <t>BUCK1_GPO1_MSK</t>
  </si>
  <si>
    <t>BUCK2_GPO1_MSK</t>
  </si>
  <si>
    <t>BUCK3_GPO1_MSK</t>
  </si>
  <si>
    <t>BUCK4_GPO1_MSK</t>
  </si>
  <si>
    <t>BUCK5_GPO1_MSK</t>
  </si>
  <si>
    <t>BUCK6_GPO1_MSK</t>
  </si>
  <si>
    <t>LDOA2_GPO1_MSK</t>
  </si>
  <si>
    <t>LDOA3_GPO1_MSK</t>
  </si>
  <si>
    <t>SWB1_GPO1_MSK</t>
  </si>
  <si>
    <t>VTT_GPO1_MSK</t>
  </si>
  <si>
    <t>CTL1_GPO1_MSK</t>
  </si>
  <si>
    <t>CTL2_GPO1_MSK</t>
  </si>
  <si>
    <t>CTL4_GPO1_MSK</t>
  </si>
  <si>
    <t>CTL5_GPO1_MSK</t>
  </si>
  <si>
    <t>GPO1PG_CTRL2</t>
  </si>
  <si>
    <t>GPO2PG_CTRL1</t>
  </si>
  <si>
    <t>BUCK1_GPO2_MSK</t>
  </si>
  <si>
    <t>BUCK2_GPO2_MSK</t>
  </si>
  <si>
    <t>BUCK3_GPO2_MSK</t>
  </si>
  <si>
    <t>BUCK4_GPO2_MSK</t>
  </si>
  <si>
    <t>BUCK5_GPO2_MSK</t>
  </si>
  <si>
    <t>BUCK6_GPO2_MSK</t>
  </si>
  <si>
    <t>SWA1_GPO2_MSK</t>
  </si>
  <si>
    <t>LDOA2_GPO2_MSK</t>
  </si>
  <si>
    <t>GPO2PG_CTRL2</t>
  </si>
  <si>
    <t>LDOA3_GPO2_MSK</t>
  </si>
  <si>
    <t>SWB1_GPO2_MSK</t>
  </si>
  <si>
    <t>VTT_GPO2_MSK</t>
  </si>
  <si>
    <t>CTL1_GPO2_MSK</t>
  </si>
  <si>
    <t>CTL2_GPO2_MSK</t>
  </si>
  <si>
    <t>CTL4_GPO2_MSK</t>
  </si>
  <si>
    <t>CTL5_GPO2_MSK</t>
  </si>
  <si>
    <t>GPO4PG_CTRL1</t>
  </si>
  <si>
    <t>BUCK1_GPO4_MSK</t>
  </si>
  <si>
    <t>BUCK2_GPO4_MSK</t>
  </si>
  <si>
    <t>BUCK3_GPO4_MSK</t>
  </si>
  <si>
    <t>BUCK4_GPO4_MSK</t>
  </si>
  <si>
    <t>BUCK5_GPO4_MSK</t>
  </si>
  <si>
    <t>BUCK6_GPO4_MSK</t>
  </si>
  <si>
    <t>SWA1_GPO4_MSK</t>
  </si>
  <si>
    <t>LDOA2_GPO4_MSK</t>
  </si>
  <si>
    <t>GPO4PG_CTRL2</t>
  </si>
  <si>
    <t>LDOA3_GPO4_MSK</t>
  </si>
  <si>
    <t>SWB1_GPO4_MSK</t>
  </si>
  <si>
    <t>VTT_GPO4_MSK</t>
  </si>
  <si>
    <t>CTL1_GPO4_MSK</t>
  </si>
  <si>
    <t>CTL2_GPO4_MSK</t>
  </si>
  <si>
    <t>CTL4_GPO4_MSK</t>
  </si>
  <si>
    <t>CTL5_GPO4_MSK</t>
  </si>
  <si>
    <t>GPO3PG_CTRL1</t>
  </si>
  <si>
    <t>BUCK1_GPO3_MSK</t>
  </si>
  <si>
    <t>BUCK2_GPO3_MSK</t>
  </si>
  <si>
    <t>BUCK3_GPO3_MSK</t>
  </si>
  <si>
    <t>BUCK4_GPO3_MSK</t>
  </si>
  <si>
    <t>BUCK5_GPO3_MSK</t>
  </si>
  <si>
    <t>BUCK6_GPO3_MSK</t>
  </si>
  <si>
    <t>SWA1_GPO3_MSK</t>
  </si>
  <si>
    <t>LDOA2_GPO3_MSK</t>
  </si>
  <si>
    <t>GPO3PG_CTRL2</t>
  </si>
  <si>
    <t>LDOA3_GPO3_MSK</t>
  </si>
  <si>
    <t>SWB1_GPO3_MSK</t>
  </si>
  <si>
    <t>VTT_GPO3_MSK</t>
  </si>
  <si>
    <t>CTL1_GPO3_MSK</t>
  </si>
  <si>
    <t>CTL2_GPO3_MSK</t>
  </si>
  <si>
    <t>CTL4_GPO3_MSK</t>
  </si>
  <si>
    <t>CTL5_GPO3_MSK</t>
  </si>
  <si>
    <t>MISCSYSPG</t>
  </si>
  <si>
    <t>CTL3_GPO1_MSK</t>
  </si>
  <si>
    <t>CTL6_GPO1_MSK</t>
  </si>
  <si>
    <t>CTL3_GPO4_MSK</t>
  </si>
  <si>
    <t>CTL6_GPO4_MSK</t>
  </si>
  <si>
    <t>CTL3_GPO2_MSK</t>
  </si>
  <si>
    <t>CTL6_GPO2_MSK</t>
  </si>
  <si>
    <t>CTL3_GPO3_MSK</t>
  </si>
  <si>
    <t>CTL6_GPO3_MSK</t>
  </si>
  <si>
    <t>OTP_RSVD_5E_AD_10</t>
  </si>
  <si>
    <t>OTP_RSVD_5E_AD_32</t>
  </si>
  <si>
    <t>VTT_DISCHG</t>
  </si>
  <si>
    <t>OTP_RSVD_5E_AD_5</t>
  </si>
  <si>
    <t>OTP_RSVD_5E_AD_6</t>
  </si>
  <si>
    <t>OTP_RSVD_5E_AD_7</t>
  </si>
  <si>
    <t>SWB2_LDOA1_DIS</t>
  </si>
  <si>
    <t>SWB2_LDOA1_EN</t>
  </si>
  <si>
    <t>SWB2_LDOA1_GPO1_MSK</t>
  </si>
  <si>
    <t>SWB2_LDOA1_GPO2_MSK</t>
  </si>
  <si>
    <t>SWB2_LDOA1_GPO4_MSK</t>
  </si>
  <si>
    <t>SWB2_LDOA1_GPO3_MSK</t>
  </si>
  <si>
    <t>LDOA1_VID</t>
  </si>
  <si>
    <t>LDOA1_SWB2_SDWN_CONFIG</t>
  </si>
  <si>
    <t>LDOA1_DISCHG</t>
  </si>
  <si>
    <t>OTP_RSVD_5E_AF</t>
  </si>
  <si>
    <t>OTP_RSVD_5E_AF_10</t>
  </si>
  <si>
    <t>OTP_RSVD_5E_AF_32</t>
  </si>
  <si>
    <t>OTP_RSVD_5E_AF_54</t>
  </si>
  <si>
    <t>SPARE_5E_AF_76</t>
  </si>
  <si>
    <t>OTP_RSVD_38_03_6543210</t>
  </si>
  <si>
    <t>OTP_RSVD_38_03_7</t>
  </si>
  <si>
    <t>OTP_RSVD_38_07_0</t>
  </si>
  <si>
    <t>OTP_RSVD_38_07_1</t>
  </si>
  <si>
    <t>OTP_RSVD_38_07_2</t>
  </si>
  <si>
    <t>OTP_RSVD_38_07_3</t>
  </si>
  <si>
    <t>OTP_RSVD_38_07_4</t>
  </si>
  <si>
    <t>OTP_RSVD_38_07_5</t>
  </si>
  <si>
    <t>OTP_RSVD_38_07_6</t>
  </si>
  <si>
    <t>OTP_RSVD_38_07_7</t>
  </si>
  <si>
    <t>OTP_RSVD_38_08_0</t>
  </si>
  <si>
    <t>OTP_RSVD_38_08_1</t>
  </si>
  <si>
    <t>OTP_RSVD_38_08_432</t>
  </si>
  <si>
    <t>OTP_RSVD_38_08_5</t>
  </si>
  <si>
    <t>OTP_RSVD_38_08_76</t>
  </si>
  <si>
    <t>OTP_RSVD_38_09_210</t>
  </si>
  <si>
    <t>OTP_RSVD_38_09_543</t>
  </si>
  <si>
    <t>OTP_RSVD_38_09_76</t>
  </si>
  <si>
    <t>OTP_RSVD_38_0A_0</t>
  </si>
  <si>
    <t>OTP_RSVD_38_0A_1</t>
  </si>
  <si>
    <t>OTP_RSVD_38_0A_2</t>
  </si>
  <si>
    <t>OTP_RSVD_38_0A_3</t>
  </si>
  <si>
    <t>OTP_RSVD_38_0A_4</t>
  </si>
  <si>
    <t>OTP_RSVD_38_0A_5</t>
  </si>
  <si>
    <t>OTP_RSVD_38_0A_6</t>
  </si>
  <si>
    <t>OTP_RSVD_38_0A_7</t>
  </si>
  <si>
    <t>OTP_RSVD_38_0B_0</t>
  </si>
  <si>
    <t>OTP_RSVD_38_0B_1</t>
  </si>
  <si>
    <t>OTP_RSVD_38_0B_432</t>
  </si>
  <si>
    <t>OTP_RSVD_38_0B_5</t>
  </si>
  <si>
    <t>OTP_RSVD_38_0B_76</t>
  </si>
  <si>
    <t>OTP_RSVD_38_0C_210</t>
  </si>
  <si>
    <t>OTP_RSVD_38_0C_543</t>
  </si>
  <si>
    <t>OTP_RSVD_38_0C_76</t>
  </si>
  <si>
    <t>OTP_RSVD_38_0D_0</t>
  </si>
  <si>
    <t>OTP_RSVD_38_0D_1</t>
  </si>
  <si>
    <t>OTP_RSVD_38_0D_2</t>
  </si>
  <si>
    <t>OTP_RSVD_38_0D_3</t>
  </si>
  <si>
    <t>OTP_RSVD_38_0D_4</t>
  </si>
  <si>
    <t>OTP_RSVD_38_0D_5</t>
  </si>
  <si>
    <t>OTP_RSVD_38_0D_6</t>
  </si>
  <si>
    <t>OTP_RSVD_38_0D_7</t>
  </si>
  <si>
    <t>OTP_RSVD_38_0E_0</t>
  </si>
  <si>
    <t>OTP_RSVD_38_0E_1</t>
  </si>
  <si>
    <t>OTP_RSVD_38_0E_432</t>
  </si>
  <si>
    <t>OTP_RSVD_38_0F_210</t>
  </si>
  <si>
    <t>OTP_RSVD_38_0F_543</t>
  </si>
  <si>
    <t>OTP_RSVD_38_0F_76</t>
  </si>
  <si>
    <t>OTP_RSVD_38_10_0</t>
  </si>
  <si>
    <t>OTP_RSVD_38_10_1</t>
  </si>
  <si>
    <t>OTP_RSVD_38_10_2</t>
  </si>
  <si>
    <t>OTP_RSVD_38_10_3</t>
  </si>
  <si>
    <t>OTP_RSVD_38_10_4</t>
  </si>
  <si>
    <t>OTP_RSVD_38_10_5</t>
  </si>
  <si>
    <t>OTP_RSVD_38_10_6</t>
  </si>
  <si>
    <t>OTP_RSVD_38_10_7</t>
  </si>
  <si>
    <t>OTP_RSVD_38_11_0</t>
  </si>
  <si>
    <t>OTP_RSVD_38_11_1</t>
  </si>
  <si>
    <t>OTP_RSVD_38_11_432</t>
  </si>
  <si>
    <t>OTP_RSVD_38_11_65</t>
  </si>
  <si>
    <t>OTP_RSVD_38_11_7</t>
  </si>
  <si>
    <t>OTP_RSVD_38_12_210</t>
  </si>
  <si>
    <t>OTP_RSVD_38_12_543</t>
  </si>
  <si>
    <t>OTP_RSVD_38_12_76</t>
  </si>
  <si>
    <t>OTP_RSVD_38_13_0</t>
  </si>
  <si>
    <t>OTP_RSVD_38_13_1</t>
  </si>
  <si>
    <t>OTP_RSVD_38_13_2</t>
  </si>
  <si>
    <t>OTP_RSVD_38_13_3</t>
  </si>
  <si>
    <t>OTP_RSVD_38_13_4</t>
  </si>
  <si>
    <t>OTP_RSVD_38_13_5</t>
  </si>
  <si>
    <t>OTP_RSVD_38_13_6</t>
  </si>
  <si>
    <t>OTP_RSVD_38_13_7</t>
  </si>
  <si>
    <t>OTP_RSVD_38_14_0</t>
  </si>
  <si>
    <t>OTP_RSVD_38_14_1</t>
  </si>
  <si>
    <t>OTP_RSVD_38_14_432</t>
  </si>
  <si>
    <t>OTP_RSVD_38_14_65</t>
  </si>
  <si>
    <t>OTP_RSVD_38_14_7</t>
  </si>
  <si>
    <t>OTP_RSVD_38_15_210</t>
  </si>
  <si>
    <t>OTP_RSVD_38_15_543</t>
  </si>
  <si>
    <t>OTP_RSVD_38_15_76</t>
  </si>
  <si>
    <t>OTP_RSVD_38_16_0</t>
  </si>
  <si>
    <t>OTP_RSVD_38_16_1</t>
  </si>
  <si>
    <t>OTP_RSVD_38_16_2</t>
  </si>
  <si>
    <t>OTP_RSVD_38_16_3</t>
  </si>
  <si>
    <t>OTP_RSVD_38_16_4</t>
  </si>
  <si>
    <t>OTP_RSVD_38_16_5</t>
  </si>
  <si>
    <t>OTP_RSVD_38_16_6</t>
  </si>
  <si>
    <t>OTP_RSVD_38_16_7</t>
  </si>
  <si>
    <t>OTP_RSVD_38_17_0</t>
  </si>
  <si>
    <t>OTP_RSVD_38_17_1</t>
  </si>
  <si>
    <t>OTP_RSVD_38_17_432</t>
  </si>
  <si>
    <t>OTP_RSVD_38_17_5</t>
  </si>
  <si>
    <t>OTP_RSVD_38_17_76</t>
  </si>
  <si>
    <t>OTP_RSVD_38_18_210</t>
  </si>
  <si>
    <t>OTP_RSVD_38_18_543</t>
  </si>
  <si>
    <t>OTP_RSVD_38_18_76</t>
  </si>
  <si>
    <t>OTP_RSVD_38_19_0</t>
  </si>
  <si>
    <t>OTP_RSVD_38_19_1</t>
  </si>
  <si>
    <t>OTP_RSVD_38_19_2</t>
  </si>
  <si>
    <t>OTP_RSVD_38_19_3</t>
  </si>
  <si>
    <t>OTP_RSVD_38_19_4</t>
  </si>
  <si>
    <t>OTP_RSVD_38_19_5</t>
  </si>
  <si>
    <t>OTP_RSVD_38_19_6</t>
  </si>
  <si>
    <t>OTP_RSVD_38_19_7</t>
  </si>
  <si>
    <t>OTP_RSVD_38_1A_0</t>
  </si>
  <si>
    <t>OTP_RSVD_38_1A_1</t>
  </si>
  <si>
    <t>OTP_RSVD_38_1A_432</t>
  </si>
  <si>
    <t>OTP_RSVD_38_1A_65</t>
  </si>
  <si>
    <t>OTP_RSVD_38_1A_7</t>
  </si>
  <si>
    <t>OTP_RSVD_38_1B_210</t>
  </si>
  <si>
    <t>OTP_RSVD_38_1B_543</t>
  </si>
  <si>
    <t>OTP_RSVD_38_1B_76</t>
  </si>
  <si>
    <t>OTP_RSVD_38_1C_0</t>
  </si>
  <si>
    <t>OTP_RSVD_38_1C_1</t>
  </si>
  <si>
    <t>OTP_RSVD_38_1C_2</t>
  </si>
  <si>
    <t>OTP_RSVD_38_1C_3</t>
  </si>
  <si>
    <t>OTP_RSVD_38_1C_4</t>
  </si>
  <si>
    <t>OTP_RSVD_38_1C_5</t>
  </si>
  <si>
    <t>OTP_RSVD_38_1C_6</t>
  </si>
  <si>
    <t>OTP_RSVD_38_1C_7</t>
  </si>
  <si>
    <t>OTP_RSVD_38_1D_0</t>
  </si>
  <si>
    <t>OTP_RSVD_38_1D_1</t>
  </si>
  <si>
    <t>OTP_RSVD_38_1D_432</t>
  </si>
  <si>
    <t>OTP_RSVD_38_1D_5</t>
  </si>
  <si>
    <t>OTP_RSVD_38_1D_6</t>
  </si>
  <si>
    <t>OTP_RSVD_38_1D_7</t>
  </si>
  <si>
    <t>OTP_RSVD_38_1E_210</t>
  </si>
  <si>
    <t>OTP_RSVD_38_1E_543</t>
  </si>
  <si>
    <t>OTP_RSVD_38_1E_76</t>
  </si>
  <si>
    <t>OTP_RSVD_38_1F_0</t>
  </si>
  <si>
    <t>OTP_RSVD_38_1F_1</t>
  </si>
  <si>
    <t>OTP_RSVD_38_1F_2</t>
  </si>
  <si>
    <t>OTP_RSVD_38_1F_3</t>
  </si>
  <si>
    <t>OTP_RSVD_38_1F_4</t>
  </si>
  <si>
    <t>OTP_RSVD_38_1F_5</t>
  </si>
  <si>
    <t>OTP_RSVD_38_1F_6</t>
  </si>
  <si>
    <t>OTP_RSVD_38_1F_7</t>
  </si>
  <si>
    <t>OTP_RSVD_38_20_0</t>
  </si>
  <si>
    <t>OTP_RSVD_38_20_1</t>
  </si>
  <si>
    <t>OTP_RSVD_38_20_432</t>
  </si>
  <si>
    <t>OTP_RSVD_38_20_5</t>
  </si>
  <si>
    <t>OTP_RSVD_38_20_6</t>
  </si>
  <si>
    <t>OTP_RSVD_38_20_7</t>
  </si>
  <si>
    <t>OTP_RSVD_38_21_210</t>
  </si>
  <si>
    <t>OTP_RSVD_38_21_543</t>
  </si>
  <si>
    <t>OTP_RSVD_38_21_6</t>
  </si>
  <si>
    <t>OTP_RSVD_38_21_7</t>
  </si>
  <si>
    <t>OTP_RSVD_38_22_0</t>
  </si>
  <si>
    <t>OTP_RSVD_38_22_1</t>
  </si>
  <si>
    <t>OTP_RSVD_38_22_2</t>
  </si>
  <si>
    <t>OTP_RSVD_38_22_3</t>
  </si>
  <si>
    <t>OTP_RSVD_38_22_4</t>
  </si>
  <si>
    <t>OTP_RSVD_38_22_5</t>
  </si>
  <si>
    <t>OTP_RSVD_38_22_6</t>
  </si>
  <si>
    <t>OTP_RSVD_38_22_7</t>
  </si>
  <si>
    <t>OTP_RSVD_38_23_0</t>
  </si>
  <si>
    <t>OTP_RSVD_38_23_1</t>
  </si>
  <si>
    <t>OTP_RSVD_38_23_432</t>
  </si>
  <si>
    <t>OTP_RSVD_38_23_65</t>
  </si>
  <si>
    <t>OTP_RSVD_38_23_7</t>
  </si>
  <si>
    <t>OTP_RSVD_38_24_543</t>
  </si>
  <si>
    <t>OTP_RSVD_38_24_210</t>
  </si>
  <si>
    <t>OTP_RSVD_38_24_76</t>
  </si>
  <si>
    <t>OTP_RSVD_38_25_0</t>
  </si>
  <si>
    <t>OTP_RSVD_38_25_1</t>
  </si>
  <si>
    <t>OTP_RSVD_38_25_2</t>
  </si>
  <si>
    <t>OTP_RSVD_38_25_3</t>
  </si>
  <si>
    <t>OTP_RSVD_38_25_4</t>
  </si>
  <si>
    <t>OTP_RSVD_38_25_5</t>
  </si>
  <si>
    <t>OTP_RSVD_38_25_6</t>
  </si>
  <si>
    <t>OTP_RSVD_38_25_7</t>
  </si>
  <si>
    <t>OTP_RSVD_38_26_0</t>
  </si>
  <si>
    <t>OTP_RSVD_38_26_1</t>
  </si>
  <si>
    <t>OTP_RSVD_38_26_432</t>
  </si>
  <si>
    <t>OTP_RSVD_38_26_65</t>
  </si>
  <si>
    <t>OTP_RSVD_38_26_7</t>
  </si>
  <si>
    <t>OTP_RSVD_38_27_210</t>
  </si>
  <si>
    <t>OTP_RSVD_38_27_543</t>
  </si>
  <si>
    <t>OTP_RSVD_38_27_76</t>
  </si>
  <si>
    <t>OTP_RSVD_38_28</t>
  </si>
  <si>
    <t>OTP_RSVD_38_28_0</t>
  </si>
  <si>
    <t>OTP_RSVD_38_28_1</t>
  </si>
  <si>
    <t>OTP_RSVD_38_28_2</t>
  </si>
  <si>
    <t>OTP_RSVD_38_28_3</t>
  </si>
  <si>
    <t>OTP_RSVD_38_28_4</t>
  </si>
  <si>
    <t>OTP_RSVD_38_28_765</t>
  </si>
  <si>
    <t>OTP_RSVD_38_29_0</t>
  </si>
  <si>
    <t>OTP_RSVD_38_29_1</t>
  </si>
  <si>
    <t>OTP_RSVD_38_29_2</t>
  </si>
  <si>
    <t>OTP_RSVD_38_29_3</t>
  </si>
  <si>
    <t>OTP_RSVD_38_29_4</t>
  </si>
  <si>
    <t>OTP_RSVD_38_29_5</t>
  </si>
  <si>
    <t>OTP_RSVD_38_29_6</t>
  </si>
  <si>
    <t>OTP_RSVD_38_29_7</t>
  </si>
  <si>
    <t>OTP_RSVD_38_30</t>
  </si>
  <si>
    <t>OTP_RSVD_38_30_7</t>
  </si>
  <si>
    <t>OTP_RSVD_38_2B</t>
  </si>
  <si>
    <t>OTP_RSVD_38_2B_3210</t>
  </si>
  <si>
    <t>OTP_RSVD_38_2B_7654</t>
  </si>
  <si>
    <t>OTP_RSVD_38_2A_0</t>
  </si>
  <si>
    <t>OTP_RSVD_38_2A_1</t>
  </si>
  <si>
    <t>OTP_RSVD_38_2A_2</t>
  </si>
  <si>
    <t>OTP_RSVD_38_2A_3</t>
  </si>
  <si>
    <t>OTP_RSVD_38_2A_4</t>
  </si>
  <si>
    <t>OTP_RSVD_38_2A_5</t>
  </si>
  <si>
    <t>OTP_RSVD_38_2A_6</t>
  </si>
  <si>
    <t>OTP_RSVD_38_2A_7</t>
  </si>
  <si>
    <t>OTP_RSVD_38_2C</t>
  </si>
  <si>
    <t>OTP_RSVD_38_2C_2</t>
  </si>
  <si>
    <t>OTP_RSVD_38_2C_3</t>
  </si>
  <si>
    <t>OTP_RSVD_38_2C_4</t>
  </si>
  <si>
    <t>OTP_RSVD_38_2C_5</t>
  </si>
  <si>
    <t>OTP_RSVD_38_2C_10</t>
  </si>
  <si>
    <t>OTP_RSVD_38_2C_76</t>
  </si>
  <si>
    <t>OTP_RSVD_38_2D</t>
  </si>
  <si>
    <t>OTP_RSVD_38_2D_3</t>
  </si>
  <si>
    <t>OTP_RSVD_38_2D_210</t>
  </si>
  <si>
    <t>OTP_RSVD_38_2D_7654</t>
  </si>
  <si>
    <t>OTP_RSVD_38_2E</t>
  </si>
  <si>
    <t>OTP_RSVD_38_2E_0</t>
  </si>
  <si>
    <t>OTP_RSVD_38_2E_1</t>
  </si>
  <si>
    <t>OTP_RSVD_38_2E_2</t>
  </si>
  <si>
    <t>OTP_RSVD_38_2E_3</t>
  </si>
  <si>
    <t>OTP_RSVD_38_2E_6</t>
  </si>
  <si>
    <t>OTP_RSVD_38_2E_54</t>
  </si>
  <si>
    <t>OTP_RSVD_38_2E_7</t>
  </si>
  <si>
    <t>OTP_RSVD_38_2F</t>
  </si>
  <si>
    <t>OTP_RSVD_38_2F_0</t>
  </si>
  <si>
    <t>OTP_RSVD_38_2F_1</t>
  </si>
  <si>
    <t>OTP_RSVD_38_2F_32</t>
  </si>
  <si>
    <t>OTP_RSVD_38_2F_65</t>
  </si>
  <si>
    <t>OTP_RSVD_38_2F_7</t>
  </si>
  <si>
    <t>OTP_RSVD_38_30_6543210</t>
  </si>
  <si>
    <t>OTP_RSVD_38_31</t>
  </si>
  <si>
    <t>OTP_RSVD_38_31_3210</t>
  </si>
  <si>
    <t>OTP_RSVD_38_31_7654</t>
  </si>
  <si>
    <t>OTP_RSVD_38_32</t>
  </si>
  <si>
    <t>OTP_RSVD_38_32_10</t>
  </si>
  <si>
    <t>OTP_RSVD_38_32_2</t>
  </si>
  <si>
    <t>OTP_RSVD_38_32_3</t>
  </si>
  <si>
    <t>OTP_RSVD_38_32_4</t>
  </si>
  <si>
    <t>OTP_RSVD_38_32_5</t>
  </si>
  <si>
    <t>OTP_RSVD_38_32_76</t>
  </si>
  <si>
    <t>OTP_RSVD_38_33</t>
  </si>
  <si>
    <t>OTP_RSVD_38_33_210</t>
  </si>
  <si>
    <t>OTP_RSVD_38_33_3</t>
  </si>
  <si>
    <t>OTP_RSVD_38_33_7654</t>
  </si>
  <si>
    <t>OTP_RSVD_38_34</t>
  </si>
  <si>
    <t>OTP_RSVD_38_34_0</t>
  </si>
  <si>
    <t>OTP_RSVD_38_34_1</t>
  </si>
  <si>
    <t>OTP_RSVD_38_34_2</t>
  </si>
  <si>
    <t>OTP_RSVD_38_34_3</t>
  </si>
  <si>
    <t>OTP_RSVD_38_34_54</t>
  </si>
  <si>
    <t>OTP_RSVD_38_34_6</t>
  </si>
  <si>
    <t>OTP_RSVD_38_34_7</t>
  </si>
  <si>
    <t>OTP_RSVD_38_35</t>
  </si>
  <si>
    <t>OTP_RSVD_38_35_0</t>
  </si>
  <si>
    <t>OTP_RSVD_38_35_1</t>
  </si>
  <si>
    <t>OTP_RSVD_38_35_32</t>
  </si>
  <si>
    <t>OTP_RSVD_38_35_65</t>
  </si>
  <si>
    <t>OTP_RSVD_38_35_7</t>
  </si>
  <si>
    <t>OTP_RSVD_38_36</t>
  </si>
  <si>
    <t>OTP_RSVD_38_36_6543210</t>
  </si>
  <si>
    <t>OTP_RSVD_38_36_7</t>
  </si>
  <si>
    <t>OTP_RSVD_38_37</t>
  </si>
  <si>
    <t>OTP_RSVD_38_37_3210</t>
  </si>
  <si>
    <t>OTP_RSVD_38_37_7654</t>
  </si>
  <si>
    <t>OTP_RSVD_38_38</t>
  </si>
  <si>
    <t>OTP_RSVD_38_38_10</t>
  </si>
  <si>
    <t>OTP_RSVD_38_38_2</t>
  </si>
  <si>
    <t>OTP_RSVD_38_38_3</t>
  </si>
  <si>
    <t>OTP_RSVD_38_38_4</t>
  </si>
  <si>
    <t>OTP_RSVD_38_38_5</t>
  </si>
  <si>
    <t>OTP_RSVD_38_38_76</t>
  </si>
  <si>
    <t>OTP_RSVD_38_39</t>
  </si>
  <si>
    <t>OTP_RSVD_38_39_210</t>
  </si>
  <si>
    <t>OTP_RSVD_38_39_3</t>
  </si>
  <si>
    <t>OTP_RSVD_38_39_7654</t>
  </si>
  <si>
    <t>OTP_RSVD_38_41</t>
  </si>
  <si>
    <t>OTP_RSVD_38_3A</t>
  </si>
  <si>
    <t>OTP_RSVD_38_3A_0</t>
  </si>
  <si>
    <t>OTP_RSVD_38_3A_1</t>
  </si>
  <si>
    <t>OTP_RSVD_38_3A_2</t>
  </si>
  <si>
    <t>OTP_RSVD_38_3A_3</t>
  </si>
  <si>
    <t>OTP_RSVD_38_3A_54</t>
  </si>
  <si>
    <t>OTP_RSVD_38_3A_6</t>
  </si>
  <si>
    <t>OTP_RSVD_38_3A_7</t>
  </si>
  <si>
    <t>OTP_RSVD_38_3B</t>
  </si>
  <si>
    <t>OTP_RSVD_38_3B_0</t>
  </si>
  <si>
    <t>OTP_RSVD_38_3B_1</t>
  </si>
  <si>
    <t>OTP_RSVD_38_3B_32</t>
  </si>
  <si>
    <t>OTP_RSVD_38_3B_65</t>
  </si>
  <si>
    <t>OTP_RSVD_38_3B_7</t>
  </si>
  <si>
    <t>OTP_RSVD_38_3C</t>
  </si>
  <si>
    <t>OTP_RSVD_38_3C_6543210</t>
  </si>
  <si>
    <t>OTP_RSVD_38_3C_7</t>
  </si>
  <si>
    <t>OTP_RSVD_38_41_3210</t>
  </si>
  <si>
    <t>OTP_RSVD_38_41_7654</t>
  </si>
  <si>
    <t>OTP_RSVD_38_42</t>
  </si>
  <si>
    <t>OTP_RSVD_38_42_3210</t>
  </si>
  <si>
    <t>OTP_RSVD_38_42_7654</t>
  </si>
  <si>
    <t>OTP_RSVD_38_43</t>
  </si>
  <si>
    <t>OTP_RSVD_38_43_10</t>
  </si>
  <si>
    <t>OTP_RSVD_38_43_54</t>
  </si>
  <si>
    <t>OTP_RSVD_38_43_76</t>
  </si>
  <si>
    <t>OTP_RSVD_38_43_32</t>
  </si>
  <si>
    <t>OTP_RSVD_38_45</t>
  </si>
  <si>
    <t>OTP_RSVD_38_45_3210</t>
  </si>
  <si>
    <t>OTP_RSVD_38_45_7654</t>
  </si>
  <si>
    <t>OTP_RSVD_38_46</t>
  </si>
  <si>
    <t>OTP_RSVD_38_46_3210</t>
  </si>
  <si>
    <t>OTP_RSVD_38_46_7654</t>
  </si>
  <si>
    <t>OTP_RSVD_38_47</t>
  </si>
  <si>
    <t>OTP_RSVD_38_47_10</t>
  </si>
  <si>
    <t>OTP_RSVD_38_47_32</t>
  </si>
  <si>
    <t>OTP_RSVD_38_47_54</t>
  </si>
  <si>
    <t>OTP_RSVD_38_47_76</t>
  </si>
  <si>
    <t>OTP_RSVD_38_49</t>
  </si>
  <si>
    <t>OTP_RSVD_38_49_3210</t>
  </si>
  <si>
    <t>OTP_RSVD_38_49_7654</t>
  </si>
  <si>
    <t>OTP_RSVD_38_50</t>
  </si>
  <si>
    <t>OTP_RSVD_38_4D</t>
  </si>
  <si>
    <t>OTP_RSVD_38_4D_210</t>
  </si>
  <si>
    <t>OTP_RSVD_38_4D_43</t>
  </si>
  <si>
    <t>OTP_RSVD_38_4D_65</t>
  </si>
  <si>
    <t>OTP_RSVD_38_4D_7</t>
  </si>
  <si>
    <t>OTP_RSVD_38_4A</t>
  </si>
  <si>
    <t>OTP_RSVD_38_4A_3210</t>
  </si>
  <si>
    <t>OTP_RSVD_38_4A_7654</t>
  </si>
  <si>
    <t>OTP_RSVD_38_4B</t>
  </si>
  <si>
    <t>OTP_RSVD_38_4B_10</t>
  </si>
  <si>
    <t>OTP_RSVD_38_4B_32</t>
  </si>
  <si>
    <t>OTP_RSVD_38_4B_54</t>
  </si>
  <si>
    <t>OTP_RSVD_38_4B_76</t>
  </si>
  <si>
    <t>OTP_RSVD_38_4E</t>
  </si>
  <si>
    <t>OTP_RSVD_38_4E_210</t>
  </si>
  <si>
    <t>OTP_RSVD_38_4E_43</t>
  </si>
  <si>
    <t>OTP_RSVD_38_4E_65</t>
  </si>
  <si>
    <t>OTP_RSVD_38_4E_7</t>
  </si>
  <si>
    <t>OTP_RSVD_38_4F</t>
  </si>
  <si>
    <t>OTP_RSVD_38_4F_7</t>
  </si>
  <si>
    <t>OTP_RSVD_38_4F_10</t>
  </si>
  <si>
    <t>OTP_RSVD_38_4F_32</t>
  </si>
  <si>
    <t>OTP_RSVD_38_4F_654</t>
  </si>
  <si>
    <t>OTP_RSVD_38_50_10</t>
  </si>
  <si>
    <t>OTP_RSVD_38_50_32</t>
  </si>
  <si>
    <t>OTP_RSVD_38_50_54</t>
  </si>
  <si>
    <t>OTP_RSVD_38_50_76</t>
  </si>
  <si>
    <t>OTP_RSVD_38_52</t>
  </si>
  <si>
    <t>OTP_RSVD_38_52_3210</t>
  </si>
  <si>
    <t>OTP_RSVD_38_53</t>
  </si>
  <si>
    <t>OTP_RSVD_38_53_54</t>
  </si>
  <si>
    <t>OTP_RSVD_38_53_76</t>
  </si>
  <si>
    <t>OTP_RSVD_38_53_0</t>
  </si>
  <si>
    <t>OTP_RSVD_38_53_21</t>
  </si>
  <si>
    <t>OTP_RSVD_38_53_3</t>
  </si>
  <si>
    <t>OTP_RSVD_38_54</t>
  </si>
  <si>
    <t>OTP_RSVD_38_54_3210</t>
  </si>
  <si>
    <t>OTP_RSVD_38_55</t>
  </si>
  <si>
    <t>OTP_RSVD_38_55_43210</t>
  </si>
  <si>
    <t>OTP_RSVD_38_55_765</t>
  </si>
  <si>
    <t>OTP_RSVD_38_56</t>
  </si>
  <si>
    <t>OTP_RSVD_38_56_7</t>
  </si>
  <si>
    <t>OTP_RSVD_38_56_65</t>
  </si>
  <si>
    <t>OTP_RSVD_38_56_4</t>
  </si>
  <si>
    <t>OTP_RSVD_38_56_3210</t>
  </si>
  <si>
    <t>OTP_RSVD_38_57</t>
  </si>
  <si>
    <t>OTP_RSVD_38_57_65</t>
  </si>
  <si>
    <t>OTP_RSVD_38_57_7</t>
  </si>
  <si>
    <t>OTP_RSVD_38_57_43210</t>
  </si>
  <si>
    <t>OTP_RSVD_38_58</t>
  </si>
  <si>
    <t>OTP_RSVD_38_58_0</t>
  </si>
  <si>
    <t>OTP_RSVD_38_58_3</t>
  </si>
  <si>
    <t>OTP_RSVD_38_58_54</t>
  </si>
  <si>
    <t>OTP_RSVD_38_58_76</t>
  </si>
  <si>
    <t>OTP_RSVD_38_58_1</t>
  </si>
  <si>
    <t>OTP_RSVD_38_58_2</t>
  </si>
  <si>
    <t>OTP_RSVD_38_5C</t>
  </si>
  <si>
    <t>OTP_RSVD_38_5C_76543210</t>
  </si>
  <si>
    <t>OTP_RSVD_38_5D</t>
  </si>
  <si>
    <t>OTP_RSVD_38_5E</t>
  </si>
  <si>
    <t>OTP_RSVD_38_5E_43210</t>
  </si>
  <si>
    <t>OTP_RSVD_38_5E_65</t>
  </si>
  <si>
    <t>OTP_RSVD_38_5E_7</t>
  </si>
  <si>
    <t>', value: 0x</t>
  </si>
  <si>
    <t>}];</t>
  </si>
  <si>
    <t>OTP_RSVD_38_48</t>
  </si>
  <si>
    <t>OTP_RSVD_38_48_10</t>
  </si>
  <si>
    <t>OTP_RSVD_38_48_2</t>
  </si>
  <si>
    <t>OTP_RSVD_38_48_3</t>
  </si>
  <si>
    <t>OTP_RSVD_38_48_4</t>
  </si>
  <si>
    <t>OTP_RSVD_38_48_5</t>
  </si>
  <si>
    <t>OTP_RSVD_38_48_6</t>
  </si>
  <si>
    <t>OTP_RSVD_38_48_7</t>
  </si>
  <si>
    <t>OTP_RSVD_38_4C</t>
  </si>
  <si>
    <t>OTP_RSVD_38_4C_10</t>
  </si>
  <si>
    <t>OTP_RSVD_38_4C_2</t>
  </si>
  <si>
    <t>OTP_RSVD_38_4C_3</t>
  </si>
  <si>
    <t>OTP_RSVD_38_4C_4</t>
  </si>
  <si>
    <t>OTP_RSVD_38_4C_5</t>
  </si>
  <si>
    <t>OTP_RSVD_38_4C_6</t>
  </si>
  <si>
    <t>OTP_RSVD_38_4C_7</t>
  </si>
  <si>
    <t>OTP_RSVD_38_44</t>
  </si>
  <si>
    <t>OTP_RSVD_38_44_10</t>
  </si>
  <si>
    <t>OTP_RSVD_38_44_2</t>
  </si>
  <si>
    <t>OTP_RSVD_38_44_3</t>
  </si>
  <si>
    <t>OTP_RSVD_38_44_4</t>
  </si>
  <si>
    <t>OTP_RSVD_38_44_5</t>
  </si>
  <si>
    <t>OTP_RSVD_38_44_6</t>
  </si>
  <si>
    <t>OTP_RSVD_38_44_7</t>
  </si>
  <si>
    <t>TRIM</t>
  </si>
  <si>
    <t>Register Values [7:0]</t>
  </si>
  <si>
    <t>Register Values Hex</t>
  </si>
  <si>
    <t>IsTrimBits?</t>
  </si>
  <si>
    <t>RegisterContainsTrim?</t>
  </si>
  <si>
    <t>CONSTANT</t>
  </si>
  <si>
    <t>VTT ILIM</t>
  </si>
  <si>
    <t>0.95 A</t>
  </si>
  <si>
    <t>1.25 A</t>
  </si>
  <si>
    <t>1.55 A</t>
  </si>
  <si>
    <t>RegisterContainsOnlyTrimorConstant?</t>
  </si>
  <si>
    <t>IsConstantBits?</t>
  </si>
  <si>
    <t>Unique Register</t>
  </si>
  <si>
    <t>Special Bits</t>
  </si>
  <si>
    <t>Missing</t>
  </si>
  <si>
    <t>OTP_RSVD_5E_23_0</t>
  </si>
  <si>
    <t>OTP_RSVD_5E_26_76</t>
  </si>
  <si>
    <t>OTP_RSVD_5E_27_76</t>
  </si>
  <si>
    <t>OTP_RSVD_5E_28_76</t>
  </si>
  <si>
    <t>OTP_RSVD_5E_29_76</t>
  </si>
  <si>
    <t>OTP_RSVD_5E_43_76543</t>
  </si>
  <si>
    <t>Bits reversed</t>
  </si>
  <si>
    <t>Values reversed</t>
  </si>
  <si>
    <t>OTP_RSVD_5E_25_76</t>
  </si>
  <si>
    <t>OTP_RSVD_5E_29_32</t>
  </si>
  <si>
    <t>OTP_RSVD_38_02_0</t>
  </si>
  <si>
    <t>OTP_RSVD_38_02_432</t>
  </si>
  <si>
    <t>OTP_RSVD_38_02_65</t>
  </si>
  <si>
    <t>OTP_RSVD_38_5D_7654</t>
  </si>
  <si>
    <t>OTP_RSVD_38_5D_3210</t>
  </si>
  <si>
    <t>Reg</t>
  </si>
  <si>
    <t>No Trim OR Special Bits</t>
  </si>
  <si>
    <t>Reg?</t>
  </si>
  <si>
    <t>BUCK1 (alternate)</t>
  </si>
  <si>
    <t>BUCK2 (alternate)</t>
  </si>
  <si>
    <t>BUCK6 (alternate)</t>
  </si>
  <si>
    <t>BUCK6 (alternate 2)</t>
  </si>
  <si>
    <t>1.8 A</t>
  </si>
  <si>
    <t>Sleep6 Mask</t>
  </si>
  <si>
    <t/>
  </si>
  <si>
    <t>OTP_RSVD_38_0E_65</t>
  </si>
  <si>
    <t>OTP_RSVD_38_0E_7</t>
  </si>
  <si>
    <t>OTP_RSVD_38_2F_4</t>
  </si>
  <si>
    <t>OTP_RSVD_38_35_4</t>
  </si>
  <si>
    <t>OTP_RSVD_38_3B_4</t>
  </si>
  <si>
    <t>OTP_RSVD_38_52_654</t>
  </si>
  <si>
    <t>OTP_RSVD_38_52_7</t>
  </si>
  <si>
    <t>OTP_RSVD_38_54_654</t>
  </si>
  <si>
    <t>OTP_RSVD_38_54_7</t>
  </si>
  <si>
    <t>Is OTP at all?</t>
  </si>
  <si>
    <t>CTL2&amp;CTL3</t>
  </si>
  <si>
    <t>DEVICEID1</t>
  </si>
  <si>
    <t>DEVICEID2</t>
  </si>
  <si>
    <t>SHUTDN</t>
  </si>
  <si>
    <t>FAULT</t>
  </si>
  <si>
    <t>MSHUTDN</t>
  </si>
  <si>
    <t>MFAULT</t>
  </si>
  <si>
    <t>SHUTDNSRC</t>
  </si>
  <si>
    <t>Unused</t>
  </si>
  <si>
    <t>B</t>
  </si>
  <si>
    <t>N/A</t>
  </si>
  <si>
    <t>OTPRegisterORGroupwithTrim</t>
  </si>
  <si>
    <t>I2C Address</t>
  </si>
  <si>
    <t>0x5E (default)</t>
  </si>
  <si>
    <t>                   {register: '</t>
  </si>
  <si>
    <t>Ignore GPO3</t>
  </si>
  <si>
    <t>OTP Description</t>
  </si>
  <si>
    <t>Rail</t>
  </si>
  <si>
    <t>Assigned to which CTL pin?</t>
  </si>
  <si>
    <t>Inputs to Enable Logic</t>
  </si>
  <si>
    <t>Rail being enabled</t>
  </si>
  <si>
    <t>Example for GPOx:</t>
  </si>
  <si>
    <t>Setting "Yes" will set the XXX_PG_MASK to '0' and allow the AND gate to track the XXX_PG.</t>
  </si>
  <si>
    <t>BUCK1_PG</t>
  </si>
  <si>
    <t>BUCK2_PG</t>
  </si>
  <si>
    <t>BUCK3_PG</t>
  </si>
  <si>
    <t>BUCK4_PG</t>
  </si>
  <si>
    <t>BUCK5_PG</t>
  </si>
  <si>
    <t>BUCK6_PG</t>
  </si>
  <si>
    <t>LDOA2_PG</t>
  </si>
  <si>
    <t>LDOA3_PG</t>
  </si>
  <si>
    <t>SWA1_PG</t>
  </si>
  <si>
    <t>VTT_PG</t>
  </si>
  <si>
    <t>SWB1_PG</t>
  </si>
  <si>
    <t>LDOA1_PG</t>
  </si>
  <si>
    <t>Discharge Resistor Default</t>
  </si>
  <si>
    <t>Power fault masked by default?</t>
  </si>
  <si>
    <t>Hide--&gt;</t>
  </si>
  <si>
    <t>Mask CTL/PG
 by default?</t>
  </si>
  <si>
    <t>Pin Assignments</t>
  </si>
  <si>
    <t>Notes:</t>
  </si>
  <si>
    <t>When changing voltage, be sure to change step size if necessary.</t>
  </si>
  <si>
    <t>to be able to pin select different DDR voltages. BUCK6 can have an additional</t>
  </si>
  <si>
    <t>For identifying the target processor</t>
  </si>
  <si>
    <t>For example, if BUCK3 is 1.8 V in one platform and 3.3 V in another, it can</t>
  </si>
  <si>
    <t>be assigned an alternate voltage and by pulling CTL3 (or CTL6) up in one</t>
  </si>
  <si>
    <t>configuration and down in the other, the desired voltage can be achieved.</t>
  </si>
  <si>
    <t>OTP version is I2C readable and can be used to identify IC versions</t>
  </si>
  <si>
    <t>LDOA1 can either be always on (providing power to EC for example), or part</t>
  </si>
  <si>
    <t>of a normal sequence like the other rails. In the case that it is needed in the normal sequence, it uses SWB2's enable logic and SWB2 uses LDOA1's enable</t>
  </si>
  <si>
    <t>logic. SWB2 can be enabled by SWB1 enable logic, effectively merging the two,</t>
  </si>
  <si>
    <t xml:space="preserve">or it can use LDOA1's always on logic. </t>
  </si>
  <si>
    <t>Notes</t>
  </si>
  <si>
    <t>Masking the CTL/PG by default will cause the rail to be always on unless force disabled by default.</t>
  </si>
  <si>
    <t>PWM (pulse width modulation) in this case is equivalent to constant conduction mode (CCM), while Auto will use PFM (pulse frequency modulation) / discontinuous conduction mode (DCM) at light load and automatically switch to PWM when necessary.</t>
  </si>
  <si>
    <t>Discharge resistors are enabled when regulators are disabled in order to provide predictable power down sequencing.</t>
  </si>
  <si>
    <t>Masking load switch power fault by default allows flexibility across platforms. If using the same voltage as set on the "Overview" sheet, the power fault mask can be disabled by I2C.</t>
  </si>
  <si>
    <t>If using dynamic voltage scaling, this controls whether the rail forces the voltage to the lower VID setting or if it waits to switch until the voltage has decayed to the lower VID setting.</t>
  </si>
  <si>
    <t>Nominal set point of the VTT current limit.</t>
  </si>
  <si>
    <t>ZCU100
TPS6508641</t>
  </si>
  <si>
    <t>LDOA1_SWB2_CTRL</t>
  </si>
  <si>
    <t>VTT_DISCH_CTRL</t>
  </si>
  <si>
    <t>VIN_SWA1</t>
  </si>
  <si>
    <t>VIN_SWB1_2</t>
  </si>
  <si>
    <t>VIN_345ANA</t>
  </si>
  <si>
    <t>SWA1 Options</t>
  </si>
  <si>
    <t>SWB Options</t>
  </si>
  <si>
    <t>V5ANA Options</t>
  </si>
  <si>
    <t>Ext FB on BUCK1?</t>
  </si>
  <si>
    <t>All rails are assigned to an alternate voltage ("sleep") pin, but if not being used, it should be disabled</t>
  </si>
  <si>
    <t>VR logic:</t>
  </si>
  <si>
    <t>GPO logic:</t>
  </si>
  <si>
    <t>CTL2&amp;CTL6</t>
  </si>
  <si>
    <t>SLP_EN by default?</t>
  </si>
  <si>
    <t>SLP_VID Selection Pin</t>
  </si>
  <si>
    <t>OTP Rev Options</t>
  </si>
  <si>
    <t>C</t>
  </si>
  <si>
    <t>D</t>
  </si>
  <si>
    <t>Setting "No" is the same as leaving blank and sets the XXX_PG_MASK to '1'</t>
  </si>
  <si>
    <t>Register Address (Hex)</t>
  </si>
  <si>
    <t>I2C Address (Hex)</t>
  </si>
  <si>
    <t>Data (Hex)</t>
  </si>
  <si>
    <t>PVINLDOA2_A3:</t>
  </si>
  <si>
    <t>PVINLDOA2_A3</t>
  </si>
  <si>
    <t>38</t>
  </si>
  <si>
    <t>02</t>
  </si>
  <si>
    <t>00 or 01</t>
  </si>
  <si>
    <t>00 for OTP bank 0, 01 for OTP bank 1</t>
  </si>
  <si>
    <t>For GPO set in "I2C" mode, the output buffer is the only block modified. The GPOs PG monitor circuitry can still be used internally without external output. GPO2 behavior that would effect VTT LDO (see "Sequencing" sheet) can be used in this way while the output is controlled by I2C.</t>
  </si>
  <si>
    <t>Output</t>
  </si>
  <si>
    <t>03</t>
  </si>
  <si>
    <t>A0</t>
  </si>
  <si>
    <t>Can remove 7V from CTL4 after this.</t>
  </si>
  <si>
    <t>Target Voltage (V)</t>
  </si>
  <si>
    <t>Voltage (V)</t>
  </si>
  <si>
    <t>5 or 3.3</t>
  </si>
  <si>
    <t>Turn Off</t>
  </si>
  <si>
    <t>Comments</t>
  </si>
  <si>
    <t>Using IPG-UI:</t>
  </si>
  <si>
    <t>Raw Commands (does not include setting BURN_OTP bit to 1)</t>
  </si>
  <si>
    <t>Highly recommended to not change this unless absolutely necessary.</t>
  </si>
  <si>
    <t>Programming</t>
  </si>
  <si>
    <t>TPS65086100</t>
  </si>
  <si>
    <t>Blank OTP
TPS65086100</t>
  </si>
  <si>
    <t>BUCK6 is typically used for DDR memory. If using multiple platforms, it may help</t>
  </si>
  <si>
    <t>I2C_ADDRESS</t>
  </si>
  <si>
    <t>00</t>
  </si>
  <si>
    <t>Sets I2C_Address to 5E (in case it was previously changed)</t>
  </si>
  <si>
    <t>I2CADDRESS</t>
  </si>
  <si>
    <t>I2C_DEFAULT</t>
  </si>
  <si>
    <t>Register Name/Field Name</t>
  </si>
  <si>
    <t>PROGRAMMING_STATE</t>
  </si>
  <si>
    <t>OTP_CTRL1</t>
  </si>
  <si>
    <t>PROGRAM_OTP</t>
  </si>
  <si>
    <t>BUCK1_CTRL_EN1</t>
  </si>
  <si>
    <t>OTP_CTRL_2</t>
  </si>
  <si>
    <t>OTP_CTRL_1</t>
  </si>
  <si>
    <t>BUCK1_CTRL_EN2</t>
  </si>
  <si>
    <t>BUCK1_CTRL_EN3</t>
  </si>
  <si>
    <t>SLP_PIN</t>
  </si>
  <si>
    <t>Default Voltages</t>
  </si>
  <si>
    <t>LDOA1 and SWB2</t>
  </si>
  <si>
    <t>Load Switch Power Good Options</t>
  </si>
  <si>
    <t>VSYS_5V</t>
  </si>
  <si>
    <t>CTL3 &amp; GPO2</t>
  </si>
  <si>
    <t>CTL6 &amp; GPO2</t>
  </si>
  <si>
    <t>Available Input Options</t>
  </si>
  <si>
    <t>This tool is designed as an aid for customers of Texas Instruments related to their use of the TPS650861. This tool is provided “as is” and Texas Instruments makes no warranties, either express or implied, with regard to the tool or its output, and assumes no liability for applications assistance of the design of the user’s products.  User is responsible for its products and applications using Texas Instruments components and user assumes all risk in the use of this tool. In no event shall Texas Instruments be liable for any actual, special, incidental, consequential, or indirect damages, however caused, on any theory of liability and whether or not TI has been advised of the possibility of such damages, arising in any way out of this tool or user's use of this tool. All OTP programmed settings should be validated during prototyping phase to ensure desired functionality because parts cannot be returned in case of incorrect programming. Any issues should be reported to http://support.ti.com.</t>
  </si>
  <si>
    <t>TPS650861x OTP GENERATOR</t>
  </si>
  <si>
    <t>5F</t>
  </si>
  <si>
    <t>Alternate SLP_VID voltages can be used if using the device in multiple platforms.</t>
  </si>
  <si>
    <t>Typically "Force Disabled by default?" and "Mask CTL/PG by default?" should both be set for I2C controlled rails.</t>
  </si>
  <si>
    <t>"-" just inputs a "1" into the enable mux (shown below in the VR Logic Schematic).</t>
  </si>
  <si>
    <t>If the alternate SLP_VID voltages are not going to be used then they can be set to any value. The "-"</t>
  </si>
  <si>
    <t>symbols for the SLP_VID values will use the same as the regular VID values.</t>
  </si>
  <si>
    <t>For controllers (BUCK1,2,6), 25 mV step size can't go below 1 V and 10 mV step size can't go above 1.67 V</t>
  </si>
  <si>
    <t>For converters (BUCK3,4,5), 25 mV step size has full range from 0.425 V to 3.575 V.</t>
  </si>
  <si>
    <t>If this option is selected in the "sequencing" tab BUCK6 will use the fixed voltage instead of the</t>
  </si>
  <si>
    <t>VID or SLP_VID voltage, when CTL2 = 0.</t>
  </si>
  <si>
    <t>fixed voltage option (1.2V if in 10mV step size, 2.4V if in 25mV step size) controlled by CTL2.</t>
  </si>
  <si>
    <t xml:space="preserve">In IPG-UI, if this value is changed, then after the volatile registers are set using the "write" button </t>
  </si>
  <si>
    <t xml:space="preserve">in the "device controls" tab the I2C address will have to be changed in the "Register Map" tab. If </t>
  </si>
  <si>
    <t xml:space="preserve">this isn't changed, then the "check" button in the "device controls" tab will not work, and register </t>
  </si>
  <si>
    <t>writes done in the register map will not work, as the GUI will try to write to the wrong I2C address.</t>
  </si>
  <si>
    <t>VTT LDO is controlled by these signals only, not AND with PG tree. To sequence, GPO2 usage is recommended.</t>
  </si>
  <si>
    <t>VTT Logic:</t>
  </si>
  <si>
    <t>Current OTP Generator Version 2.5</t>
  </si>
  <si>
    <t>Revision History:
1.24 -&gt; 2.0:
-Fixed bug that caused CTL4 and CTL5 to not work properly.
-Fixed bug that caused I2C address to appear incorrect when verifying program with "check" button in IPG-UI.
-Modified "Valid Part Number" detection on "Overview" tab.
-Added in additional notes.
-Fixed bug that made DEVICEID2 program the wrong value.
-Fixed trim register bug.
2.0 -&gt; 2.1:
-Removed GPO3 option from VTT CTL.
-Changed SWB1_B2 to SWB1_2 in sequencing tab.
-Updated VTT logic schematic.
-Fixed bits in 0x28 register (I2C address 0x38).
2.1 -&gt; 2.2:
-Added note in "Sequencing" tab on required external components for programming.
2.2-&gt;2.3:
-Removed unnecesary registers from "Script Generator" tab.
-Removed Test_Revision from "Overview" tab.
2.3-&gt;2.4:
-Fixed a trim bit in 0x38 register (I2C address 0x38).
2.4-&gt;2.5:
-Simplified script generator for registers 44, 48, 4C, and 53.</t>
  </si>
  <si>
    <t>DEVICE ID:</t>
  </si>
  <si>
    <t>Assign a unique DEVICE ID. This determines the program selection in step (3) of the IPG-UI device controls.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</si>
</sst>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35">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8"/>
      <name val="Arial"/>
      <family val="2"/>
    </font>
    <font>
      <sz val="12"/>
      <name val="Times New Roman"/>
      <family val="1"/>
    </font>
    <font>
      <sz val="11"/>
      <color theme="1"/>
      <name val="Calibri"/>
      <family val="2"/>
      <charset val="134"/>
      <scheme val="minor"/>
    </font>
    <font>
      <sz val="11"/>
      <color indexed="17"/>
      <name val="宋体"/>
      <family val="3"/>
      <charset val="134"/>
    </font>
    <font>
      <sz val="11"/>
      <color indexed="20"/>
      <name val="宋体"/>
      <family val="3"/>
      <charset val="134"/>
    </font>
    <font>
      <sz val="11"/>
      <color rgb="FF006100"/>
      <name val="Calibri"/>
      <family val="3"/>
      <charset val="134"/>
      <scheme val="minor"/>
    </font>
    <font>
      <sz val="11"/>
      <color rgb="FF9C0006"/>
      <name val="Calibri"/>
      <family val="3"/>
      <charset val="134"/>
      <scheme val="minor"/>
    </font>
    <font>
      <sz val="11"/>
      <name val="Times New Roman"/>
      <family val="1"/>
    </font>
    <font>
      <sz val="11"/>
      <name val="ＭＳ Ｐゴシック"/>
      <family val="3"/>
      <charset val="128"/>
    </font>
    <font>
      <b/>
      <sz val="8"/>
      <name val="Arial"/>
      <family val="2"/>
    </font>
    <font>
      <sz val="8"/>
      <color theme="1"/>
      <name val="Calibri"/>
      <family val="2"/>
      <scheme val="minor"/>
    </font>
    <font>
      <b/>
      <sz val="8"/>
      <color indexed="9"/>
      <name val="Arial"/>
      <family val="2"/>
    </font>
    <font>
      <b/>
      <i/>
      <sz val="8"/>
      <name val="Arial"/>
      <family val="2"/>
    </font>
    <font>
      <sz val="8"/>
      <color indexed="9"/>
      <name val="Arial"/>
      <family val="2"/>
    </font>
    <font>
      <sz val="8"/>
      <color indexed="10"/>
      <name val="Arial"/>
      <family val="2"/>
    </font>
    <font>
      <sz val="8"/>
      <color rgb="FFFFFFFF"/>
      <name val="Arial"/>
      <family val="2"/>
    </font>
    <font>
      <sz val="8"/>
      <color rgb="FF00B050"/>
      <name val="Arial"/>
      <family val="2"/>
    </font>
    <font>
      <sz val="8"/>
      <name val="Times New Roman"/>
      <family val="1"/>
    </font>
    <font>
      <sz val="8"/>
      <color theme="1"/>
      <name val="Arial"/>
      <family val="2"/>
    </font>
    <font>
      <sz val="10"/>
      <name val="Arial"/>
      <family val="2"/>
    </font>
    <font>
      <b/>
      <sz val="10"/>
      <name val="Arial"/>
      <family val="2"/>
    </font>
    <font>
      <sz val="10"/>
      <color rgb="FFFF0000"/>
      <name val="Arial"/>
      <family val="2"/>
    </font>
    <font>
      <sz val="10"/>
      <name val="Arial"/>
      <family val="2"/>
    </font>
    <font>
      <sz val="11"/>
      <name val="Calibri"/>
      <family val="2"/>
      <scheme val="minor"/>
    </font>
    <font>
      <sz val="10"/>
      <color rgb="FF0000FF"/>
      <name val="Arial"/>
      <family val="2"/>
    </font>
    <font>
      <sz val="10"/>
      <color theme="1"/>
      <name val="Calibri"/>
      <family val="2"/>
      <scheme val="minor"/>
    </font>
    <font>
      <sz val="9"/>
      <color indexed="81"/>
      <name val="Tahoma"/>
      <family val="2"/>
    </font>
    <font>
      <b/>
      <sz val="9"/>
      <color indexed="81"/>
      <name val="Tahoma"/>
      <family val="2"/>
    </font>
    <font>
      <sz val="11"/>
      <color rgb="FF000000"/>
      <name val="Calibri"/>
      <family val="2"/>
    </font>
    <font>
      <b/>
      <sz val="11"/>
      <color theme="1"/>
      <name val="Calibri"/>
      <family val="2"/>
      <scheme val="minor"/>
    </font>
    <font>
      <b/>
      <sz val="12"/>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indexed="42"/>
        <bgColor indexed="64"/>
      </patternFill>
    </fill>
    <fill>
      <patternFill patternType="solid">
        <fgColor indexed="22"/>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rgb="FFFFFF00"/>
        <bgColor indexed="64"/>
      </patternFill>
    </fill>
    <fill>
      <patternFill patternType="solid">
        <fgColor rgb="FF000000"/>
        <bgColor rgb="FF000000"/>
      </patternFill>
    </fill>
    <fill>
      <patternFill patternType="solid">
        <fgColor rgb="FF92D050"/>
        <bgColor indexed="64"/>
      </patternFill>
    </fill>
    <fill>
      <patternFill patternType="solid">
        <fgColor rgb="FFCCFFCC"/>
        <bgColor indexed="64"/>
      </patternFill>
    </fill>
    <fill>
      <patternFill patternType="solid">
        <fgColor rgb="FF333399"/>
        <bgColor indexed="64"/>
      </patternFill>
    </fill>
    <fill>
      <patternFill patternType="solid">
        <fgColor rgb="FF00CCFF"/>
        <bgColor indexed="64"/>
      </patternFill>
    </fill>
    <fill>
      <patternFill patternType="solid">
        <fgColor indexed="45"/>
      </patternFill>
    </fill>
    <fill>
      <patternFill patternType="solid">
        <fgColor indexed="42"/>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000"/>
        <bgColor rgb="FF000000"/>
      </patternFill>
    </fill>
    <fill>
      <patternFill patternType="solid">
        <fgColor rgb="FFFF0000"/>
        <bgColor rgb="FF000000"/>
      </patternFill>
    </fill>
    <fill>
      <patternFill patternType="solid">
        <fgColor rgb="FFFF0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8"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diagonal/>
    </border>
    <border>
      <left style="medium">
        <color auto="1"/>
      </left>
      <right/>
      <top/>
      <bottom style="thin">
        <color auto="1"/>
      </bottom>
      <diagonal/>
    </border>
    <border>
      <left style="medium">
        <color auto="1"/>
      </left>
      <right/>
      <top style="medium">
        <color auto="1"/>
      </top>
      <bottom/>
      <diagonal/>
    </border>
    <border>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21798">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Border="0"/>
    <xf numFmtId="0" fontId="1" fillId="0" borderId="0"/>
    <xf numFmtId="0" fontId="3" fillId="0" borderId="0"/>
    <xf numFmtId="0" fontId="1" fillId="0" borderId="0"/>
    <xf numFmtId="0" fontId="1" fillId="0" borderId="0"/>
    <xf numFmtId="0" fontId="1" fillId="0" borderId="0"/>
    <xf numFmtId="0" fontId="1" fillId="0" borderId="0"/>
    <xf numFmtId="0" fontId="23" fillId="0" borderId="0"/>
    <xf numFmtId="0" fontId="1" fillId="0" borderId="0"/>
    <xf numFmtId="0" fontId="6" fillId="0" borderId="0">
      <alignment vertical="center"/>
    </xf>
    <xf numFmtId="0" fontId="7" fillId="22" borderId="0" applyNumberFormat="0" applyBorder="0" applyAlignment="0" applyProtection="0">
      <alignment vertical="center"/>
    </xf>
    <xf numFmtId="0" fontId="8" fillId="21"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 fillId="0" borderId="0"/>
    <xf numFmtId="0" fontId="2" fillId="0" borderId="0" applyNumberFormat="0" applyFill="0" applyBorder="0" applyAlignment="0" applyProtection="0"/>
    <xf numFmtId="0" fontId="11" fillId="0" borderId="0">
      <alignment vertical="center"/>
    </xf>
    <xf numFmtId="0" fontId="1" fillId="0" borderId="0"/>
    <xf numFmtId="0" fontId="1" fillId="0" borderId="0"/>
    <xf numFmtId="0" fontId="1" fillId="0" borderId="0"/>
    <xf numFmtId="0" fontId="3" fillId="0" borderId="0"/>
    <xf numFmtId="0" fontId="3" fillId="0" borderId="0"/>
    <xf numFmtId="0" fontId="1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cellStyleXfs>
  <cellXfs count="314">
    <xf numFmtId="0" fontId="0" fillId="0" borderId="0" xfId="0"/>
    <xf numFmtId="0" fontId="0" fillId="0" borderId="0" xfId="0"/>
    <xf numFmtId="165" fontId="0" fillId="0" borderId="0" xfId="0" quotePrefix="1" applyNumberFormat="1"/>
    <xf numFmtId="0" fontId="0" fillId="0" borderId="0" xfId="0"/>
    <xf numFmtId="0" fontId="4" fillId="17" borderId="13" xfId="2" applyFont="1" applyFill="1" applyBorder="1" applyAlignment="1">
      <alignment horizontal="center" vertical="top" wrapText="1"/>
    </xf>
    <xf numFmtId="0" fontId="4" fillId="13" borderId="1" xfId="2" applyFont="1" applyFill="1" applyBorder="1" applyAlignment="1">
      <alignment horizontal="center" vertical="top"/>
    </xf>
    <xf numFmtId="0" fontId="4" fillId="18" borderId="1" xfId="2" applyFont="1" applyFill="1" applyBorder="1" applyAlignment="1">
      <alignment horizontal="center" vertical="top"/>
    </xf>
    <xf numFmtId="0" fontId="17" fillId="9" borderId="16" xfId="2" applyFont="1" applyFill="1" applyBorder="1" applyAlignment="1">
      <alignment horizontal="center" vertical="top"/>
    </xf>
    <xf numFmtId="0" fontId="4" fillId="8" borderId="5" xfId="2" applyFont="1" applyFill="1" applyBorder="1" applyAlignment="1">
      <alignment horizontal="center" vertical="top"/>
    </xf>
    <xf numFmtId="0" fontId="4" fillId="0" borderId="3" xfId="1" applyFont="1" applyBorder="1" applyAlignment="1">
      <alignment horizontal="center" vertical="center" wrapText="1"/>
    </xf>
    <xf numFmtId="0" fontId="4" fillId="0" borderId="3" xfId="2" applyNumberFormat="1" applyFont="1" applyFill="1" applyBorder="1" applyAlignment="1">
      <alignment horizontal="center" vertical="center"/>
    </xf>
    <xf numFmtId="0" fontId="4" fillId="14" borderId="13" xfId="2" applyFont="1" applyFill="1" applyBorder="1" applyAlignment="1">
      <alignment horizontal="center" vertical="center"/>
    </xf>
    <xf numFmtId="0" fontId="4" fillId="5" borderId="13" xfId="26" applyFont="1" applyFill="1" applyBorder="1" applyAlignment="1">
      <alignment horizontal="center" vertical="center"/>
    </xf>
    <xf numFmtId="0" fontId="17" fillId="9" borderId="0" xfId="2" applyFont="1" applyFill="1" applyBorder="1" applyAlignment="1">
      <alignment horizontal="center" vertical="top" wrapText="1"/>
    </xf>
    <xf numFmtId="0" fontId="22" fillId="0" borderId="1" xfId="106" applyFont="1" applyBorder="1" applyAlignment="1">
      <alignment horizontal="center"/>
    </xf>
    <xf numFmtId="0" fontId="22" fillId="0" borderId="1" xfId="106" applyFont="1" applyBorder="1" applyAlignment="1">
      <alignment horizontal="center" wrapText="1"/>
    </xf>
    <xf numFmtId="0" fontId="17" fillId="9" borderId="19" xfId="2" applyFont="1" applyFill="1" applyBorder="1" applyAlignment="1">
      <alignment horizontal="center" vertical="top"/>
    </xf>
    <xf numFmtId="0" fontId="4" fillId="0" borderId="1" xfId="26" applyFont="1" applyFill="1" applyBorder="1" applyAlignment="1">
      <alignment horizontal="center" vertical="center"/>
    </xf>
    <xf numFmtId="0" fontId="4" fillId="20" borderId="1" xfId="2" applyFont="1" applyFill="1" applyBorder="1" applyAlignment="1">
      <alignment horizontal="center" vertical="top" wrapText="1"/>
    </xf>
    <xf numFmtId="0" fontId="17" fillId="9" borderId="24" xfId="2" applyFont="1" applyFill="1" applyBorder="1" applyAlignment="1">
      <alignment horizontal="center" vertical="top" wrapText="1"/>
    </xf>
    <xf numFmtId="0" fontId="17" fillId="17" borderId="1" xfId="2" applyFont="1" applyFill="1" applyBorder="1" applyAlignment="1">
      <alignment horizontal="center" vertical="top" wrapText="1"/>
    </xf>
    <xf numFmtId="0" fontId="4" fillId="0" borderId="1" xfId="31" applyFont="1" applyBorder="1"/>
    <xf numFmtId="0" fontId="17" fillId="9" borderId="1" xfId="2" applyFont="1" applyFill="1" applyBorder="1" applyAlignment="1">
      <alignment horizontal="center" vertical="top" wrapText="1"/>
    </xf>
    <xf numFmtId="0" fontId="4" fillId="13" borderId="7" xfId="2" applyFont="1" applyFill="1" applyBorder="1" applyAlignment="1">
      <alignment horizontal="center" vertical="top" wrapText="1"/>
    </xf>
    <xf numFmtId="0" fontId="4" fillId="13" borderId="7" xfId="2" applyFont="1" applyFill="1" applyBorder="1" applyAlignment="1">
      <alignment horizontal="center" vertical="center" wrapText="1"/>
    </xf>
    <xf numFmtId="0" fontId="4" fillId="8" borderId="1" xfId="26" applyFont="1" applyFill="1" applyBorder="1" applyAlignment="1">
      <alignment horizontal="center" vertical="top" wrapText="1"/>
    </xf>
    <xf numFmtId="0" fontId="4" fillId="0" borderId="1" xfId="26" applyNumberFormat="1" applyFont="1" applyFill="1" applyBorder="1" applyAlignment="1">
      <alignment horizontal="center" vertical="center" wrapText="1"/>
    </xf>
    <xf numFmtId="0" fontId="21" fillId="0" borderId="1" xfId="26" applyFont="1" applyFill="1" applyBorder="1" applyAlignment="1">
      <alignment horizontal="center" vertical="top" wrapText="1"/>
    </xf>
    <xf numFmtId="0" fontId="4" fillId="17" borderId="1" xfId="26" applyFont="1" applyFill="1" applyBorder="1" applyAlignment="1">
      <alignment horizontal="center" vertical="top" wrapText="1"/>
    </xf>
    <xf numFmtId="0" fontId="17" fillId="9" borderId="18" xfId="26" applyFont="1" applyFill="1" applyBorder="1" applyAlignment="1">
      <alignment horizontal="center" vertical="top" wrapText="1"/>
    </xf>
    <xf numFmtId="0" fontId="17" fillId="9" borderId="23" xfId="2" applyFont="1" applyFill="1" applyBorder="1" applyAlignment="1">
      <alignment horizontal="center" vertical="top" wrapText="1"/>
    </xf>
    <xf numFmtId="0" fontId="4" fillId="0" borderId="1" xfId="111" applyFont="1" applyFill="1" applyBorder="1" applyAlignment="1">
      <alignment horizontal="center" vertical="center"/>
    </xf>
    <xf numFmtId="0" fontId="17" fillId="9" borderId="19" xfId="2" applyFont="1" applyFill="1" applyBorder="1" applyAlignment="1">
      <alignment horizontal="center" vertical="top" wrapText="1"/>
    </xf>
    <xf numFmtId="0" fontId="4" fillId="13" borderId="1" xfId="2" applyFont="1" applyFill="1" applyBorder="1" applyAlignment="1">
      <alignment horizontal="center" vertical="top" wrapText="1"/>
    </xf>
    <xf numFmtId="0" fontId="4" fillId="13" borderId="1" xfId="2" applyFont="1" applyFill="1" applyBorder="1" applyAlignment="1">
      <alignment horizontal="center" vertical="center" wrapText="1"/>
    </xf>
    <xf numFmtId="0" fontId="4" fillId="0" borderId="1" xfId="2" applyFont="1" applyBorder="1"/>
    <xf numFmtId="0" fontId="4" fillId="17" borderId="1" xfId="2" applyFont="1" applyFill="1" applyBorder="1" applyAlignment="1">
      <alignment horizontal="center" vertical="top" wrapText="1"/>
    </xf>
    <xf numFmtId="0" fontId="17" fillId="9" borderId="22" xfId="2" applyFont="1" applyFill="1" applyBorder="1" applyAlignment="1">
      <alignment horizontal="center" vertical="top"/>
    </xf>
    <xf numFmtId="0" fontId="17" fillId="9" borderId="20" xfId="2" applyFont="1" applyFill="1" applyBorder="1" applyAlignment="1">
      <alignment horizontal="center" vertical="top"/>
    </xf>
    <xf numFmtId="0" fontId="4" fillId="4" borderId="1" xfId="2" applyFont="1" applyFill="1" applyBorder="1" applyAlignment="1">
      <alignment horizontal="center" vertical="top"/>
    </xf>
    <xf numFmtId="0" fontId="4" fillId="4" borderId="1" xfId="2" applyFont="1" applyFill="1" applyBorder="1" applyAlignment="1">
      <alignment horizontal="center" vertical="center"/>
    </xf>
    <xf numFmtId="0" fontId="4" fillId="0" borderId="1" xfId="2" applyFont="1" applyBorder="1" applyAlignment="1">
      <alignment vertical="top"/>
    </xf>
    <xf numFmtId="0" fontId="17" fillId="9" borderId="15" xfId="2" applyFont="1" applyFill="1" applyBorder="1" applyAlignment="1">
      <alignment horizontal="center" vertical="top"/>
    </xf>
    <xf numFmtId="0" fontId="17" fillId="9" borderId="18" xfId="2" applyFont="1" applyFill="1" applyBorder="1" applyAlignment="1">
      <alignment horizontal="center" vertical="top"/>
    </xf>
    <xf numFmtId="0" fontId="4" fillId="0" borderId="1" xfId="2" applyNumberFormat="1" applyFont="1" applyFill="1" applyBorder="1" applyAlignment="1">
      <alignment horizontal="center" vertical="center"/>
    </xf>
    <xf numFmtId="0" fontId="4" fillId="14" borderId="1" xfId="2" applyFont="1" applyFill="1" applyBorder="1" applyAlignment="1">
      <alignment horizontal="center" vertical="top"/>
    </xf>
    <xf numFmtId="0" fontId="4" fillId="14" borderId="1" xfId="2" applyFont="1" applyFill="1" applyBorder="1" applyAlignment="1">
      <alignment horizontal="center" vertical="center"/>
    </xf>
    <xf numFmtId="0" fontId="4" fillId="7" borderId="1" xfId="2" applyFont="1" applyFill="1" applyBorder="1" applyAlignment="1">
      <alignment horizontal="center" vertical="top"/>
    </xf>
    <xf numFmtId="0" fontId="4" fillId="17" borderId="1" xfId="2" applyFont="1" applyFill="1" applyBorder="1" applyAlignment="1">
      <alignment horizontal="center" vertical="top"/>
    </xf>
    <xf numFmtId="0" fontId="17" fillId="9" borderId="10" xfId="2" applyFont="1" applyFill="1" applyBorder="1" applyAlignment="1">
      <alignment horizontal="center" vertical="top"/>
    </xf>
    <xf numFmtId="0" fontId="17" fillId="19" borderId="6" xfId="2" applyFont="1" applyFill="1" applyBorder="1" applyAlignment="1">
      <alignment horizontal="center" vertical="top" wrapText="1"/>
    </xf>
    <xf numFmtId="0" fontId="17" fillId="10" borderId="10" xfId="2" applyFont="1" applyFill="1" applyBorder="1" applyAlignment="1">
      <alignment horizontal="center" vertical="top" wrapText="1"/>
    </xf>
    <xf numFmtId="0" fontId="17" fillId="9" borderId="21" xfId="2" applyFont="1" applyFill="1" applyBorder="1" applyAlignment="1">
      <alignment horizontal="center" vertical="top" wrapText="1"/>
    </xf>
    <xf numFmtId="0" fontId="17" fillId="9" borderId="6" xfId="2" applyFont="1" applyFill="1" applyBorder="1" applyAlignment="1">
      <alignment horizontal="center" vertical="top" wrapText="1"/>
    </xf>
    <xf numFmtId="0" fontId="17" fillId="9" borderId="20" xfId="2" applyFont="1" applyFill="1" applyBorder="1" applyAlignment="1">
      <alignment horizontal="center" vertical="top" wrapText="1"/>
    </xf>
    <xf numFmtId="0" fontId="4" fillId="0" borderId="1" xfId="2" applyFont="1" applyFill="1" applyBorder="1" applyAlignment="1">
      <alignment horizontal="center" vertical="center"/>
    </xf>
    <xf numFmtId="0" fontId="17" fillId="9" borderId="22" xfId="2" applyFont="1" applyFill="1" applyBorder="1" applyAlignment="1">
      <alignment horizontal="center" vertical="top" wrapText="1"/>
    </xf>
    <xf numFmtId="0" fontId="4" fillId="0" borderId="1" xfId="2" applyFont="1" applyBorder="1" applyAlignment="1">
      <alignment horizontal="center" vertical="center" wrapText="1"/>
    </xf>
    <xf numFmtId="0" fontId="4" fillId="0" borderId="1" xfId="2" applyFont="1" applyBorder="1" applyAlignment="1">
      <alignment horizontal="center" vertical="center"/>
    </xf>
    <xf numFmtId="0" fontId="4" fillId="6" borderId="0" xfId="1" applyFont="1" applyFill="1"/>
    <xf numFmtId="0" fontId="17" fillId="10" borderId="1" xfId="2" applyFont="1" applyFill="1" applyBorder="1" applyAlignment="1">
      <alignment horizontal="center" vertical="top" wrapText="1"/>
    </xf>
    <xf numFmtId="0" fontId="4" fillId="0" borderId="5" xfId="2" applyFont="1" applyFill="1" applyBorder="1" applyAlignment="1">
      <alignment horizontal="center" vertical="top" wrapText="1"/>
    </xf>
    <xf numFmtId="0" fontId="17" fillId="10" borderId="0" xfId="2" applyFont="1" applyFill="1" applyBorder="1" applyAlignment="1">
      <alignment horizontal="center" vertical="top" wrapText="1"/>
    </xf>
    <xf numFmtId="0" fontId="4" fillId="5" borderId="1" xfId="2" applyFont="1" applyFill="1" applyBorder="1" applyAlignment="1">
      <alignment horizontal="center" vertical="center" wrapText="1"/>
    </xf>
    <xf numFmtId="0" fontId="4" fillId="24" borderId="1" xfId="2" applyFont="1" applyFill="1" applyBorder="1" applyAlignment="1">
      <alignment horizontal="center" vertical="center"/>
    </xf>
    <xf numFmtId="0" fontId="4" fillId="24" borderId="5" xfId="2" applyFont="1" applyFill="1" applyBorder="1" applyAlignment="1">
      <alignment horizontal="center" vertical="center" wrapText="1"/>
    </xf>
    <xf numFmtId="0" fontId="4" fillId="0" borderId="3" xfId="2" applyNumberFormat="1" applyFont="1" applyFill="1" applyBorder="1" applyAlignment="1">
      <alignment horizontal="center" vertical="top" wrapText="1"/>
    </xf>
    <xf numFmtId="0" fontId="4" fillId="0" borderId="13" xfId="2" applyNumberFormat="1" applyFont="1" applyFill="1" applyBorder="1" applyAlignment="1">
      <alignment horizontal="center" vertical="top" wrapText="1"/>
    </xf>
    <xf numFmtId="0" fontId="4" fillId="0" borderId="1" xfId="2" applyNumberFormat="1" applyFont="1" applyFill="1" applyBorder="1" applyAlignment="1">
      <alignment horizontal="center" vertical="center" wrapText="1"/>
    </xf>
    <xf numFmtId="0" fontId="17" fillId="9" borderId="18" xfId="2" applyFont="1" applyFill="1" applyBorder="1" applyAlignment="1">
      <alignment horizontal="center" vertical="top" wrapText="1"/>
    </xf>
    <xf numFmtId="0" fontId="4" fillId="0" borderId="1" xfId="1" applyFont="1" applyBorder="1"/>
    <xf numFmtId="0" fontId="4" fillId="24" borderId="1" xfId="2" applyFont="1" applyFill="1" applyBorder="1" applyAlignment="1">
      <alignment horizontal="center" vertical="center" wrapText="1"/>
    </xf>
    <xf numFmtId="0" fontId="4" fillId="12" borderId="1" xfId="2" applyFont="1" applyFill="1" applyBorder="1" applyAlignment="1">
      <alignment horizontal="center" vertical="top" wrapText="1"/>
    </xf>
    <xf numFmtId="0" fontId="4" fillId="12" borderId="1" xfId="2" applyFont="1" applyFill="1" applyBorder="1" applyAlignment="1">
      <alignment horizontal="center" vertical="center" wrapText="1"/>
    </xf>
    <xf numFmtId="0" fontId="4" fillId="0" borderId="1" xfId="2" applyNumberFormat="1" applyFont="1" applyFill="1" applyBorder="1" applyAlignment="1">
      <alignment horizontal="center" vertical="top"/>
    </xf>
    <xf numFmtId="0" fontId="4" fillId="0" borderId="1" xfId="2" applyFont="1" applyFill="1" applyBorder="1" applyAlignment="1">
      <alignment horizontal="center" vertical="top"/>
    </xf>
    <xf numFmtId="0" fontId="17" fillId="10" borderId="6" xfId="2" applyFont="1" applyFill="1" applyBorder="1" applyAlignment="1">
      <alignment horizontal="center" vertical="top"/>
    </xf>
    <xf numFmtId="0" fontId="17" fillId="9" borderId="10" xfId="2" applyFont="1" applyFill="1" applyBorder="1" applyAlignment="1">
      <alignment horizontal="center" vertical="top" wrapText="1"/>
    </xf>
    <xf numFmtId="0" fontId="17" fillId="9" borderId="14" xfId="2" applyFont="1" applyFill="1" applyBorder="1" applyAlignment="1">
      <alignment horizontal="center" vertical="top"/>
    </xf>
    <xf numFmtId="0" fontId="4" fillId="8" borderId="1" xfId="2" applyFont="1" applyFill="1" applyBorder="1" applyAlignment="1">
      <alignment horizontal="center" vertical="top"/>
    </xf>
    <xf numFmtId="0" fontId="4" fillId="23" borderId="1" xfId="2" applyFont="1" applyFill="1" applyBorder="1" applyAlignment="1">
      <alignment horizontal="center" vertical="center" wrapText="1"/>
    </xf>
    <xf numFmtId="0" fontId="17" fillId="9" borderId="17" xfId="2" applyFont="1" applyFill="1" applyBorder="1" applyAlignment="1">
      <alignment horizontal="center" vertical="top" wrapText="1"/>
    </xf>
    <xf numFmtId="0" fontId="20" fillId="0" borderId="1" xfId="2" applyNumberFormat="1" applyFont="1" applyFill="1" applyBorder="1" applyAlignment="1">
      <alignment horizontal="center" vertical="top" wrapText="1"/>
    </xf>
    <xf numFmtId="0" fontId="17" fillId="9" borderId="9" xfId="2" applyFont="1" applyFill="1" applyBorder="1" applyAlignment="1">
      <alignment horizontal="center" vertical="top" wrapText="1"/>
    </xf>
    <xf numFmtId="0" fontId="20" fillId="0" borderId="1" xfId="2" applyFont="1" applyFill="1" applyBorder="1" applyAlignment="1">
      <alignment horizontal="center" vertical="top" wrapText="1"/>
    </xf>
    <xf numFmtId="0" fontId="19" fillId="16" borderId="1" xfId="2" applyFont="1" applyFill="1" applyBorder="1" applyAlignment="1">
      <alignment horizontal="center" vertical="center" wrapText="1"/>
    </xf>
    <xf numFmtId="0" fontId="17" fillId="9" borderId="14" xfId="2" applyFont="1" applyFill="1" applyBorder="1" applyAlignment="1">
      <alignment horizontal="center" vertical="top" wrapText="1"/>
    </xf>
    <xf numFmtId="0" fontId="4" fillId="15" borderId="1" xfId="2" applyFont="1" applyFill="1" applyBorder="1" applyAlignment="1">
      <alignment horizontal="center" vertical="top" wrapText="1"/>
    </xf>
    <xf numFmtId="0" fontId="4" fillId="15" borderId="1" xfId="2" applyFont="1" applyFill="1" applyBorder="1" applyAlignment="1">
      <alignment horizontal="center" vertical="center" wrapText="1"/>
    </xf>
    <xf numFmtId="0" fontId="17" fillId="10" borderId="6" xfId="2" applyFont="1" applyFill="1" applyBorder="1" applyAlignment="1">
      <alignment horizontal="center" vertical="top" wrapText="1"/>
    </xf>
    <xf numFmtId="0" fontId="4" fillId="18" borderId="1" xfId="2" applyFont="1" applyFill="1" applyBorder="1" applyAlignment="1">
      <alignment horizontal="center" vertical="top" wrapText="1"/>
    </xf>
    <xf numFmtId="0" fontId="4" fillId="8" borderId="1" xfId="2" applyFont="1" applyFill="1" applyBorder="1" applyAlignment="1">
      <alignment horizontal="center" vertical="top" wrapText="1"/>
    </xf>
    <xf numFmtId="0" fontId="4" fillId="0" borderId="1" xfId="2" applyFont="1" applyFill="1" applyBorder="1" applyAlignment="1">
      <alignment horizontal="center" vertical="center" wrapText="1"/>
    </xf>
    <xf numFmtId="0" fontId="4" fillId="0" borderId="1" xfId="2" applyNumberFormat="1" applyFont="1" applyFill="1" applyBorder="1" applyAlignment="1">
      <alignment horizontal="center" vertical="top" wrapText="1"/>
    </xf>
    <xf numFmtId="0" fontId="4" fillId="0" borderId="1" xfId="2" applyFont="1" applyFill="1" applyBorder="1" applyAlignment="1">
      <alignment horizontal="center" vertical="top" wrapText="1"/>
    </xf>
    <xf numFmtId="0" fontId="17" fillId="10" borderId="17" xfId="2" applyFont="1" applyFill="1" applyBorder="1" applyAlignment="1">
      <alignment horizontal="center" vertical="top" wrapText="1"/>
    </xf>
    <xf numFmtId="0" fontId="17" fillId="9" borderId="12" xfId="2" applyFont="1" applyFill="1" applyBorder="1" applyAlignment="1">
      <alignment horizontal="center" vertical="top" wrapText="1"/>
    </xf>
    <xf numFmtId="0" fontId="4" fillId="4" borderId="1" xfId="2" applyFont="1" applyFill="1" applyBorder="1" applyAlignment="1">
      <alignment horizontal="center" vertical="top" wrapText="1"/>
    </xf>
    <xf numFmtId="0" fontId="4" fillId="4" borderId="1" xfId="2" applyFont="1" applyFill="1" applyBorder="1" applyAlignment="1">
      <alignment horizontal="center" vertical="center" wrapText="1"/>
    </xf>
    <xf numFmtId="0" fontId="4" fillId="7" borderId="1" xfId="2" applyFont="1" applyFill="1" applyBorder="1" applyAlignment="1">
      <alignment horizontal="center" vertical="top" wrapText="1"/>
    </xf>
    <xf numFmtId="0" fontId="17" fillId="10" borderId="23" xfId="2" applyFont="1" applyFill="1" applyBorder="1" applyAlignment="1">
      <alignment horizontal="center" vertical="top" wrapText="1"/>
    </xf>
    <xf numFmtId="0" fontId="17" fillId="9" borderId="2" xfId="2" applyFont="1" applyFill="1" applyBorder="1" applyAlignment="1">
      <alignment horizontal="center" vertical="top" wrapText="1"/>
    </xf>
    <xf numFmtId="0" fontId="13" fillId="11" borderId="8" xfId="2" applyFont="1" applyFill="1" applyBorder="1" applyAlignment="1">
      <alignment horizontal="center" vertical="center"/>
    </xf>
    <xf numFmtId="0" fontId="13" fillId="11" borderId="8" xfId="2" applyNumberFormat="1" applyFont="1" applyFill="1" applyBorder="1" applyAlignment="1">
      <alignment horizontal="center" vertical="top"/>
    </xf>
    <xf numFmtId="0" fontId="16" fillId="11" borderId="8" xfId="2" applyFont="1" applyFill="1" applyBorder="1" applyAlignment="1">
      <alignment horizontal="center" vertical="top"/>
    </xf>
    <xf numFmtId="0" fontId="13" fillId="11" borderId="8" xfId="2" applyFont="1" applyFill="1" applyBorder="1" applyAlignment="1">
      <alignment horizontal="center" vertical="top"/>
    </xf>
    <xf numFmtId="0" fontId="13" fillId="11" borderId="9" xfId="2" applyFont="1" applyFill="1" applyBorder="1" applyAlignment="1">
      <alignment horizontal="center" vertical="top"/>
    </xf>
    <xf numFmtId="0" fontId="13" fillId="8" borderId="7" xfId="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0" borderId="1" xfId="1" applyNumberFormat="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0" fontId="15" fillId="9" borderId="1" xfId="1" applyFont="1" applyFill="1" applyBorder="1" applyAlignment="1">
      <alignment horizontal="center" vertical="center" wrapText="1"/>
    </xf>
    <xf numFmtId="0" fontId="14" fillId="0" borderId="0" xfId="0" applyFont="1"/>
    <xf numFmtId="0" fontId="4" fillId="0" borderId="0" xfId="1" applyFont="1" applyBorder="1"/>
    <xf numFmtId="0" fontId="4" fillId="0" borderId="0" xfId="1" applyFont="1" applyAlignment="1">
      <alignment horizontal="center" vertical="center"/>
    </xf>
    <xf numFmtId="0" fontId="4" fillId="0" borderId="0" xfId="1" applyFont="1"/>
    <xf numFmtId="0" fontId="0" fillId="0" borderId="0" xfId="0"/>
    <xf numFmtId="0" fontId="24" fillId="0" borderId="1" xfId="21795" applyFont="1" applyBorder="1" applyAlignment="1">
      <alignment horizontal="center" vertical="center"/>
    </xf>
    <xf numFmtId="0" fontId="24" fillId="0" borderId="1" xfId="21795" applyFont="1" applyBorder="1" applyAlignment="1">
      <alignment horizontal="center" vertical="center" wrapText="1"/>
    </xf>
    <xf numFmtId="0" fontId="3" fillId="0" borderId="0" xfId="2"/>
    <xf numFmtId="0" fontId="3" fillId="0" borderId="1" xfId="2" applyFont="1" applyBorder="1" applyAlignment="1">
      <alignment horizontal="center" vertical="center"/>
    </xf>
    <xf numFmtId="0" fontId="27" fillId="0" borderId="1" xfId="2" applyFont="1" applyBorder="1" applyAlignment="1">
      <alignment vertical="center"/>
    </xf>
    <xf numFmtId="0" fontId="3" fillId="0" borderId="1" xfId="2" applyFont="1" applyBorder="1" applyAlignment="1">
      <alignment vertical="center"/>
    </xf>
    <xf numFmtId="0" fontId="27" fillId="0" borderId="1" xfId="2" applyFont="1" applyFill="1" applyBorder="1" applyAlignment="1">
      <alignment vertical="center"/>
    </xf>
    <xf numFmtId="0" fontId="3" fillId="0" borderId="1" xfId="111" applyFont="1" applyFill="1" applyBorder="1" applyAlignment="1">
      <alignment horizontal="left" vertical="center"/>
    </xf>
    <xf numFmtId="0" fontId="24" fillId="0" borderId="1" xfId="21795" applyFont="1" applyBorder="1" applyAlignment="1">
      <alignment horizontal="center" vertical="center" wrapText="1"/>
    </xf>
    <xf numFmtId="164" fontId="3" fillId="0" borderId="1" xfId="2" applyNumberFormat="1" applyFont="1" applyBorder="1" applyAlignment="1">
      <alignment horizontal="center" vertical="center"/>
    </xf>
    <xf numFmtId="164" fontId="3" fillId="4" borderId="1" xfId="2" applyNumberFormat="1" applyFont="1" applyFill="1" applyBorder="1" applyAlignment="1">
      <alignment horizontal="center" vertical="center"/>
    </xf>
    <xf numFmtId="164" fontId="25" fillId="0" borderId="1" xfId="2" applyNumberFormat="1" applyFont="1" applyBorder="1" applyAlignment="1">
      <alignment horizontal="center" vertical="center"/>
    </xf>
    <xf numFmtId="0" fontId="24" fillId="0" borderId="1" xfId="2" applyFont="1" applyFill="1" applyBorder="1" applyAlignment="1">
      <alignment horizontal="center" wrapText="1"/>
    </xf>
    <xf numFmtId="0" fontId="24" fillId="0" borderId="1" xfId="2" applyFont="1" applyFill="1" applyBorder="1" applyAlignment="1">
      <alignment horizontal="center" wrapText="1"/>
    </xf>
    <xf numFmtId="0" fontId="3" fillId="0" borderId="1" xfId="2" applyNumberFormat="1" applyFont="1" applyFill="1" applyBorder="1" applyAlignment="1">
      <alignment horizontal="center" vertical="top" wrapText="1"/>
    </xf>
    <xf numFmtId="0" fontId="3" fillId="15" borderId="1" xfId="2" applyNumberFormat="1" applyFont="1" applyFill="1" applyBorder="1" applyAlignment="1">
      <alignment horizontal="center" vertical="top" wrapText="1"/>
    </xf>
    <xf numFmtId="0" fontId="3" fillId="0" borderId="1" xfId="2" applyNumberFormat="1" applyFont="1" applyFill="1" applyBorder="1" applyAlignment="1">
      <alignment horizontal="center" vertical="top"/>
    </xf>
    <xf numFmtId="0" fontId="0" fillId="0" borderId="0" xfId="0" quotePrefix="1"/>
    <xf numFmtId="0" fontId="14" fillId="0" borderId="0" xfId="0" applyFont="1" applyAlignment="1">
      <alignment horizontal="center" vertical="center"/>
    </xf>
    <xf numFmtId="0" fontId="3" fillId="0" borderId="0" xfId="1" applyFont="1"/>
    <xf numFmtId="0" fontId="24" fillId="0" borderId="1" xfId="2" applyNumberFormat="1" applyFont="1" applyFill="1" applyBorder="1" applyAlignment="1">
      <alignment horizontal="center" vertical="center" wrapText="1"/>
    </xf>
    <xf numFmtId="0" fontId="24" fillId="11" borderId="6" xfId="2" applyNumberFormat="1" applyFont="1" applyFill="1" applyBorder="1" applyAlignment="1">
      <alignment horizontal="center" vertical="top"/>
    </xf>
    <xf numFmtId="0" fontId="3" fillId="4" borderId="1" xfId="2" applyNumberFormat="1" applyFont="1" applyFill="1" applyBorder="1" applyAlignment="1">
      <alignment horizontal="center" vertical="top" wrapText="1"/>
    </xf>
    <xf numFmtId="0" fontId="3" fillId="15" borderId="1" xfId="2" applyFont="1" applyFill="1" applyBorder="1" applyAlignment="1">
      <alignment horizontal="center" vertical="top" wrapText="1"/>
    </xf>
    <xf numFmtId="0" fontId="3" fillId="4" borderId="1" xfId="2" applyFont="1" applyFill="1" applyBorder="1" applyAlignment="1">
      <alignment horizontal="center" vertical="top" wrapText="1"/>
    </xf>
    <xf numFmtId="0" fontId="3" fillId="12" borderId="1" xfId="2" applyFont="1" applyFill="1" applyBorder="1" applyAlignment="1">
      <alignment horizontal="center" vertical="top" wrapText="1"/>
    </xf>
    <xf numFmtId="0" fontId="3" fillId="14" borderId="1" xfId="2" applyNumberFormat="1" applyFont="1" applyFill="1" applyBorder="1" applyAlignment="1">
      <alignment horizontal="center" vertical="top"/>
    </xf>
    <xf numFmtId="0" fontId="3" fillId="4" borderId="1" xfId="2" applyNumberFormat="1" applyFont="1" applyFill="1" applyBorder="1" applyAlignment="1">
      <alignment horizontal="center" vertical="top"/>
    </xf>
    <xf numFmtId="0" fontId="3" fillId="13" borderId="1"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17" borderId="1" xfId="2" applyNumberFormat="1" applyFont="1" applyFill="1" applyBorder="1" applyAlignment="1">
      <alignment horizontal="center" vertical="top" wrapText="1"/>
    </xf>
    <xf numFmtId="0" fontId="3" fillId="0" borderId="1" xfId="26" applyNumberFormat="1" applyFont="1" applyFill="1" applyBorder="1" applyAlignment="1">
      <alignment horizontal="center" vertical="top" wrapText="1"/>
    </xf>
    <xf numFmtId="0" fontId="3" fillId="20" borderId="1" xfId="2" applyFont="1" applyFill="1" applyBorder="1" applyAlignment="1">
      <alignment horizontal="center" vertical="top" wrapText="1"/>
    </xf>
    <xf numFmtId="0" fontId="3" fillId="13" borderId="1" xfId="2" applyNumberFormat="1" applyFont="1" applyFill="1" applyBorder="1" applyAlignment="1">
      <alignment horizontal="center" vertical="top" wrapText="1"/>
    </xf>
    <xf numFmtId="0" fontId="3" fillId="13" borderId="1" xfId="2" applyNumberFormat="1" applyFont="1" applyFill="1" applyBorder="1" applyAlignment="1">
      <alignment horizontal="center" vertical="top"/>
    </xf>
    <xf numFmtId="0" fontId="28" fillId="0" borderId="1" xfId="2" applyNumberFormat="1" applyFont="1" applyFill="1" applyBorder="1" applyAlignment="1">
      <alignment horizontal="center" vertical="top" wrapText="1"/>
    </xf>
    <xf numFmtId="0" fontId="29" fillId="0" borderId="0" xfId="0" applyFont="1"/>
    <xf numFmtId="0" fontId="18" fillId="14" borderId="1" xfId="2" applyNumberFormat="1" applyFont="1" applyFill="1" applyBorder="1" applyAlignment="1">
      <alignment horizontal="center" vertical="center"/>
    </xf>
    <xf numFmtId="0" fontId="4" fillId="0" borderId="0" xfId="31" applyFont="1" applyAlignment="1">
      <alignment horizontal="center" vertical="center"/>
    </xf>
    <xf numFmtId="0" fontId="0" fillId="0" borderId="0" xfId="0"/>
    <xf numFmtId="0" fontId="24" fillId="0" borderId="1" xfId="21797"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164" fontId="3" fillId="26" borderId="1" xfId="2" applyNumberFormat="1" applyFont="1" applyFill="1" applyBorder="1" applyAlignment="1">
      <alignment horizontal="center" vertical="center"/>
    </xf>
    <xf numFmtId="164" fontId="3" fillId="29" borderId="1" xfId="2" applyNumberFormat="1" applyFont="1" applyFill="1" applyBorder="1" applyAlignment="1">
      <alignment horizontal="center" vertical="center"/>
    </xf>
    <xf numFmtId="164" fontId="3" fillId="28" borderId="1" xfId="2" applyNumberFormat="1" applyFont="1" applyFill="1" applyBorder="1" applyAlignment="1">
      <alignment horizontal="center" vertical="center"/>
    </xf>
    <xf numFmtId="164" fontId="3" fillId="27" borderId="1" xfId="2" applyNumberFormat="1" applyFont="1" applyFill="1" applyBorder="1" applyAlignment="1">
      <alignment horizontal="center" vertical="center"/>
    </xf>
    <xf numFmtId="0" fontId="32" fillId="0" borderId="0" xfId="0" applyFont="1" applyFill="1" applyBorder="1"/>
    <xf numFmtId="0" fontId="0" fillId="0" borderId="0" xfId="0" applyAlignment="1" applyProtection="1">
      <alignment horizontal="center"/>
      <protection hidden="1"/>
    </xf>
    <xf numFmtId="0" fontId="0" fillId="0" borderId="0" xfId="0" applyAlignment="1" applyProtection="1">
      <alignment vertical="top" wrapText="1"/>
      <protection hidden="1"/>
    </xf>
    <xf numFmtId="0" fontId="0" fillId="0" borderId="0" xfId="0" applyNumberFormat="1" applyAlignment="1" applyProtection="1">
      <alignment vertical="center" wrapText="1"/>
      <protection hidden="1"/>
    </xf>
    <xf numFmtId="0" fontId="0" fillId="0" borderId="0" xfId="0" applyAlignment="1" applyProtection="1">
      <alignment horizontal="left"/>
      <protection hidden="1"/>
    </xf>
    <xf numFmtId="0" fontId="0" fillId="0" borderId="0" xfId="0" applyProtection="1">
      <protection hidden="1"/>
    </xf>
    <xf numFmtId="0" fontId="4" fillId="0" borderId="1" xfId="2" applyFont="1" applyBorder="1" applyAlignment="1" applyProtection="1">
      <alignment horizontal="center" vertical="center"/>
      <protection hidden="1"/>
    </xf>
    <xf numFmtId="0" fontId="0" fillId="0" borderId="0" xfId="0" quotePrefix="1" applyProtection="1">
      <protection hidden="1"/>
    </xf>
    <xf numFmtId="0" fontId="0" fillId="0" borderId="0" xfId="0" applyFill="1" applyAlignment="1" applyProtection="1">
      <alignment horizontal="left"/>
      <protection hidden="1"/>
    </xf>
    <xf numFmtId="0" fontId="0" fillId="0" borderId="1" xfId="0" applyBorder="1" applyProtection="1">
      <protection hidden="1"/>
    </xf>
    <xf numFmtId="0" fontId="0" fillId="15" borderId="1" xfId="0" applyFill="1" applyBorder="1" applyAlignment="1" applyProtection="1">
      <alignment horizontal="left"/>
      <protection locked="0" hidden="1"/>
    </xf>
    <xf numFmtId="0" fontId="0" fillId="0" borderId="0" xfId="0" applyNumberFormat="1" applyProtection="1">
      <protection hidden="1"/>
    </xf>
    <xf numFmtId="0" fontId="0" fillId="0" borderId="0" xfId="0" applyBorder="1" applyAlignment="1" applyProtection="1">
      <alignment wrapText="1"/>
      <protection hidden="1"/>
    </xf>
    <xf numFmtId="0" fontId="0" fillId="0" borderId="0" xfId="0" applyAlignment="1" applyProtection="1">
      <protection hidden="1"/>
    </xf>
    <xf numFmtId="0" fontId="0" fillId="0" borderId="0" xfId="0" applyNumberFormat="1" applyAlignment="1" applyProtection="1">
      <alignment horizontal="center" vertical="center" wrapText="1"/>
      <protection hidden="1"/>
    </xf>
    <xf numFmtId="0" fontId="0" fillId="29" borderId="0" xfId="0" applyFill="1" applyProtection="1">
      <protection hidden="1"/>
    </xf>
    <xf numFmtId="0" fontId="0" fillId="0" borderId="0" xfId="0" applyBorder="1" applyAlignment="1" applyProtection="1">
      <alignment horizontal="center"/>
      <protection hidden="1"/>
    </xf>
    <xf numFmtId="0" fontId="0" fillId="0" borderId="0" xfId="0" applyFill="1" applyBorder="1" applyProtection="1">
      <protection hidden="1"/>
    </xf>
    <xf numFmtId="0" fontId="0" fillId="0" borderId="0" xfId="0" quotePrefix="1" applyFill="1" applyProtection="1">
      <protection hidden="1"/>
    </xf>
    <xf numFmtId="0" fontId="0" fillId="0" borderId="0" xfId="0" applyFill="1" applyAlignment="1" applyProtection="1">
      <protection hidden="1"/>
    </xf>
    <xf numFmtId="0" fontId="0" fillId="0" borderId="0" xfId="0" applyBorder="1" applyAlignment="1" applyProtection="1">
      <alignment horizontal="left"/>
      <protection hidden="1"/>
    </xf>
    <xf numFmtId="0" fontId="0" fillId="0" borderId="1" xfId="0" applyFill="1" applyBorder="1" applyProtection="1">
      <protection hidden="1"/>
    </xf>
    <xf numFmtId="0" fontId="0" fillId="0" borderId="0" xfId="0" applyAlignment="1" applyProtection="1">
      <alignment wrapText="1"/>
      <protection hidden="1"/>
    </xf>
    <xf numFmtId="0" fontId="0" fillId="0" borderId="0" xfId="0" applyBorder="1" applyAlignment="1" applyProtection="1">
      <protection hidden="1"/>
    </xf>
    <xf numFmtId="0" fontId="33" fillId="0" borderId="0" xfId="0" applyFont="1" applyFill="1" applyBorder="1" applyAlignment="1" applyProtection="1">
      <alignment wrapText="1"/>
      <protection hidden="1"/>
    </xf>
    <xf numFmtId="49" fontId="0" fillId="0" borderId="0" xfId="0" applyNumberFormat="1" applyProtection="1">
      <protection hidden="1"/>
    </xf>
    <xf numFmtId="0" fontId="0" fillId="0" borderId="0" xfId="0" applyBorder="1" applyProtection="1">
      <protection hidden="1"/>
    </xf>
    <xf numFmtId="0" fontId="0" fillId="0" borderId="0" xfId="0" applyFill="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Protection="1">
      <protection hidden="1"/>
    </xf>
    <xf numFmtId="0" fontId="0" fillId="15" borderId="1" xfId="0" applyFill="1" applyBorder="1" applyAlignment="1" applyProtection="1">
      <alignment horizontal="center"/>
      <protection locked="0" hidden="1"/>
    </xf>
    <xf numFmtId="0" fontId="24" fillId="0" borderId="0" xfId="0" applyFont="1" applyBorder="1" applyAlignment="1">
      <alignment horizontal="center" wrapText="1"/>
    </xf>
    <xf numFmtId="0" fontId="3" fillId="4" borderId="1" xfId="2" applyNumberFormat="1" applyFill="1" applyBorder="1" applyAlignment="1">
      <alignment horizontal="center" vertical="top" wrapText="1"/>
    </xf>
    <xf numFmtId="0" fontId="3" fillId="15" borderId="1" xfId="2" applyNumberFormat="1" applyFill="1" applyBorder="1" applyAlignment="1">
      <alignment horizontal="center" vertical="top" wrapText="1"/>
    </xf>
    <xf numFmtId="0" fontId="3" fillId="15" borderId="1" xfId="2" applyFill="1" applyBorder="1" applyAlignment="1">
      <alignment horizontal="center" vertical="top" wrapText="1"/>
    </xf>
    <xf numFmtId="0" fontId="3" fillId="4" borderId="1" xfId="2" applyFill="1" applyBorder="1" applyAlignment="1">
      <alignment horizontal="center" vertical="top" wrapText="1"/>
    </xf>
    <xf numFmtId="0" fontId="3" fillId="12" borderId="1" xfId="2" applyFill="1" applyBorder="1" applyAlignment="1">
      <alignment horizontal="center" vertical="top" wrapText="1"/>
    </xf>
    <xf numFmtId="0" fontId="3" fillId="5" borderId="1" xfId="2" applyNumberFormat="1" applyFont="1" applyFill="1" applyBorder="1" applyAlignment="1">
      <alignment horizontal="center" vertical="top" wrapText="1"/>
    </xf>
    <xf numFmtId="0" fontId="3" fillId="14" borderId="1" xfId="2" applyNumberFormat="1" applyFill="1" applyBorder="1" applyAlignment="1">
      <alignment horizontal="center" vertical="top"/>
    </xf>
    <xf numFmtId="0" fontId="3" fillId="0" borderId="1" xfId="2" applyNumberFormat="1" applyFill="1" applyBorder="1" applyAlignment="1">
      <alignment horizontal="center" vertical="top"/>
    </xf>
    <xf numFmtId="0" fontId="3" fillId="4" borderId="1" xfId="2" applyNumberFormat="1" applyFill="1" applyBorder="1" applyAlignment="1">
      <alignment horizontal="center" vertical="top"/>
    </xf>
    <xf numFmtId="0" fontId="3" fillId="13" borderId="1" xfId="2" applyFill="1" applyBorder="1" applyAlignment="1">
      <alignment horizontal="center" vertical="top" wrapText="1"/>
    </xf>
    <xf numFmtId="0" fontId="25" fillId="0" borderId="1" xfId="2" applyNumberFormat="1" applyFont="1" applyFill="1" applyBorder="1" applyAlignment="1">
      <alignment horizontal="center" vertical="top" wrapText="1"/>
    </xf>
    <xf numFmtId="0" fontId="3" fillId="30" borderId="1" xfId="26" applyNumberFormat="1" applyFont="1" applyFill="1" applyBorder="1" applyAlignment="1">
      <alignment horizontal="center" vertical="top" wrapText="1"/>
    </xf>
    <xf numFmtId="0" fontId="3" fillId="29" borderId="1" xfId="26" applyNumberFormat="1" applyFont="1" applyFill="1" applyBorder="1" applyAlignment="1">
      <alignment horizontal="center" vertical="top" wrapText="1"/>
    </xf>
    <xf numFmtId="0" fontId="3" fillId="20" borderId="1" xfId="2" applyFill="1" applyBorder="1" applyAlignment="1">
      <alignment horizontal="center" vertical="top" wrapText="1"/>
    </xf>
    <xf numFmtId="0" fontId="3" fillId="24" borderId="1" xfId="2" applyNumberFormat="1" applyFont="1" applyFill="1" applyBorder="1" applyAlignment="1">
      <alignment horizontal="center" vertical="top" wrapText="1"/>
    </xf>
    <xf numFmtId="0" fontId="3" fillId="13" borderId="1" xfId="2" applyNumberFormat="1" applyFill="1" applyBorder="1" applyAlignment="1">
      <alignment horizontal="center" vertical="top"/>
    </xf>
    <xf numFmtId="1" fontId="0" fillId="0" borderId="0" xfId="0" applyNumberFormat="1"/>
    <xf numFmtId="0" fontId="0" fillId="0" borderId="0" xfId="0" applyAlignment="1" applyProtection="1">
      <alignment horizontal="center"/>
      <protection hidden="1"/>
    </xf>
    <xf numFmtId="0" fontId="0" fillId="0" borderId="0" xfId="0" applyFill="1"/>
    <xf numFmtId="0" fontId="0" fillId="0" borderId="0" xfId="0"/>
    <xf numFmtId="0" fontId="0" fillId="15" borderId="1" xfId="0" applyFill="1" applyBorder="1" applyAlignment="1" applyProtection="1">
      <alignment horizontal="right"/>
      <protection locked="0" hidden="1"/>
    </xf>
    <xf numFmtId="0" fontId="0" fillId="15" borderId="1" xfId="0" applyFill="1" applyBorder="1" applyProtection="1">
      <protection locked="0" hidden="1"/>
    </xf>
    <xf numFmtId="164" fontId="0" fillId="15" borderId="1" xfId="0" applyNumberFormat="1" applyFill="1" applyBorder="1" applyAlignment="1" applyProtection="1">
      <alignment horizontal="right"/>
      <protection locked="0" hidden="1"/>
    </xf>
    <xf numFmtId="0" fontId="0" fillId="15" borderId="7" xfId="0" applyFill="1" applyBorder="1" applyProtection="1">
      <protection locked="0" hidden="1"/>
    </xf>
    <xf numFmtId="0" fontId="0" fillId="0" borderId="1" xfId="0" applyBorder="1" applyAlignment="1" applyProtection="1">
      <alignment horizontal="center"/>
      <protection hidden="1"/>
    </xf>
    <xf numFmtId="0" fontId="28" fillId="29" borderId="1" xfId="2" applyNumberFormat="1" applyFont="1" applyFill="1" applyBorder="1" applyAlignment="1">
      <alignment horizontal="center" vertical="top" wrapText="1"/>
    </xf>
    <xf numFmtId="0" fontId="0" fillId="29" borderId="1" xfId="0" applyFill="1" applyBorder="1" applyAlignment="1" applyProtection="1">
      <alignment horizontal="center"/>
      <protection locked="0" hidden="1"/>
    </xf>
    <xf numFmtId="0" fontId="0" fillId="23" borderId="0" xfId="0" applyFill="1"/>
    <xf numFmtId="0" fontId="0" fillId="31" borderId="1" xfId="0" applyFill="1" applyBorder="1"/>
    <xf numFmtId="0" fontId="0" fillId="31" borderId="27" xfId="0" applyFill="1" applyBorder="1"/>
    <xf numFmtId="0" fontId="0" fillId="31" borderId="28" xfId="0" applyFill="1" applyBorder="1"/>
    <xf numFmtId="0" fontId="0" fillId="31" borderId="27" xfId="0" quotePrefix="1" applyFill="1" applyBorder="1"/>
    <xf numFmtId="0" fontId="0" fillId="31" borderId="1" xfId="0" quotePrefix="1" applyFill="1" applyBorder="1"/>
    <xf numFmtId="0" fontId="0" fillId="25" borderId="1" xfId="0" applyFill="1" applyBorder="1" applyProtection="1">
      <protection locked="0" hidden="1"/>
    </xf>
    <xf numFmtId="0" fontId="13" fillId="8" borderId="1" xfId="2" applyFont="1" applyFill="1" applyBorder="1" applyAlignment="1">
      <alignment horizontal="center" vertical="top" wrapText="1"/>
    </xf>
    <xf numFmtId="164" fontId="0" fillId="0" borderId="1" xfId="0" applyNumberFormat="1" applyFill="1" applyBorder="1" applyAlignment="1" applyProtection="1">
      <alignment horizontal="right"/>
      <protection locked="0" hidden="1"/>
    </xf>
    <xf numFmtId="0" fontId="0" fillId="0" borderId="0" xfId="0" applyAlignment="1" applyProtection="1">
      <alignment horizontal="center"/>
      <protection hidden="1"/>
    </xf>
    <xf numFmtId="0" fontId="0" fillId="0" borderId="0" xfId="0" applyAlignment="1" applyProtection="1">
      <alignment horizontal="left"/>
      <protection hidden="1"/>
    </xf>
    <xf numFmtId="0" fontId="3" fillId="15" borderId="1" xfId="2" applyNumberFormat="1" applyFont="1" applyFill="1" applyBorder="1" applyAlignment="1" applyProtection="1">
      <alignment horizontal="center" vertical="center" wrapText="1"/>
      <protection locked="0"/>
    </xf>
    <xf numFmtId="0" fontId="33" fillId="0" borderId="1" xfId="0" applyFont="1" applyBorder="1" applyProtection="1">
      <protection hidden="1"/>
    </xf>
    <xf numFmtId="0" fontId="33" fillId="0" borderId="1" xfId="0" applyFont="1" applyBorder="1" applyAlignment="1" applyProtection="1">
      <alignment horizontal="center"/>
      <protection hidden="1"/>
    </xf>
    <xf numFmtId="0" fontId="0" fillId="15" borderId="1" xfId="0" applyFill="1" applyBorder="1" applyAlignment="1" applyProtection="1">
      <alignment horizontal="center" vertical="center"/>
      <protection locked="0"/>
    </xf>
    <xf numFmtId="0" fontId="0" fillId="15" borderId="1" xfId="0" applyFill="1" applyBorder="1" applyAlignment="1" applyProtection="1">
      <alignment horizontal="center" vertical="center"/>
      <protection locked="0" hidden="1"/>
    </xf>
    <xf numFmtId="0" fontId="0" fillId="0" borderId="1" xfId="0" applyBorder="1" applyAlignment="1" applyProtection="1">
      <alignment horizontal="left"/>
      <protection hidden="1"/>
    </xf>
    <xf numFmtId="0" fontId="0" fillId="0" borderId="30" xfId="0" applyBorder="1" applyProtection="1">
      <protection hidden="1"/>
    </xf>
    <xf numFmtId="0" fontId="0" fillId="0" borderId="30" xfId="0" applyBorder="1" applyAlignment="1" applyProtection="1">
      <alignment horizontal="left"/>
      <protection hidden="1"/>
    </xf>
    <xf numFmtId="0" fontId="0" fillId="0" borderId="11" xfId="0" applyBorder="1" applyAlignment="1" applyProtection="1">
      <alignment horizontal="left"/>
      <protection hidden="1"/>
    </xf>
    <xf numFmtId="0" fontId="0" fillId="0" borderId="31" xfId="0" applyBorder="1" applyAlignment="1" applyProtection="1">
      <alignment horizontal="left"/>
      <protection hidden="1"/>
    </xf>
    <xf numFmtId="0" fontId="0" fillId="0" borderId="7" xfId="0" applyBorder="1" applyProtection="1">
      <protection hidden="1"/>
    </xf>
    <xf numFmtId="0" fontId="33" fillId="0" borderId="1" xfId="0" applyFont="1" applyBorder="1" applyAlignment="1" applyProtection="1">
      <alignment wrapText="1"/>
      <protection hidden="1"/>
    </xf>
    <xf numFmtId="0" fontId="33" fillId="0" borderId="1" xfId="0" applyFont="1" applyBorder="1" applyAlignment="1" applyProtection="1">
      <protection hidden="1"/>
    </xf>
    <xf numFmtId="0" fontId="0" fillId="0" borderId="1" xfId="0" applyFill="1" applyBorder="1" applyProtection="1">
      <protection locked="0" hidden="1"/>
    </xf>
    <xf numFmtId="0" fontId="0" fillId="0" borderId="1" xfId="0" applyBorder="1" applyAlignment="1" applyProtection="1">
      <protection hidden="1"/>
    </xf>
    <xf numFmtId="0" fontId="0" fillId="0" borderId="0" xfId="0" applyAlignment="1">
      <alignment horizontal="center"/>
    </xf>
    <xf numFmtId="0" fontId="0" fillId="0" borderId="0" xfId="0" applyFill="1" applyBorder="1" applyProtection="1">
      <protection locked="0" hidden="1"/>
    </xf>
    <xf numFmtId="0" fontId="0" fillId="0" borderId="0" xfId="0" applyFill="1" applyBorder="1" applyAlignment="1" applyProtection="1">
      <protection hidden="1"/>
    </xf>
    <xf numFmtId="0" fontId="0" fillId="0" borderId="0" xfId="0" applyAlignment="1">
      <alignment vertical="top" wrapText="1"/>
    </xf>
    <xf numFmtId="0" fontId="0" fillId="0" borderId="1" xfId="0" applyBorder="1" applyAlignment="1">
      <alignment horizontal="center"/>
    </xf>
    <xf numFmtId="0" fontId="0" fillId="29" borderId="1" xfId="0" applyFill="1" applyBorder="1" applyAlignment="1" applyProtection="1">
      <alignment horizontal="center"/>
      <protection locked="0"/>
    </xf>
    <xf numFmtId="0" fontId="0" fillId="0" borderId="1" xfId="0" applyBorder="1" applyAlignment="1">
      <alignment horizontal="center" vertical="top" wrapText="1"/>
    </xf>
    <xf numFmtId="0" fontId="0" fillId="0" borderId="1" xfId="0" applyBorder="1" applyAlignment="1">
      <alignment horizontal="center" vertical="top"/>
    </xf>
    <xf numFmtId="0" fontId="0" fillId="0" borderId="0" xfId="0" applyAlignment="1"/>
    <xf numFmtId="0" fontId="3" fillId="32" borderId="1" xfId="26" applyNumberFormat="1" applyFont="1" applyFill="1" applyBorder="1" applyAlignment="1">
      <alignment horizontal="center" vertical="top" wrapText="1"/>
    </xf>
    <xf numFmtId="0" fontId="33" fillId="0" borderId="0" xfId="0" applyFont="1" applyFill="1" applyBorder="1" applyAlignment="1" applyProtection="1">
      <protection hidden="1"/>
    </xf>
    <xf numFmtId="11" fontId="0" fillId="0" borderId="0" xfId="0" applyNumberFormat="1" applyFill="1" applyProtection="1">
      <protection hidden="1"/>
    </xf>
    <xf numFmtId="0" fontId="0" fillId="0" borderId="0" xfId="0" applyNumberFormat="1" applyFill="1" applyProtection="1">
      <protection hidden="1"/>
    </xf>
    <xf numFmtId="0" fontId="0" fillId="0" borderId="0" xfId="0" applyFill="1" applyBorder="1" applyAlignment="1" applyProtection="1">
      <alignment horizontal="center"/>
      <protection locked="0"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0" xfId="0" applyAlignment="1" applyProtection="1">
      <alignment horizontal="center"/>
      <protection hidden="1"/>
    </xf>
    <xf numFmtId="0" fontId="0" fillId="0" borderId="0" xfId="0" applyFill="1" applyBorder="1" applyAlignment="1" applyProtection="1">
      <alignment horizontal="center" vertical="center"/>
      <protection locked="0"/>
    </xf>
    <xf numFmtId="0" fontId="0" fillId="15" borderId="0" xfId="0" applyFill="1"/>
    <xf numFmtId="0" fontId="25" fillId="0" borderId="1" xfId="0" applyFont="1" applyBorder="1" applyAlignment="1">
      <alignment horizontal="center" vertical="top" wrapText="1"/>
    </xf>
    <xf numFmtId="0" fontId="0" fillId="0" borderId="1" xfId="0" applyBorder="1" applyAlignment="1">
      <alignment horizontal="center" vertical="top"/>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0" xfId="0" applyNumberFormat="1" applyAlignment="1" applyProtection="1">
      <alignment horizontal="left" vertical="top" wrapText="1"/>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left" wrapText="1"/>
      <protection hidden="1"/>
    </xf>
    <xf numFmtId="0" fontId="0" fillId="0" borderId="10" xfId="0" applyBorder="1" applyAlignment="1" applyProtection="1">
      <alignment horizontal="center"/>
      <protection hidden="1"/>
    </xf>
    <xf numFmtId="0" fontId="34" fillId="0" borderId="1" xfId="0" applyFont="1" applyBorder="1" applyAlignment="1" applyProtection="1">
      <alignment horizontal="center"/>
      <protection hidden="1"/>
    </xf>
    <xf numFmtId="0" fontId="34" fillId="0" borderId="1" xfId="0" applyFont="1" applyBorder="1" applyAlignment="1" applyProtection="1">
      <alignment horizontal="center" vertical="center" textRotation="90"/>
      <protection hidden="1"/>
    </xf>
    <xf numFmtId="0" fontId="0" fillId="0" borderId="0" xfId="0" applyFill="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0" fillId="0" borderId="0" xfId="0" applyAlignment="1" applyProtection="1">
      <alignment horizontal="left"/>
      <protection hidden="1"/>
    </xf>
    <xf numFmtId="0" fontId="0" fillId="0" borderId="0" xfId="0" applyFill="1" applyAlignment="1" applyProtection="1">
      <alignment horizontal="left" vertical="top" wrapText="1"/>
      <protection hidden="1"/>
    </xf>
    <xf numFmtId="0" fontId="0" fillId="0" borderId="0" xfId="0" applyFill="1" applyAlignment="1" applyProtection="1">
      <alignment horizontal="center" vertical="top" wrapText="1"/>
      <protection hidden="1"/>
    </xf>
    <xf numFmtId="0" fontId="0" fillId="0" borderId="0" xfId="0" applyFill="1" applyBorder="1" applyAlignment="1" applyProtection="1">
      <alignment horizontal="center"/>
      <protection hidden="1"/>
    </xf>
    <xf numFmtId="0" fontId="0" fillId="0" borderId="0" xfId="0" applyAlignment="1" applyProtection="1">
      <alignment horizontal="left" wrapText="1"/>
      <protection hidden="1"/>
    </xf>
    <xf numFmtId="0" fontId="0" fillId="31" borderId="25" xfId="0" applyFill="1" applyBorder="1" applyAlignment="1">
      <alignment horizontal="center"/>
    </xf>
    <xf numFmtId="0" fontId="0" fillId="31" borderId="29" xfId="0" applyFill="1" applyBorder="1" applyAlignment="1">
      <alignment horizontal="center"/>
    </xf>
    <xf numFmtId="0" fontId="0" fillId="31" borderId="26" xfId="0" applyFill="1" applyBorder="1" applyAlignment="1">
      <alignment horizontal="center"/>
    </xf>
    <xf numFmtId="0" fontId="0" fillId="0" borderId="0" xfId="0" applyAlignment="1">
      <alignment horizontal="center"/>
    </xf>
    <xf numFmtId="0" fontId="18" fillId="13" borderId="1" xfId="2" applyNumberFormat="1" applyFont="1" applyFill="1" applyBorder="1" applyAlignment="1">
      <alignment horizontal="center" vertical="center" wrapText="1"/>
    </xf>
    <xf numFmtId="0" fontId="18" fillId="13" borderId="3" xfId="2" applyNumberFormat="1" applyFont="1" applyFill="1" applyBorder="1" applyAlignment="1">
      <alignment horizontal="center" vertical="center" wrapText="1"/>
    </xf>
    <xf numFmtId="0" fontId="18" fillId="13" borderId="4" xfId="2" applyNumberFormat="1" applyFont="1" applyFill="1" applyBorder="1" applyAlignment="1">
      <alignment horizontal="center" vertical="center" wrapText="1"/>
    </xf>
    <xf numFmtId="0" fontId="18" fillId="13" borderId="5" xfId="2" applyNumberFormat="1" applyFont="1" applyFill="1" applyBorder="1" applyAlignment="1">
      <alignment horizontal="center" vertical="center" wrapText="1"/>
    </xf>
    <xf numFmtId="0" fontId="18" fillId="4" borderId="1" xfId="2" applyNumberFormat="1" applyFont="1" applyFill="1" applyBorder="1" applyAlignment="1">
      <alignment horizontal="center" vertical="top" wrapText="1"/>
    </xf>
    <xf numFmtId="0" fontId="18" fillId="14" borderId="3" xfId="2" applyNumberFormat="1" applyFont="1" applyFill="1" applyBorder="1" applyAlignment="1">
      <alignment horizontal="center" vertical="center"/>
    </xf>
    <xf numFmtId="0" fontId="18" fillId="14" borderId="4" xfId="2" applyNumberFormat="1" applyFont="1" applyFill="1" applyBorder="1" applyAlignment="1">
      <alignment horizontal="center" vertical="center"/>
    </xf>
    <xf numFmtId="0" fontId="18" fillId="14" borderId="5" xfId="2" applyNumberFormat="1" applyFont="1" applyFill="1" applyBorder="1" applyAlignment="1">
      <alignment horizontal="center" vertical="center"/>
    </xf>
    <xf numFmtId="0" fontId="18" fillId="13" borderId="3" xfId="2" applyNumberFormat="1" applyFont="1" applyFill="1" applyBorder="1" applyAlignment="1">
      <alignment horizontal="center" vertical="center"/>
    </xf>
    <xf numFmtId="0" fontId="18" fillId="13" borderId="4" xfId="2" applyNumberFormat="1" applyFont="1" applyFill="1" applyBorder="1" applyAlignment="1">
      <alignment horizontal="center" vertical="center"/>
    </xf>
    <xf numFmtId="0" fontId="18" fillId="13" borderId="5" xfId="2" applyNumberFormat="1" applyFont="1" applyFill="1" applyBorder="1" applyAlignment="1">
      <alignment horizontal="center" vertical="center"/>
    </xf>
    <xf numFmtId="0" fontId="18" fillId="14" borderId="1" xfId="2" applyNumberFormat="1" applyFont="1" applyFill="1" applyBorder="1" applyAlignment="1">
      <alignment horizontal="center" vertical="center"/>
    </xf>
    <xf numFmtId="0" fontId="4" fillId="0" borderId="11" xfId="1" applyFont="1" applyBorder="1" applyAlignment="1">
      <alignment horizontal="center"/>
    </xf>
    <xf numFmtId="0" fontId="18" fillId="15" borderId="1" xfId="2" applyNumberFormat="1" applyFont="1" applyFill="1" applyBorder="1" applyAlignment="1">
      <alignment horizontal="center" vertical="top" wrapText="1"/>
    </xf>
    <xf numFmtId="0" fontId="18" fillId="15" borderId="3" xfId="2" applyNumberFormat="1" applyFont="1" applyFill="1" applyBorder="1" applyAlignment="1">
      <alignment horizontal="center" vertical="top" wrapText="1"/>
    </xf>
    <xf numFmtId="0" fontId="18" fillId="15" borderId="4" xfId="2" applyNumberFormat="1" applyFont="1" applyFill="1" applyBorder="1" applyAlignment="1">
      <alignment horizontal="center" vertical="top" wrapText="1"/>
    </xf>
    <xf numFmtId="0" fontId="18" fillId="15" borderId="5" xfId="2" applyNumberFormat="1" applyFont="1" applyFill="1" applyBorder="1" applyAlignment="1">
      <alignment horizontal="center" vertical="top" wrapText="1"/>
    </xf>
    <xf numFmtId="0" fontId="18" fillId="12" borderId="1" xfId="2" applyNumberFormat="1" applyFont="1" applyFill="1" applyBorder="1" applyAlignment="1">
      <alignment horizontal="center" vertical="top" wrapText="1"/>
    </xf>
    <xf numFmtId="0" fontId="18" fillId="4" borderId="3" xfId="2" applyNumberFormat="1" applyFont="1" applyFill="1" applyBorder="1" applyAlignment="1">
      <alignment horizontal="center" vertical="top" wrapText="1"/>
    </xf>
    <xf numFmtId="0" fontId="18" fillId="4" borderId="4" xfId="2" applyNumberFormat="1" applyFont="1" applyFill="1" applyBorder="1" applyAlignment="1">
      <alignment horizontal="center" vertical="top" wrapText="1"/>
    </xf>
    <xf numFmtId="0" fontId="18" fillId="4" borderId="5" xfId="2" applyNumberFormat="1" applyFont="1" applyFill="1" applyBorder="1" applyAlignment="1">
      <alignment horizontal="center" vertical="top" wrapText="1"/>
    </xf>
    <xf numFmtId="0" fontId="18" fillId="4" borderId="1" xfId="2" applyNumberFormat="1" applyFont="1" applyFill="1" applyBorder="1" applyAlignment="1">
      <alignment horizontal="center" vertical="center"/>
    </xf>
    <xf numFmtId="0" fontId="18" fillId="4" borderId="1" xfId="2" applyNumberFormat="1" applyFont="1" applyFill="1" applyBorder="1" applyAlignment="1">
      <alignment horizontal="center" vertical="center" wrapText="1"/>
    </xf>
    <xf numFmtId="0" fontId="18" fillId="4" borderId="7" xfId="2" applyNumberFormat="1" applyFont="1" applyFill="1" applyBorder="1" applyAlignment="1">
      <alignment horizontal="center" vertical="top" wrapText="1"/>
    </xf>
  </cellXfs>
  <cellStyles count="21798">
    <cellStyle name="Normal" xfId="0" builtinId="0"/>
    <cellStyle name="Normal 10" xfId="1" xr:uid="{00000000-0005-0000-0000-000001000000}"/>
    <cellStyle name="Normal 11" xfId="17" xr:uid="{00000000-0005-0000-0000-000002000000}"/>
    <cellStyle name="Normal 11 2" xfId="21796" xr:uid="{00000000-0005-0000-0000-000003000000}"/>
    <cellStyle name="Normal 12" xfId="21795" xr:uid="{00000000-0005-0000-0000-000004000000}"/>
    <cellStyle name="Normal 12 2" xfId="21797" xr:uid="{00000000-0005-0000-0000-000005000000}"/>
    <cellStyle name="Normal 2" xfId="2" xr:uid="{00000000-0005-0000-0000-000006000000}"/>
    <cellStyle name="Normal 2 2" xfId="3" xr:uid="{00000000-0005-0000-0000-000007000000}"/>
    <cellStyle name="Normal 2 2 2" xfId="32" xr:uid="{00000000-0005-0000-0000-000008000000}"/>
    <cellStyle name="Normal 2 3" xfId="26" xr:uid="{00000000-0005-0000-0000-000009000000}"/>
    <cellStyle name="Normal 2 3 2" xfId="111" xr:uid="{00000000-0005-0000-0000-00000A000000}"/>
    <cellStyle name="Normal 3" xfId="12" xr:uid="{00000000-0005-0000-0000-00000B000000}"/>
    <cellStyle name="Normal 3 2" xfId="28" xr:uid="{00000000-0005-0000-0000-00000C000000}"/>
    <cellStyle name="Normal 3 2 10" xfId="380" xr:uid="{00000000-0005-0000-0000-00000D000000}"/>
    <cellStyle name="Normal 3 2 10 2" xfId="1288" xr:uid="{00000000-0005-0000-0000-00000E000000}"/>
    <cellStyle name="Normal 3 2 10 2 2" xfId="3102" xr:uid="{00000000-0005-0000-0000-00000F000000}"/>
    <cellStyle name="Normal 3 2 10 2 2 2" xfId="6730" xr:uid="{00000000-0005-0000-0000-000010000000}"/>
    <cellStyle name="Normal 3 2 10 2 2 2 2" xfId="21242" xr:uid="{00000000-0005-0000-0000-000011000000}"/>
    <cellStyle name="Normal 3 2 10 2 2 2 3" xfId="13986" xr:uid="{00000000-0005-0000-0000-000012000000}"/>
    <cellStyle name="Normal 3 2 10 2 2 3" xfId="17614" xr:uid="{00000000-0005-0000-0000-000013000000}"/>
    <cellStyle name="Normal 3 2 10 2 2 4" xfId="10358" xr:uid="{00000000-0005-0000-0000-000014000000}"/>
    <cellStyle name="Normal 3 2 10 2 3" xfId="4916" xr:uid="{00000000-0005-0000-0000-000015000000}"/>
    <cellStyle name="Normal 3 2 10 2 3 2" xfId="19428" xr:uid="{00000000-0005-0000-0000-000016000000}"/>
    <cellStyle name="Normal 3 2 10 2 3 3" xfId="12172" xr:uid="{00000000-0005-0000-0000-000017000000}"/>
    <cellStyle name="Normal 3 2 10 2 4" xfId="15800" xr:uid="{00000000-0005-0000-0000-000018000000}"/>
    <cellStyle name="Normal 3 2 10 2 5" xfId="8544" xr:uid="{00000000-0005-0000-0000-000019000000}"/>
    <cellStyle name="Normal 3 2 10 3" xfId="2195" xr:uid="{00000000-0005-0000-0000-00001A000000}"/>
    <cellStyle name="Normal 3 2 10 3 2" xfId="5823" xr:uid="{00000000-0005-0000-0000-00001B000000}"/>
    <cellStyle name="Normal 3 2 10 3 2 2" xfId="20335" xr:uid="{00000000-0005-0000-0000-00001C000000}"/>
    <cellStyle name="Normal 3 2 10 3 2 3" xfId="13079" xr:uid="{00000000-0005-0000-0000-00001D000000}"/>
    <cellStyle name="Normal 3 2 10 3 3" xfId="16707" xr:uid="{00000000-0005-0000-0000-00001E000000}"/>
    <cellStyle name="Normal 3 2 10 3 4" xfId="9451" xr:uid="{00000000-0005-0000-0000-00001F000000}"/>
    <cellStyle name="Normal 3 2 10 4" xfId="4009" xr:uid="{00000000-0005-0000-0000-000020000000}"/>
    <cellStyle name="Normal 3 2 10 4 2" xfId="18521" xr:uid="{00000000-0005-0000-0000-000021000000}"/>
    <cellStyle name="Normal 3 2 10 4 3" xfId="11265" xr:uid="{00000000-0005-0000-0000-000022000000}"/>
    <cellStyle name="Normal 3 2 10 5" xfId="14893" xr:uid="{00000000-0005-0000-0000-000023000000}"/>
    <cellStyle name="Normal 3 2 10 6" xfId="7637" xr:uid="{00000000-0005-0000-0000-000024000000}"/>
    <cellStyle name="Normal 3 2 11" xfId="856" xr:uid="{00000000-0005-0000-0000-000025000000}"/>
    <cellStyle name="Normal 3 2 11 2" xfId="1764" xr:uid="{00000000-0005-0000-0000-000026000000}"/>
    <cellStyle name="Normal 3 2 11 2 2" xfId="3578" xr:uid="{00000000-0005-0000-0000-000027000000}"/>
    <cellStyle name="Normal 3 2 11 2 2 2" xfId="7206" xr:uid="{00000000-0005-0000-0000-000028000000}"/>
    <cellStyle name="Normal 3 2 11 2 2 2 2" xfId="21718" xr:uid="{00000000-0005-0000-0000-000029000000}"/>
    <cellStyle name="Normal 3 2 11 2 2 2 3" xfId="14462" xr:uid="{00000000-0005-0000-0000-00002A000000}"/>
    <cellStyle name="Normal 3 2 11 2 2 3" xfId="18090" xr:uid="{00000000-0005-0000-0000-00002B000000}"/>
    <cellStyle name="Normal 3 2 11 2 2 4" xfId="10834" xr:uid="{00000000-0005-0000-0000-00002C000000}"/>
    <cellStyle name="Normal 3 2 11 2 3" xfId="5392" xr:uid="{00000000-0005-0000-0000-00002D000000}"/>
    <cellStyle name="Normal 3 2 11 2 3 2" xfId="19904" xr:uid="{00000000-0005-0000-0000-00002E000000}"/>
    <cellStyle name="Normal 3 2 11 2 3 3" xfId="12648" xr:uid="{00000000-0005-0000-0000-00002F000000}"/>
    <cellStyle name="Normal 3 2 11 2 4" xfId="16276" xr:uid="{00000000-0005-0000-0000-000030000000}"/>
    <cellStyle name="Normal 3 2 11 2 5" xfId="9020" xr:uid="{00000000-0005-0000-0000-000031000000}"/>
    <cellStyle name="Normal 3 2 11 3" xfId="2671" xr:uid="{00000000-0005-0000-0000-000032000000}"/>
    <cellStyle name="Normal 3 2 11 3 2" xfId="6299" xr:uid="{00000000-0005-0000-0000-000033000000}"/>
    <cellStyle name="Normal 3 2 11 3 2 2" xfId="20811" xr:uid="{00000000-0005-0000-0000-000034000000}"/>
    <cellStyle name="Normal 3 2 11 3 2 3" xfId="13555" xr:uid="{00000000-0005-0000-0000-000035000000}"/>
    <cellStyle name="Normal 3 2 11 3 3" xfId="17183" xr:uid="{00000000-0005-0000-0000-000036000000}"/>
    <cellStyle name="Normal 3 2 11 3 4" xfId="9927" xr:uid="{00000000-0005-0000-0000-000037000000}"/>
    <cellStyle name="Normal 3 2 11 4" xfId="4485" xr:uid="{00000000-0005-0000-0000-000038000000}"/>
    <cellStyle name="Normal 3 2 11 4 2" xfId="18997" xr:uid="{00000000-0005-0000-0000-000039000000}"/>
    <cellStyle name="Normal 3 2 11 4 3" xfId="11741" xr:uid="{00000000-0005-0000-0000-00003A000000}"/>
    <cellStyle name="Normal 3 2 11 5" xfId="15369" xr:uid="{00000000-0005-0000-0000-00003B000000}"/>
    <cellStyle name="Normal 3 2 11 6" xfId="8113" xr:uid="{00000000-0005-0000-0000-00003C000000}"/>
    <cellStyle name="Normal 3 2 12" xfId="942" xr:uid="{00000000-0005-0000-0000-00003D000000}"/>
    <cellStyle name="Normal 3 2 12 2" xfId="2756" xr:uid="{00000000-0005-0000-0000-00003E000000}"/>
    <cellStyle name="Normal 3 2 12 2 2" xfId="6384" xr:uid="{00000000-0005-0000-0000-00003F000000}"/>
    <cellStyle name="Normal 3 2 12 2 2 2" xfId="20896" xr:uid="{00000000-0005-0000-0000-000040000000}"/>
    <cellStyle name="Normal 3 2 12 2 2 3" xfId="13640" xr:uid="{00000000-0005-0000-0000-000041000000}"/>
    <cellStyle name="Normal 3 2 12 2 3" xfId="17268" xr:uid="{00000000-0005-0000-0000-000042000000}"/>
    <cellStyle name="Normal 3 2 12 2 4" xfId="10012" xr:uid="{00000000-0005-0000-0000-000043000000}"/>
    <cellStyle name="Normal 3 2 12 3" xfId="4570" xr:uid="{00000000-0005-0000-0000-000044000000}"/>
    <cellStyle name="Normal 3 2 12 3 2" xfId="19082" xr:uid="{00000000-0005-0000-0000-000045000000}"/>
    <cellStyle name="Normal 3 2 12 3 3" xfId="11826" xr:uid="{00000000-0005-0000-0000-000046000000}"/>
    <cellStyle name="Normal 3 2 12 4" xfId="15454" xr:uid="{00000000-0005-0000-0000-000047000000}"/>
    <cellStyle name="Normal 3 2 12 5" xfId="8198" xr:uid="{00000000-0005-0000-0000-000048000000}"/>
    <cellStyle name="Normal 3 2 13" xfId="1849" xr:uid="{00000000-0005-0000-0000-000049000000}"/>
    <cellStyle name="Normal 3 2 13 2" xfId="5477" xr:uid="{00000000-0005-0000-0000-00004A000000}"/>
    <cellStyle name="Normal 3 2 13 2 2" xfId="19989" xr:uid="{00000000-0005-0000-0000-00004B000000}"/>
    <cellStyle name="Normal 3 2 13 2 3" xfId="12733" xr:uid="{00000000-0005-0000-0000-00004C000000}"/>
    <cellStyle name="Normal 3 2 13 3" xfId="16361" xr:uid="{00000000-0005-0000-0000-00004D000000}"/>
    <cellStyle name="Normal 3 2 13 4" xfId="9105" xr:uid="{00000000-0005-0000-0000-00004E000000}"/>
    <cellStyle name="Normal 3 2 14" xfId="3663" xr:uid="{00000000-0005-0000-0000-00004F000000}"/>
    <cellStyle name="Normal 3 2 14 2" xfId="18175" xr:uid="{00000000-0005-0000-0000-000050000000}"/>
    <cellStyle name="Normal 3 2 14 3" xfId="10919" xr:uid="{00000000-0005-0000-0000-000051000000}"/>
    <cellStyle name="Normal 3 2 15" xfId="14547" xr:uid="{00000000-0005-0000-0000-000052000000}"/>
    <cellStyle name="Normal 3 2 16" xfId="7291" xr:uid="{00000000-0005-0000-0000-000053000000}"/>
    <cellStyle name="Normal 3 2 2" xfId="29" xr:uid="{00000000-0005-0000-0000-000054000000}"/>
    <cellStyle name="Normal 3 2 2 10" xfId="857" xr:uid="{00000000-0005-0000-0000-000055000000}"/>
    <cellStyle name="Normal 3 2 2 10 2" xfId="1765" xr:uid="{00000000-0005-0000-0000-000056000000}"/>
    <cellStyle name="Normal 3 2 2 10 2 2" xfId="3579" xr:uid="{00000000-0005-0000-0000-000057000000}"/>
    <cellStyle name="Normal 3 2 2 10 2 2 2" xfId="7207" xr:uid="{00000000-0005-0000-0000-000058000000}"/>
    <cellStyle name="Normal 3 2 2 10 2 2 2 2" xfId="21719" xr:uid="{00000000-0005-0000-0000-000059000000}"/>
    <cellStyle name="Normal 3 2 2 10 2 2 2 3" xfId="14463" xr:uid="{00000000-0005-0000-0000-00005A000000}"/>
    <cellStyle name="Normal 3 2 2 10 2 2 3" xfId="18091" xr:uid="{00000000-0005-0000-0000-00005B000000}"/>
    <cellStyle name="Normal 3 2 2 10 2 2 4" xfId="10835" xr:uid="{00000000-0005-0000-0000-00005C000000}"/>
    <cellStyle name="Normal 3 2 2 10 2 3" xfId="5393" xr:uid="{00000000-0005-0000-0000-00005D000000}"/>
    <cellStyle name="Normal 3 2 2 10 2 3 2" xfId="19905" xr:uid="{00000000-0005-0000-0000-00005E000000}"/>
    <cellStyle name="Normal 3 2 2 10 2 3 3" xfId="12649" xr:uid="{00000000-0005-0000-0000-00005F000000}"/>
    <cellStyle name="Normal 3 2 2 10 2 4" xfId="16277" xr:uid="{00000000-0005-0000-0000-000060000000}"/>
    <cellStyle name="Normal 3 2 2 10 2 5" xfId="9021" xr:uid="{00000000-0005-0000-0000-000061000000}"/>
    <cellStyle name="Normal 3 2 2 10 3" xfId="2672" xr:uid="{00000000-0005-0000-0000-000062000000}"/>
    <cellStyle name="Normal 3 2 2 10 3 2" xfId="6300" xr:uid="{00000000-0005-0000-0000-000063000000}"/>
    <cellStyle name="Normal 3 2 2 10 3 2 2" xfId="20812" xr:uid="{00000000-0005-0000-0000-000064000000}"/>
    <cellStyle name="Normal 3 2 2 10 3 2 3" xfId="13556" xr:uid="{00000000-0005-0000-0000-000065000000}"/>
    <cellStyle name="Normal 3 2 2 10 3 3" xfId="17184" xr:uid="{00000000-0005-0000-0000-000066000000}"/>
    <cellStyle name="Normal 3 2 2 10 3 4" xfId="9928" xr:uid="{00000000-0005-0000-0000-000067000000}"/>
    <cellStyle name="Normal 3 2 2 10 4" xfId="4486" xr:uid="{00000000-0005-0000-0000-000068000000}"/>
    <cellStyle name="Normal 3 2 2 10 4 2" xfId="18998" xr:uid="{00000000-0005-0000-0000-000069000000}"/>
    <cellStyle name="Normal 3 2 2 10 4 3" xfId="11742" xr:uid="{00000000-0005-0000-0000-00006A000000}"/>
    <cellStyle name="Normal 3 2 2 10 5" xfId="15370" xr:uid="{00000000-0005-0000-0000-00006B000000}"/>
    <cellStyle name="Normal 3 2 2 10 6" xfId="8114" xr:uid="{00000000-0005-0000-0000-00006C000000}"/>
    <cellStyle name="Normal 3 2 2 11" xfId="943" xr:uid="{00000000-0005-0000-0000-00006D000000}"/>
    <cellStyle name="Normal 3 2 2 11 2" xfId="2757" xr:uid="{00000000-0005-0000-0000-00006E000000}"/>
    <cellStyle name="Normal 3 2 2 11 2 2" xfId="6385" xr:uid="{00000000-0005-0000-0000-00006F000000}"/>
    <cellStyle name="Normal 3 2 2 11 2 2 2" xfId="20897" xr:uid="{00000000-0005-0000-0000-000070000000}"/>
    <cellStyle name="Normal 3 2 2 11 2 2 3" xfId="13641" xr:uid="{00000000-0005-0000-0000-000071000000}"/>
    <cellStyle name="Normal 3 2 2 11 2 3" xfId="17269" xr:uid="{00000000-0005-0000-0000-000072000000}"/>
    <cellStyle name="Normal 3 2 2 11 2 4" xfId="10013" xr:uid="{00000000-0005-0000-0000-000073000000}"/>
    <cellStyle name="Normal 3 2 2 11 3" xfId="4571" xr:uid="{00000000-0005-0000-0000-000074000000}"/>
    <cellStyle name="Normal 3 2 2 11 3 2" xfId="19083" xr:uid="{00000000-0005-0000-0000-000075000000}"/>
    <cellStyle name="Normal 3 2 2 11 3 3" xfId="11827" xr:uid="{00000000-0005-0000-0000-000076000000}"/>
    <cellStyle name="Normal 3 2 2 11 4" xfId="15455" xr:uid="{00000000-0005-0000-0000-000077000000}"/>
    <cellStyle name="Normal 3 2 2 11 5" xfId="8199" xr:uid="{00000000-0005-0000-0000-000078000000}"/>
    <cellStyle name="Normal 3 2 2 12" xfId="1850" xr:uid="{00000000-0005-0000-0000-000079000000}"/>
    <cellStyle name="Normal 3 2 2 12 2" xfId="5478" xr:uid="{00000000-0005-0000-0000-00007A000000}"/>
    <cellStyle name="Normal 3 2 2 12 2 2" xfId="19990" xr:uid="{00000000-0005-0000-0000-00007B000000}"/>
    <cellStyle name="Normal 3 2 2 12 2 3" xfId="12734" xr:uid="{00000000-0005-0000-0000-00007C000000}"/>
    <cellStyle name="Normal 3 2 2 12 3" xfId="16362" xr:uid="{00000000-0005-0000-0000-00007D000000}"/>
    <cellStyle name="Normal 3 2 2 12 4" xfId="9106" xr:uid="{00000000-0005-0000-0000-00007E000000}"/>
    <cellStyle name="Normal 3 2 2 13" xfId="3664" xr:uid="{00000000-0005-0000-0000-00007F000000}"/>
    <cellStyle name="Normal 3 2 2 13 2" xfId="18176" xr:uid="{00000000-0005-0000-0000-000080000000}"/>
    <cellStyle name="Normal 3 2 2 13 3" xfId="10920" xr:uid="{00000000-0005-0000-0000-000081000000}"/>
    <cellStyle name="Normal 3 2 2 14" xfId="14548" xr:uid="{00000000-0005-0000-0000-000082000000}"/>
    <cellStyle name="Normal 3 2 2 15" xfId="7292" xr:uid="{00000000-0005-0000-0000-000083000000}"/>
    <cellStyle name="Normal 3 2 2 2" xfId="42" xr:uid="{00000000-0005-0000-0000-000084000000}"/>
    <cellStyle name="Normal 3 2 2 2 10" xfId="953" xr:uid="{00000000-0005-0000-0000-000085000000}"/>
    <cellStyle name="Normal 3 2 2 2 10 2" xfId="2767" xr:uid="{00000000-0005-0000-0000-000086000000}"/>
    <cellStyle name="Normal 3 2 2 2 10 2 2" xfId="6395" xr:uid="{00000000-0005-0000-0000-000087000000}"/>
    <cellStyle name="Normal 3 2 2 2 10 2 2 2" xfId="20907" xr:uid="{00000000-0005-0000-0000-000088000000}"/>
    <cellStyle name="Normal 3 2 2 2 10 2 2 3" xfId="13651" xr:uid="{00000000-0005-0000-0000-000089000000}"/>
    <cellStyle name="Normal 3 2 2 2 10 2 3" xfId="17279" xr:uid="{00000000-0005-0000-0000-00008A000000}"/>
    <cellStyle name="Normal 3 2 2 2 10 2 4" xfId="10023" xr:uid="{00000000-0005-0000-0000-00008B000000}"/>
    <cellStyle name="Normal 3 2 2 2 10 3" xfId="4581" xr:uid="{00000000-0005-0000-0000-00008C000000}"/>
    <cellStyle name="Normal 3 2 2 2 10 3 2" xfId="19093" xr:uid="{00000000-0005-0000-0000-00008D000000}"/>
    <cellStyle name="Normal 3 2 2 2 10 3 3" xfId="11837" xr:uid="{00000000-0005-0000-0000-00008E000000}"/>
    <cellStyle name="Normal 3 2 2 2 10 4" xfId="15465" xr:uid="{00000000-0005-0000-0000-00008F000000}"/>
    <cellStyle name="Normal 3 2 2 2 10 5" xfId="8209" xr:uid="{00000000-0005-0000-0000-000090000000}"/>
    <cellStyle name="Normal 3 2 2 2 11" xfId="1860" xr:uid="{00000000-0005-0000-0000-000091000000}"/>
    <cellStyle name="Normal 3 2 2 2 11 2" xfId="5488" xr:uid="{00000000-0005-0000-0000-000092000000}"/>
    <cellStyle name="Normal 3 2 2 2 11 2 2" xfId="20000" xr:uid="{00000000-0005-0000-0000-000093000000}"/>
    <cellStyle name="Normal 3 2 2 2 11 2 3" xfId="12744" xr:uid="{00000000-0005-0000-0000-000094000000}"/>
    <cellStyle name="Normal 3 2 2 2 11 3" xfId="16372" xr:uid="{00000000-0005-0000-0000-000095000000}"/>
    <cellStyle name="Normal 3 2 2 2 11 4" xfId="9116" xr:uid="{00000000-0005-0000-0000-000096000000}"/>
    <cellStyle name="Normal 3 2 2 2 12" xfId="3674" xr:uid="{00000000-0005-0000-0000-000097000000}"/>
    <cellStyle name="Normal 3 2 2 2 12 2" xfId="18186" xr:uid="{00000000-0005-0000-0000-000098000000}"/>
    <cellStyle name="Normal 3 2 2 2 12 3" xfId="10930" xr:uid="{00000000-0005-0000-0000-000099000000}"/>
    <cellStyle name="Normal 3 2 2 2 13" xfId="14558" xr:uid="{00000000-0005-0000-0000-00009A000000}"/>
    <cellStyle name="Normal 3 2 2 2 14" xfId="7302" xr:uid="{00000000-0005-0000-0000-00009B000000}"/>
    <cellStyle name="Normal 3 2 2 2 2" xfId="64" xr:uid="{00000000-0005-0000-0000-00009C000000}"/>
    <cellStyle name="Normal 3 2 2 2 2 10" xfId="1881" xr:uid="{00000000-0005-0000-0000-00009D000000}"/>
    <cellStyle name="Normal 3 2 2 2 2 10 2" xfId="5509" xr:uid="{00000000-0005-0000-0000-00009E000000}"/>
    <cellStyle name="Normal 3 2 2 2 2 10 2 2" xfId="20021" xr:uid="{00000000-0005-0000-0000-00009F000000}"/>
    <cellStyle name="Normal 3 2 2 2 2 10 2 3" xfId="12765" xr:uid="{00000000-0005-0000-0000-0000A0000000}"/>
    <cellStyle name="Normal 3 2 2 2 2 10 3" xfId="16393" xr:uid="{00000000-0005-0000-0000-0000A1000000}"/>
    <cellStyle name="Normal 3 2 2 2 2 10 4" xfId="9137" xr:uid="{00000000-0005-0000-0000-0000A2000000}"/>
    <cellStyle name="Normal 3 2 2 2 2 11" xfId="3695" xr:uid="{00000000-0005-0000-0000-0000A3000000}"/>
    <cellStyle name="Normal 3 2 2 2 2 11 2" xfId="18207" xr:uid="{00000000-0005-0000-0000-0000A4000000}"/>
    <cellStyle name="Normal 3 2 2 2 2 11 3" xfId="10951" xr:uid="{00000000-0005-0000-0000-0000A5000000}"/>
    <cellStyle name="Normal 3 2 2 2 2 12" xfId="14579" xr:uid="{00000000-0005-0000-0000-0000A6000000}"/>
    <cellStyle name="Normal 3 2 2 2 2 13" xfId="7323" xr:uid="{00000000-0005-0000-0000-0000A7000000}"/>
    <cellStyle name="Normal 3 2 2 2 2 2" xfId="106" xr:uid="{00000000-0005-0000-0000-0000A8000000}"/>
    <cellStyle name="Normal 3 2 2 2 2 2 10" xfId="14621" xr:uid="{00000000-0005-0000-0000-0000A9000000}"/>
    <cellStyle name="Normal 3 2 2 2 2 2 11" xfId="7365" xr:uid="{00000000-0005-0000-0000-0000AA000000}"/>
    <cellStyle name="Normal 3 2 2 2 2 2 2" xfId="194" xr:uid="{00000000-0005-0000-0000-0000AB000000}"/>
    <cellStyle name="Normal 3 2 2 2 2 2 2 2" xfId="540" xr:uid="{00000000-0005-0000-0000-0000AC000000}"/>
    <cellStyle name="Normal 3 2 2 2 2 2 2 2 2" xfId="1448" xr:uid="{00000000-0005-0000-0000-0000AD000000}"/>
    <cellStyle name="Normal 3 2 2 2 2 2 2 2 2 2" xfId="3262" xr:uid="{00000000-0005-0000-0000-0000AE000000}"/>
    <cellStyle name="Normal 3 2 2 2 2 2 2 2 2 2 2" xfId="6890" xr:uid="{00000000-0005-0000-0000-0000AF000000}"/>
    <cellStyle name="Normal 3 2 2 2 2 2 2 2 2 2 2 2" xfId="21402" xr:uid="{00000000-0005-0000-0000-0000B0000000}"/>
    <cellStyle name="Normal 3 2 2 2 2 2 2 2 2 2 2 3" xfId="14146" xr:uid="{00000000-0005-0000-0000-0000B1000000}"/>
    <cellStyle name="Normal 3 2 2 2 2 2 2 2 2 2 3" xfId="17774" xr:uid="{00000000-0005-0000-0000-0000B2000000}"/>
    <cellStyle name="Normal 3 2 2 2 2 2 2 2 2 2 4" xfId="10518" xr:uid="{00000000-0005-0000-0000-0000B3000000}"/>
    <cellStyle name="Normal 3 2 2 2 2 2 2 2 2 3" xfId="5076" xr:uid="{00000000-0005-0000-0000-0000B4000000}"/>
    <cellStyle name="Normal 3 2 2 2 2 2 2 2 2 3 2" xfId="19588" xr:uid="{00000000-0005-0000-0000-0000B5000000}"/>
    <cellStyle name="Normal 3 2 2 2 2 2 2 2 2 3 3" xfId="12332" xr:uid="{00000000-0005-0000-0000-0000B6000000}"/>
    <cellStyle name="Normal 3 2 2 2 2 2 2 2 2 4" xfId="15960" xr:uid="{00000000-0005-0000-0000-0000B7000000}"/>
    <cellStyle name="Normal 3 2 2 2 2 2 2 2 2 5" xfId="8704" xr:uid="{00000000-0005-0000-0000-0000B8000000}"/>
    <cellStyle name="Normal 3 2 2 2 2 2 2 2 3" xfId="2355" xr:uid="{00000000-0005-0000-0000-0000B9000000}"/>
    <cellStyle name="Normal 3 2 2 2 2 2 2 2 3 2" xfId="5983" xr:uid="{00000000-0005-0000-0000-0000BA000000}"/>
    <cellStyle name="Normal 3 2 2 2 2 2 2 2 3 2 2" xfId="20495" xr:uid="{00000000-0005-0000-0000-0000BB000000}"/>
    <cellStyle name="Normal 3 2 2 2 2 2 2 2 3 2 3" xfId="13239" xr:uid="{00000000-0005-0000-0000-0000BC000000}"/>
    <cellStyle name="Normal 3 2 2 2 2 2 2 2 3 3" xfId="16867" xr:uid="{00000000-0005-0000-0000-0000BD000000}"/>
    <cellStyle name="Normal 3 2 2 2 2 2 2 2 3 4" xfId="9611" xr:uid="{00000000-0005-0000-0000-0000BE000000}"/>
    <cellStyle name="Normal 3 2 2 2 2 2 2 2 4" xfId="4169" xr:uid="{00000000-0005-0000-0000-0000BF000000}"/>
    <cellStyle name="Normal 3 2 2 2 2 2 2 2 4 2" xfId="18681" xr:uid="{00000000-0005-0000-0000-0000C0000000}"/>
    <cellStyle name="Normal 3 2 2 2 2 2 2 2 4 3" xfId="11425" xr:uid="{00000000-0005-0000-0000-0000C1000000}"/>
    <cellStyle name="Normal 3 2 2 2 2 2 2 2 5" xfId="15053" xr:uid="{00000000-0005-0000-0000-0000C2000000}"/>
    <cellStyle name="Normal 3 2 2 2 2 2 2 2 6" xfId="7797" xr:uid="{00000000-0005-0000-0000-0000C3000000}"/>
    <cellStyle name="Normal 3 2 2 2 2 2 2 3" xfId="1102" xr:uid="{00000000-0005-0000-0000-0000C4000000}"/>
    <cellStyle name="Normal 3 2 2 2 2 2 2 3 2" xfId="2916" xr:uid="{00000000-0005-0000-0000-0000C5000000}"/>
    <cellStyle name="Normal 3 2 2 2 2 2 2 3 2 2" xfId="6544" xr:uid="{00000000-0005-0000-0000-0000C6000000}"/>
    <cellStyle name="Normal 3 2 2 2 2 2 2 3 2 2 2" xfId="21056" xr:uid="{00000000-0005-0000-0000-0000C7000000}"/>
    <cellStyle name="Normal 3 2 2 2 2 2 2 3 2 2 3" xfId="13800" xr:uid="{00000000-0005-0000-0000-0000C8000000}"/>
    <cellStyle name="Normal 3 2 2 2 2 2 2 3 2 3" xfId="17428" xr:uid="{00000000-0005-0000-0000-0000C9000000}"/>
    <cellStyle name="Normal 3 2 2 2 2 2 2 3 2 4" xfId="10172" xr:uid="{00000000-0005-0000-0000-0000CA000000}"/>
    <cellStyle name="Normal 3 2 2 2 2 2 2 3 3" xfId="4730" xr:uid="{00000000-0005-0000-0000-0000CB000000}"/>
    <cellStyle name="Normal 3 2 2 2 2 2 2 3 3 2" xfId="19242" xr:uid="{00000000-0005-0000-0000-0000CC000000}"/>
    <cellStyle name="Normal 3 2 2 2 2 2 2 3 3 3" xfId="11986" xr:uid="{00000000-0005-0000-0000-0000CD000000}"/>
    <cellStyle name="Normal 3 2 2 2 2 2 2 3 4" xfId="15614" xr:uid="{00000000-0005-0000-0000-0000CE000000}"/>
    <cellStyle name="Normal 3 2 2 2 2 2 2 3 5" xfId="8358" xr:uid="{00000000-0005-0000-0000-0000CF000000}"/>
    <cellStyle name="Normal 3 2 2 2 2 2 2 4" xfId="2009" xr:uid="{00000000-0005-0000-0000-0000D0000000}"/>
    <cellStyle name="Normal 3 2 2 2 2 2 2 4 2" xfId="5637" xr:uid="{00000000-0005-0000-0000-0000D1000000}"/>
    <cellStyle name="Normal 3 2 2 2 2 2 2 4 2 2" xfId="20149" xr:uid="{00000000-0005-0000-0000-0000D2000000}"/>
    <cellStyle name="Normal 3 2 2 2 2 2 2 4 2 3" xfId="12893" xr:uid="{00000000-0005-0000-0000-0000D3000000}"/>
    <cellStyle name="Normal 3 2 2 2 2 2 2 4 3" xfId="16521" xr:uid="{00000000-0005-0000-0000-0000D4000000}"/>
    <cellStyle name="Normal 3 2 2 2 2 2 2 4 4" xfId="9265" xr:uid="{00000000-0005-0000-0000-0000D5000000}"/>
    <cellStyle name="Normal 3 2 2 2 2 2 2 5" xfId="3823" xr:uid="{00000000-0005-0000-0000-0000D6000000}"/>
    <cellStyle name="Normal 3 2 2 2 2 2 2 5 2" xfId="18335" xr:uid="{00000000-0005-0000-0000-0000D7000000}"/>
    <cellStyle name="Normal 3 2 2 2 2 2 2 5 3" xfId="11079" xr:uid="{00000000-0005-0000-0000-0000D8000000}"/>
    <cellStyle name="Normal 3 2 2 2 2 2 2 6" xfId="14707" xr:uid="{00000000-0005-0000-0000-0000D9000000}"/>
    <cellStyle name="Normal 3 2 2 2 2 2 2 7" xfId="7451" xr:uid="{00000000-0005-0000-0000-0000DA000000}"/>
    <cellStyle name="Normal 3 2 2 2 2 2 3" xfId="324" xr:uid="{00000000-0005-0000-0000-0000DB000000}"/>
    <cellStyle name="Normal 3 2 2 2 2 2 3 2" xfId="670" xr:uid="{00000000-0005-0000-0000-0000DC000000}"/>
    <cellStyle name="Normal 3 2 2 2 2 2 3 2 2" xfId="1578" xr:uid="{00000000-0005-0000-0000-0000DD000000}"/>
    <cellStyle name="Normal 3 2 2 2 2 2 3 2 2 2" xfId="3392" xr:uid="{00000000-0005-0000-0000-0000DE000000}"/>
    <cellStyle name="Normal 3 2 2 2 2 2 3 2 2 2 2" xfId="7020" xr:uid="{00000000-0005-0000-0000-0000DF000000}"/>
    <cellStyle name="Normal 3 2 2 2 2 2 3 2 2 2 2 2" xfId="21532" xr:uid="{00000000-0005-0000-0000-0000E0000000}"/>
    <cellStyle name="Normal 3 2 2 2 2 2 3 2 2 2 2 3" xfId="14276" xr:uid="{00000000-0005-0000-0000-0000E1000000}"/>
    <cellStyle name="Normal 3 2 2 2 2 2 3 2 2 2 3" xfId="17904" xr:uid="{00000000-0005-0000-0000-0000E2000000}"/>
    <cellStyle name="Normal 3 2 2 2 2 2 3 2 2 2 4" xfId="10648" xr:uid="{00000000-0005-0000-0000-0000E3000000}"/>
    <cellStyle name="Normal 3 2 2 2 2 2 3 2 2 3" xfId="5206" xr:uid="{00000000-0005-0000-0000-0000E4000000}"/>
    <cellStyle name="Normal 3 2 2 2 2 2 3 2 2 3 2" xfId="19718" xr:uid="{00000000-0005-0000-0000-0000E5000000}"/>
    <cellStyle name="Normal 3 2 2 2 2 2 3 2 2 3 3" xfId="12462" xr:uid="{00000000-0005-0000-0000-0000E6000000}"/>
    <cellStyle name="Normal 3 2 2 2 2 2 3 2 2 4" xfId="16090" xr:uid="{00000000-0005-0000-0000-0000E7000000}"/>
    <cellStyle name="Normal 3 2 2 2 2 2 3 2 2 5" xfId="8834" xr:uid="{00000000-0005-0000-0000-0000E8000000}"/>
    <cellStyle name="Normal 3 2 2 2 2 2 3 2 3" xfId="2485" xr:uid="{00000000-0005-0000-0000-0000E9000000}"/>
    <cellStyle name="Normal 3 2 2 2 2 2 3 2 3 2" xfId="6113" xr:uid="{00000000-0005-0000-0000-0000EA000000}"/>
    <cellStyle name="Normal 3 2 2 2 2 2 3 2 3 2 2" xfId="20625" xr:uid="{00000000-0005-0000-0000-0000EB000000}"/>
    <cellStyle name="Normal 3 2 2 2 2 2 3 2 3 2 3" xfId="13369" xr:uid="{00000000-0005-0000-0000-0000EC000000}"/>
    <cellStyle name="Normal 3 2 2 2 2 2 3 2 3 3" xfId="16997" xr:uid="{00000000-0005-0000-0000-0000ED000000}"/>
    <cellStyle name="Normal 3 2 2 2 2 2 3 2 3 4" xfId="9741" xr:uid="{00000000-0005-0000-0000-0000EE000000}"/>
    <cellStyle name="Normal 3 2 2 2 2 2 3 2 4" xfId="4299" xr:uid="{00000000-0005-0000-0000-0000EF000000}"/>
    <cellStyle name="Normal 3 2 2 2 2 2 3 2 4 2" xfId="18811" xr:uid="{00000000-0005-0000-0000-0000F0000000}"/>
    <cellStyle name="Normal 3 2 2 2 2 2 3 2 4 3" xfId="11555" xr:uid="{00000000-0005-0000-0000-0000F1000000}"/>
    <cellStyle name="Normal 3 2 2 2 2 2 3 2 5" xfId="15183" xr:uid="{00000000-0005-0000-0000-0000F2000000}"/>
    <cellStyle name="Normal 3 2 2 2 2 2 3 2 6" xfId="7927" xr:uid="{00000000-0005-0000-0000-0000F3000000}"/>
    <cellStyle name="Normal 3 2 2 2 2 2 3 3" xfId="1232" xr:uid="{00000000-0005-0000-0000-0000F4000000}"/>
    <cellStyle name="Normal 3 2 2 2 2 2 3 3 2" xfId="3046" xr:uid="{00000000-0005-0000-0000-0000F5000000}"/>
    <cellStyle name="Normal 3 2 2 2 2 2 3 3 2 2" xfId="6674" xr:uid="{00000000-0005-0000-0000-0000F6000000}"/>
    <cellStyle name="Normal 3 2 2 2 2 2 3 3 2 2 2" xfId="21186" xr:uid="{00000000-0005-0000-0000-0000F7000000}"/>
    <cellStyle name="Normal 3 2 2 2 2 2 3 3 2 2 3" xfId="13930" xr:uid="{00000000-0005-0000-0000-0000F8000000}"/>
    <cellStyle name="Normal 3 2 2 2 2 2 3 3 2 3" xfId="17558" xr:uid="{00000000-0005-0000-0000-0000F9000000}"/>
    <cellStyle name="Normal 3 2 2 2 2 2 3 3 2 4" xfId="10302" xr:uid="{00000000-0005-0000-0000-0000FA000000}"/>
    <cellStyle name="Normal 3 2 2 2 2 2 3 3 3" xfId="4860" xr:uid="{00000000-0005-0000-0000-0000FB000000}"/>
    <cellStyle name="Normal 3 2 2 2 2 2 3 3 3 2" xfId="19372" xr:uid="{00000000-0005-0000-0000-0000FC000000}"/>
    <cellStyle name="Normal 3 2 2 2 2 2 3 3 3 3" xfId="12116" xr:uid="{00000000-0005-0000-0000-0000FD000000}"/>
    <cellStyle name="Normal 3 2 2 2 2 2 3 3 4" xfId="15744" xr:uid="{00000000-0005-0000-0000-0000FE000000}"/>
    <cellStyle name="Normal 3 2 2 2 2 2 3 3 5" xfId="8488" xr:uid="{00000000-0005-0000-0000-0000FF000000}"/>
    <cellStyle name="Normal 3 2 2 2 2 2 3 4" xfId="2139" xr:uid="{00000000-0005-0000-0000-000000010000}"/>
    <cellStyle name="Normal 3 2 2 2 2 2 3 4 2" xfId="5767" xr:uid="{00000000-0005-0000-0000-000001010000}"/>
    <cellStyle name="Normal 3 2 2 2 2 2 3 4 2 2" xfId="20279" xr:uid="{00000000-0005-0000-0000-000002010000}"/>
    <cellStyle name="Normal 3 2 2 2 2 2 3 4 2 3" xfId="13023" xr:uid="{00000000-0005-0000-0000-000003010000}"/>
    <cellStyle name="Normal 3 2 2 2 2 2 3 4 3" xfId="16651" xr:uid="{00000000-0005-0000-0000-000004010000}"/>
    <cellStyle name="Normal 3 2 2 2 2 2 3 4 4" xfId="9395" xr:uid="{00000000-0005-0000-0000-000005010000}"/>
    <cellStyle name="Normal 3 2 2 2 2 2 3 5" xfId="3953" xr:uid="{00000000-0005-0000-0000-000006010000}"/>
    <cellStyle name="Normal 3 2 2 2 2 2 3 5 2" xfId="18465" xr:uid="{00000000-0005-0000-0000-000007010000}"/>
    <cellStyle name="Normal 3 2 2 2 2 2 3 5 3" xfId="11209" xr:uid="{00000000-0005-0000-0000-000008010000}"/>
    <cellStyle name="Normal 3 2 2 2 2 2 3 6" xfId="14837" xr:uid="{00000000-0005-0000-0000-000009010000}"/>
    <cellStyle name="Normal 3 2 2 2 2 2 3 7" xfId="7581" xr:uid="{00000000-0005-0000-0000-00000A010000}"/>
    <cellStyle name="Normal 3 2 2 2 2 2 4" xfId="800" xr:uid="{00000000-0005-0000-0000-00000B010000}"/>
    <cellStyle name="Normal 3 2 2 2 2 2 4 2" xfId="1708" xr:uid="{00000000-0005-0000-0000-00000C010000}"/>
    <cellStyle name="Normal 3 2 2 2 2 2 4 2 2" xfId="3522" xr:uid="{00000000-0005-0000-0000-00000D010000}"/>
    <cellStyle name="Normal 3 2 2 2 2 2 4 2 2 2" xfId="7150" xr:uid="{00000000-0005-0000-0000-00000E010000}"/>
    <cellStyle name="Normal 3 2 2 2 2 2 4 2 2 2 2" xfId="21662" xr:uid="{00000000-0005-0000-0000-00000F010000}"/>
    <cellStyle name="Normal 3 2 2 2 2 2 4 2 2 2 3" xfId="14406" xr:uid="{00000000-0005-0000-0000-000010010000}"/>
    <cellStyle name="Normal 3 2 2 2 2 2 4 2 2 3" xfId="18034" xr:uid="{00000000-0005-0000-0000-000011010000}"/>
    <cellStyle name="Normal 3 2 2 2 2 2 4 2 2 4" xfId="10778" xr:uid="{00000000-0005-0000-0000-000012010000}"/>
    <cellStyle name="Normal 3 2 2 2 2 2 4 2 3" xfId="5336" xr:uid="{00000000-0005-0000-0000-000013010000}"/>
    <cellStyle name="Normal 3 2 2 2 2 2 4 2 3 2" xfId="19848" xr:uid="{00000000-0005-0000-0000-000014010000}"/>
    <cellStyle name="Normal 3 2 2 2 2 2 4 2 3 3" xfId="12592" xr:uid="{00000000-0005-0000-0000-000015010000}"/>
    <cellStyle name="Normal 3 2 2 2 2 2 4 2 4" xfId="16220" xr:uid="{00000000-0005-0000-0000-000016010000}"/>
    <cellStyle name="Normal 3 2 2 2 2 2 4 2 5" xfId="8964" xr:uid="{00000000-0005-0000-0000-000017010000}"/>
    <cellStyle name="Normal 3 2 2 2 2 2 4 3" xfId="2615" xr:uid="{00000000-0005-0000-0000-000018010000}"/>
    <cellStyle name="Normal 3 2 2 2 2 2 4 3 2" xfId="6243" xr:uid="{00000000-0005-0000-0000-000019010000}"/>
    <cellStyle name="Normal 3 2 2 2 2 2 4 3 2 2" xfId="20755" xr:uid="{00000000-0005-0000-0000-00001A010000}"/>
    <cellStyle name="Normal 3 2 2 2 2 2 4 3 2 3" xfId="13499" xr:uid="{00000000-0005-0000-0000-00001B010000}"/>
    <cellStyle name="Normal 3 2 2 2 2 2 4 3 3" xfId="17127" xr:uid="{00000000-0005-0000-0000-00001C010000}"/>
    <cellStyle name="Normal 3 2 2 2 2 2 4 3 4" xfId="9871" xr:uid="{00000000-0005-0000-0000-00001D010000}"/>
    <cellStyle name="Normal 3 2 2 2 2 2 4 4" xfId="4429" xr:uid="{00000000-0005-0000-0000-00001E010000}"/>
    <cellStyle name="Normal 3 2 2 2 2 2 4 4 2" xfId="18941" xr:uid="{00000000-0005-0000-0000-00001F010000}"/>
    <cellStyle name="Normal 3 2 2 2 2 2 4 4 3" xfId="11685" xr:uid="{00000000-0005-0000-0000-000020010000}"/>
    <cellStyle name="Normal 3 2 2 2 2 2 4 5" xfId="15313" xr:uid="{00000000-0005-0000-0000-000021010000}"/>
    <cellStyle name="Normal 3 2 2 2 2 2 4 6" xfId="8057" xr:uid="{00000000-0005-0000-0000-000022010000}"/>
    <cellStyle name="Normal 3 2 2 2 2 2 5" xfId="454" xr:uid="{00000000-0005-0000-0000-000023010000}"/>
    <cellStyle name="Normal 3 2 2 2 2 2 5 2" xfId="1362" xr:uid="{00000000-0005-0000-0000-000024010000}"/>
    <cellStyle name="Normal 3 2 2 2 2 2 5 2 2" xfId="3176" xr:uid="{00000000-0005-0000-0000-000025010000}"/>
    <cellStyle name="Normal 3 2 2 2 2 2 5 2 2 2" xfId="6804" xr:uid="{00000000-0005-0000-0000-000026010000}"/>
    <cellStyle name="Normal 3 2 2 2 2 2 5 2 2 2 2" xfId="21316" xr:uid="{00000000-0005-0000-0000-000027010000}"/>
    <cellStyle name="Normal 3 2 2 2 2 2 5 2 2 2 3" xfId="14060" xr:uid="{00000000-0005-0000-0000-000028010000}"/>
    <cellStyle name="Normal 3 2 2 2 2 2 5 2 2 3" xfId="17688" xr:uid="{00000000-0005-0000-0000-000029010000}"/>
    <cellStyle name="Normal 3 2 2 2 2 2 5 2 2 4" xfId="10432" xr:uid="{00000000-0005-0000-0000-00002A010000}"/>
    <cellStyle name="Normal 3 2 2 2 2 2 5 2 3" xfId="4990" xr:uid="{00000000-0005-0000-0000-00002B010000}"/>
    <cellStyle name="Normal 3 2 2 2 2 2 5 2 3 2" xfId="19502" xr:uid="{00000000-0005-0000-0000-00002C010000}"/>
    <cellStyle name="Normal 3 2 2 2 2 2 5 2 3 3" xfId="12246" xr:uid="{00000000-0005-0000-0000-00002D010000}"/>
    <cellStyle name="Normal 3 2 2 2 2 2 5 2 4" xfId="15874" xr:uid="{00000000-0005-0000-0000-00002E010000}"/>
    <cellStyle name="Normal 3 2 2 2 2 2 5 2 5" xfId="8618" xr:uid="{00000000-0005-0000-0000-00002F010000}"/>
    <cellStyle name="Normal 3 2 2 2 2 2 5 3" xfId="2269" xr:uid="{00000000-0005-0000-0000-000030010000}"/>
    <cellStyle name="Normal 3 2 2 2 2 2 5 3 2" xfId="5897" xr:uid="{00000000-0005-0000-0000-000031010000}"/>
    <cellStyle name="Normal 3 2 2 2 2 2 5 3 2 2" xfId="20409" xr:uid="{00000000-0005-0000-0000-000032010000}"/>
    <cellStyle name="Normal 3 2 2 2 2 2 5 3 2 3" xfId="13153" xr:uid="{00000000-0005-0000-0000-000033010000}"/>
    <cellStyle name="Normal 3 2 2 2 2 2 5 3 3" xfId="16781" xr:uid="{00000000-0005-0000-0000-000034010000}"/>
    <cellStyle name="Normal 3 2 2 2 2 2 5 3 4" xfId="9525" xr:uid="{00000000-0005-0000-0000-000035010000}"/>
    <cellStyle name="Normal 3 2 2 2 2 2 5 4" xfId="4083" xr:uid="{00000000-0005-0000-0000-000036010000}"/>
    <cellStyle name="Normal 3 2 2 2 2 2 5 4 2" xfId="18595" xr:uid="{00000000-0005-0000-0000-000037010000}"/>
    <cellStyle name="Normal 3 2 2 2 2 2 5 4 3" xfId="11339" xr:uid="{00000000-0005-0000-0000-000038010000}"/>
    <cellStyle name="Normal 3 2 2 2 2 2 5 5" xfId="14967" xr:uid="{00000000-0005-0000-0000-000039010000}"/>
    <cellStyle name="Normal 3 2 2 2 2 2 5 6" xfId="7711" xr:uid="{00000000-0005-0000-0000-00003A010000}"/>
    <cellStyle name="Normal 3 2 2 2 2 2 6" xfId="915" xr:uid="{00000000-0005-0000-0000-00003B010000}"/>
    <cellStyle name="Normal 3 2 2 2 2 2 6 2" xfId="1822" xr:uid="{00000000-0005-0000-0000-00003C010000}"/>
    <cellStyle name="Normal 3 2 2 2 2 2 6 2 2" xfId="3636" xr:uid="{00000000-0005-0000-0000-00003D010000}"/>
    <cellStyle name="Normal 3 2 2 2 2 2 6 2 2 2" xfId="7264" xr:uid="{00000000-0005-0000-0000-00003E010000}"/>
    <cellStyle name="Normal 3 2 2 2 2 2 6 2 2 2 2" xfId="21776" xr:uid="{00000000-0005-0000-0000-00003F010000}"/>
    <cellStyle name="Normal 3 2 2 2 2 2 6 2 2 2 3" xfId="14520" xr:uid="{00000000-0005-0000-0000-000040010000}"/>
    <cellStyle name="Normal 3 2 2 2 2 2 6 2 2 3" xfId="18148" xr:uid="{00000000-0005-0000-0000-000041010000}"/>
    <cellStyle name="Normal 3 2 2 2 2 2 6 2 2 4" xfId="10892" xr:uid="{00000000-0005-0000-0000-000042010000}"/>
    <cellStyle name="Normal 3 2 2 2 2 2 6 2 3" xfId="5450" xr:uid="{00000000-0005-0000-0000-000043010000}"/>
    <cellStyle name="Normal 3 2 2 2 2 2 6 2 3 2" xfId="19962" xr:uid="{00000000-0005-0000-0000-000044010000}"/>
    <cellStyle name="Normal 3 2 2 2 2 2 6 2 3 3" xfId="12706" xr:uid="{00000000-0005-0000-0000-000045010000}"/>
    <cellStyle name="Normal 3 2 2 2 2 2 6 2 4" xfId="16334" xr:uid="{00000000-0005-0000-0000-000046010000}"/>
    <cellStyle name="Normal 3 2 2 2 2 2 6 2 5" xfId="9078" xr:uid="{00000000-0005-0000-0000-000047010000}"/>
    <cellStyle name="Normal 3 2 2 2 2 2 6 3" xfId="2729" xr:uid="{00000000-0005-0000-0000-000048010000}"/>
    <cellStyle name="Normal 3 2 2 2 2 2 6 3 2" xfId="6357" xr:uid="{00000000-0005-0000-0000-000049010000}"/>
    <cellStyle name="Normal 3 2 2 2 2 2 6 3 2 2" xfId="20869" xr:uid="{00000000-0005-0000-0000-00004A010000}"/>
    <cellStyle name="Normal 3 2 2 2 2 2 6 3 2 3" xfId="13613" xr:uid="{00000000-0005-0000-0000-00004B010000}"/>
    <cellStyle name="Normal 3 2 2 2 2 2 6 3 3" xfId="17241" xr:uid="{00000000-0005-0000-0000-00004C010000}"/>
    <cellStyle name="Normal 3 2 2 2 2 2 6 3 4" xfId="9985" xr:uid="{00000000-0005-0000-0000-00004D010000}"/>
    <cellStyle name="Normal 3 2 2 2 2 2 6 4" xfId="4543" xr:uid="{00000000-0005-0000-0000-00004E010000}"/>
    <cellStyle name="Normal 3 2 2 2 2 2 6 4 2" xfId="19055" xr:uid="{00000000-0005-0000-0000-00004F010000}"/>
    <cellStyle name="Normal 3 2 2 2 2 2 6 4 3" xfId="11799" xr:uid="{00000000-0005-0000-0000-000050010000}"/>
    <cellStyle name="Normal 3 2 2 2 2 2 6 5" xfId="15427" xr:uid="{00000000-0005-0000-0000-000051010000}"/>
    <cellStyle name="Normal 3 2 2 2 2 2 6 6" xfId="8171" xr:uid="{00000000-0005-0000-0000-000052010000}"/>
    <cellStyle name="Normal 3 2 2 2 2 2 7" xfId="1016" xr:uid="{00000000-0005-0000-0000-000053010000}"/>
    <cellStyle name="Normal 3 2 2 2 2 2 7 2" xfId="2830" xr:uid="{00000000-0005-0000-0000-000054010000}"/>
    <cellStyle name="Normal 3 2 2 2 2 2 7 2 2" xfId="6458" xr:uid="{00000000-0005-0000-0000-000055010000}"/>
    <cellStyle name="Normal 3 2 2 2 2 2 7 2 2 2" xfId="20970" xr:uid="{00000000-0005-0000-0000-000056010000}"/>
    <cellStyle name="Normal 3 2 2 2 2 2 7 2 2 3" xfId="13714" xr:uid="{00000000-0005-0000-0000-000057010000}"/>
    <cellStyle name="Normal 3 2 2 2 2 2 7 2 3" xfId="17342" xr:uid="{00000000-0005-0000-0000-000058010000}"/>
    <cellStyle name="Normal 3 2 2 2 2 2 7 2 4" xfId="10086" xr:uid="{00000000-0005-0000-0000-000059010000}"/>
    <cellStyle name="Normal 3 2 2 2 2 2 7 3" xfId="4644" xr:uid="{00000000-0005-0000-0000-00005A010000}"/>
    <cellStyle name="Normal 3 2 2 2 2 2 7 3 2" xfId="19156" xr:uid="{00000000-0005-0000-0000-00005B010000}"/>
    <cellStyle name="Normal 3 2 2 2 2 2 7 3 3" xfId="11900" xr:uid="{00000000-0005-0000-0000-00005C010000}"/>
    <cellStyle name="Normal 3 2 2 2 2 2 7 4" xfId="15528" xr:uid="{00000000-0005-0000-0000-00005D010000}"/>
    <cellStyle name="Normal 3 2 2 2 2 2 7 5" xfId="8272" xr:uid="{00000000-0005-0000-0000-00005E010000}"/>
    <cellStyle name="Normal 3 2 2 2 2 2 8" xfId="1923" xr:uid="{00000000-0005-0000-0000-00005F010000}"/>
    <cellStyle name="Normal 3 2 2 2 2 2 8 2" xfId="5551" xr:uid="{00000000-0005-0000-0000-000060010000}"/>
    <cellStyle name="Normal 3 2 2 2 2 2 8 2 2" xfId="20063" xr:uid="{00000000-0005-0000-0000-000061010000}"/>
    <cellStyle name="Normal 3 2 2 2 2 2 8 2 3" xfId="12807" xr:uid="{00000000-0005-0000-0000-000062010000}"/>
    <cellStyle name="Normal 3 2 2 2 2 2 8 3" xfId="16435" xr:uid="{00000000-0005-0000-0000-000063010000}"/>
    <cellStyle name="Normal 3 2 2 2 2 2 8 4" xfId="9179" xr:uid="{00000000-0005-0000-0000-000064010000}"/>
    <cellStyle name="Normal 3 2 2 2 2 2 9" xfId="3737" xr:uid="{00000000-0005-0000-0000-000065010000}"/>
    <cellStyle name="Normal 3 2 2 2 2 2 9 2" xfId="18249" xr:uid="{00000000-0005-0000-0000-000066010000}"/>
    <cellStyle name="Normal 3 2 2 2 2 2 9 3" xfId="10993" xr:uid="{00000000-0005-0000-0000-000067010000}"/>
    <cellStyle name="Normal 3 2 2 2 2 3" xfId="238" xr:uid="{00000000-0005-0000-0000-000068010000}"/>
    <cellStyle name="Normal 3 2 2 2 2 3 2" xfId="368" xr:uid="{00000000-0005-0000-0000-000069010000}"/>
    <cellStyle name="Normal 3 2 2 2 2 3 2 2" xfId="714" xr:uid="{00000000-0005-0000-0000-00006A010000}"/>
    <cellStyle name="Normal 3 2 2 2 2 3 2 2 2" xfId="1622" xr:uid="{00000000-0005-0000-0000-00006B010000}"/>
    <cellStyle name="Normal 3 2 2 2 2 3 2 2 2 2" xfId="3436" xr:uid="{00000000-0005-0000-0000-00006C010000}"/>
    <cellStyle name="Normal 3 2 2 2 2 3 2 2 2 2 2" xfId="7064" xr:uid="{00000000-0005-0000-0000-00006D010000}"/>
    <cellStyle name="Normal 3 2 2 2 2 3 2 2 2 2 2 2" xfId="21576" xr:uid="{00000000-0005-0000-0000-00006E010000}"/>
    <cellStyle name="Normal 3 2 2 2 2 3 2 2 2 2 2 3" xfId="14320" xr:uid="{00000000-0005-0000-0000-00006F010000}"/>
    <cellStyle name="Normal 3 2 2 2 2 3 2 2 2 2 3" xfId="17948" xr:uid="{00000000-0005-0000-0000-000070010000}"/>
    <cellStyle name="Normal 3 2 2 2 2 3 2 2 2 2 4" xfId="10692" xr:uid="{00000000-0005-0000-0000-000071010000}"/>
    <cellStyle name="Normal 3 2 2 2 2 3 2 2 2 3" xfId="5250" xr:uid="{00000000-0005-0000-0000-000072010000}"/>
    <cellStyle name="Normal 3 2 2 2 2 3 2 2 2 3 2" xfId="19762" xr:uid="{00000000-0005-0000-0000-000073010000}"/>
    <cellStyle name="Normal 3 2 2 2 2 3 2 2 2 3 3" xfId="12506" xr:uid="{00000000-0005-0000-0000-000074010000}"/>
    <cellStyle name="Normal 3 2 2 2 2 3 2 2 2 4" xfId="16134" xr:uid="{00000000-0005-0000-0000-000075010000}"/>
    <cellStyle name="Normal 3 2 2 2 2 3 2 2 2 5" xfId="8878" xr:uid="{00000000-0005-0000-0000-000076010000}"/>
    <cellStyle name="Normal 3 2 2 2 2 3 2 2 3" xfId="2529" xr:uid="{00000000-0005-0000-0000-000077010000}"/>
    <cellStyle name="Normal 3 2 2 2 2 3 2 2 3 2" xfId="6157" xr:uid="{00000000-0005-0000-0000-000078010000}"/>
    <cellStyle name="Normal 3 2 2 2 2 3 2 2 3 2 2" xfId="20669" xr:uid="{00000000-0005-0000-0000-000079010000}"/>
    <cellStyle name="Normal 3 2 2 2 2 3 2 2 3 2 3" xfId="13413" xr:uid="{00000000-0005-0000-0000-00007A010000}"/>
    <cellStyle name="Normal 3 2 2 2 2 3 2 2 3 3" xfId="17041" xr:uid="{00000000-0005-0000-0000-00007B010000}"/>
    <cellStyle name="Normal 3 2 2 2 2 3 2 2 3 4" xfId="9785" xr:uid="{00000000-0005-0000-0000-00007C010000}"/>
    <cellStyle name="Normal 3 2 2 2 2 3 2 2 4" xfId="4343" xr:uid="{00000000-0005-0000-0000-00007D010000}"/>
    <cellStyle name="Normal 3 2 2 2 2 3 2 2 4 2" xfId="18855" xr:uid="{00000000-0005-0000-0000-00007E010000}"/>
    <cellStyle name="Normal 3 2 2 2 2 3 2 2 4 3" xfId="11599" xr:uid="{00000000-0005-0000-0000-00007F010000}"/>
    <cellStyle name="Normal 3 2 2 2 2 3 2 2 5" xfId="15227" xr:uid="{00000000-0005-0000-0000-000080010000}"/>
    <cellStyle name="Normal 3 2 2 2 2 3 2 2 6" xfId="7971" xr:uid="{00000000-0005-0000-0000-000081010000}"/>
    <cellStyle name="Normal 3 2 2 2 2 3 2 3" xfId="1276" xr:uid="{00000000-0005-0000-0000-000082010000}"/>
    <cellStyle name="Normal 3 2 2 2 2 3 2 3 2" xfId="3090" xr:uid="{00000000-0005-0000-0000-000083010000}"/>
    <cellStyle name="Normal 3 2 2 2 2 3 2 3 2 2" xfId="6718" xr:uid="{00000000-0005-0000-0000-000084010000}"/>
    <cellStyle name="Normal 3 2 2 2 2 3 2 3 2 2 2" xfId="21230" xr:uid="{00000000-0005-0000-0000-000085010000}"/>
    <cellStyle name="Normal 3 2 2 2 2 3 2 3 2 2 3" xfId="13974" xr:uid="{00000000-0005-0000-0000-000086010000}"/>
    <cellStyle name="Normal 3 2 2 2 2 3 2 3 2 3" xfId="17602" xr:uid="{00000000-0005-0000-0000-000087010000}"/>
    <cellStyle name="Normal 3 2 2 2 2 3 2 3 2 4" xfId="10346" xr:uid="{00000000-0005-0000-0000-000088010000}"/>
    <cellStyle name="Normal 3 2 2 2 2 3 2 3 3" xfId="4904" xr:uid="{00000000-0005-0000-0000-000089010000}"/>
    <cellStyle name="Normal 3 2 2 2 2 3 2 3 3 2" xfId="19416" xr:uid="{00000000-0005-0000-0000-00008A010000}"/>
    <cellStyle name="Normal 3 2 2 2 2 3 2 3 3 3" xfId="12160" xr:uid="{00000000-0005-0000-0000-00008B010000}"/>
    <cellStyle name="Normal 3 2 2 2 2 3 2 3 4" xfId="15788" xr:uid="{00000000-0005-0000-0000-00008C010000}"/>
    <cellStyle name="Normal 3 2 2 2 2 3 2 3 5" xfId="8532" xr:uid="{00000000-0005-0000-0000-00008D010000}"/>
    <cellStyle name="Normal 3 2 2 2 2 3 2 4" xfId="2183" xr:uid="{00000000-0005-0000-0000-00008E010000}"/>
    <cellStyle name="Normal 3 2 2 2 2 3 2 4 2" xfId="5811" xr:uid="{00000000-0005-0000-0000-00008F010000}"/>
    <cellStyle name="Normal 3 2 2 2 2 3 2 4 2 2" xfId="20323" xr:uid="{00000000-0005-0000-0000-000090010000}"/>
    <cellStyle name="Normal 3 2 2 2 2 3 2 4 2 3" xfId="13067" xr:uid="{00000000-0005-0000-0000-000091010000}"/>
    <cellStyle name="Normal 3 2 2 2 2 3 2 4 3" xfId="16695" xr:uid="{00000000-0005-0000-0000-000092010000}"/>
    <cellStyle name="Normal 3 2 2 2 2 3 2 4 4" xfId="9439" xr:uid="{00000000-0005-0000-0000-000093010000}"/>
    <cellStyle name="Normal 3 2 2 2 2 3 2 5" xfId="3997" xr:uid="{00000000-0005-0000-0000-000094010000}"/>
    <cellStyle name="Normal 3 2 2 2 2 3 2 5 2" xfId="18509" xr:uid="{00000000-0005-0000-0000-000095010000}"/>
    <cellStyle name="Normal 3 2 2 2 2 3 2 5 3" xfId="11253" xr:uid="{00000000-0005-0000-0000-000096010000}"/>
    <cellStyle name="Normal 3 2 2 2 2 3 2 6" xfId="14881" xr:uid="{00000000-0005-0000-0000-000097010000}"/>
    <cellStyle name="Normal 3 2 2 2 2 3 2 7" xfId="7625" xr:uid="{00000000-0005-0000-0000-000098010000}"/>
    <cellStyle name="Normal 3 2 2 2 2 3 3" xfId="844" xr:uid="{00000000-0005-0000-0000-000099010000}"/>
    <cellStyle name="Normal 3 2 2 2 2 3 3 2" xfId="1752" xr:uid="{00000000-0005-0000-0000-00009A010000}"/>
    <cellStyle name="Normal 3 2 2 2 2 3 3 2 2" xfId="3566" xr:uid="{00000000-0005-0000-0000-00009B010000}"/>
    <cellStyle name="Normal 3 2 2 2 2 3 3 2 2 2" xfId="7194" xr:uid="{00000000-0005-0000-0000-00009C010000}"/>
    <cellStyle name="Normal 3 2 2 2 2 3 3 2 2 2 2" xfId="21706" xr:uid="{00000000-0005-0000-0000-00009D010000}"/>
    <cellStyle name="Normal 3 2 2 2 2 3 3 2 2 2 3" xfId="14450" xr:uid="{00000000-0005-0000-0000-00009E010000}"/>
    <cellStyle name="Normal 3 2 2 2 2 3 3 2 2 3" xfId="18078" xr:uid="{00000000-0005-0000-0000-00009F010000}"/>
    <cellStyle name="Normal 3 2 2 2 2 3 3 2 2 4" xfId="10822" xr:uid="{00000000-0005-0000-0000-0000A0010000}"/>
    <cellStyle name="Normal 3 2 2 2 2 3 3 2 3" xfId="5380" xr:uid="{00000000-0005-0000-0000-0000A1010000}"/>
    <cellStyle name="Normal 3 2 2 2 2 3 3 2 3 2" xfId="19892" xr:uid="{00000000-0005-0000-0000-0000A2010000}"/>
    <cellStyle name="Normal 3 2 2 2 2 3 3 2 3 3" xfId="12636" xr:uid="{00000000-0005-0000-0000-0000A3010000}"/>
    <cellStyle name="Normal 3 2 2 2 2 3 3 2 4" xfId="16264" xr:uid="{00000000-0005-0000-0000-0000A4010000}"/>
    <cellStyle name="Normal 3 2 2 2 2 3 3 2 5" xfId="9008" xr:uid="{00000000-0005-0000-0000-0000A5010000}"/>
    <cellStyle name="Normal 3 2 2 2 2 3 3 3" xfId="2659" xr:uid="{00000000-0005-0000-0000-0000A6010000}"/>
    <cellStyle name="Normal 3 2 2 2 2 3 3 3 2" xfId="6287" xr:uid="{00000000-0005-0000-0000-0000A7010000}"/>
    <cellStyle name="Normal 3 2 2 2 2 3 3 3 2 2" xfId="20799" xr:uid="{00000000-0005-0000-0000-0000A8010000}"/>
    <cellStyle name="Normal 3 2 2 2 2 3 3 3 2 3" xfId="13543" xr:uid="{00000000-0005-0000-0000-0000A9010000}"/>
    <cellStyle name="Normal 3 2 2 2 2 3 3 3 3" xfId="17171" xr:uid="{00000000-0005-0000-0000-0000AA010000}"/>
    <cellStyle name="Normal 3 2 2 2 2 3 3 3 4" xfId="9915" xr:uid="{00000000-0005-0000-0000-0000AB010000}"/>
    <cellStyle name="Normal 3 2 2 2 2 3 3 4" xfId="4473" xr:uid="{00000000-0005-0000-0000-0000AC010000}"/>
    <cellStyle name="Normal 3 2 2 2 2 3 3 4 2" xfId="18985" xr:uid="{00000000-0005-0000-0000-0000AD010000}"/>
    <cellStyle name="Normal 3 2 2 2 2 3 3 4 3" xfId="11729" xr:uid="{00000000-0005-0000-0000-0000AE010000}"/>
    <cellStyle name="Normal 3 2 2 2 2 3 3 5" xfId="15357" xr:uid="{00000000-0005-0000-0000-0000AF010000}"/>
    <cellStyle name="Normal 3 2 2 2 2 3 3 6" xfId="8101" xr:uid="{00000000-0005-0000-0000-0000B0010000}"/>
    <cellStyle name="Normal 3 2 2 2 2 3 4" xfId="584" xr:uid="{00000000-0005-0000-0000-0000B1010000}"/>
    <cellStyle name="Normal 3 2 2 2 2 3 4 2" xfId="1492" xr:uid="{00000000-0005-0000-0000-0000B2010000}"/>
    <cellStyle name="Normal 3 2 2 2 2 3 4 2 2" xfId="3306" xr:uid="{00000000-0005-0000-0000-0000B3010000}"/>
    <cellStyle name="Normal 3 2 2 2 2 3 4 2 2 2" xfId="6934" xr:uid="{00000000-0005-0000-0000-0000B4010000}"/>
    <cellStyle name="Normal 3 2 2 2 2 3 4 2 2 2 2" xfId="21446" xr:uid="{00000000-0005-0000-0000-0000B5010000}"/>
    <cellStyle name="Normal 3 2 2 2 2 3 4 2 2 2 3" xfId="14190" xr:uid="{00000000-0005-0000-0000-0000B6010000}"/>
    <cellStyle name="Normal 3 2 2 2 2 3 4 2 2 3" xfId="17818" xr:uid="{00000000-0005-0000-0000-0000B7010000}"/>
    <cellStyle name="Normal 3 2 2 2 2 3 4 2 2 4" xfId="10562" xr:uid="{00000000-0005-0000-0000-0000B8010000}"/>
    <cellStyle name="Normal 3 2 2 2 2 3 4 2 3" xfId="5120" xr:uid="{00000000-0005-0000-0000-0000B9010000}"/>
    <cellStyle name="Normal 3 2 2 2 2 3 4 2 3 2" xfId="19632" xr:uid="{00000000-0005-0000-0000-0000BA010000}"/>
    <cellStyle name="Normal 3 2 2 2 2 3 4 2 3 3" xfId="12376" xr:uid="{00000000-0005-0000-0000-0000BB010000}"/>
    <cellStyle name="Normal 3 2 2 2 2 3 4 2 4" xfId="16004" xr:uid="{00000000-0005-0000-0000-0000BC010000}"/>
    <cellStyle name="Normal 3 2 2 2 2 3 4 2 5" xfId="8748" xr:uid="{00000000-0005-0000-0000-0000BD010000}"/>
    <cellStyle name="Normal 3 2 2 2 2 3 4 3" xfId="2399" xr:uid="{00000000-0005-0000-0000-0000BE010000}"/>
    <cellStyle name="Normal 3 2 2 2 2 3 4 3 2" xfId="6027" xr:uid="{00000000-0005-0000-0000-0000BF010000}"/>
    <cellStyle name="Normal 3 2 2 2 2 3 4 3 2 2" xfId="20539" xr:uid="{00000000-0005-0000-0000-0000C0010000}"/>
    <cellStyle name="Normal 3 2 2 2 2 3 4 3 2 3" xfId="13283" xr:uid="{00000000-0005-0000-0000-0000C1010000}"/>
    <cellStyle name="Normal 3 2 2 2 2 3 4 3 3" xfId="16911" xr:uid="{00000000-0005-0000-0000-0000C2010000}"/>
    <cellStyle name="Normal 3 2 2 2 2 3 4 3 4" xfId="9655" xr:uid="{00000000-0005-0000-0000-0000C3010000}"/>
    <cellStyle name="Normal 3 2 2 2 2 3 4 4" xfId="4213" xr:uid="{00000000-0005-0000-0000-0000C4010000}"/>
    <cellStyle name="Normal 3 2 2 2 2 3 4 4 2" xfId="18725" xr:uid="{00000000-0005-0000-0000-0000C5010000}"/>
    <cellStyle name="Normal 3 2 2 2 2 3 4 4 3" xfId="11469" xr:uid="{00000000-0005-0000-0000-0000C6010000}"/>
    <cellStyle name="Normal 3 2 2 2 2 3 4 5" xfId="15097" xr:uid="{00000000-0005-0000-0000-0000C7010000}"/>
    <cellStyle name="Normal 3 2 2 2 2 3 4 6" xfId="7841" xr:uid="{00000000-0005-0000-0000-0000C8010000}"/>
    <cellStyle name="Normal 3 2 2 2 2 3 5" xfId="1146" xr:uid="{00000000-0005-0000-0000-0000C9010000}"/>
    <cellStyle name="Normal 3 2 2 2 2 3 5 2" xfId="2960" xr:uid="{00000000-0005-0000-0000-0000CA010000}"/>
    <cellStyle name="Normal 3 2 2 2 2 3 5 2 2" xfId="6588" xr:uid="{00000000-0005-0000-0000-0000CB010000}"/>
    <cellStyle name="Normal 3 2 2 2 2 3 5 2 2 2" xfId="21100" xr:uid="{00000000-0005-0000-0000-0000CC010000}"/>
    <cellStyle name="Normal 3 2 2 2 2 3 5 2 2 3" xfId="13844" xr:uid="{00000000-0005-0000-0000-0000CD010000}"/>
    <cellStyle name="Normal 3 2 2 2 2 3 5 2 3" xfId="17472" xr:uid="{00000000-0005-0000-0000-0000CE010000}"/>
    <cellStyle name="Normal 3 2 2 2 2 3 5 2 4" xfId="10216" xr:uid="{00000000-0005-0000-0000-0000CF010000}"/>
    <cellStyle name="Normal 3 2 2 2 2 3 5 3" xfId="4774" xr:uid="{00000000-0005-0000-0000-0000D0010000}"/>
    <cellStyle name="Normal 3 2 2 2 2 3 5 3 2" xfId="19286" xr:uid="{00000000-0005-0000-0000-0000D1010000}"/>
    <cellStyle name="Normal 3 2 2 2 2 3 5 3 3" xfId="12030" xr:uid="{00000000-0005-0000-0000-0000D2010000}"/>
    <cellStyle name="Normal 3 2 2 2 2 3 5 4" xfId="15658" xr:uid="{00000000-0005-0000-0000-0000D3010000}"/>
    <cellStyle name="Normal 3 2 2 2 2 3 5 5" xfId="8402" xr:uid="{00000000-0005-0000-0000-0000D4010000}"/>
    <cellStyle name="Normal 3 2 2 2 2 3 6" xfId="2053" xr:uid="{00000000-0005-0000-0000-0000D5010000}"/>
    <cellStyle name="Normal 3 2 2 2 2 3 6 2" xfId="5681" xr:uid="{00000000-0005-0000-0000-0000D6010000}"/>
    <cellStyle name="Normal 3 2 2 2 2 3 6 2 2" xfId="20193" xr:uid="{00000000-0005-0000-0000-0000D7010000}"/>
    <cellStyle name="Normal 3 2 2 2 2 3 6 2 3" xfId="12937" xr:uid="{00000000-0005-0000-0000-0000D8010000}"/>
    <cellStyle name="Normal 3 2 2 2 2 3 6 3" xfId="16565" xr:uid="{00000000-0005-0000-0000-0000D9010000}"/>
    <cellStyle name="Normal 3 2 2 2 2 3 6 4" xfId="9309" xr:uid="{00000000-0005-0000-0000-0000DA010000}"/>
    <cellStyle name="Normal 3 2 2 2 2 3 7" xfId="3867" xr:uid="{00000000-0005-0000-0000-0000DB010000}"/>
    <cellStyle name="Normal 3 2 2 2 2 3 7 2" xfId="18379" xr:uid="{00000000-0005-0000-0000-0000DC010000}"/>
    <cellStyle name="Normal 3 2 2 2 2 3 7 3" xfId="11123" xr:uid="{00000000-0005-0000-0000-0000DD010000}"/>
    <cellStyle name="Normal 3 2 2 2 2 3 8" xfId="14751" xr:uid="{00000000-0005-0000-0000-0000DE010000}"/>
    <cellStyle name="Normal 3 2 2 2 2 3 9" xfId="7495" xr:uid="{00000000-0005-0000-0000-0000DF010000}"/>
    <cellStyle name="Normal 3 2 2 2 2 4" xfId="152" xr:uid="{00000000-0005-0000-0000-0000E0010000}"/>
    <cellStyle name="Normal 3 2 2 2 2 4 2" xfId="498" xr:uid="{00000000-0005-0000-0000-0000E1010000}"/>
    <cellStyle name="Normal 3 2 2 2 2 4 2 2" xfId="1406" xr:uid="{00000000-0005-0000-0000-0000E2010000}"/>
    <cellStyle name="Normal 3 2 2 2 2 4 2 2 2" xfId="3220" xr:uid="{00000000-0005-0000-0000-0000E3010000}"/>
    <cellStyle name="Normal 3 2 2 2 2 4 2 2 2 2" xfId="6848" xr:uid="{00000000-0005-0000-0000-0000E4010000}"/>
    <cellStyle name="Normal 3 2 2 2 2 4 2 2 2 2 2" xfId="21360" xr:uid="{00000000-0005-0000-0000-0000E5010000}"/>
    <cellStyle name="Normal 3 2 2 2 2 4 2 2 2 2 3" xfId="14104" xr:uid="{00000000-0005-0000-0000-0000E6010000}"/>
    <cellStyle name="Normal 3 2 2 2 2 4 2 2 2 3" xfId="17732" xr:uid="{00000000-0005-0000-0000-0000E7010000}"/>
    <cellStyle name="Normal 3 2 2 2 2 4 2 2 2 4" xfId="10476" xr:uid="{00000000-0005-0000-0000-0000E8010000}"/>
    <cellStyle name="Normal 3 2 2 2 2 4 2 2 3" xfId="5034" xr:uid="{00000000-0005-0000-0000-0000E9010000}"/>
    <cellStyle name="Normal 3 2 2 2 2 4 2 2 3 2" xfId="19546" xr:uid="{00000000-0005-0000-0000-0000EA010000}"/>
    <cellStyle name="Normal 3 2 2 2 2 4 2 2 3 3" xfId="12290" xr:uid="{00000000-0005-0000-0000-0000EB010000}"/>
    <cellStyle name="Normal 3 2 2 2 2 4 2 2 4" xfId="15918" xr:uid="{00000000-0005-0000-0000-0000EC010000}"/>
    <cellStyle name="Normal 3 2 2 2 2 4 2 2 5" xfId="8662" xr:uid="{00000000-0005-0000-0000-0000ED010000}"/>
    <cellStyle name="Normal 3 2 2 2 2 4 2 3" xfId="2313" xr:uid="{00000000-0005-0000-0000-0000EE010000}"/>
    <cellStyle name="Normal 3 2 2 2 2 4 2 3 2" xfId="5941" xr:uid="{00000000-0005-0000-0000-0000EF010000}"/>
    <cellStyle name="Normal 3 2 2 2 2 4 2 3 2 2" xfId="20453" xr:uid="{00000000-0005-0000-0000-0000F0010000}"/>
    <cellStyle name="Normal 3 2 2 2 2 4 2 3 2 3" xfId="13197" xr:uid="{00000000-0005-0000-0000-0000F1010000}"/>
    <cellStyle name="Normal 3 2 2 2 2 4 2 3 3" xfId="16825" xr:uid="{00000000-0005-0000-0000-0000F2010000}"/>
    <cellStyle name="Normal 3 2 2 2 2 4 2 3 4" xfId="9569" xr:uid="{00000000-0005-0000-0000-0000F3010000}"/>
    <cellStyle name="Normal 3 2 2 2 2 4 2 4" xfId="4127" xr:uid="{00000000-0005-0000-0000-0000F4010000}"/>
    <cellStyle name="Normal 3 2 2 2 2 4 2 4 2" xfId="18639" xr:uid="{00000000-0005-0000-0000-0000F5010000}"/>
    <cellStyle name="Normal 3 2 2 2 2 4 2 4 3" xfId="11383" xr:uid="{00000000-0005-0000-0000-0000F6010000}"/>
    <cellStyle name="Normal 3 2 2 2 2 4 2 5" xfId="15011" xr:uid="{00000000-0005-0000-0000-0000F7010000}"/>
    <cellStyle name="Normal 3 2 2 2 2 4 2 6" xfId="7755" xr:uid="{00000000-0005-0000-0000-0000F8010000}"/>
    <cellStyle name="Normal 3 2 2 2 2 4 3" xfId="1060" xr:uid="{00000000-0005-0000-0000-0000F9010000}"/>
    <cellStyle name="Normal 3 2 2 2 2 4 3 2" xfId="2874" xr:uid="{00000000-0005-0000-0000-0000FA010000}"/>
    <cellStyle name="Normal 3 2 2 2 2 4 3 2 2" xfId="6502" xr:uid="{00000000-0005-0000-0000-0000FB010000}"/>
    <cellStyle name="Normal 3 2 2 2 2 4 3 2 2 2" xfId="21014" xr:uid="{00000000-0005-0000-0000-0000FC010000}"/>
    <cellStyle name="Normal 3 2 2 2 2 4 3 2 2 3" xfId="13758" xr:uid="{00000000-0005-0000-0000-0000FD010000}"/>
    <cellStyle name="Normal 3 2 2 2 2 4 3 2 3" xfId="17386" xr:uid="{00000000-0005-0000-0000-0000FE010000}"/>
    <cellStyle name="Normal 3 2 2 2 2 4 3 2 4" xfId="10130" xr:uid="{00000000-0005-0000-0000-0000FF010000}"/>
    <cellStyle name="Normal 3 2 2 2 2 4 3 3" xfId="4688" xr:uid="{00000000-0005-0000-0000-000000020000}"/>
    <cellStyle name="Normal 3 2 2 2 2 4 3 3 2" xfId="19200" xr:uid="{00000000-0005-0000-0000-000001020000}"/>
    <cellStyle name="Normal 3 2 2 2 2 4 3 3 3" xfId="11944" xr:uid="{00000000-0005-0000-0000-000002020000}"/>
    <cellStyle name="Normal 3 2 2 2 2 4 3 4" xfId="15572" xr:uid="{00000000-0005-0000-0000-000003020000}"/>
    <cellStyle name="Normal 3 2 2 2 2 4 3 5" xfId="8316" xr:uid="{00000000-0005-0000-0000-000004020000}"/>
    <cellStyle name="Normal 3 2 2 2 2 4 4" xfId="1967" xr:uid="{00000000-0005-0000-0000-000005020000}"/>
    <cellStyle name="Normal 3 2 2 2 2 4 4 2" xfId="5595" xr:uid="{00000000-0005-0000-0000-000006020000}"/>
    <cellStyle name="Normal 3 2 2 2 2 4 4 2 2" xfId="20107" xr:uid="{00000000-0005-0000-0000-000007020000}"/>
    <cellStyle name="Normal 3 2 2 2 2 4 4 2 3" xfId="12851" xr:uid="{00000000-0005-0000-0000-000008020000}"/>
    <cellStyle name="Normal 3 2 2 2 2 4 4 3" xfId="16479" xr:uid="{00000000-0005-0000-0000-000009020000}"/>
    <cellStyle name="Normal 3 2 2 2 2 4 4 4" xfId="9223" xr:uid="{00000000-0005-0000-0000-00000A020000}"/>
    <cellStyle name="Normal 3 2 2 2 2 4 5" xfId="3781" xr:uid="{00000000-0005-0000-0000-00000B020000}"/>
    <cellStyle name="Normal 3 2 2 2 2 4 5 2" xfId="18293" xr:uid="{00000000-0005-0000-0000-00000C020000}"/>
    <cellStyle name="Normal 3 2 2 2 2 4 5 3" xfId="11037" xr:uid="{00000000-0005-0000-0000-00000D020000}"/>
    <cellStyle name="Normal 3 2 2 2 2 4 6" xfId="14665" xr:uid="{00000000-0005-0000-0000-00000E020000}"/>
    <cellStyle name="Normal 3 2 2 2 2 4 7" xfId="7409" xr:uid="{00000000-0005-0000-0000-00000F020000}"/>
    <cellStyle name="Normal 3 2 2 2 2 5" xfId="282" xr:uid="{00000000-0005-0000-0000-000010020000}"/>
    <cellStyle name="Normal 3 2 2 2 2 5 2" xfId="628" xr:uid="{00000000-0005-0000-0000-000011020000}"/>
    <cellStyle name="Normal 3 2 2 2 2 5 2 2" xfId="1536" xr:uid="{00000000-0005-0000-0000-000012020000}"/>
    <cellStyle name="Normal 3 2 2 2 2 5 2 2 2" xfId="3350" xr:uid="{00000000-0005-0000-0000-000013020000}"/>
    <cellStyle name="Normal 3 2 2 2 2 5 2 2 2 2" xfId="6978" xr:uid="{00000000-0005-0000-0000-000014020000}"/>
    <cellStyle name="Normal 3 2 2 2 2 5 2 2 2 2 2" xfId="21490" xr:uid="{00000000-0005-0000-0000-000015020000}"/>
    <cellStyle name="Normal 3 2 2 2 2 5 2 2 2 2 3" xfId="14234" xr:uid="{00000000-0005-0000-0000-000016020000}"/>
    <cellStyle name="Normal 3 2 2 2 2 5 2 2 2 3" xfId="17862" xr:uid="{00000000-0005-0000-0000-000017020000}"/>
    <cellStyle name="Normal 3 2 2 2 2 5 2 2 2 4" xfId="10606" xr:uid="{00000000-0005-0000-0000-000018020000}"/>
    <cellStyle name="Normal 3 2 2 2 2 5 2 2 3" xfId="5164" xr:uid="{00000000-0005-0000-0000-000019020000}"/>
    <cellStyle name="Normal 3 2 2 2 2 5 2 2 3 2" xfId="19676" xr:uid="{00000000-0005-0000-0000-00001A020000}"/>
    <cellStyle name="Normal 3 2 2 2 2 5 2 2 3 3" xfId="12420" xr:uid="{00000000-0005-0000-0000-00001B020000}"/>
    <cellStyle name="Normal 3 2 2 2 2 5 2 2 4" xfId="16048" xr:uid="{00000000-0005-0000-0000-00001C020000}"/>
    <cellStyle name="Normal 3 2 2 2 2 5 2 2 5" xfId="8792" xr:uid="{00000000-0005-0000-0000-00001D020000}"/>
    <cellStyle name="Normal 3 2 2 2 2 5 2 3" xfId="2443" xr:uid="{00000000-0005-0000-0000-00001E020000}"/>
    <cellStyle name="Normal 3 2 2 2 2 5 2 3 2" xfId="6071" xr:uid="{00000000-0005-0000-0000-00001F020000}"/>
    <cellStyle name="Normal 3 2 2 2 2 5 2 3 2 2" xfId="20583" xr:uid="{00000000-0005-0000-0000-000020020000}"/>
    <cellStyle name="Normal 3 2 2 2 2 5 2 3 2 3" xfId="13327" xr:uid="{00000000-0005-0000-0000-000021020000}"/>
    <cellStyle name="Normal 3 2 2 2 2 5 2 3 3" xfId="16955" xr:uid="{00000000-0005-0000-0000-000022020000}"/>
    <cellStyle name="Normal 3 2 2 2 2 5 2 3 4" xfId="9699" xr:uid="{00000000-0005-0000-0000-000023020000}"/>
    <cellStyle name="Normal 3 2 2 2 2 5 2 4" xfId="4257" xr:uid="{00000000-0005-0000-0000-000024020000}"/>
    <cellStyle name="Normal 3 2 2 2 2 5 2 4 2" xfId="18769" xr:uid="{00000000-0005-0000-0000-000025020000}"/>
    <cellStyle name="Normal 3 2 2 2 2 5 2 4 3" xfId="11513" xr:uid="{00000000-0005-0000-0000-000026020000}"/>
    <cellStyle name="Normal 3 2 2 2 2 5 2 5" xfId="15141" xr:uid="{00000000-0005-0000-0000-000027020000}"/>
    <cellStyle name="Normal 3 2 2 2 2 5 2 6" xfId="7885" xr:uid="{00000000-0005-0000-0000-000028020000}"/>
    <cellStyle name="Normal 3 2 2 2 2 5 3" xfId="1190" xr:uid="{00000000-0005-0000-0000-000029020000}"/>
    <cellStyle name="Normal 3 2 2 2 2 5 3 2" xfId="3004" xr:uid="{00000000-0005-0000-0000-00002A020000}"/>
    <cellStyle name="Normal 3 2 2 2 2 5 3 2 2" xfId="6632" xr:uid="{00000000-0005-0000-0000-00002B020000}"/>
    <cellStyle name="Normal 3 2 2 2 2 5 3 2 2 2" xfId="21144" xr:uid="{00000000-0005-0000-0000-00002C020000}"/>
    <cellStyle name="Normal 3 2 2 2 2 5 3 2 2 3" xfId="13888" xr:uid="{00000000-0005-0000-0000-00002D020000}"/>
    <cellStyle name="Normal 3 2 2 2 2 5 3 2 3" xfId="17516" xr:uid="{00000000-0005-0000-0000-00002E020000}"/>
    <cellStyle name="Normal 3 2 2 2 2 5 3 2 4" xfId="10260" xr:uid="{00000000-0005-0000-0000-00002F020000}"/>
    <cellStyle name="Normal 3 2 2 2 2 5 3 3" xfId="4818" xr:uid="{00000000-0005-0000-0000-000030020000}"/>
    <cellStyle name="Normal 3 2 2 2 2 5 3 3 2" xfId="19330" xr:uid="{00000000-0005-0000-0000-000031020000}"/>
    <cellStyle name="Normal 3 2 2 2 2 5 3 3 3" xfId="12074" xr:uid="{00000000-0005-0000-0000-000032020000}"/>
    <cellStyle name="Normal 3 2 2 2 2 5 3 4" xfId="15702" xr:uid="{00000000-0005-0000-0000-000033020000}"/>
    <cellStyle name="Normal 3 2 2 2 2 5 3 5" xfId="8446" xr:uid="{00000000-0005-0000-0000-000034020000}"/>
    <cellStyle name="Normal 3 2 2 2 2 5 4" xfId="2097" xr:uid="{00000000-0005-0000-0000-000035020000}"/>
    <cellStyle name="Normal 3 2 2 2 2 5 4 2" xfId="5725" xr:uid="{00000000-0005-0000-0000-000036020000}"/>
    <cellStyle name="Normal 3 2 2 2 2 5 4 2 2" xfId="20237" xr:uid="{00000000-0005-0000-0000-000037020000}"/>
    <cellStyle name="Normal 3 2 2 2 2 5 4 2 3" xfId="12981" xr:uid="{00000000-0005-0000-0000-000038020000}"/>
    <cellStyle name="Normal 3 2 2 2 2 5 4 3" xfId="16609" xr:uid="{00000000-0005-0000-0000-000039020000}"/>
    <cellStyle name="Normal 3 2 2 2 2 5 4 4" xfId="9353" xr:uid="{00000000-0005-0000-0000-00003A020000}"/>
    <cellStyle name="Normal 3 2 2 2 2 5 5" xfId="3911" xr:uid="{00000000-0005-0000-0000-00003B020000}"/>
    <cellStyle name="Normal 3 2 2 2 2 5 5 2" xfId="18423" xr:uid="{00000000-0005-0000-0000-00003C020000}"/>
    <cellStyle name="Normal 3 2 2 2 2 5 5 3" xfId="11167" xr:uid="{00000000-0005-0000-0000-00003D020000}"/>
    <cellStyle name="Normal 3 2 2 2 2 5 6" xfId="14795" xr:uid="{00000000-0005-0000-0000-00003E020000}"/>
    <cellStyle name="Normal 3 2 2 2 2 5 7" xfId="7539" xr:uid="{00000000-0005-0000-0000-00003F020000}"/>
    <cellStyle name="Normal 3 2 2 2 2 6" xfId="758" xr:uid="{00000000-0005-0000-0000-000040020000}"/>
    <cellStyle name="Normal 3 2 2 2 2 6 2" xfId="1666" xr:uid="{00000000-0005-0000-0000-000041020000}"/>
    <cellStyle name="Normal 3 2 2 2 2 6 2 2" xfId="3480" xr:uid="{00000000-0005-0000-0000-000042020000}"/>
    <cellStyle name="Normal 3 2 2 2 2 6 2 2 2" xfId="7108" xr:uid="{00000000-0005-0000-0000-000043020000}"/>
    <cellStyle name="Normal 3 2 2 2 2 6 2 2 2 2" xfId="21620" xr:uid="{00000000-0005-0000-0000-000044020000}"/>
    <cellStyle name="Normal 3 2 2 2 2 6 2 2 2 3" xfId="14364" xr:uid="{00000000-0005-0000-0000-000045020000}"/>
    <cellStyle name="Normal 3 2 2 2 2 6 2 2 3" xfId="17992" xr:uid="{00000000-0005-0000-0000-000046020000}"/>
    <cellStyle name="Normal 3 2 2 2 2 6 2 2 4" xfId="10736" xr:uid="{00000000-0005-0000-0000-000047020000}"/>
    <cellStyle name="Normal 3 2 2 2 2 6 2 3" xfId="5294" xr:uid="{00000000-0005-0000-0000-000048020000}"/>
    <cellStyle name="Normal 3 2 2 2 2 6 2 3 2" xfId="19806" xr:uid="{00000000-0005-0000-0000-000049020000}"/>
    <cellStyle name="Normal 3 2 2 2 2 6 2 3 3" xfId="12550" xr:uid="{00000000-0005-0000-0000-00004A020000}"/>
    <cellStyle name="Normal 3 2 2 2 2 6 2 4" xfId="16178" xr:uid="{00000000-0005-0000-0000-00004B020000}"/>
    <cellStyle name="Normal 3 2 2 2 2 6 2 5" xfId="8922" xr:uid="{00000000-0005-0000-0000-00004C020000}"/>
    <cellStyle name="Normal 3 2 2 2 2 6 3" xfId="2573" xr:uid="{00000000-0005-0000-0000-00004D020000}"/>
    <cellStyle name="Normal 3 2 2 2 2 6 3 2" xfId="6201" xr:uid="{00000000-0005-0000-0000-00004E020000}"/>
    <cellStyle name="Normal 3 2 2 2 2 6 3 2 2" xfId="20713" xr:uid="{00000000-0005-0000-0000-00004F020000}"/>
    <cellStyle name="Normal 3 2 2 2 2 6 3 2 3" xfId="13457" xr:uid="{00000000-0005-0000-0000-000050020000}"/>
    <cellStyle name="Normal 3 2 2 2 2 6 3 3" xfId="17085" xr:uid="{00000000-0005-0000-0000-000051020000}"/>
    <cellStyle name="Normal 3 2 2 2 2 6 3 4" xfId="9829" xr:uid="{00000000-0005-0000-0000-000052020000}"/>
    <cellStyle name="Normal 3 2 2 2 2 6 4" xfId="4387" xr:uid="{00000000-0005-0000-0000-000053020000}"/>
    <cellStyle name="Normal 3 2 2 2 2 6 4 2" xfId="18899" xr:uid="{00000000-0005-0000-0000-000054020000}"/>
    <cellStyle name="Normal 3 2 2 2 2 6 4 3" xfId="11643" xr:uid="{00000000-0005-0000-0000-000055020000}"/>
    <cellStyle name="Normal 3 2 2 2 2 6 5" xfId="15271" xr:uid="{00000000-0005-0000-0000-000056020000}"/>
    <cellStyle name="Normal 3 2 2 2 2 6 6" xfId="8015" xr:uid="{00000000-0005-0000-0000-000057020000}"/>
    <cellStyle name="Normal 3 2 2 2 2 7" xfId="412" xr:uid="{00000000-0005-0000-0000-000058020000}"/>
    <cellStyle name="Normal 3 2 2 2 2 7 2" xfId="1320" xr:uid="{00000000-0005-0000-0000-000059020000}"/>
    <cellStyle name="Normal 3 2 2 2 2 7 2 2" xfId="3134" xr:uid="{00000000-0005-0000-0000-00005A020000}"/>
    <cellStyle name="Normal 3 2 2 2 2 7 2 2 2" xfId="6762" xr:uid="{00000000-0005-0000-0000-00005B020000}"/>
    <cellStyle name="Normal 3 2 2 2 2 7 2 2 2 2" xfId="21274" xr:uid="{00000000-0005-0000-0000-00005C020000}"/>
    <cellStyle name="Normal 3 2 2 2 2 7 2 2 2 3" xfId="14018" xr:uid="{00000000-0005-0000-0000-00005D020000}"/>
    <cellStyle name="Normal 3 2 2 2 2 7 2 2 3" xfId="17646" xr:uid="{00000000-0005-0000-0000-00005E020000}"/>
    <cellStyle name="Normal 3 2 2 2 2 7 2 2 4" xfId="10390" xr:uid="{00000000-0005-0000-0000-00005F020000}"/>
    <cellStyle name="Normal 3 2 2 2 2 7 2 3" xfId="4948" xr:uid="{00000000-0005-0000-0000-000060020000}"/>
    <cellStyle name="Normal 3 2 2 2 2 7 2 3 2" xfId="19460" xr:uid="{00000000-0005-0000-0000-000061020000}"/>
    <cellStyle name="Normal 3 2 2 2 2 7 2 3 3" xfId="12204" xr:uid="{00000000-0005-0000-0000-000062020000}"/>
    <cellStyle name="Normal 3 2 2 2 2 7 2 4" xfId="15832" xr:uid="{00000000-0005-0000-0000-000063020000}"/>
    <cellStyle name="Normal 3 2 2 2 2 7 2 5" xfId="8576" xr:uid="{00000000-0005-0000-0000-000064020000}"/>
    <cellStyle name="Normal 3 2 2 2 2 7 3" xfId="2227" xr:uid="{00000000-0005-0000-0000-000065020000}"/>
    <cellStyle name="Normal 3 2 2 2 2 7 3 2" xfId="5855" xr:uid="{00000000-0005-0000-0000-000066020000}"/>
    <cellStyle name="Normal 3 2 2 2 2 7 3 2 2" xfId="20367" xr:uid="{00000000-0005-0000-0000-000067020000}"/>
    <cellStyle name="Normal 3 2 2 2 2 7 3 2 3" xfId="13111" xr:uid="{00000000-0005-0000-0000-000068020000}"/>
    <cellStyle name="Normal 3 2 2 2 2 7 3 3" xfId="16739" xr:uid="{00000000-0005-0000-0000-000069020000}"/>
    <cellStyle name="Normal 3 2 2 2 2 7 3 4" xfId="9483" xr:uid="{00000000-0005-0000-0000-00006A020000}"/>
    <cellStyle name="Normal 3 2 2 2 2 7 4" xfId="4041" xr:uid="{00000000-0005-0000-0000-00006B020000}"/>
    <cellStyle name="Normal 3 2 2 2 2 7 4 2" xfId="18553" xr:uid="{00000000-0005-0000-0000-00006C020000}"/>
    <cellStyle name="Normal 3 2 2 2 2 7 4 3" xfId="11297" xr:uid="{00000000-0005-0000-0000-00006D020000}"/>
    <cellStyle name="Normal 3 2 2 2 2 7 5" xfId="14925" xr:uid="{00000000-0005-0000-0000-00006E020000}"/>
    <cellStyle name="Normal 3 2 2 2 2 7 6" xfId="7669" xr:uid="{00000000-0005-0000-0000-00006F020000}"/>
    <cellStyle name="Normal 3 2 2 2 2 8" xfId="871" xr:uid="{00000000-0005-0000-0000-000070020000}"/>
    <cellStyle name="Normal 3 2 2 2 2 8 2" xfId="1779" xr:uid="{00000000-0005-0000-0000-000071020000}"/>
    <cellStyle name="Normal 3 2 2 2 2 8 2 2" xfId="3593" xr:uid="{00000000-0005-0000-0000-000072020000}"/>
    <cellStyle name="Normal 3 2 2 2 2 8 2 2 2" xfId="7221" xr:uid="{00000000-0005-0000-0000-000073020000}"/>
    <cellStyle name="Normal 3 2 2 2 2 8 2 2 2 2" xfId="21733" xr:uid="{00000000-0005-0000-0000-000074020000}"/>
    <cellStyle name="Normal 3 2 2 2 2 8 2 2 2 3" xfId="14477" xr:uid="{00000000-0005-0000-0000-000075020000}"/>
    <cellStyle name="Normal 3 2 2 2 2 8 2 2 3" xfId="18105" xr:uid="{00000000-0005-0000-0000-000076020000}"/>
    <cellStyle name="Normal 3 2 2 2 2 8 2 2 4" xfId="10849" xr:uid="{00000000-0005-0000-0000-000077020000}"/>
    <cellStyle name="Normal 3 2 2 2 2 8 2 3" xfId="5407" xr:uid="{00000000-0005-0000-0000-000078020000}"/>
    <cellStyle name="Normal 3 2 2 2 2 8 2 3 2" xfId="19919" xr:uid="{00000000-0005-0000-0000-000079020000}"/>
    <cellStyle name="Normal 3 2 2 2 2 8 2 3 3" xfId="12663" xr:uid="{00000000-0005-0000-0000-00007A020000}"/>
    <cellStyle name="Normal 3 2 2 2 2 8 2 4" xfId="16291" xr:uid="{00000000-0005-0000-0000-00007B020000}"/>
    <cellStyle name="Normal 3 2 2 2 2 8 2 5" xfId="9035" xr:uid="{00000000-0005-0000-0000-00007C020000}"/>
    <cellStyle name="Normal 3 2 2 2 2 8 3" xfId="2686" xr:uid="{00000000-0005-0000-0000-00007D020000}"/>
    <cellStyle name="Normal 3 2 2 2 2 8 3 2" xfId="6314" xr:uid="{00000000-0005-0000-0000-00007E020000}"/>
    <cellStyle name="Normal 3 2 2 2 2 8 3 2 2" xfId="20826" xr:uid="{00000000-0005-0000-0000-00007F020000}"/>
    <cellStyle name="Normal 3 2 2 2 2 8 3 2 3" xfId="13570" xr:uid="{00000000-0005-0000-0000-000080020000}"/>
    <cellStyle name="Normal 3 2 2 2 2 8 3 3" xfId="17198" xr:uid="{00000000-0005-0000-0000-000081020000}"/>
    <cellStyle name="Normal 3 2 2 2 2 8 3 4" xfId="9942" xr:uid="{00000000-0005-0000-0000-000082020000}"/>
    <cellStyle name="Normal 3 2 2 2 2 8 4" xfId="4500" xr:uid="{00000000-0005-0000-0000-000083020000}"/>
    <cellStyle name="Normal 3 2 2 2 2 8 4 2" xfId="19012" xr:uid="{00000000-0005-0000-0000-000084020000}"/>
    <cellStyle name="Normal 3 2 2 2 2 8 4 3" xfId="11756" xr:uid="{00000000-0005-0000-0000-000085020000}"/>
    <cellStyle name="Normal 3 2 2 2 2 8 5" xfId="15384" xr:uid="{00000000-0005-0000-0000-000086020000}"/>
    <cellStyle name="Normal 3 2 2 2 2 8 6" xfId="8128" xr:uid="{00000000-0005-0000-0000-000087020000}"/>
    <cellStyle name="Normal 3 2 2 2 2 9" xfId="974" xr:uid="{00000000-0005-0000-0000-000088020000}"/>
    <cellStyle name="Normal 3 2 2 2 2 9 2" xfId="2788" xr:uid="{00000000-0005-0000-0000-000089020000}"/>
    <cellStyle name="Normal 3 2 2 2 2 9 2 2" xfId="6416" xr:uid="{00000000-0005-0000-0000-00008A020000}"/>
    <cellStyle name="Normal 3 2 2 2 2 9 2 2 2" xfId="20928" xr:uid="{00000000-0005-0000-0000-00008B020000}"/>
    <cellStyle name="Normal 3 2 2 2 2 9 2 2 3" xfId="13672" xr:uid="{00000000-0005-0000-0000-00008C020000}"/>
    <cellStyle name="Normal 3 2 2 2 2 9 2 3" xfId="17300" xr:uid="{00000000-0005-0000-0000-00008D020000}"/>
    <cellStyle name="Normal 3 2 2 2 2 9 2 4" xfId="10044" xr:uid="{00000000-0005-0000-0000-00008E020000}"/>
    <cellStyle name="Normal 3 2 2 2 2 9 3" xfId="4602" xr:uid="{00000000-0005-0000-0000-00008F020000}"/>
    <cellStyle name="Normal 3 2 2 2 2 9 3 2" xfId="19114" xr:uid="{00000000-0005-0000-0000-000090020000}"/>
    <cellStyle name="Normal 3 2 2 2 2 9 3 3" xfId="11858" xr:uid="{00000000-0005-0000-0000-000091020000}"/>
    <cellStyle name="Normal 3 2 2 2 2 9 4" xfId="15486" xr:uid="{00000000-0005-0000-0000-000092020000}"/>
    <cellStyle name="Normal 3 2 2 2 2 9 5" xfId="8230" xr:uid="{00000000-0005-0000-0000-000093020000}"/>
    <cellStyle name="Normal 3 2 2 2 3" xfId="85" xr:uid="{00000000-0005-0000-0000-000094020000}"/>
    <cellStyle name="Normal 3 2 2 2 3 10" xfId="14600" xr:uid="{00000000-0005-0000-0000-000095020000}"/>
    <cellStyle name="Normal 3 2 2 2 3 11" xfId="7344" xr:uid="{00000000-0005-0000-0000-000096020000}"/>
    <cellStyle name="Normal 3 2 2 2 3 2" xfId="173" xr:uid="{00000000-0005-0000-0000-000097020000}"/>
    <cellStyle name="Normal 3 2 2 2 3 2 2" xfId="519" xr:uid="{00000000-0005-0000-0000-000098020000}"/>
    <cellStyle name="Normal 3 2 2 2 3 2 2 2" xfId="1427" xr:uid="{00000000-0005-0000-0000-000099020000}"/>
    <cellStyle name="Normal 3 2 2 2 3 2 2 2 2" xfId="3241" xr:uid="{00000000-0005-0000-0000-00009A020000}"/>
    <cellStyle name="Normal 3 2 2 2 3 2 2 2 2 2" xfId="6869" xr:uid="{00000000-0005-0000-0000-00009B020000}"/>
    <cellStyle name="Normal 3 2 2 2 3 2 2 2 2 2 2" xfId="21381" xr:uid="{00000000-0005-0000-0000-00009C020000}"/>
    <cellStyle name="Normal 3 2 2 2 3 2 2 2 2 2 3" xfId="14125" xr:uid="{00000000-0005-0000-0000-00009D020000}"/>
    <cellStyle name="Normal 3 2 2 2 3 2 2 2 2 3" xfId="17753" xr:uid="{00000000-0005-0000-0000-00009E020000}"/>
    <cellStyle name="Normal 3 2 2 2 3 2 2 2 2 4" xfId="10497" xr:uid="{00000000-0005-0000-0000-00009F020000}"/>
    <cellStyle name="Normal 3 2 2 2 3 2 2 2 3" xfId="5055" xr:uid="{00000000-0005-0000-0000-0000A0020000}"/>
    <cellStyle name="Normal 3 2 2 2 3 2 2 2 3 2" xfId="19567" xr:uid="{00000000-0005-0000-0000-0000A1020000}"/>
    <cellStyle name="Normal 3 2 2 2 3 2 2 2 3 3" xfId="12311" xr:uid="{00000000-0005-0000-0000-0000A2020000}"/>
    <cellStyle name="Normal 3 2 2 2 3 2 2 2 4" xfId="15939" xr:uid="{00000000-0005-0000-0000-0000A3020000}"/>
    <cellStyle name="Normal 3 2 2 2 3 2 2 2 5" xfId="8683" xr:uid="{00000000-0005-0000-0000-0000A4020000}"/>
    <cellStyle name="Normal 3 2 2 2 3 2 2 3" xfId="2334" xr:uid="{00000000-0005-0000-0000-0000A5020000}"/>
    <cellStyle name="Normal 3 2 2 2 3 2 2 3 2" xfId="5962" xr:uid="{00000000-0005-0000-0000-0000A6020000}"/>
    <cellStyle name="Normal 3 2 2 2 3 2 2 3 2 2" xfId="20474" xr:uid="{00000000-0005-0000-0000-0000A7020000}"/>
    <cellStyle name="Normal 3 2 2 2 3 2 2 3 2 3" xfId="13218" xr:uid="{00000000-0005-0000-0000-0000A8020000}"/>
    <cellStyle name="Normal 3 2 2 2 3 2 2 3 3" xfId="16846" xr:uid="{00000000-0005-0000-0000-0000A9020000}"/>
    <cellStyle name="Normal 3 2 2 2 3 2 2 3 4" xfId="9590" xr:uid="{00000000-0005-0000-0000-0000AA020000}"/>
    <cellStyle name="Normal 3 2 2 2 3 2 2 4" xfId="4148" xr:uid="{00000000-0005-0000-0000-0000AB020000}"/>
    <cellStyle name="Normal 3 2 2 2 3 2 2 4 2" xfId="18660" xr:uid="{00000000-0005-0000-0000-0000AC020000}"/>
    <cellStyle name="Normal 3 2 2 2 3 2 2 4 3" xfId="11404" xr:uid="{00000000-0005-0000-0000-0000AD020000}"/>
    <cellStyle name="Normal 3 2 2 2 3 2 2 5" xfId="15032" xr:uid="{00000000-0005-0000-0000-0000AE020000}"/>
    <cellStyle name="Normal 3 2 2 2 3 2 2 6" xfId="7776" xr:uid="{00000000-0005-0000-0000-0000AF020000}"/>
    <cellStyle name="Normal 3 2 2 2 3 2 3" xfId="1081" xr:uid="{00000000-0005-0000-0000-0000B0020000}"/>
    <cellStyle name="Normal 3 2 2 2 3 2 3 2" xfId="2895" xr:uid="{00000000-0005-0000-0000-0000B1020000}"/>
    <cellStyle name="Normal 3 2 2 2 3 2 3 2 2" xfId="6523" xr:uid="{00000000-0005-0000-0000-0000B2020000}"/>
    <cellStyle name="Normal 3 2 2 2 3 2 3 2 2 2" xfId="21035" xr:uid="{00000000-0005-0000-0000-0000B3020000}"/>
    <cellStyle name="Normal 3 2 2 2 3 2 3 2 2 3" xfId="13779" xr:uid="{00000000-0005-0000-0000-0000B4020000}"/>
    <cellStyle name="Normal 3 2 2 2 3 2 3 2 3" xfId="17407" xr:uid="{00000000-0005-0000-0000-0000B5020000}"/>
    <cellStyle name="Normal 3 2 2 2 3 2 3 2 4" xfId="10151" xr:uid="{00000000-0005-0000-0000-0000B6020000}"/>
    <cellStyle name="Normal 3 2 2 2 3 2 3 3" xfId="4709" xr:uid="{00000000-0005-0000-0000-0000B7020000}"/>
    <cellStyle name="Normal 3 2 2 2 3 2 3 3 2" xfId="19221" xr:uid="{00000000-0005-0000-0000-0000B8020000}"/>
    <cellStyle name="Normal 3 2 2 2 3 2 3 3 3" xfId="11965" xr:uid="{00000000-0005-0000-0000-0000B9020000}"/>
    <cellStyle name="Normal 3 2 2 2 3 2 3 4" xfId="15593" xr:uid="{00000000-0005-0000-0000-0000BA020000}"/>
    <cellStyle name="Normal 3 2 2 2 3 2 3 5" xfId="8337" xr:uid="{00000000-0005-0000-0000-0000BB020000}"/>
    <cellStyle name="Normal 3 2 2 2 3 2 4" xfId="1988" xr:uid="{00000000-0005-0000-0000-0000BC020000}"/>
    <cellStyle name="Normal 3 2 2 2 3 2 4 2" xfId="5616" xr:uid="{00000000-0005-0000-0000-0000BD020000}"/>
    <cellStyle name="Normal 3 2 2 2 3 2 4 2 2" xfId="20128" xr:uid="{00000000-0005-0000-0000-0000BE020000}"/>
    <cellStyle name="Normal 3 2 2 2 3 2 4 2 3" xfId="12872" xr:uid="{00000000-0005-0000-0000-0000BF020000}"/>
    <cellStyle name="Normal 3 2 2 2 3 2 4 3" xfId="16500" xr:uid="{00000000-0005-0000-0000-0000C0020000}"/>
    <cellStyle name="Normal 3 2 2 2 3 2 4 4" xfId="9244" xr:uid="{00000000-0005-0000-0000-0000C1020000}"/>
    <cellStyle name="Normal 3 2 2 2 3 2 5" xfId="3802" xr:uid="{00000000-0005-0000-0000-0000C2020000}"/>
    <cellStyle name="Normal 3 2 2 2 3 2 5 2" xfId="18314" xr:uid="{00000000-0005-0000-0000-0000C3020000}"/>
    <cellStyle name="Normal 3 2 2 2 3 2 5 3" xfId="11058" xr:uid="{00000000-0005-0000-0000-0000C4020000}"/>
    <cellStyle name="Normal 3 2 2 2 3 2 6" xfId="14686" xr:uid="{00000000-0005-0000-0000-0000C5020000}"/>
    <cellStyle name="Normal 3 2 2 2 3 2 7" xfId="7430" xr:uid="{00000000-0005-0000-0000-0000C6020000}"/>
    <cellStyle name="Normal 3 2 2 2 3 3" xfId="303" xr:uid="{00000000-0005-0000-0000-0000C7020000}"/>
    <cellStyle name="Normal 3 2 2 2 3 3 2" xfId="649" xr:uid="{00000000-0005-0000-0000-0000C8020000}"/>
    <cellStyle name="Normal 3 2 2 2 3 3 2 2" xfId="1557" xr:uid="{00000000-0005-0000-0000-0000C9020000}"/>
    <cellStyle name="Normal 3 2 2 2 3 3 2 2 2" xfId="3371" xr:uid="{00000000-0005-0000-0000-0000CA020000}"/>
    <cellStyle name="Normal 3 2 2 2 3 3 2 2 2 2" xfId="6999" xr:uid="{00000000-0005-0000-0000-0000CB020000}"/>
    <cellStyle name="Normal 3 2 2 2 3 3 2 2 2 2 2" xfId="21511" xr:uid="{00000000-0005-0000-0000-0000CC020000}"/>
    <cellStyle name="Normal 3 2 2 2 3 3 2 2 2 2 3" xfId="14255" xr:uid="{00000000-0005-0000-0000-0000CD020000}"/>
    <cellStyle name="Normal 3 2 2 2 3 3 2 2 2 3" xfId="17883" xr:uid="{00000000-0005-0000-0000-0000CE020000}"/>
    <cellStyle name="Normal 3 2 2 2 3 3 2 2 2 4" xfId="10627" xr:uid="{00000000-0005-0000-0000-0000CF020000}"/>
    <cellStyle name="Normal 3 2 2 2 3 3 2 2 3" xfId="5185" xr:uid="{00000000-0005-0000-0000-0000D0020000}"/>
    <cellStyle name="Normal 3 2 2 2 3 3 2 2 3 2" xfId="19697" xr:uid="{00000000-0005-0000-0000-0000D1020000}"/>
    <cellStyle name="Normal 3 2 2 2 3 3 2 2 3 3" xfId="12441" xr:uid="{00000000-0005-0000-0000-0000D2020000}"/>
    <cellStyle name="Normal 3 2 2 2 3 3 2 2 4" xfId="16069" xr:uid="{00000000-0005-0000-0000-0000D3020000}"/>
    <cellStyle name="Normal 3 2 2 2 3 3 2 2 5" xfId="8813" xr:uid="{00000000-0005-0000-0000-0000D4020000}"/>
    <cellStyle name="Normal 3 2 2 2 3 3 2 3" xfId="2464" xr:uid="{00000000-0005-0000-0000-0000D5020000}"/>
    <cellStyle name="Normal 3 2 2 2 3 3 2 3 2" xfId="6092" xr:uid="{00000000-0005-0000-0000-0000D6020000}"/>
    <cellStyle name="Normal 3 2 2 2 3 3 2 3 2 2" xfId="20604" xr:uid="{00000000-0005-0000-0000-0000D7020000}"/>
    <cellStyle name="Normal 3 2 2 2 3 3 2 3 2 3" xfId="13348" xr:uid="{00000000-0005-0000-0000-0000D8020000}"/>
    <cellStyle name="Normal 3 2 2 2 3 3 2 3 3" xfId="16976" xr:uid="{00000000-0005-0000-0000-0000D9020000}"/>
    <cellStyle name="Normal 3 2 2 2 3 3 2 3 4" xfId="9720" xr:uid="{00000000-0005-0000-0000-0000DA020000}"/>
    <cellStyle name="Normal 3 2 2 2 3 3 2 4" xfId="4278" xr:uid="{00000000-0005-0000-0000-0000DB020000}"/>
    <cellStyle name="Normal 3 2 2 2 3 3 2 4 2" xfId="18790" xr:uid="{00000000-0005-0000-0000-0000DC020000}"/>
    <cellStyle name="Normal 3 2 2 2 3 3 2 4 3" xfId="11534" xr:uid="{00000000-0005-0000-0000-0000DD020000}"/>
    <cellStyle name="Normal 3 2 2 2 3 3 2 5" xfId="15162" xr:uid="{00000000-0005-0000-0000-0000DE020000}"/>
    <cellStyle name="Normal 3 2 2 2 3 3 2 6" xfId="7906" xr:uid="{00000000-0005-0000-0000-0000DF020000}"/>
    <cellStyle name="Normal 3 2 2 2 3 3 3" xfId="1211" xr:uid="{00000000-0005-0000-0000-0000E0020000}"/>
    <cellStyle name="Normal 3 2 2 2 3 3 3 2" xfId="3025" xr:uid="{00000000-0005-0000-0000-0000E1020000}"/>
    <cellStyle name="Normal 3 2 2 2 3 3 3 2 2" xfId="6653" xr:uid="{00000000-0005-0000-0000-0000E2020000}"/>
    <cellStyle name="Normal 3 2 2 2 3 3 3 2 2 2" xfId="21165" xr:uid="{00000000-0005-0000-0000-0000E3020000}"/>
    <cellStyle name="Normal 3 2 2 2 3 3 3 2 2 3" xfId="13909" xr:uid="{00000000-0005-0000-0000-0000E4020000}"/>
    <cellStyle name="Normal 3 2 2 2 3 3 3 2 3" xfId="17537" xr:uid="{00000000-0005-0000-0000-0000E5020000}"/>
    <cellStyle name="Normal 3 2 2 2 3 3 3 2 4" xfId="10281" xr:uid="{00000000-0005-0000-0000-0000E6020000}"/>
    <cellStyle name="Normal 3 2 2 2 3 3 3 3" xfId="4839" xr:uid="{00000000-0005-0000-0000-0000E7020000}"/>
    <cellStyle name="Normal 3 2 2 2 3 3 3 3 2" xfId="19351" xr:uid="{00000000-0005-0000-0000-0000E8020000}"/>
    <cellStyle name="Normal 3 2 2 2 3 3 3 3 3" xfId="12095" xr:uid="{00000000-0005-0000-0000-0000E9020000}"/>
    <cellStyle name="Normal 3 2 2 2 3 3 3 4" xfId="15723" xr:uid="{00000000-0005-0000-0000-0000EA020000}"/>
    <cellStyle name="Normal 3 2 2 2 3 3 3 5" xfId="8467" xr:uid="{00000000-0005-0000-0000-0000EB020000}"/>
    <cellStyle name="Normal 3 2 2 2 3 3 4" xfId="2118" xr:uid="{00000000-0005-0000-0000-0000EC020000}"/>
    <cellStyle name="Normal 3 2 2 2 3 3 4 2" xfId="5746" xr:uid="{00000000-0005-0000-0000-0000ED020000}"/>
    <cellStyle name="Normal 3 2 2 2 3 3 4 2 2" xfId="20258" xr:uid="{00000000-0005-0000-0000-0000EE020000}"/>
    <cellStyle name="Normal 3 2 2 2 3 3 4 2 3" xfId="13002" xr:uid="{00000000-0005-0000-0000-0000EF020000}"/>
    <cellStyle name="Normal 3 2 2 2 3 3 4 3" xfId="16630" xr:uid="{00000000-0005-0000-0000-0000F0020000}"/>
    <cellStyle name="Normal 3 2 2 2 3 3 4 4" xfId="9374" xr:uid="{00000000-0005-0000-0000-0000F1020000}"/>
    <cellStyle name="Normal 3 2 2 2 3 3 5" xfId="3932" xr:uid="{00000000-0005-0000-0000-0000F2020000}"/>
    <cellStyle name="Normal 3 2 2 2 3 3 5 2" xfId="18444" xr:uid="{00000000-0005-0000-0000-0000F3020000}"/>
    <cellStyle name="Normal 3 2 2 2 3 3 5 3" xfId="11188" xr:uid="{00000000-0005-0000-0000-0000F4020000}"/>
    <cellStyle name="Normal 3 2 2 2 3 3 6" xfId="14816" xr:uid="{00000000-0005-0000-0000-0000F5020000}"/>
    <cellStyle name="Normal 3 2 2 2 3 3 7" xfId="7560" xr:uid="{00000000-0005-0000-0000-0000F6020000}"/>
    <cellStyle name="Normal 3 2 2 2 3 4" xfId="779" xr:uid="{00000000-0005-0000-0000-0000F7020000}"/>
    <cellStyle name="Normal 3 2 2 2 3 4 2" xfId="1687" xr:uid="{00000000-0005-0000-0000-0000F8020000}"/>
    <cellStyle name="Normal 3 2 2 2 3 4 2 2" xfId="3501" xr:uid="{00000000-0005-0000-0000-0000F9020000}"/>
    <cellStyle name="Normal 3 2 2 2 3 4 2 2 2" xfId="7129" xr:uid="{00000000-0005-0000-0000-0000FA020000}"/>
    <cellStyle name="Normal 3 2 2 2 3 4 2 2 2 2" xfId="21641" xr:uid="{00000000-0005-0000-0000-0000FB020000}"/>
    <cellStyle name="Normal 3 2 2 2 3 4 2 2 2 3" xfId="14385" xr:uid="{00000000-0005-0000-0000-0000FC020000}"/>
    <cellStyle name="Normal 3 2 2 2 3 4 2 2 3" xfId="18013" xr:uid="{00000000-0005-0000-0000-0000FD020000}"/>
    <cellStyle name="Normal 3 2 2 2 3 4 2 2 4" xfId="10757" xr:uid="{00000000-0005-0000-0000-0000FE020000}"/>
    <cellStyle name="Normal 3 2 2 2 3 4 2 3" xfId="5315" xr:uid="{00000000-0005-0000-0000-0000FF020000}"/>
    <cellStyle name="Normal 3 2 2 2 3 4 2 3 2" xfId="19827" xr:uid="{00000000-0005-0000-0000-000000030000}"/>
    <cellStyle name="Normal 3 2 2 2 3 4 2 3 3" xfId="12571" xr:uid="{00000000-0005-0000-0000-000001030000}"/>
    <cellStyle name="Normal 3 2 2 2 3 4 2 4" xfId="16199" xr:uid="{00000000-0005-0000-0000-000002030000}"/>
    <cellStyle name="Normal 3 2 2 2 3 4 2 5" xfId="8943" xr:uid="{00000000-0005-0000-0000-000003030000}"/>
    <cellStyle name="Normal 3 2 2 2 3 4 3" xfId="2594" xr:uid="{00000000-0005-0000-0000-000004030000}"/>
    <cellStyle name="Normal 3 2 2 2 3 4 3 2" xfId="6222" xr:uid="{00000000-0005-0000-0000-000005030000}"/>
    <cellStyle name="Normal 3 2 2 2 3 4 3 2 2" xfId="20734" xr:uid="{00000000-0005-0000-0000-000006030000}"/>
    <cellStyle name="Normal 3 2 2 2 3 4 3 2 3" xfId="13478" xr:uid="{00000000-0005-0000-0000-000007030000}"/>
    <cellStyle name="Normal 3 2 2 2 3 4 3 3" xfId="17106" xr:uid="{00000000-0005-0000-0000-000008030000}"/>
    <cellStyle name="Normal 3 2 2 2 3 4 3 4" xfId="9850" xr:uid="{00000000-0005-0000-0000-000009030000}"/>
    <cellStyle name="Normal 3 2 2 2 3 4 4" xfId="4408" xr:uid="{00000000-0005-0000-0000-00000A030000}"/>
    <cellStyle name="Normal 3 2 2 2 3 4 4 2" xfId="18920" xr:uid="{00000000-0005-0000-0000-00000B030000}"/>
    <cellStyle name="Normal 3 2 2 2 3 4 4 3" xfId="11664" xr:uid="{00000000-0005-0000-0000-00000C030000}"/>
    <cellStyle name="Normal 3 2 2 2 3 4 5" xfId="15292" xr:uid="{00000000-0005-0000-0000-00000D030000}"/>
    <cellStyle name="Normal 3 2 2 2 3 4 6" xfId="8036" xr:uid="{00000000-0005-0000-0000-00000E030000}"/>
    <cellStyle name="Normal 3 2 2 2 3 5" xfId="433" xr:uid="{00000000-0005-0000-0000-00000F030000}"/>
    <cellStyle name="Normal 3 2 2 2 3 5 2" xfId="1341" xr:uid="{00000000-0005-0000-0000-000010030000}"/>
    <cellStyle name="Normal 3 2 2 2 3 5 2 2" xfId="3155" xr:uid="{00000000-0005-0000-0000-000011030000}"/>
    <cellStyle name="Normal 3 2 2 2 3 5 2 2 2" xfId="6783" xr:uid="{00000000-0005-0000-0000-000012030000}"/>
    <cellStyle name="Normal 3 2 2 2 3 5 2 2 2 2" xfId="21295" xr:uid="{00000000-0005-0000-0000-000013030000}"/>
    <cellStyle name="Normal 3 2 2 2 3 5 2 2 2 3" xfId="14039" xr:uid="{00000000-0005-0000-0000-000014030000}"/>
    <cellStyle name="Normal 3 2 2 2 3 5 2 2 3" xfId="17667" xr:uid="{00000000-0005-0000-0000-000015030000}"/>
    <cellStyle name="Normal 3 2 2 2 3 5 2 2 4" xfId="10411" xr:uid="{00000000-0005-0000-0000-000016030000}"/>
    <cellStyle name="Normal 3 2 2 2 3 5 2 3" xfId="4969" xr:uid="{00000000-0005-0000-0000-000017030000}"/>
    <cellStyle name="Normal 3 2 2 2 3 5 2 3 2" xfId="19481" xr:uid="{00000000-0005-0000-0000-000018030000}"/>
    <cellStyle name="Normal 3 2 2 2 3 5 2 3 3" xfId="12225" xr:uid="{00000000-0005-0000-0000-000019030000}"/>
    <cellStyle name="Normal 3 2 2 2 3 5 2 4" xfId="15853" xr:uid="{00000000-0005-0000-0000-00001A030000}"/>
    <cellStyle name="Normal 3 2 2 2 3 5 2 5" xfId="8597" xr:uid="{00000000-0005-0000-0000-00001B030000}"/>
    <cellStyle name="Normal 3 2 2 2 3 5 3" xfId="2248" xr:uid="{00000000-0005-0000-0000-00001C030000}"/>
    <cellStyle name="Normal 3 2 2 2 3 5 3 2" xfId="5876" xr:uid="{00000000-0005-0000-0000-00001D030000}"/>
    <cellStyle name="Normal 3 2 2 2 3 5 3 2 2" xfId="20388" xr:uid="{00000000-0005-0000-0000-00001E030000}"/>
    <cellStyle name="Normal 3 2 2 2 3 5 3 2 3" xfId="13132" xr:uid="{00000000-0005-0000-0000-00001F030000}"/>
    <cellStyle name="Normal 3 2 2 2 3 5 3 3" xfId="16760" xr:uid="{00000000-0005-0000-0000-000020030000}"/>
    <cellStyle name="Normal 3 2 2 2 3 5 3 4" xfId="9504" xr:uid="{00000000-0005-0000-0000-000021030000}"/>
    <cellStyle name="Normal 3 2 2 2 3 5 4" xfId="4062" xr:uid="{00000000-0005-0000-0000-000022030000}"/>
    <cellStyle name="Normal 3 2 2 2 3 5 4 2" xfId="18574" xr:uid="{00000000-0005-0000-0000-000023030000}"/>
    <cellStyle name="Normal 3 2 2 2 3 5 4 3" xfId="11318" xr:uid="{00000000-0005-0000-0000-000024030000}"/>
    <cellStyle name="Normal 3 2 2 2 3 5 5" xfId="14946" xr:uid="{00000000-0005-0000-0000-000025030000}"/>
    <cellStyle name="Normal 3 2 2 2 3 5 6" xfId="7690" xr:uid="{00000000-0005-0000-0000-000026030000}"/>
    <cellStyle name="Normal 3 2 2 2 3 6" xfId="911" xr:uid="{00000000-0005-0000-0000-000027030000}"/>
    <cellStyle name="Normal 3 2 2 2 3 6 2" xfId="1818" xr:uid="{00000000-0005-0000-0000-000028030000}"/>
    <cellStyle name="Normal 3 2 2 2 3 6 2 2" xfId="3632" xr:uid="{00000000-0005-0000-0000-000029030000}"/>
    <cellStyle name="Normal 3 2 2 2 3 6 2 2 2" xfId="7260" xr:uid="{00000000-0005-0000-0000-00002A030000}"/>
    <cellStyle name="Normal 3 2 2 2 3 6 2 2 2 2" xfId="21772" xr:uid="{00000000-0005-0000-0000-00002B030000}"/>
    <cellStyle name="Normal 3 2 2 2 3 6 2 2 2 3" xfId="14516" xr:uid="{00000000-0005-0000-0000-00002C030000}"/>
    <cellStyle name="Normal 3 2 2 2 3 6 2 2 3" xfId="18144" xr:uid="{00000000-0005-0000-0000-00002D030000}"/>
    <cellStyle name="Normal 3 2 2 2 3 6 2 2 4" xfId="10888" xr:uid="{00000000-0005-0000-0000-00002E030000}"/>
    <cellStyle name="Normal 3 2 2 2 3 6 2 3" xfId="5446" xr:uid="{00000000-0005-0000-0000-00002F030000}"/>
    <cellStyle name="Normal 3 2 2 2 3 6 2 3 2" xfId="19958" xr:uid="{00000000-0005-0000-0000-000030030000}"/>
    <cellStyle name="Normal 3 2 2 2 3 6 2 3 3" xfId="12702" xr:uid="{00000000-0005-0000-0000-000031030000}"/>
    <cellStyle name="Normal 3 2 2 2 3 6 2 4" xfId="16330" xr:uid="{00000000-0005-0000-0000-000032030000}"/>
    <cellStyle name="Normal 3 2 2 2 3 6 2 5" xfId="9074" xr:uid="{00000000-0005-0000-0000-000033030000}"/>
    <cellStyle name="Normal 3 2 2 2 3 6 3" xfId="2725" xr:uid="{00000000-0005-0000-0000-000034030000}"/>
    <cellStyle name="Normal 3 2 2 2 3 6 3 2" xfId="6353" xr:uid="{00000000-0005-0000-0000-000035030000}"/>
    <cellStyle name="Normal 3 2 2 2 3 6 3 2 2" xfId="20865" xr:uid="{00000000-0005-0000-0000-000036030000}"/>
    <cellStyle name="Normal 3 2 2 2 3 6 3 2 3" xfId="13609" xr:uid="{00000000-0005-0000-0000-000037030000}"/>
    <cellStyle name="Normal 3 2 2 2 3 6 3 3" xfId="17237" xr:uid="{00000000-0005-0000-0000-000038030000}"/>
    <cellStyle name="Normal 3 2 2 2 3 6 3 4" xfId="9981" xr:uid="{00000000-0005-0000-0000-000039030000}"/>
    <cellStyle name="Normal 3 2 2 2 3 6 4" xfId="4539" xr:uid="{00000000-0005-0000-0000-00003A030000}"/>
    <cellStyle name="Normal 3 2 2 2 3 6 4 2" xfId="19051" xr:uid="{00000000-0005-0000-0000-00003B030000}"/>
    <cellStyle name="Normal 3 2 2 2 3 6 4 3" xfId="11795" xr:uid="{00000000-0005-0000-0000-00003C030000}"/>
    <cellStyle name="Normal 3 2 2 2 3 6 5" xfId="15423" xr:uid="{00000000-0005-0000-0000-00003D030000}"/>
    <cellStyle name="Normal 3 2 2 2 3 6 6" xfId="8167" xr:uid="{00000000-0005-0000-0000-00003E030000}"/>
    <cellStyle name="Normal 3 2 2 2 3 7" xfId="995" xr:uid="{00000000-0005-0000-0000-00003F030000}"/>
    <cellStyle name="Normal 3 2 2 2 3 7 2" xfId="2809" xr:uid="{00000000-0005-0000-0000-000040030000}"/>
    <cellStyle name="Normal 3 2 2 2 3 7 2 2" xfId="6437" xr:uid="{00000000-0005-0000-0000-000041030000}"/>
    <cellStyle name="Normal 3 2 2 2 3 7 2 2 2" xfId="20949" xr:uid="{00000000-0005-0000-0000-000042030000}"/>
    <cellStyle name="Normal 3 2 2 2 3 7 2 2 3" xfId="13693" xr:uid="{00000000-0005-0000-0000-000043030000}"/>
    <cellStyle name="Normal 3 2 2 2 3 7 2 3" xfId="17321" xr:uid="{00000000-0005-0000-0000-000044030000}"/>
    <cellStyle name="Normal 3 2 2 2 3 7 2 4" xfId="10065" xr:uid="{00000000-0005-0000-0000-000045030000}"/>
    <cellStyle name="Normal 3 2 2 2 3 7 3" xfId="4623" xr:uid="{00000000-0005-0000-0000-000046030000}"/>
    <cellStyle name="Normal 3 2 2 2 3 7 3 2" xfId="19135" xr:uid="{00000000-0005-0000-0000-000047030000}"/>
    <cellStyle name="Normal 3 2 2 2 3 7 3 3" xfId="11879" xr:uid="{00000000-0005-0000-0000-000048030000}"/>
    <cellStyle name="Normal 3 2 2 2 3 7 4" xfId="15507" xr:uid="{00000000-0005-0000-0000-000049030000}"/>
    <cellStyle name="Normal 3 2 2 2 3 7 5" xfId="8251" xr:uid="{00000000-0005-0000-0000-00004A030000}"/>
    <cellStyle name="Normal 3 2 2 2 3 8" xfId="1902" xr:uid="{00000000-0005-0000-0000-00004B030000}"/>
    <cellStyle name="Normal 3 2 2 2 3 8 2" xfId="5530" xr:uid="{00000000-0005-0000-0000-00004C030000}"/>
    <cellStyle name="Normal 3 2 2 2 3 8 2 2" xfId="20042" xr:uid="{00000000-0005-0000-0000-00004D030000}"/>
    <cellStyle name="Normal 3 2 2 2 3 8 2 3" xfId="12786" xr:uid="{00000000-0005-0000-0000-00004E030000}"/>
    <cellStyle name="Normal 3 2 2 2 3 8 3" xfId="16414" xr:uid="{00000000-0005-0000-0000-00004F030000}"/>
    <cellStyle name="Normal 3 2 2 2 3 8 4" xfId="9158" xr:uid="{00000000-0005-0000-0000-000050030000}"/>
    <cellStyle name="Normal 3 2 2 2 3 9" xfId="3716" xr:uid="{00000000-0005-0000-0000-000051030000}"/>
    <cellStyle name="Normal 3 2 2 2 3 9 2" xfId="18228" xr:uid="{00000000-0005-0000-0000-000052030000}"/>
    <cellStyle name="Normal 3 2 2 2 3 9 3" xfId="10972" xr:uid="{00000000-0005-0000-0000-000053030000}"/>
    <cellStyle name="Normal 3 2 2 2 4" xfId="217" xr:uid="{00000000-0005-0000-0000-000054030000}"/>
    <cellStyle name="Normal 3 2 2 2 4 2" xfId="347" xr:uid="{00000000-0005-0000-0000-000055030000}"/>
    <cellStyle name="Normal 3 2 2 2 4 2 2" xfId="693" xr:uid="{00000000-0005-0000-0000-000056030000}"/>
    <cellStyle name="Normal 3 2 2 2 4 2 2 2" xfId="1601" xr:uid="{00000000-0005-0000-0000-000057030000}"/>
    <cellStyle name="Normal 3 2 2 2 4 2 2 2 2" xfId="3415" xr:uid="{00000000-0005-0000-0000-000058030000}"/>
    <cellStyle name="Normal 3 2 2 2 4 2 2 2 2 2" xfId="7043" xr:uid="{00000000-0005-0000-0000-000059030000}"/>
    <cellStyle name="Normal 3 2 2 2 4 2 2 2 2 2 2" xfId="21555" xr:uid="{00000000-0005-0000-0000-00005A030000}"/>
    <cellStyle name="Normal 3 2 2 2 4 2 2 2 2 2 3" xfId="14299" xr:uid="{00000000-0005-0000-0000-00005B030000}"/>
    <cellStyle name="Normal 3 2 2 2 4 2 2 2 2 3" xfId="17927" xr:uid="{00000000-0005-0000-0000-00005C030000}"/>
    <cellStyle name="Normal 3 2 2 2 4 2 2 2 2 4" xfId="10671" xr:uid="{00000000-0005-0000-0000-00005D030000}"/>
    <cellStyle name="Normal 3 2 2 2 4 2 2 2 3" xfId="5229" xr:uid="{00000000-0005-0000-0000-00005E030000}"/>
    <cellStyle name="Normal 3 2 2 2 4 2 2 2 3 2" xfId="19741" xr:uid="{00000000-0005-0000-0000-00005F030000}"/>
    <cellStyle name="Normal 3 2 2 2 4 2 2 2 3 3" xfId="12485" xr:uid="{00000000-0005-0000-0000-000060030000}"/>
    <cellStyle name="Normal 3 2 2 2 4 2 2 2 4" xfId="16113" xr:uid="{00000000-0005-0000-0000-000061030000}"/>
    <cellStyle name="Normal 3 2 2 2 4 2 2 2 5" xfId="8857" xr:uid="{00000000-0005-0000-0000-000062030000}"/>
    <cellStyle name="Normal 3 2 2 2 4 2 2 3" xfId="2508" xr:uid="{00000000-0005-0000-0000-000063030000}"/>
    <cellStyle name="Normal 3 2 2 2 4 2 2 3 2" xfId="6136" xr:uid="{00000000-0005-0000-0000-000064030000}"/>
    <cellStyle name="Normal 3 2 2 2 4 2 2 3 2 2" xfId="20648" xr:uid="{00000000-0005-0000-0000-000065030000}"/>
    <cellStyle name="Normal 3 2 2 2 4 2 2 3 2 3" xfId="13392" xr:uid="{00000000-0005-0000-0000-000066030000}"/>
    <cellStyle name="Normal 3 2 2 2 4 2 2 3 3" xfId="17020" xr:uid="{00000000-0005-0000-0000-000067030000}"/>
    <cellStyle name="Normal 3 2 2 2 4 2 2 3 4" xfId="9764" xr:uid="{00000000-0005-0000-0000-000068030000}"/>
    <cellStyle name="Normal 3 2 2 2 4 2 2 4" xfId="4322" xr:uid="{00000000-0005-0000-0000-000069030000}"/>
    <cellStyle name="Normal 3 2 2 2 4 2 2 4 2" xfId="18834" xr:uid="{00000000-0005-0000-0000-00006A030000}"/>
    <cellStyle name="Normal 3 2 2 2 4 2 2 4 3" xfId="11578" xr:uid="{00000000-0005-0000-0000-00006B030000}"/>
    <cellStyle name="Normal 3 2 2 2 4 2 2 5" xfId="15206" xr:uid="{00000000-0005-0000-0000-00006C030000}"/>
    <cellStyle name="Normal 3 2 2 2 4 2 2 6" xfId="7950" xr:uid="{00000000-0005-0000-0000-00006D030000}"/>
    <cellStyle name="Normal 3 2 2 2 4 2 3" xfId="1255" xr:uid="{00000000-0005-0000-0000-00006E030000}"/>
    <cellStyle name="Normal 3 2 2 2 4 2 3 2" xfId="3069" xr:uid="{00000000-0005-0000-0000-00006F030000}"/>
    <cellStyle name="Normal 3 2 2 2 4 2 3 2 2" xfId="6697" xr:uid="{00000000-0005-0000-0000-000070030000}"/>
    <cellStyle name="Normal 3 2 2 2 4 2 3 2 2 2" xfId="21209" xr:uid="{00000000-0005-0000-0000-000071030000}"/>
    <cellStyle name="Normal 3 2 2 2 4 2 3 2 2 3" xfId="13953" xr:uid="{00000000-0005-0000-0000-000072030000}"/>
    <cellStyle name="Normal 3 2 2 2 4 2 3 2 3" xfId="17581" xr:uid="{00000000-0005-0000-0000-000073030000}"/>
    <cellStyle name="Normal 3 2 2 2 4 2 3 2 4" xfId="10325" xr:uid="{00000000-0005-0000-0000-000074030000}"/>
    <cellStyle name="Normal 3 2 2 2 4 2 3 3" xfId="4883" xr:uid="{00000000-0005-0000-0000-000075030000}"/>
    <cellStyle name="Normal 3 2 2 2 4 2 3 3 2" xfId="19395" xr:uid="{00000000-0005-0000-0000-000076030000}"/>
    <cellStyle name="Normal 3 2 2 2 4 2 3 3 3" xfId="12139" xr:uid="{00000000-0005-0000-0000-000077030000}"/>
    <cellStyle name="Normal 3 2 2 2 4 2 3 4" xfId="15767" xr:uid="{00000000-0005-0000-0000-000078030000}"/>
    <cellStyle name="Normal 3 2 2 2 4 2 3 5" xfId="8511" xr:uid="{00000000-0005-0000-0000-000079030000}"/>
    <cellStyle name="Normal 3 2 2 2 4 2 4" xfId="2162" xr:uid="{00000000-0005-0000-0000-00007A030000}"/>
    <cellStyle name="Normal 3 2 2 2 4 2 4 2" xfId="5790" xr:uid="{00000000-0005-0000-0000-00007B030000}"/>
    <cellStyle name="Normal 3 2 2 2 4 2 4 2 2" xfId="20302" xr:uid="{00000000-0005-0000-0000-00007C030000}"/>
    <cellStyle name="Normal 3 2 2 2 4 2 4 2 3" xfId="13046" xr:uid="{00000000-0005-0000-0000-00007D030000}"/>
    <cellStyle name="Normal 3 2 2 2 4 2 4 3" xfId="16674" xr:uid="{00000000-0005-0000-0000-00007E030000}"/>
    <cellStyle name="Normal 3 2 2 2 4 2 4 4" xfId="9418" xr:uid="{00000000-0005-0000-0000-00007F030000}"/>
    <cellStyle name="Normal 3 2 2 2 4 2 5" xfId="3976" xr:uid="{00000000-0005-0000-0000-000080030000}"/>
    <cellStyle name="Normal 3 2 2 2 4 2 5 2" xfId="18488" xr:uid="{00000000-0005-0000-0000-000081030000}"/>
    <cellStyle name="Normal 3 2 2 2 4 2 5 3" xfId="11232" xr:uid="{00000000-0005-0000-0000-000082030000}"/>
    <cellStyle name="Normal 3 2 2 2 4 2 6" xfId="14860" xr:uid="{00000000-0005-0000-0000-000083030000}"/>
    <cellStyle name="Normal 3 2 2 2 4 2 7" xfId="7604" xr:uid="{00000000-0005-0000-0000-000084030000}"/>
    <cellStyle name="Normal 3 2 2 2 4 3" xfId="823" xr:uid="{00000000-0005-0000-0000-000085030000}"/>
    <cellStyle name="Normal 3 2 2 2 4 3 2" xfId="1731" xr:uid="{00000000-0005-0000-0000-000086030000}"/>
    <cellStyle name="Normal 3 2 2 2 4 3 2 2" xfId="3545" xr:uid="{00000000-0005-0000-0000-000087030000}"/>
    <cellStyle name="Normal 3 2 2 2 4 3 2 2 2" xfId="7173" xr:uid="{00000000-0005-0000-0000-000088030000}"/>
    <cellStyle name="Normal 3 2 2 2 4 3 2 2 2 2" xfId="21685" xr:uid="{00000000-0005-0000-0000-000089030000}"/>
    <cellStyle name="Normal 3 2 2 2 4 3 2 2 2 3" xfId="14429" xr:uid="{00000000-0005-0000-0000-00008A030000}"/>
    <cellStyle name="Normal 3 2 2 2 4 3 2 2 3" xfId="18057" xr:uid="{00000000-0005-0000-0000-00008B030000}"/>
    <cellStyle name="Normal 3 2 2 2 4 3 2 2 4" xfId="10801" xr:uid="{00000000-0005-0000-0000-00008C030000}"/>
    <cellStyle name="Normal 3 2 2 2 4 3 2 3" xfId="5359" xr:uid="{00000000-0005-0000-0000-00008D030000}"/>
    <cellStyle name="Normal 3 2 2 2 4 3 2 3 2" xfId="19871" xr:uid="{00000000-0005-0000-0000-00008E030000}"/>
    <cellStyle name="Normal 3 2 2 2 4 3 2 3 3" xfId="12615" xr:uid="{00000000-0005-0000-0000-00008F030000}"/>
    <cellStyle name="Normal 3 2 2 2 4 3 2 4" xfId="16243" xr:uid="{00000000-0005-0000-0000-000090030000}"/>
    <cellStyle name="Normal 3 2 2 2 4 3 2 5" xfId="8987" xr:uid="{00000000-0005-0000-0000-000091030000}"/>
    <cellStyle name="Normal 3 2 2 2 4 3 3" xfId="2638" xr:uid="{00000000-0005-0000-0000-000092030000}"/>
    <cellStyle name="Normal 3 2 2 2 4 3 3 2" xfId="6266" xr:uid="{00000000-0005-0000-0000-000093030000}"/>
    <cellStyle name="Normal 3 2 2 2 4 3 3 2 2" xfId="20778" xr:uid="{00000000-0005-0000-0000-000094030000}"/>
    <cellStyle name="Normal 3 2 2 2 4 3 3 2 3" xfId="13522" xr:uid="{00000000-0005-0000-0000-000095030000}"/>
    <cellStyle name="Normal 3 2 2 2 4 3 3 3" xfId="17150" xr:uid="{00000000-0005-0000-0000-000096030000}"/>
    <cellStyle name="Normal 3 2 2 2 4 3 3 4" xfId="9894" xr:uid="{00000000-0005-0000-0000-000097030000}"/>
    <cellStyle name="Normal 3 2 2 2 4 3 4" xfId="4452" xr:uid="{00000000-0005-0000-0000-000098030000}"/>
    <cellStyle name="Normal 3 2 2 2 4 3 4 2" xfId="18964" xr:uid="{00000000-0005-0000-0000-000099030000}"/>
    <cellStyle name="Normal 3 2 2 2 4 3 4 3" xfId="11708" xr:uid="{00000000-0005-0000-0000-00009A030000}"/>
    <cellStyle name="Normal 3 2 2 2 4 3 5" xfId="15336" xr:uid="{00000000-0005-0000-0000-00009B030000}"/>
    <cellStyle name="Normal 3 2 2 2 4 3 6" xfId="8080" xr:uid="{00000000-0005-0000-0000-00009C030000}"/>
    <cellStyle name="Normal 3 2 2 2 4 4" xfId="563" xr:uid="{00000000-0005-0000-0000-00009D030000}"/>
    <cellStyle name="Normal 3 2 2 2 4 4 2" xfId="1471" xr:uid="{00000000-0005-0000-0000-00009E030000}"/>
    <cellStyle name="Normal 3 2 2 2 4 4 2 2" xfId="3285" xr:uid="{00000000-0005-0000-0000-00009F030000}"/>
    <cellStyle name="Normal 3 2 2 2 4 4 2 2 2" xfId="6913" xr:uid="{00000000-0005-0000-0000-0000A0030000}"/>
    <cellStyle name="Normal 3 2 2 2 4 4 2 2 2 2" xfId="21425" xr:uid="{00000000-0005-0000-0000-0000A1030000}"/>
    <cellStyle name="Normal 3 2 2 2 4 4 2 2 2 3" xfId="14169" xr:uid="{00000000-0005-0000-0000-0000A2030000}"/>
    <cellStyle name="Normal 3 2 2 2 4 4 2 2 3" xfId="17797" xr:uid="{00000000-0005-0000-0000-0000A3030000}"/>
    <cellStyle name="Normal 3 2 2 2 4 4 2 2 4" xfId="10541" xr:uid="{00000000-0005-0000-0000-0000A4030000}"/>
    <cellStyle name="Normal 3 2 2 2 4 4 2 3" xfId="5099" xr:uid="{00000000-0005-0000-0000-0000A5030000}"/>
    <cellStyle name="Normal 3 2 2 2 4 4 2 3 2" xfId="19611" xr:uid="{00000000-0005-0000-0000-0000A6030000}"/>
    <cellStyle name="Normal 3 2 2 2 4 4 2 3 3" xfId="12355" xr:uid="{00000000-0005-0000-0000-0000A7030000}"/>
    <cellStyle name="Normal 3 2 2 2 4 4 2 4" xfId="15983" xr:uid="{00000000-0005-0000-0000-0000A8030000}"/>
    <cellStyle name="Normal 3 2 2 2 4 4 2 5" xfId="8727" xr:uid="{00000000-0005-0000-0000-0000A9030000}"/>
    <cellStyle name="Normal 3 2 2 2 4 4 3" xfId="2378" xr:uid="{00000000-0005-0000-0000-0000AA030000}"/>
    <cellStyle name="Normal 3 2 2 2 4 4 3 2" xfId="6006" xr:uid="{00000000-0005-0000-0000-0000AB030000}"/>
    <cellStyle name="Normal 3 2 2 2 4 4 3 2 2" xfId="20518" xr:uid="{00000000-0005-0000-0000-0000AC030000}"/>
    <cellStyle name="Normal 3 2 2 2 4 4 3 2 3" xfId="13262" xr:uid="{00000000-0005-0000-0000-0000AD030000}"/>
    <cellStyle name="Normal 3 2 2 2 4 4 3 3" xfId="16890" xr:uid="{00000000-0005-0000-0000-0000AE030000}"/>
    <cellStyle name="Normal 3 2 2 2 4 4 3 4" xfId="9634" xr:uid="{00000000-0005-0000-0000-0000AF030000}"/>
    <cellStyle name="Normal 3 2 2 2 4 4 4" xfId="4192" xr:uid="{00000000-0005-0000-0000-0000B0030000}"/>
    <cellStyle name="Normal 3 2 2 2 4 4 4 2" xfId="18704" xr:uid="{00000000-0005-0000-0000-0000B1030000}"/>
    <cellStyle name="Normal 3 2 2 2 4 4 4 3" xfId="11448" xr:uid="{00000000-0005-0000-0000-0000B2030000}"/>
    <cellStyle name="Normal 3 2 2 2 4 4 5" xfId="15076" xr:uid="{00000000-0005-0000-0000-0000B3030000}"/>
    <cellStyle name="Normal 3 2 2 2 4 4 6" xfId="7820" xr:uid="{00000000-0005-0000-0000-0000B4030000}"/>
    <cellStyle name="Normal 3 2 2 2 4 5" xfId="1125" xr:uid="{00000000-0005-0000-0000-0000B5030000}"/>
    <cellStyle name="Normal 3 2 2 2 4 5 2" xfId="2939" xr:uid="{00000000-0005-0000-0000-0000B6030000}"/>
    <cellStyle name="Normal 3 2 2 2 4 5 2 2" xfId="6567" xr:uid="{00000000-0005-0000-0000-0000B7030000}"/>
    <cellStyle name="Normal 3 2 2 2 4 5 2 2 2" xfId="21079" xr:uid="{00000000-0005-0000-0000-0000B8030000}"/>
    <cellStyle name="Normal 3 2 2 2 4 5 2 2 3" xfId="13823" xr:uid="{00000000-0005-0000-0000-0000B9030000}"/>
    <cellStyle name="Normal 3 2 2 2 4 5 2 3" xfId="17451" xr:uid="{00000000-0005-0000-0000-0000BA030000}"/>
    <cellStyle name="Normal 3 2 2 2 4 5 2 4" xfId="10195" xr:uid="{00000000-0005-0000-0000-0000BB030000}"/>
    <cellStyle name="Normal 3 2 2 2 4 5 3" xfId="4753" xr:uid="{00000000-0005-0000-0000-0000BC030000}"/>
    <cellStyle name="Normal 3 2 2 2 4 5 3 2" xfId="19265" xr:uid="{00000000-0005-0000-0000-0000BD030000}"/>
    <cellStyle name="Normal 3 2 2 2 4 5 3 3" xfId="12009" xr:uid="{00000000-0005-0000-0000-0000BE030000}"/>
    <cellStyle name="Normal 3 2 2 2 4 5 4" xfId="15637" xr:uid="{00000000-0005-0000-0000-0000BF030000}"/>
    <cellStyle name="Normal 3 2 2 2 4 5 5" xfId="8381" xr:uid="{00000000-0005-0000-0000-0000C0030000}"/>
    <cellStyle name="Normal 3 2 2 2 4 6" xfId="2032" xr:uid="{00000000-0005-0000-0000-0000C1030000}"/>
    <cellStyle name="Normal 3 2 2 2 4 6 2" xfId="5660" xr:uid="{00000000-0005-0000-0000-0000C2030000}"/>
    <cellStyle name="Normal 3 2 2 2 4 6 2 2" xfId="20172" xr:uid="{00000000-0005-0000-0000-0000C3030000}"/>
    <cellStyle name="Normal 3 2 2 2 4 6 2 3" xfId="12916" xr:uid="{00000000-0005-0000-0000-0000C4030000}"/>
    <cellStyle name="Normal 3 2 2 2 4 6 3" xfId="16544" xr:uid="{00000000-0005-0000-0000-0000C5030000}"/>
    <cellStyle name="Normal 3 2 2 2 4 6 4" xfId="9288" xr:uid="{00000000-0005-0000-0000-0000C6030000}"/>
    <cellStyle name="Normal 3 2 2 2 4 7" xfId="3846" xr:uid="{00000000-0005-0000-0000-0000C7030000}"/>
    <cellStyle name="Normal 3 2 2 2 4 7 2" xfId="18358" xr:uid="{00000000-0005-0000-0000-0000C8030000}"/>
    <cellStyle name="Normal 3 2 2 2 4 7 3" xfId="11102" xr:uid="{00000000-0005-0000-0000-0000C9030000}"/>
    <cellStyle name="Normal 3 2 2 2 4 8" xfId="14730" xr:uid="{00000000-0005-0000-0000-0000CA030000}"/>
    <cellStyle name="Normal 3 2 2 2 4 9" xfId="7474" xr:uid="{00000000-0005-0000-0000-0000CB030000}"/>
    <cellStyle name="Normal 3 2 2 2 5" xfId="131" xr:uid="{00000000-0005-0000-0000-0000CC030000}"/>
    <cellStyle name="Normal 3 2 2 2 5 2" xfId="477" xr:uid="{00000000-0005-0000-0000-0000CD030000}"/>
    <cellStyle name="Normal 3 2 2 2 5 2 2" xfId="1385" xr:uid="{00000000-0005-0000-0000-0000CE030000}"/>
    <cellStyle name="Normal 3 2 2 2 5 2 2 2" xfId="3199" xr:uid="{00000000-0005-0000-0000-0000CF030000}"/>
    <cellStyle name="Normal 3 2 2 2 5 2 2 2 2" xfId="6827" xr:uid="{00000000-0005-0000-0000-0000D0030000}"/>
    <cellStyle name="Normal 3 2 2 2 5 2 2 2 2 2" xfId="21339" xr:uid="{00000000-0005-0000-0000-0000D1030000}"/>
    <cellStyle name="Normal 3 2 2 2 5 2 2 2 2 3" xfId="14083" xr:uid="{00000000-0005-0000-0000-0000D2030000}"/>
    <cellStyle name="Normal 3 2 2 2 5 2 2 2 3" xfId="17711" xr:uid="{00000000-0005-0000-0000-0000D3030000}"/>
    <cellStyle name="Normal 3 2 2 2 5 2 2 2 4" xfId="10455" xr:uid="{00000000-0005-0000-0000-0000D4030000}"/>
    <cellStyle name="Normal 3 2 2 2 5 2 2 3" xfId="5013" xr:uid="{00000000-0005-0000-0000-0000D5030000}"/>
    <cellStyle name="Normal 3 2 2 2 5 2 2 3 2" xfId="19525" xr:uid="{00000000-0005-0000-0000-0000D6030000}"/>
    <cellStyle name="Normal 3 2 2 2 5 2 2 3 3" xfId="12269" xr:uid="{00000000-0005-0000-0000-0000D7030000}"/>
    <cellStyle name="Normal 3 2 2 2 5 2 2 4" xfId="15897" xr:uid="{00000000-0005-0000-0000-0000D8030000}"/>
    <cellStyle name="Normal 3 2 2 2 5 2 2 5" xfId="8641" xr:uid="{00000000-0005-0000-0000-0000D9030000}"/>
    <cellStyle name="Normal 3 2 2 2 5 2 3" xfId="2292" xr:uid="{00000000-0005-0000-0000-0000DA030000}"/>
    <cellStyle name="Normal 3 2 2 2 5 2 3 2" xfId="5920" xr:uid="{00000000-0005-0000-0000-0000DB030000}"/>
    <cellStyle name="Normal 3 2 2 2 5 2 3 2 2" xfId="20432" xr:uid="{00000000-0005-0000-0000-0000DC030000}"/>
    <cellStyle name="Normal 3 2 2 2 5 2 3 2 3" xfId="13176" xr:uid="{00000000-0005-0000-0000-0000DD030000}"/>
    <cellStyle name="Normal 3 2 2 2 5 2 3 3" xfId="16804" xr:uid="{00000000-0005-0000-0000-0000DE030000}"/>
    <cellStyle name="Normal 3 2 2 2 5 2 3 4" xfId="9548" xr:uid="{00000000-0005-0000-0000-0000DF030000}"/>
    <cellStyle name="Normal 3 2 2 2 5 2 4" xfId="4106" xr:uid="{00000000-0005-0000-0000-0000E0030000}"/>
    <cellStyle name="Normal 3 2 2 2 5 2 4 2" xfId="18618" xr:uid="{00000000-0005-0000-0000-0000E1030000}"/>
    <cellStyle name="Normal 3 2 2 2 5 2 4 3" xfId="11362" xr:uid="{00000000-0005-0000-0000-0000E2030000}"/>
    <cellStyle name="Normal 3 2 2 2 5 2 5" xfId="14990" xr:uid="{00000000-0005-0000-0000-0000E3030000}"/>
    <cellStyle name="Normal 3 2 2 2 5 2 6" xfId="7734" xr:uid="{00000000-0005-0000-0000-0000E4030000}"/>
    <cellStyle name="Normal 3 2 2 2 5 3" xfId="1039" xr:uid="{00000000-0005-0000-0000-0000E5030000}"/>
    <cellStyle name="Normal 3 2 2 2 5 3 2" xfId="2853" xr:uid="{00000000-0005-0000-0000-0000E6030000}"/>
    <cellStyle name="Normal 3 2 2 2 5 3 2 2" xfId="6481" xr:uid="{00000000-0005-0000-0000-0000E7030000}"/>
    <cellStyle name="Normal 3 2 2 2 5 3 2 2 2" xfId="20993" xr:uid="{00000000-0005-0000-0000-0000E8030000}"/>
    <cellStyle name="Normal 3 2 2 2 5 3 2 2 3" xfId="13737" xr:uid="{00000000-0005-0000-0000-0000E9030000}"/>
    <cellStyle name="Normal 3 2 2 2 5 3 2 3" xfId="17365" xr:uid="{00000000-0005-0000-0000-0000EA030000}"/>
    <cellStyle name="Normal 3 2 2 2 5 3 2 4" xfId="10109" xr:uid="{00000000-0005-0000-0000-0000EB030000}"/>
    <cellStyle name="Normal 3 2 2 2 5 3 3" xfId="4667" xr:uid="{00000000-0005-0000-0000-0000EC030000}"/>
    <cellStyle name="Normal 3 2 2 2 5 3 3 2" xfId="19179" xr:uid="{00000000-0005-0000-0000-0000ED030000}"/>
    <cellStyle name="Normal 3 2 2 2 5 3 3 3" xfId="11923" xr:uid="{00000000-0005-0000-0000-0000EE030000}"/>
    <cellStyle name="Normal 3 2 2 2 5 3 4" xfId="15551" xr:uid="{00000000-0005-0000-0000-0000EF030000}"/>
    <cellStyle name="Normal 3 2 2 2 5 3 5" xfId="8295" xr:uid="{00000000-0005-0000-0000-0000F0030000}"/>
    <cellStyle name="Normal 3 2 2 2 5 4" xfId="1946" xr:uid="{00000000-0005-0000-0000-0000F1030000}"/>
    <cellStyle name="Normal 3 2 2 2 5 4 2" xfId="5574" xr:uid="{00000000-0005-0000-0000-0000F2030000}"/>
    <cellStyle name="Normal 3 2 2 2 5 4 2 2" xfId="20086" xr:uid="{00000000-0005-0000-0000-0000F3030000}"/>
    <cellStyle name="Normal 3 2 2 2 5 4 2 3" xfId="12830" xr:uid="{00000000-0005-0000-0000-0000F4030000}"/>
    <cellStyle name="Normal 3 2 2 2 5 4 3" xfId="16458" xr:uid="{00000000-0005-0000-0000-0000F5030000}"/>
    <cellStyle name="Normal 3 2 2 2 5 4 4" xfId="9202" xr:uid="{00000000-0005-0000-0000-0000F6030000}"/>
    <cellStyle name="Normal 3 2 2 2 5 5" xfId="3760" xr:uid="{00000000-0005-0000-0000-0000F7030000}"/>
    <cellStyle name="Normal 3 2 2 2 5 5 2" xfId="18272" xr:uid="{00000000-0005-0000-0000-0000F8030000}"/>
    <cellStyle name="Normal 3 2 2 2 5 5 3" xfId="11016" xr:uid="{00000000-0005-0000-0000-0000F9030000}"/>
    <cellStyle name="Normal 3 2 2 2 5 6" xfId="14644" xr:uid="{00000000-0005-0000-0000-0000FA030000}"/>
    <cellStyle name="Normal 3 2 2 2 5 7" xfId="7388" xr:uid="{00000000-0005-0000-0000-0000FB030000}"/>
    <cellStyle name="Normal 3 2 2 2 6" xfId="261" xr:uid="{00000000-0005-0000-0000-0000FC030000}"/>
    <cellStyle name="Normal 3 2 2 2 6 2" xfId="607" xr:uid="{00000000-0005-0000-0000-0000FD030000}"/>
    <cellStyle name="Normal 3 2 2 2 6 2 2" xfId="1515" xr:uid="{00000000-0005-0000-0000-0000FE030000}"/>
    <cellStyle name="Normal 3 2 2 2 6 2 2 2" xfId="3329" xr:uid="{00000000-0005-0000-0000-0000FF030000}"/>
    <cellStyle name="Normal 3 2 2 2 6 2 2 2 2" xfId="6957" xr:uid="{00000000-0005-0000-0000-000000040000}"/>
    <cellStyle name="Normal 3 2 2 2 6 2 2 2 2 2" xfId="21469" xr:uid="{00000000-0005-0000-0000-000001040000}"/>
    <cellStyle name="Normal 3 2 2 2 6 2 2 2 2 3" xfId="14213" xr:uid="{00000000-0005-0000-0000-000002040000}"/>
    <cellStyle name="Normal 3 2 2 2 6 2 2 2 3" xfId="17841" xr:uid="{00000000-0005-0000-0000-000003040000}"/>
    <cellStyle name="Normal 3 2 2 2 6 2 2 2 4" xfId="10585" xr:uid="{00000000-0005-0000-0000-000004040000}"/>
    <cellStyle name="Normal 3 2 2 2 6 2 2 3" xfId="5143" xr:uid="{00000000-0005-0000-0000-000005040000}"/>
    <cellStyle name="Normal 3 2 2 2 6 2 2 3 2" xfId="19655" xr:uid="{00000000-0005-0000-0000-000006040000}"/>
    <cellStyle name="Normal 3 2 2 2 6 2 2 3 3" xfId="12399" xr:uid="{00000000-0005-0000-0000-000007040000}"/>
    <cellStyle name="Normal 3 2 2 2 6 2 2 4" xfId="16027" xr:uid="{00000000-0005-0000-0000-000008040000}"/>
    <cellStyle name="Normal 3 2 2 2 6 2 2 5" xfId="8771" xr:uid="{00000000-0005-0000-0000-000009040000}"/>
    <cellStyle name="Normal 3 2 2 2 6 2 3" xfId="2422" xr:uid="{00000000-0005-0000-0000-00000A040000}"/>
    <cellStyle name="Normal 3 2 2 2 6 2 3 2" xfId="6050" xr:uid="{00000000-0005-0000-0000-00000B040000}"/>
    <cellStyle name="Normal 3 2 2 2 6 2 3 2 2" xfId="20562" xr:uid="{00000000-0005-0000-0000-00000C040000}"/>
    <cellStyle name="Normal 3 2 2 2 6 2 3 2 3" xfId="13306" xr:uid="{00000000-0005-0000-0000-00000D040000}"/>
    <cellStyle name="Normal 3 2 2 2 6 2 3 3" xfId="16934" xr:uid="{00000000-0005-0000-0000-00000E040000}"/>
    <cellStyle name="Normal 3 2 2 2 6 2 3 4" xfId="9678" xr:uid="{00000000-0005-0000-0000-00000F040000}"/>
    <cellStyle name="Normal 3 2 2 2 6 2 4" xfId="4236" xr:uid="{00000000-0005-0000-0000-000010040000}"/>
    <cellStyle name="Normal 3 2 2 2 6 2 4 2" xfId="18748" xr:uid="{00000000-0005-0000-0000-000011040000}"/>
    <cellStyle name="Normal 3 2 2 2 6 2 4 3" xfId="11492" xr:uid="{00000000-0005-0000-0000-000012040000}"/>
    <cellStyle name="Normal 3 2 2 2 6 2 5" xfId="15120" xr:uid="{00000000-0005-0000-0000-000013040000}"/>
    <cellStyle name="Normal 3 2 2 2 6 2 6" xfId="7864" xr:uid="{00000000-0005-0000-0000-000014040000}"/>
    <cellStyle name="Normal 3 2 2 2 6 3" xfId="1169" xr:uid="{00000000-0005-0000-0000-000015040000}"/>
    <cellStyle name="Normal 3 2 2 2 6 3 2" xfId="2983" xr:uid="{00000000-0005-0000-0000-000016040000}"/>
    <cellStyle name="Normal 3 2 2 2 6 3 2 2" xfId="6611" xr:uid="{00000000-0005-0000-0000-000017040000}"/>
    <cellStyle name="Normal 3 2 2 2 6 3 2 2 2" xfId="21123" xr:uid="{00000000-0005-0000-0000-000018040000}"/>
    <cellStyle name="Normal 3 2 2 2 6 3 2 2 3" xfId="13867" xr:uid="{00000000-0005-0000-0000-000019040000}"/>
    <cellStyle name="Normal 3 2 2 2 6 3 2 3" xfId="17495" xr:uid="{00000000-0005-0000-0000-00001A040000}"/>
    <cellStyle name="Normal 3 2 2 2 6 3 2 4" xfId="10239" xr:uid="{00000000-0005-0000-0000-00001B040000}"/>
    <cellStyle name="Normal 3 2 2 2 6 3 3" xfId="4797" xr:uid="{00000000-0005-0000-0000-00001C040000}"/>
    <cellStyle name="Normal 3 2 2 2 6 3 3 2" xfId="19309" xr:uid="{00000000-0005-0000-0000-00001D040000}"/>
    <cellStyle name="Normal 3 2 2 2 6 3 3 3" xfId="12053" xr:uid="{00000000-0005-0000-0000-00001E040000}"/>
    <cellStyle name="Normal 3 2 2 2 6 3 4" xfId="15681" xr:uid="{00000000-0005-0000-0000-00001F040000}"/>
    <cellStyle name="Normal 3 2 2 2 6 3 5" xfId="8425" xr:uid="{00000000-0005-0000-0000-000020040000}"/>
    <cellStyle name="Normal 3 2 2 2 6 4" xfId="2076" xr:uid="{00000000-0005-0000-0000-000021040000}"/>
    <cellStyle name="Normal 3 2 2 2 6 4 2" xfId="5704" xr:uid="{00000000-0005-0000-0000-000022040000}"/>
    <cellStyle name="Normal 3 2 2 2 6 4 2 2" xfId="20216" xr:uid="{00000000-0005-0000-0000-000023040000}"/>
    <cellStyle name="Normal 3 2 2 2 6 4 2 3" xfId="12960" xr:uid="{00000000-0005-0000-0000-000024040000}"/>
    <cellStyle name="Normal 3 2 2 2 6 4 3" xfId="16588" xr:uid="{00000000-0005-0000-0000-000025040000}"/>
    <cellStyle name="Normal 3 2 2 2 6 4 4" xfId="9332" xr:uid="{00000000-0005-0000-0000-000026040000}"/>
    <cellStyle name="Normal 3 2 2 2 6 5" xfId="3890" xr:uid="{00000000-0005-0000-0000-000027040000}"/>
    <cellStyle name="Normal 3 2 2 2 6 5 2" xfId="18402" xr:uid="{00000000-0005-0000-0000-000028040000}"/>
    <cellStyle name="Normal 3 2 2 2 6 5 3" xfId="11146" xr:uid="{00000000-0005-0000-0000-000029040000}"/>
    <cellStyle name="Normal 3 2 2 2 6 6" xfId="14774" xr:uid="{00000000-0005-0000-0000-00002A040000}"/>
    <cellStyle name="Normal 3 2 2 2 6 7" xfId="7518" xr:uid="{00000000-0005-0000-0000-00002B040000}"/>
    <cellStyle name="Normal 3 2 2 2 7" xfId="737" xr:uid="{00000000-0005-0000-0000-00002C040000}"/>
    <cellStyle name="Normal 3 2 2 2 7 2" xfId="1645" xr:uid="{00000000-0005-0000-0000-00002D040000}"/>
    <cellStyle name="Normal 3 2 2 2 7 2 2" xfId="3459" xr:uid="{00000000-0005-0000-0000-00002E040000}"/>
    <cellStyle name="Normal 3 2 2 2 7 2 2 2" xfId="7087" xr:uid="{00000000-0005-0000-0000-00002F040000}"/>
    <cellStyle name="Normal 3 2 2 2 7 2 2 2 2" xfId="21599" xr:uid="{00000000-0005-0000-0000-000030040000}"/>
    <cellStyle name="Normal 3 2 2 2 7 2 2 2 3" xfId="14343" xr:uid="{00000000-0005-0000-0000-000031040000}"/>
    <cellStyle name="Normal 3 2 2 2 7 2 2 3" xfId="17971" xr:uid="{00000000-0005-0000-0000-000032040000}"/>
    <cellStyle name="Normal 3 2 2 2 7 2 2 4" xfId="10715" xr:uid="{00000000-0005-0000-0000-000033040000}"/>
    <cellStyle name="Normal 3 2 2 2 7 2 3" xfId="5273" xr:uid="{00000000-0005-0000-0000-000034040000}"/>
    <cellStyle name="Normal 3 2 2 2 7 2 3 2" xfId="19785" xr:uid="{00000000-0005-0000-0000-000035040000}"/>
    <cellStyle name="Normal 3 2 2 2 7 2 3 3" xfId="12529" xr:uid="{00000000-0005-0000-0000-000036040000}"/>
    <cellStyle name="Normal 3 2 2 2 7 2 4" xfId="16157" xr:uid="{00000000-0005-0000-0000-000037040000}"/>
    <cellStyle name="Normal 3 2 2 2 7 2 5" xfId="8901" xr:uid="{00000000-0005-0000-0000-000038040000}"/>
    <cellStyle name="Normal 3 2 2 2 7 3" xfId="2552" xr:uid="{00000000-0005-0000-0000-000039040000}"/>
    <cellStyle name="Normal 3 2 2 2 7 3 2" xfId="6180" xr:uid="{00000000-0005-0000-0000-00003A040000}"/>
    <cellStyle name="Normal 3 2 2 2 7 3 2 2" xfId="20692" xr:uid="{00000000-0005-0000-0000-00003B040000}"/>
    <cellStyle name="Normal 3 2 2 2 7 3 2 3" xfId="13436" xr:uid="{00000000-0005-0000-0000-00003C040000}"/>
    <cellStyle name="Normal 3 2 2 2 7 3 3" xfId="17064" xr:uid="{00000000-0005-0000-0000-00003D040000}"/>
    <cellStyle name="Normal 3 2 2 2 7 3 4" xfId="9808" xr:uid="{00000000-0005-0000-0000-00003E040000}"/>
    <cellStyle name="Normal 3 2 2 2 7 4" xfId="4366" xr:uid="{00000000-0005-0000-0000-00003F040000}"/>
    <cellStyle name="Normal 3 2 2 2 7 4 2" xfId="18878" xr:uid="{00000000-0005-0000-0000-000040040000}"/>
    <cellStyle name="Normal 3 2 2 2 7 4 3" xfId="11622" xr:uid="{00000000-0005-0000-0000-000041040000}"/>
    <cellStyle name="Normal 3 2 2 2 7 5" xfId="15250" xr:uid="{00000000-0005-0000-0000-000042040000}"/>
    <cellStyle name="Normal 3 2 2 2 7 6" xfId="7994" xr:uid="{00000000-0005-0000-0000-000043040000}"/>
    <cellStyle name="Normal 3 2 2 2 8" xfId="391" xr:uid="{00000000-0005-0000-0000-000044040000}"/>
    <cellStyle name="Normal 3 2 2 2 8 2" xfId="1299" xr:uid="{00000000-0005-0000-0000-000045040000}"/>
    <cellStyle name="Normal 3 2 2 2 8 2 2" xfId="3113" xr:uid="{00000000-0005-0000-0000-000046040000}"/>
    <cellStyle name="Normal 3 2 2 2 8 2 2 2" xfId="6741" xr:uid="{00000000-0005-0000-0000-000047040000}"/>
    <cellStyle name="Normal 3 2 2 2 8 2 2 2 2" xfId="21253" xr:uid="{00000000-0005-0000-0000-000048040000}"/>
    <cellStyle name="Normal 3 2 2 2 8 2 2 2 3" xfId="13997" xr:uid="{00000000-0005-0000-0000-000049040000}"/>
    <cellStyle name="Normal 3 2 2 2 8 2 2 3" xfId="17625" xr:uid="{00000000-0005-0000-0000-00004A040000}"/>
    <cellStyle name="Normal 3 2 2 2 8 2 2 4" xfId="10369" xr:uid="{00000000-0005-0000-0000-00004B040000}"/>
    <cellStyle name="Normal 3 2 2 2 8 2 3" xfId="4927" xr:uid="{00000000-0005-0000-0000-00004C040000}"/>
    <cellStyle name="Normal 3 2 2 2 8 2 3 2" xfId="19439" xr:uid="{00000000-0005-0000-0000-00004D040000}"/>
    <cellStyle name="Normal 3 2 2 2 8 2 3 3" xfId="12183" xr:uid="{00000000-0005-0000-0000-00004E040000}"/>
    <cellStyle name="Normal 3 2 2 2 8 2 4" xfId="15811" xr:uid="{00000000-0005-0000-0000-00004F040000}"/>
    <cellStyle name="Normal 3 2 2 2 8 2 5" xfId="8555" xr:uid="{00000000-0005-0000-0000-000050040000}"/>
    <cellStyle name="Normal 3 2 2 2 8 3" xfId="2206" xr:uid="{00000000-0005-0000-0000-000051040000}"/>
    <cellStyle name="Normal 3 2 2 2 8 3 2" xfId="5834" xr:uid="{00000000-0005-0000-0000-000052040000}"/>
    <cellStyle name="Normal 3 2 2 2 8 3 2 2" xfId="20346" xr:uid="{00000000-0005-0000-0000-000053040000}"/>
    <cellStyle name="Normal 3 2 2 2 8 3 2 3" xfId="13090" xr:uid="{00000000-0005-0000-0000-000054040000}"/>
    <cellStyle name="Normal 3 2 2 2 8 3 3" xfId="16718" xr:uid="{00000000-0005-0000-0000-000055040000}"/>
    <cellStyle name="Normal 3 2 2 2 8 3 4" xfId="9462" xr:uid="{00000000-0005-0000-0000-000056040000}"/>
    <cellStyle name="Normal 3 2 2 2 8 4" xfId="4020" xr:uid="{00000000-0005-0000-0000-000057040000}"/>
    <cellStyle name="Normal 3 2 2 2 8 4 2" xfId="18532" xr:uid="{00000000-0005-0000-0000-000058040000}"/>
    <cellStyle name="Normal 3 2 2 2 8 4 3" xfId="11276" xr:uid="{00000000-0005-0000-0000-000059040000}"/>
    <cellStyle name="Normal 3 2 2 2 8 5" xfId="14904" xr:uid="{00000000-0005-0000-0000-00005A040000}"/>
    <cellStyle name="Normal 3 2 2 2 8 6" xfId="7648" xr:uid="{00000000-0005-0000-0000-00005B040000}"/>
    <cellStyle name="Normal 3 2 2 2 9" xfId="867" xr:uid="{00000000-0005-0000-0000-00005C040000}"/>
    <cellStyle name="Normal 3 2 2 2 9 2" xfId="1775" xr:uid="{00000000-0005-0000-0000-00005D040000}"/>
    <cellStyle name="Normal 3 2 2 2 9 2 2" xfId="3589" xr:uid="{00000000-0005-0000-0000-00005E040000}"/>
    <cellStyle name="Normal 3 2 2 2 9 2 2 2" xfId="7217" xr:uid="{00000000-0005-0000-0000-00005F040000}"/>
    <cellStyle name="Normal 3 2 2 2 9 2 2 2 2" xfId="21729" xr:uid="{00000000-0005-0000-0000-000060040000}"/>
    <cellStyle name="Normal 3 2 2 2 9 2 2 2 3" xfId="14473" xr:uid="{00000000-0005-0000-0000-000061040000}"/>
    <cellStyle name="Normal 3 2 2 2 9 2 2 3" xfId="18101" xr:uid="{00000000-0005-0000-0000-000062040000}"/>
    <cellStyle name="Normal 3 2 2 2 9 2 2 4" xfId="10845" xr:uid="{00000000-0005-0000-0000-000063040000}"/>
    <cellStyle name="Normal 3 2 2 2 9 2 3" xfId="5403" xr:uid="{00000000-0005-0000-0000-000064040000}"/>
    <cellStyle name="Normal 3 2 2 2 9 2 3 2" xfId="19915" xr:uid="{00000000-0005-0000-0000-000065040000}"/>
    <cellStyle name="Normal 3 2 2 2 9 2 3 3" xfId="12659" xr:uid="{00000000-0005-0000-0000-000066040000}"/>
    <cellStyle name="Normal 3 2 2 2 9 2 4" xfId="16287" xr:uid="{00000000-0005-0000-0000-000067040000}"/>
    <cellStyle name="Normal 3 2 2 2 9 2 5" xfId="9031" xr:uid="{00000000-0005-0000-0000-000068040000}"/>
    <cellStyle name="Normal 3 2 2 2 9 3" xfId="2682" xr:uid="{00000000-0005-0000-0000-000069040000}"/>
    <cellStyle name="Normal 3 2 2 2 9 3 2" xfId="6310" xr:uid="{00000000-0005-0000-0000-00006A040000}"/>
    <cellStyle name="Normal 3 2 2 2 9 3 2 2" xfId="20822" xr:uid="{00000000-0005-0000-0000-00006B040000}"/>
    <cellStyle name="Normal 3 2 2 2 9 3 2 3" xfId="13566" xr:uid="{00000000-0005-0000-0000-00006C040000}"/>
    <cellStyle name="Normal 3 2 2 2 9 3 3" xfId="17194" xr:uid="{00000000-0005-0000-0000-00006D040000}"/>
    <cellStyle name="Normal 3 2 2 2 9 3 4" xfId="9938" xr:uid="{00000000-0005-0000-0000-00006E040000}"/>
    <cellStyle name="Normal 3 2 2 2 9 4" xfId="4496" xr:uid="{00000000-0005-0000-0000-00006F040000}"/>
    <cellStyle name="Normal 3 2 2 2 9 4 2" xfId="19008" xr:uid="{00000000-0005-0000-0000-000070040000}"/>
    <cellStyle name="Normal 3 2 2 2 9 4 3" xfId="11752" xr:uid="{00000000-0005-0000-0000-000071040000}"/>
    <cellStyle name="Normal 3 2 2 2 9 5" xfId="15380" xr:uid="{00000000-0005-0000-0000-000072040000}"/>
    <cellStyle name="Normal 3 2 2 2 9 6" xfId="8124" xr:uid="{00000000-0005-0000-0000-000073040000}"/>
    <cellStyle name="Normal 3 2 2 3" xfId="54" xr:uid="{00000000-0005-0000-0000-000074040000}"/>
    <cellStyle name="Normal 3 2 2 3 10" xfId="1871" xr:uid="{00000000-0005-0000-0000-000075040000}"/>
    <cellStyle name="Normal 3 2 2 3 10 2" xfId="5499" xr:uid="{00000000-0005-0000-0000-000076040000}"/>
    <cellStyle name="Normal 3 2 2 3 10 2 2" xfId="20011" xr:uid="{00000000-0005-0000-0000-000077040000}"/>
    <cellStyle name="Normal 3 2 2 3 10 2 3" xfId="12755" xr:uid="{00000000-0005-0000-0000-000078040000}"/>
    <cellStyle name="Normal 3 2 2 3 10 3" xfId="16383" xr:uid="{00000000-0005-0000-0000-000079040000}"/>
    <cellStyle name="Normal 3 2 2 3 10 4" xfId="9127" xr:uid="{00000000-0005-0000-0000-00007A040000}"/>
    <cellStyle name="Normal 3 2 2 3 11" xfId="3685" xr:uid="{00000000-0005-0000-0000-00007B040000}"/>
    <cellStyle name="Normal 3 2 2 3 11 2" xfId="18197" xr:uid="{00000000-0005-0000-0000-00007C040000}"/>
    <cellStyle name="Normal 3 2 2 3 11 3" xfId="10941" xr:uid="{00000000-0005-0000-0000-00007D040000}"/>
    <cellStyle name="Normal 3 2 2 3 12" xfId="14569" xr:uid="{00000000-0005-0000-0000-00007E040000}"/>
    <cellStyle name="Normal 3 2 2 3 13" xfId="7313" xr:uid="{00000000-0005-0000-0000-00007F040000}"/>
    <cellStyle name="Normal 3 2 2 3 2" xfId="96" xr:uid="{00000000-0005-0000-0000-000080040000}"/>
    <cellStyle name="Normal 3 2 2 3 2 10" xfId="14611" xr:uid="{00000000-0005-0000-0000-000081040000}"/>
    <cellStyle name="Normal 3 2 2 3 2 11" xfId="7355" xr:uid="{00000000-0005-0000-0000-000082040000}"/>
    <cellStyle name="Normal 3 2 2 3 2 2" xfId="184" xr:uid="{00000000-0005-0000-0000-000083040000}"/>
    <cellStyle name="Normal 3 2 2 3 2 2 2" xfId="530" xr:uid="{00000000-0005-0000-0000-000084040000}"/>
    <cellStyle name="Normal 3 2 2 3 2 2 2 2" xfId="1438" xr:uid="{00000000-0005-0000-0000-000085040000}"/>
    <cellStyle name="Normal 3 2 2 3 2 2 2 2 2" xfId="3252" xr:uid="{00000000-0005-0000-0000-000086040000}"/>
    <cellStyle name="Normal 3 2 2 3 2 2 2 2 2 2" xfId="6880" xr:uid="{00000000-0005-0000-0000-000087040000}"/>
    <cellStyle name="Normal 3 2 2 3 2 2 2 2 2 2 2" xfId="21392" xr:uid="{00000000-0005-0000-0000-000088040000}"/>
    <cellStyle name="Normal 3 2 2 3 2 2 2 2 2 2 3" xfId="14136" xr:uid="{00000000-0005-0000-0000-000089040000}"/>
    <cellStyle name="Normal 3 2 2 3 2 2 2 2 2 3" xfId="17764" xr:uid="{00000000-0005-0000-0000-00008A040000}"/>
    <cellStyle name="Normal 3 2 2 3 2 2 2 2 2 4" xfId="10508" xr:uid="{00000000-0005-0000-0000-00008B040000}"/>
    <cellStyle name="Normal 3 2 2 3 2 2 2 2 3" xfId="5066" xr:uid="{00000000-0005-0000-0000-00008C040000}"/>
    <cellStyle name="Normal 3 2 2 3 2 2 2 2 3 2" xfId="19578" xr:uid="{00000000-0005-0000-0000-00008D040000}"/>
    <cellStyle name="Normal 3 2 2 3 2 2 2 2 3 3" xfId="12322" xr:uid="{00000000-0005-0000-0000-00008E040000}"/>
    <cellStyle name="Normal 3 2 2 3 2 2 2 2 4" xfId="15950" xr:uid="{00000000-0005-0000-0000-00008F040000}"/>
    <cellStyle name="Normal 3 2 2 3 2 2 2 2 5" xfId="8694" xr:uid="{00000000-0005-0000-0000-000090040000}"/>
    <cellStyle name="Normal 3 2 2 3 2 2 2 3" xfId="2345" xr:uid="{00000000-0005-0000-0000-000091040000}"/>
    <cellStyle name="Normal 3 2 2 3 2 2 2 3 2" xfId="5973" xr:uid="{00000000-0005-0000-0000-000092040000}"/>
    <cellStyle name="Normal 3 2 2 3 2 2 2 3 2 2" xfId="20485" xr:uid="{00000000-0005-0000-0000-000093040000}"/>
    <cellStyle name="Normal 3 2 2 3 2 2 2 3 2 3" xfId="13229" xr:uid="{00000000-0005-0000-0000-000094040000}"/>
    <cellStyle name="Normal 3 2 2 3 2 2 2 3 3" xfId="16857" xr:uid="{00000000-0005-0000-0000-000095040000}"/>
    <cellStyle name="Normal 3 2 2 3 2 2 2 3 4" xfId="9601" xr:uid="{00000000-0005-0000-0000-000096040000}"/>
    <cellStyle name="Normal 3 2 2 3 2 2 2 4" xfId="4159" xr:uid="{00000000-0005-0000-0000-000097040000}"/>
    <cellStyle name="Normal 3 2 2 3 2 2 2 4 2" xfId="18671" xr:uid="{00000000-0005-0000-0000-000098040000}"/>
    <cellStyle name="Normal 3 2 2 3 2 2 2 4 3" xfId="11415" xr:uid="{00000000-0005-0000-0000-000099040000}"/>
    <cellStyle name="Normal 3 2 2 3 2 2 2 5" xfId="15043" xr:uid="{00000000-0005-0000-0000-00009A040000}"/>
    <cellStyle name="Normal 3 2 2 3 2 2 2 6" xfId="7787" xr:uid="{00000000-0005-0000-0000-00009B040000}"/>
    <cellStyle name="Normal 3 2 2 3 2 2 3" xfId="1092" xr:uid="{00000000-0005-0000-0000-00009C040000}"/>
    <cellStyle name="Normal 3 2 2 3 2 2 3 2" xfId="2906" xr:uid="{00000000-0005-0000-0000-00009D040000}"/>
    <cellStyle name="Normal 3 2 2 3 2 2 3 2 2" xfId="6534" xr:uid="{00000000-0005-0000-0000-00009E040000}"/>
    <cellStyle name="Normal 3 2 2 3 2 2 3 2 2 2" xfId="21046" xr:uid="{00000000-0005-0000-0000-00009F040000}"/>
    <cellStyle name="Normal 3 2 2 3 2 2 3 2 2 3" xfId="13790" xr:uid="{00000000-0005-0000-0000-0000A0040000}"/>
    <cellStyle name="Normal 3 2 2 3 2 2 3 2 3" xfId="17418" xr:uid="{00000000-0005-0000-0000-0000A1040000}"/>
    <cellStyle name="Normal 3 2 2 3 2 2 3 2 4" xfId="10162" xr:uid="{00000000-0005-0000-0000-0000A2040000}"/>
    <cellStyle name="Normal 3 2 2 3 2 2 3 3" xfId="4720" xr:uid="{00000000-0005-0000-0000-0000A3040000}"/>
    <cellStyle name="Normal 3 2 2 3 2 2 3 3 2" xfId="19232" xr:uid="{00000000-0005-0000-0000-0000A4040000}"/>
    <cellStyle name="Normal 3 2 2 3 2 2 3 3 3" xfId="11976" xr:uid="{00000000-0005-0000-0000-0000A5040000}"/>
    <cellStyle name="Normal 3 2 2 3 2 2 3 4" xfId="15604" xr:uid="{00000000-0005-0000-0000-0000A6040000}"/>
    <cellStyle name="Normal 3 2 2 3 2 2 3 5" xfId="8348" xr:uid="{00000000-0005-0000-0000-0000A7040000}"/>
    <cellStyle name="Normal 3 2 2 3 2 2 4" xfId="1999" xr:uid="{00000000-0005-0000-0000-0000A8040000}"/>
    <cellStyle name="Normal 3 2 2 3 2 2 4 2" xfId="5627" xr:uid="{00000000-0005-0000-0000-0000A9040000}"/>
    <cellStyle name="Normal 3 2 2 3 2 2 4 2 2" xfId="20139" xr:uid="{00000000-0005-0000-0000-0000AA040000}"/>
    <cellStyle name="Normal 3 2 2 3 2 2 4 2 3" xfId="12883" xr:uid="{00000000-0005-0000-0000-0000AB040000}"/>
    <cellStyle name="Normal 3 2 2 3 2 2 4 3" xfId="16511" xr:uid="{00000000-0005-0000-0000-0000AC040000}"/>
    <cellStyle name="Normal 3 2 2 3 2 2 4 4" xfId="9255" xr:uid="{00000000-0005-0000-0000-0000AD040000}"/>
    <cellStyle name="Normal 3 2 2 3 2 2 5" xfId="3813" xr:uid="{00000000-0005-0000-0000-0000AE040000}"/>
    <cellStyle name="Normal 3 2 2 3 2 2 5 2" xfId="18325" xr:uid="{00000000-0005-0000-0000-0000AF040000}"/>
    <cellStyle name="Normal 3 2 2 3 2 2 5 3" xfId="11069" xr:uid="{00000000-0005-0000-0000-0000B0040000}"/>
    <cellStyle name="Normal 3 2 2 3 2 2 6" xfId="14697" xr:uid="{00000000-0005-0000-0000-0000B1040000}"/>
    <cellStyle name="Normal 3 2 2 3 2 2 7" xfId="7441" xr:uid="{00000000-0005-0000-0000-0000B2040000}"/>
    <cellStyle name="Normal 3 2 2 3 2 3" xfId="314" xr:uid="{00000000-0005-0000-0000-0000B3040000}"/>
    <cellStyle name="Normal 3 2 2 3 2 3 2" xfId="660" xr:uid="{00000000-0005-0000-0000-0000B4040000}"/>
    <cellStyle name="Normal 3 2 2 3 2 3 2 2" xfId="1568" xr:uid="{00000000-0005-0000-0000-0000B5040000}"/>
    <cellStyle name="Normal 3 2 2 3 2 3 2 2 2" xfId="3382" xr:uid="{00000000-0005-0000-0000-0000B6040000}"/>
    <cellStyle name="Normal 3 2 2 3 2 3 2 2 2 2" xfId="7010" xr:uid="{00000000-0005-0000-0000-0000B7040000}"/>
    <cellStyle name="Normal 3 2 2 3 2 3 2 2 2 2 2" xfId="21522" xr:uid="{00000000-0005-0000-0000-0000B8040000}"/>
    <cellStyle name="Normal 3 2 2 3 2 3 2 2 2 2 3" xfId="14266" xr:uid="{00000000-0005-0000-0000-0000B9040000}"/>
    <cellStyle name="Normal 3 2 2 3 2 3 2 2 2 3" xfId="17894" xr:uid="{00000000-0005-0000-0000-0000BA040000}"/>
    <cellStyle name="Normal 3 2 2 3 2 3 2 2 2 4" xfId="10638" xr:uid="{00000000-0005-0000-0000-0000BB040000}"/>
    <cellStyle name="Normal 3 2 2 3 2 3 2 2 3" xfId="5196" xr:uid="{00000000-0005-0000-0000-0000BC040000}"/>
    <cellStyle name="Normal 3 2 2 3 2 3 2 2 3 2" xfId="19708" xr:uid="{00000000-0005-0000-0000-0000BD040000}"/>
    <cellStyle name="Normal 3 2 2 3 2 3 2 2 3 3" xfId="12452" xr:uid="{00000000-0005-0000-0000-0000BE040000}"/>
    <cellStyle name="Normal 3 2 2 3 2 3 2 2 4" xfId="16080" xr:uid="{00000000-0005-0000-0000-0000BF040000}"/>
    <cellStyle name="Normal 3 2 2 3 2 3 2 2 5" xfId="8824" xr:uid="{00000000-0005-0000-0000-0000C0040000}"/>
    <cellStyle name="Normal 3 2 2 3 2 3 2 3" xfId="2475" xr:uid="{00000000-0005-0000-0000-0000C1040000}"/>
    <cellStyle name="Normal 3 2 2 3 2 3 2 3 2" xfId="6103" xr:uid="{00000000-0005-0000-0000-0000C2040000}"/>
    <cellStyle name="Normal 3 2 2 3 2 3 2 3 2 2" xfId="20615" xr:uid="{00000000-0005-0000-0000-0000C3040000}"/>
    <cellStyle name="Normal 3 2 2 3 2 3 2 3 2 3" xfId="13359" xr:uid="{00000000-0005-0000-0000-0000C4040000}"/>
    <cellStyle name="Normal 3 2 2 3 2 3 2 3 3" xfId="16987" xr:uid="{00000000-0005-0000-0000-0000C5040000}"/>
    <cellStyle name="Normal 3 2 2 3 2 3 2 3 4" xfId="9731" xr:uid="{00000000-0005-0000-0000-0000C6040000}"/>
    <cellStyle name="Normal 3 2 2 3 2 3 2 4" xfId="4289" xr:uid="{00000000-0005-0000-0000-0000C7040000}"/>
    <cellStyle name="Normal 3 2 2 3 2 3 2 4 2" xfId="18801" xr:uid="{00000000-0005-0000-0000-0000C8040000}"/>
    <cellStyle name="Normal 3 2 2 3 2 3 2 4 3" xfId="11545" xr:uid="{00000000-0005-0000-0000-0000C9040000}"/>
    <cellStyle name="Normal 3 2 2 3 2 3 2 5" xfId="15173" xr:uid="{00000000-0005-0000-0000-0000CA040000}"/>
    <cellStyle name="Normal 3 2 2 3 2 3 2 6" xfId="7917" xr:uid="{00000000-0005-0000-0000-0000CB040000}"/>
    <cellStyle name="Normal 3 2 2 3 2 3 3" xfId="1222" xr:uid="{00000000-0005-0000-0000-0000CC040000}"/>
    <cellStyle name="Normal 3 2 2 3 2 3 3 2" xfId="3036" xr:uid="{00000000-0005-0000-0000-0000CD040000}"/>
    <cellStyle name="Normal 3 2 2 3 2 3 3 2 2" xfId="6664" xr:uid="{00000000-0005-0000-0000-0000CE040000}"/>
    <cellStyle name="Normal 3 2 2 3 2 3 3 2 2 2" xfId="21176" xr:uid="{00000000-0005-0000-0000-0000CF040000}"/>
    <cellStyle name="Normal 3 2 2 3 2 3 3 2 2 3" xfId="13920" xr:uid="{00000000-0005-0000-0000-0000D0040000}"/>
    <cellStyle name="Normal 3 2 2 3 2 3 3 2 3" xfId="17548" xr:uid="{00000000-0005-0000-0000-0000D1040000}"/>
    <cellStyle name="Normal 3 2 2 3 2 3 3 2 4" xfId="10292" xr:uid="{00000000-0005-0000-0000-0000D2040000}"/>
    <cellStyle name="Normal 3 2 2 3 2 3 3 3" xfId="4850" xr:uid="{00000000-0005-0000-0000-0000D3040000}"/>
    <cellStyle name="Normal 3 2 2 3 2 3 3 3 2" xfId="19362" xr:uid="{00000000-0005-0000-0000-0000D4040000}"/>
    <cellStyle name="Normal 3 2 2 3 2 3 3 3 3" xfId="12106" xr:uid="{00000000-0005-0000-0000-0000D5040000}"/>
    <cellStyle name="Normal 3 2 2 3 2 3 3 4" xfId="15734" xr:uid="{00000000-0005-0000-0000-0000D6040000}"/>
    <cellStyle name="Normal 3 2 2 3 2 3 3 5" xfId="8478" xr:uid="{00000000-0005-0000-0000-0000D7040000}"/>
    <cellStyle name="Normal 3 2 2 3 2 3 4" xfId="2129" xr:uid="{00000000-0005-0000-0000-0000D8040000}"/>
    <cellStyle name="Normal 3 2 2 3 2 3 4 2" xfId="5757" xr:uid="{00000000-0005-0000-0000-0000D9040000}"/>
    <cellStyle name="Normal 3 2 2 3 2 3 4 2 2" xfId="20269" xr:uid="{00000000-0005-0000-0000-0000DA040000}"/>
    <cellStyle name="Normal 3 2 2 3 2 3 4 2 3" xfId="13013" xr:uid="{00000000-0005-0000-0000-0000DB040000}"/>
    <cellStyle name="Normal 3 2 2 3 2 3 4 3" xfId="16641" xr:uid="{00000000-0005-0000-0000-0000DC040000}"/>
    <cellStyle name="Normal 3 2 2 3 2 3 4 4" xfId="9385" xr:uid="{00000000-0005-0000-0000-0000DD040000}"/>
    <cellStyle name="Normal 3 2 2 3 2 3 5" xfId="3943" xr:uid="{00000000-0005-0000-0000-0000DE040000}"/>
    <cellStyle name="Normal 3 2 2 3 2 3 5 2" xfId="18455" xr:uid="{00000000-0005-0000-0000-0000DF040000}"/>
    <cellStyle name="Normal 3 2 2 3 2 3 5 3" xfId="11199" xr:uid="{00000000-0005-0000-0000-0000E0040000}"/>
    <cellStyle name="Normal 3 2 2 3 2 3 6" xfId="14827" xr:uid="{00000000-0005-0000-0000-0000E1040000}"/>
    <cellStyle name="Normal 3 2 2 3 2 3 7" xfId="7571" xr:uid="{00000000-0005-0000-0000-0000E2040000}"/>
    <cellStyle name="Normal 3 2 2 3 2 4" xfId="790" xr:uid="{00000000-0005-0000-0000-0000E3040000}"/>
    <cellStyle name="Normal 3 2 2 3 2 4 2" xfId="1698" xr:uid="{00000000-0005-0000-0000-0000E4040000}"/>
    <cellStyle name="Normal 3 2 2 3 2 4 2 2" xfId="3512" xr:uid="{00000000-0005-0000-0000-0000E5040000}"/>
    <cellStyle name="Normal 3 2 2 3 2 4 2 2 2" xfId="7140" xr:uid="{00000000-0005-0000-0000-0000E6040000}"/>
    <cellStyle name="Normal 3 2 2 3 2 4 2 2 2 2" xfId="21652" xr:uid="{00000000-0005-0000-0000-0000E7040000}"/>
    <cellStyle name="Normal 3 2 2 3 2 4 2 2 2 3" xfId="14396" xr:uid="{00000000-0005-0000-0000-0000E8040000}"/>
    <cellStyle name="Normal 3 2 2 3 2 4 2 2 3" xfId="18024" xr:uid="{00000000-0005-0000-0000-0000E9040000}"/>
    <cellStyle name="Normal 3 2 2 3 2 4 2 2 4" xfId="10768" xr:uid="{00000000-0005-0000-0000-0000EA040000}"/>
    <cellStyle name="Normal 3 2 2 3 2 4 2 3" xfId="5326" xr:uid="{00000000-0005-0000-0000-0000EB040000}"/>
    <cellStyle name="Normal 3 2 2 3 2 4 2 3 2" xfId="19838" xr:uid="{00000000-0005-0000-0000-0000EC040000}"/>
    <cellStyle name="Normal 3 2 2 3 2 4 2 3 3" xfId="12582" xr:uid="{00000000-0005-0000-0000-0000ED040000}"/>
    <cellStyle name="Normal 3 2 2 3 2 4 2 4" xfId="16210" xr:uid="{00000000-0005-0000-0000-0000EE040000}"/>
    <cellStyle name="Normal 3 2 2 3 2 4 2 5" xfId="8954" xr:uid="{00000000-0005-0000-0000-0000EF040000}"/>
    <cellStyle name="Normal 3 2 2 3 2 4 3" xfId="2605" xr:uid="{00000000-0005-0000-0000-0000F0040000}"/>
    <cellStyle name="Normal 3 2 2 3 2 4 3 2" xfId="6233" xr:uid="{00000000-0005-0000-0000-0000F1040000}"/>
    <cellStyle name="Normal 3 2 2 3 2 4 3 2 2" xfId="20745" xr:uid="{00000000-0005-0000-0000-0000F2040000}"/>
    <cellStyle name="Normal 3 2 2 3 2 4 3 2 3" xfId="13489" xr:uid="{00000000-0005-0000-0000-0000F3040000}"/>
    <cellStyle name="Normal 3 2 2 3 2 4 3 3" xfId="17117" xr:uid="{00000000-0005-0000-0000-0000F4040000}"/>
    <cellStyle name="Normal 3 2 2 3 2 4 3 4" xfId="9861" xr:uid="{00000000-0005-0000-0000-0000F5040000}"/>
    <cellStyle name="Normal 3 2 2 3 2 4 4" xfId="4419" xr:uid="{00000000-0005-0000-0000-0000F6040000}"/>
    <cellStyle name="Normal 3 2 2 3 2 4 4 2" xfId="18931" xr:uid="{00000000-0005-0000-0000-0000F7040000}"/>
    <cellStyle name="Normal 3 2 2 3 2 4 4 3" xfId="11675" xr:uid="{00000000-0005-0000-0000-0000F8040000}"/>
    <cellStyle name="Normal 3 2 2 3 2 4 5" xfId="15303" xr:uid="{00000000-0005-0000-0000-0000F9040000}"/>
    <cellStyle name="Normal 3 2 2 3 2 4 6" xfId="8047" xr:uid="{00000000-0005-0000-0000-0000FA040000}"/>
    <cellStyle name="Normal 3 2 2 3 2 5" xfId="444" xr:uid="{00000000-0005-0000-0000-0000FB040000}"/>
    <cellStyle name="Normal 3 2 2 3 2 5 2" xfId="1352" xr:uid="{00000000-0005-0000-0000-0000FC040000}"/>
    <cellStyle name="Normal 3 2 2 3 2 5 2 2" xfId="3166" xr:uid="{00000000-0005-0000-0000-0000FD040000}"/>
    <cellStyle name="Normal 3 2 2 3 2 5 2 2 2" xfId="6794" xr:uid="{00000000-0005-0000-0000-0000FE040000}"/>
    <cellStyle name="Normal 3 2 2 3 2 5 2 2 2 2" xfId="21306" xr:uid="{00000000-0005-0000-0000-0000FF040000}"/>
    <cellStyle name="Normal 3 2 2 3 2 5 2 2 2 3" xfId="14050" xr:uid="{00000000-0005-0000-0000-000000050000}"/>
    <cellStyle name="Normal 3 2 2 3 2 5 2 2 3" xfId="17678" xr:uid="{00000000-0005-0000-0000-000001050000}"/>
    <cellStyle name="Normal 3 2 2 3 2 5 2 2 4" xfId="10422" xr:uid="{00000000-0005-0000-0000-000002050000}"/>
    <cellStyle name="Normal 3 2 2 3 2 5 2 3" xfId="4980" xr:uid="{00000000-0005-0000-0000-000003050000}"/>
    <cellStyle name="Normal 3 2 2 3 2 5 2 3 2" xfId="19492" xr:uid="{00000000-0005-0000-0000-000004050000}"/>
    <cellStyle name="Normal 3 2 2 3 2 5 2 3 3" xfId="12236" xr:uid="{00000000-0005-0000-0000-000005050000}"/>
    <cellStyle name="Normal 3 2 2 3 2 5 2 4" xfId="15864" xr:uid="{00000000-0005-0000-0000-000006050000}"/>
    <cellStyle name="Normal 3 2 2 3 2 5 2 5" xfId="8608" xr:uid="{00000000-0005-0000-0000-000007050000}"/>
    <cellStyle name="Normal 3 2 2 3 2 5 3" xfId="2259" xr:uid="{00000000-0005-0000-0000-000008050000}"/>
    <cellStyle name="Normal 3 2 2 3 2 5 3 2" xfId="5887" xr:uid="{00000000-0005-0000-0000-000009050000}"/>
    <cellStyle name="Normal 3 2 2 3 2 5 3 2 2" xfId="20399" xr:uid="{00000000-0005-0000-0000-00000A050000}"/>
    <cellStyle name="Normal 3 2 2 3 2 5 3 2 3" xfId="13143" xr:uid="{00000000-0005-0000-0000-00000B050000}"/>
    <cellStyle name="Normal 3 2 2 3 2 5 3 3" xfId="16771" xr:uid="{00000000-0005-0000-0000-00000C050000}"/>
    <cellStyle name="Normal 3 2 2 3 2 5 3 4" xfId="9515" xr:uid="{00000000-0005-0000-0000-00000D050000}"/>
    <cellStyle name="Normal 3 2 2 3 2 5 4" xfId="4073" xr:uid="{00000000-0005-0000-0000-00000E050000}"/>
    <cellStyle name="Normal 3 2 2 3 2 5 4 2" xfId="18585" xr:uid="{00000000-0005-0000-0000-00000F050000}"/>
    <cellStyle name="Normal 3 2 2 3 2 5 4 3" xfId="11329" xr:uid="{00000000-0005-0000-0000-000010050000}"/>
    <cellStyle name="Normal 3 2 2 3 2 5 5" xfId="14957" xr:uid="{00000000-0005-0000-0000-000011050000}"/>
    <cellStyle name="Normal 3 2 2 3 2 5 6" xfId="7701" xr:uid="{00000000-0005-0000-0000-000012050000}"/>
    <cellStyle name="Normal 3 2 2 3 2 6" xfId="914" xr:uid="{00000000-0005-0000-0000-000013050000}"/>
    <cellStyle name="Normal 3 2 2 3 2 6 2" xfId="1821" xr:uid="{00000000-0005-0000-0000-000014050000}"/>
    <cellStyle name="Normal 3 2 2 3 2 6 2 2" xfId="3635" xr:uid="{00000000-0005-0000-0000-000015050000}"/>
    <cellStyle name="Normal 3 2 2 3 2 6 2 2 2" xfId="7263" xr:uid="{00000000-0005-0000-0000-000016050000}"/>
    <cellStyle name="Normal 3 2 2 3 2 6 2 2 2 2" xfId="21775" xr:uid="{00000000-0005-0000-0000-000017050000}"/>
    <cellStyle name="Normal 3 2 2 3 2 6 2 2 2 3" xfId="14519" xr:uid="{00000000-0005-0000-0000-000018050000}"/>
    <cellStyle name="Normal 3 2 2 3 2 6 2 2 3" xfId="18147" xr:uid="{00000000-0005-0000-0000-000019050000}"/>
    <cellStyle name="Normal 3 2 2 3 2 6 2 2 4" xfId="10891" xr:uid="{00000000-0005-0000-0000-00001A050000}"/>
    <cellStyle name="Normal 3 2 2 3 2 6 2 3" xfId="5449" xr:uid="{00000000-0005-0000-0000-00001B050000}"/>
    <cellStyle name="Normal 3 2 2 3 2 6 2 3 2" xfId="19961" xr:uid="{00000000-0005-0000-0000-00001C050000}"/>
    <cellStyle name="Normal 3 2 2 3 2 6 2 3 3" xfId="12705" xr:uid="{00000000-0005-0000-0000-00001D050000}"/>
    <cellStyle name="Normal 3 2 2 3 2 6 2 4" xfId="16333" xr:uid="{00000000-0005-0000-0000-00001E050000}"/>
    <cellStyle name="Normal 3 2 2 3 2 6 2 5" xfId="9077" xr:uid="{00000000-0005-0000-0000-00001F050000}"/>
    <cellStyle name="Normal 3 2 2 3 2 6 3" xfId="2728" xr:uid="{00000000-0005-0000-0000-000020050000}"/>
    <cellStyle name="Normal 3 2 2 3 2 6 3 2" xfId="6356" xr:uid="{00000000-0005-0000-0000-000021050000}"/>
    <cellStyle name="Normal 3 2 2 3 2 6 3 2 2" xfId="20868" xr:uid="{00000000-0005-0000-0000-000022050000}"/>
    <cellStyle name="Normal 3 2 2 3 2 6 3 2 3" xfId="13612" xr:uid="{00000000-0005-0000-0000-000023050000}"/>
    <cellStyle name="Normal 3 2 2 3 2 6 3 3" xfId="17240" xr:uid="{00000000-0005-0000-0000-000024050000}"/>
    <cellStyle name="Normal 3 2 2 3 2 6 3 4" xfId="9984" xr:uid="{00000000-0005-0000-0000-000025050000}"/>
    <cellStyle name="Normal 3 2 2 3 2 6 4" xfId="4542" xr:uid="{00000000-0005-0000-0000-000026050000}"/>
    <cellStyle name="Normal 3 2 2 3 2 6 4 2" xfId="19054" xr:uid="{00000000-0005-0000-0000-000027050000}"/>
    <cellStyle name="Normal 3 2 2 3 2 6 4 3" xfId="11798" xr:uid="{00000000-0005-0000-0000-000028050000}"/>
    <cellStyle name="Normal 3 2 2 3 2 6 5" xfId="15426" xr:uid="{00000000-0005-0000-0000-000029050000}"/>
    <cellStyle name="Normal 3 2 2 3 2 6 6" xfId="8170" xr:uid="{00000000-0005-0000-0000-00002A050000}"/>
    <cellStyle name="Normal 3 2 2 3 2 7" xfId="1006" xr:uid="{00000000-0005-0000-0000-00002B050000}"/>
    <cellStyle name="Normal 3 2 2 3 2 7 2" xfId="2820" xr:uid="{00000000-0005-0000-0000-00002C050000}"/>
    <cellStyle name="Normal 3 2 2 3 2 7 2 2" xfId="6448" xr:uid="{00000000-0005-0000-0000-00002D050000}"/>
    <cellStyle name="Normal 3 2 2 3 2 7 2 2 2" xfId="20960" xr:uid="{00000000-0005-0000-0000-00002E050000}"/>
    <cellStyle name="Normal 3 2 2 3 2 7 2 2 3" xfId="13704" xr:uid="{00000000-0005-0000-0000-00002F050000}"/>
    <cellStyle name="Normal 3 2 2 3 2 7 2 3" xfId="17332" xr:uid="{00000000-0005-0000-0000-000030050000}"/>
    <cellStyle name="Normal 3 2 2 3 2 7 2 4" xfId="10076" xr:uid="{00000000-0005-0000-0000-000031050000}"/>
    <cellStyle name="Normal 3 2 2 3 2 7 3" xfId="4634" xr:uid="{00000000-0005-0000-0000-000032050000}"/>
    <cellStyle name="Normal 3 2 2 3 2 7 3 2" xfId="19146" xr:uid="{00000000-0005-0000-0000-000033050000}"/>
    <cellStyle name="Normal 3 2 2 3 2 7 3 3" xfId="11890" xr:uid="{00000000-0005-0000-0000-000034050000}"/>
    <cellStyle name="Normal 3 2 2 3 2 7 4" xfId="15518" xr:uid="{00000000-0005-0000-0000-000035050000}"/>
    <cellStyle name="Normal 3 2 2 3 2 7 5" xfId="8262" xr:uid="{00000000-0005-0000-0000-000036050000}"/>
    <cellStyle name="Normal 3 2 2 3 2 8" xfId="1913" xr:uid="{00000000-0005-0000-0000-000037050000}"/>
    <cellStyle name="Normal 3 2 2 3 2 8 2" xfId="5541" xr:uid="{00000000-0005-0000-0000-000038050000}"/>
    <cellStyle name="Normal 3 2 2 3 2 8 2 2" xfId="20053" xr:uid="{00000000-0005-0000-0000-000039050000}"/>
    <cellStyle name="Normal 3 2 2 3 2 8 2 3" xfId="12797" xr:uid="{00000000-0005-0000-0000-00003A050000}"/>
    <cellStyle name="Normal 3 2 2 3 2 8 3" xfId="16425" xr:uid="{00000000-0005-0000-0000-00003B050000}"/>
    <cellStyle name="Normal 3 2 2 3 2 8 4" xfId="9169" xr:uid="{00000000-0005-0000-0000-00003C050000}"/>
    <cellStyle name="Normal 3 2 2 3 2 9" xfId="3727" xr:uid="{00000000-0005-0000-0000-00003D050000}"/>
    <cellStyle name="Normal 3 2 2 3 2 9 2" xfId="18239" xr:uid="{00000000-0005-0000-0000-00003E050000}"/>
    <cellStyle name="Normal 3 2 2 3 2 9 3" xfId="10983" xr:uid="{00000000-0005-0000-0000-00003F050000}"/>
    <cellStyle name="Normal 3 2 2 3 3" xfId="228" xr:uid="{00000000-0005-0000-0000-000040050000}"/>
    <cellStyle name="Normal 3 2 2 3 3 2" xfId="358" xr:uid="{00000000-0005-0000-0000-000041050000}"/>
    <cellStyle name="Normal 3 2 2 3 3 2 2" xfId="704" xr:uid="{00000000-0005-0000-0000-000042050000}"/>
    <cellStyle name="Normal 3 2 2 3 3 2 2 2" xfId="1612" xr:uid="{00000000-0005-0000-0000-000043050000}"/>
    <cellStyle name="Normal 3 2 2 3 3 2 2 2 2" xfId="3426" xr:uid="{00000000-0005-0000-0000-000044050000}"/>
    <cellStyle name="Normal 3 2 2 3 3 2 2 2 2 2" xfId="7054" xr:uid="{00000000-0005-0000-0000-000045050000}"/>
    <cellStyle name="Normal 3 2 2 3 3 2 2 2 2 2 2" xfId="21566" xr:uid="{00000000-0005-0000-0000-000046050000}"/>
    <cellStyle name="Normal 3 2 2 3 3 2 2 2 2 2 3" xfId="14310" xr:uid="{00000000-0005-0000-0000-000047050000}"/>
    <cellStyle name="Normal 3 2 2 3 3 2 2 2 2 3" xfId="17938" xr:uid="{00000000-0005-0000-0000-000048050000}"/>
    <cellStyle name="Normal 3 2 2 3 3 2 2 2 2 4" xfId="10682" xr:uid="{00000000-0005-0000-0000-000049050000}"/>
    <cellStyle name="Normal 3 2 2 3 3 2 2 2 3" xfId="5240" xr:uid="{00000000-0005-0000-0000-00004A050000}"/>
    <cellStyle name="Normal 3 2 2 3 3 2 2 2 3 2" xfId="19752" xr:uid="{00000000-0005-0000-0000-00004B050000}"/>
    <cellStyle name="Normal 3 2 2 3 3 2 2 2 3 3" xfId="12496" xr:uid="{00000000-0005-0000-0000-00004C050000}"/>
    <cellStyle name="Normal 3 2 2 3 3 2 2 2 4" xfId="16124" xr:uid="{00000000-0005-0000-0000-00004D050000}"/>
    <cellStyle name="Normal 3 2 2 3 3 2 2 2 5" xfId="8868" xr:uid="{00000000-0005-0000-0000-00004E050000}"/>
    <cellStyle name="Normal 3 2 2 3 3 2 2 3" xfId="2519" xr:uid="{00000000-0005-0000-0000-00004F050000}"/>
    <cellStyle name="Normal 3 2 2 3 3 2 2 3 2" xfId="6147" xr:uid="{00000000-0005-0000-0000-000050050000}"/>
    <cellStyle name="Normal 3 2 2 3 3 2 2 3 2 2" xfId="20659" xr:uid="{00000000-0005-0000-0000-000051050000}"/>
    <cellStyle name="Normal 3 2 2 3 3 2 2 3 2 3" xfId="13403" xr:uid="{00000000-0005-0000-0000-000052050000}"/>
    <cellStyle name="Normal 3 2 2 3 3 2 2 3 3" xfId="17031" xr:uid="{00000000-0005-0000-0000-000053050000}"/>
    <cellStyle name="Normal 3 2 2 3 3 2 2 3 4" xfId="9775" xr:uid="{00000000-0005-0000-0000-000054050000}"/>
    <cellStyle name="Normal 3 2 2 3 3 2 2 4" xfId="4333" xr:uid="{00000000-0005-0000-0000-000055050000}"/>
    <cellStyle name="Normal 3 2 2 3 3 2 2 4 2" xfId="18845" xr:uid="{00000000-0005-0000-0000-000056050000}"/>
    <cellStyle name="Normal 3 2 2 3 3 2 2 4 3" xfId="11589" xr:uid="{00000000-0005-0000-0000-000057050000}"/>
    <cellStyle name="Normal 3 2 2 3 3 2 2 5" xfId="15217" xr:uid="{00000000-0005-0000-0000-000058050000}"/>
    <cellStyle name="Normal 3 2 2 3 3 2 2 6" xfId="7961" xr:uid="{00000000-0005-0000-0000-000059050000}"/>
    <cellStyle name="Normal 3 2 2 3 3 2 3" xfId="1266" xr:uid="{00000000-0005-0000-0000-00005A050000}"/>
    <cellStyle name="Normal 3 2 2 3 3 2 3 2" xfId="3080" xr:uid="{00000000-0005-0000-0000-00005B050000}"/>
    <cellStyle name="Normal 3 2 2 3 3 2 3 2 2" xfId="6708" xr:uid="{00000000-0005-0000-0000-00005C050000}"/>
    <cellStyle name="Normal 3 2 2 3 3 2 3 2 2 2" xfId="21220" xr:uid="{00000000-0005-0000-0000-00005D050000}"/>
    <cellStyle name="Normal 3 2 2 3 3 2 3 2 2 3" xfId="13964" xr:uid="{00000000-0005-0000-0000-00005E050000}"/>
    <cellStyle name="Normal 3 2 2 3 3 2 3 2 3" xfId="17592" xr:uid="{00000000-0005-0000-0000-00005F050000}"/>
    <cellStyle name="Normal 3 2 2 3 3 2 3 2 4" xfId="10336" xr:uid="{00000000-0005-0000-0000-000060050000}"/>
    <cellStyle name="Normal 3 2 2 3 3 2 3 3" xfId="4894" xr:uid="{00000000-0005-0000-0000-000061050000}"/>
    <cellStyle name="Normal 3 2 2 3 3 2 3 3 2" xfId="19406" xr:uid="{00000000-0005-0000-0000-000062050000}"/>
    <cellStyle name="Normal 3 2 2 3 3 2 3 3 3" xfId="12150" xr:uid="{00000000-0005-0000-0000-000063050000}"/>
    <cellStyle name="Normal 3 2 2 3 3 2 3 4" xfId="15778" xr:uid="{00000000-0005-0000-0000-000064050000}"/>
    <cellStyle name="Normal 3 2 2 3 3 2 3 5" xfId="8522" xr:uid="{00000000-0005-0000-0000-000065050000}"/>
    <cellStyle name="Normal 3 2 2 3 3 2 4" xfId="2173" xr:uid="{00000000-0005-0000-0000-000066050000}"/>
    <cellStyle name="Normal 3 2 2 3 3 2 4 2" xfId="5801" xr:uid="{00000000-0005-0000-0000-000067050000}"/>
    <cellStyle name="Normal 3 2 2 3 3 2 4 2 2" xfId="20313" xr:uid="{00000000-0005-0000-0000-000068050000}"/>
    <cellStyle name="Normal 3 2 2 3 3 2 4 2 3" xfId="13057" xr:uid="{00000000-0005-0000-0000-000069050000}"/>
    <cellStyle name="Normal 3 2 2 3 3 2 4 3" xfId="16685" xr:uid="{00000000-0005-0000-0000-00006A050000}"/>
    <cellStyle name="Normal 3 2 2 3 3 2 4 4" xfId="9429" xr:uid="{00000000-0005-0000-0000-00006B050000}"/>
    <cellStyle name="Normal 3 2 2 3 3 2 5" xfId="3987" xr:uid="{00000000-0005-0000-0000-00006C050000}"/>
    <cellStyle name="Normal 3 2 2 3 3 2 5 2" xfId="18499" xr:uid="{00000000-0005-0000-0000-00006D050000}"/>
    <cellStyle name="Normal 3 2 2 3 3 2 5 3" xfId="11243" xr:uid="{00000000-0005-0000-0000-00006E050000}"/>
    <cellStyle name="Normal 3 2 2 3 3 2 6" xfId="14871" xr:uid="{00000000-0005-0000-0000-00006F050000}"/>
    <cellStyle name="Normal 3 2 2 3 3 2 7" xfId="7615" xr:uid="{00000000-0005-0000-0000-000070050000}"/>
    <cellStyle name="Normal 3 2 2 3 3 3" xfId="834" xr:uid="{00000000-0005-0000-0000-000071050000}"/>
    <cellStyle name="Normal 3 2 2 3 3 3 2" xfId="1742" xr:uid="{00000000-0005-0000-0000-000072050000}"/>
    <cellStyle name="Normal 3 2 2 3 3 3 2 2" xfId="3556" xr:uid="{00000000-0005-0000-0000-000073050000}"/>
    <cellStyle name="Normal 3 2 2 3 3 3 2 2 2" xfId="7184" xr:uid="{00000000-0005-0000-0000-000074050000}"/>
    <cellStyle name="Normal 3 2 2 3 3 3 2 2 2 2" xfId="21696" xr:uid="{00000000-0005-0000-0000-000075050000}"/>
    <cellStyle name="Normal 3 2 2 3 3 3 2 2 2 3" xfId="14440" xr:uid="{00000000-0005-0000-0000-000076050000}"/>
    <cellStyle name="Normal 3 2 2 3 3 3 2 2 3" xfId="18068" xr:uid="{00000000-0005-0000-0000-000077050000}"/>
    <cellStyle name="Normal 3 2 2 3 3 3 2 2 4" xfId="10812" xr:uid="{00000000-0005-0000-0000-000078050000}"/>
    <cellStyle name="Normal 3 2 2 3 3 3 2 3" xfId="5370" xr:uid="{00000000-0005-0000-0000-000079050000}"/>
    <cellStyle name="Normal 3 2 2 3 3 3 2 3 2" xfId="19882" xr:uid="{00000000-0005-0000-0000-00007A050000}"/>
    <cellStyle name="Normal 3 2 2 3 3 3 2 3 3" xfId="12626" xr:uid="{00000000-0005-0000-0000-00007B050000}"/>
    <cellStyle name="Normal 3 2 2 3 3 3 2 4" xfId="16254" xr:uid="{00000000-0005-0000-0000-00007C050000}"/>
    <cellStyle name="Normal 3 2 2 3 3 3 2 5" xfId="8998" xr:uid="{00000000-0005-0000-0000-00007D050000}"/>
    <cellStyle name="Normal 3 2 2 3 3 3 3" xfId="2649" xr:uid="{00000000-0005-0000-0000-00007E050000}"/>
    <cellStyle name="Normal 3 2 2 3 3 3 3 2" xfId="6277" xr:uid="{00000000-0005-0000-0000-00007F050000}"/>
    <cellStyle name="Normal 3 2 2 3 3 3 3 2 2" xfId="20789" xr:uid="{00000000-0005-0000-0000-000080050000}"/>
    <cellStyle name="Normal 3 2 2 3 3 3 3 2 3" xfId="13533" xr:uid="{00000000-0005-0000-0000-000081050000}"/>
    <cellStyle name="Normal 3 2 2 3 3 3 3 3" xfId="17161" xr:uid="{00000000-0005-0000-0000-000082050000}"/>
    <cellStyle name="Normal 3 2 2 3 3 3 3 4" xfId="9905" xr:uid="{00000000-0005-0000-0000-000083050000}"/>
    <cellStyle name="Normal 3 2 2 3 3 3 4" xfId="4463" xr:uid="{00000000-0005-0000-0000-000084050000}"/>
    <cellStyle name="Normal 3 2 2 3 3 3 4 2" xfId="18975" xr:uid="{00000000-0005-0000-0000-000085050000}"/>
    <cellStyle name="Normal 3 2 2 3 3 3 4 3" xfId="11719" xr:uid="{00000000-0005-0000-0000-000086050000}"/>
    <cellStyle name="Normal 3 2 2 3 3 3 5" xfId="15347" xr:uid="{00000000-0005-0000-0000-000087050000}"/>
    <cellStyle name="Normal 3 2 2 3 3 3 6" xfId="8091" xr:uid="{00000000-0005-0000-0000-000088050000}"/>
    <cellStyle name="Normal 3 2 2 3 3 4" xfId="574" xr:uid="{00000000-0005-0000-0000-000089050000}"/>
    <cellStyle name="Normal 3 2 2 3 3 4 2" xfId="1482" xr:uid="{00000000-0005-0000-0000-00008A050000}"/>
    <cellStyle name="Normal 3 2 2 3 3 4 2 2" xfId="3296" xr:uid="{00000000-0005-0000-0000-00008B050000}"/>
    <cellStyle name="Normal 3 2 2 3 3 4 2 2 2" xfId="6924" xr:uid="{00000000-0005-0000-0000-00008C050000}"/>
    <cellStyle name="Normal 3 2 2 3 3 4 2 2 2 2" xfId="21436" xr:uid="{00000000-0005-0000-0000-00008D050000}"/>
    <cellStyle name="Normal 3 2 2 3 3 4 2 2 2 3" xfId="14180" xr:uid="{00000000-0005-0000-0000-00008E050000}"/>
    <cellStyle name="Normal 3 2 2 3 3 4 2 2 3" xfId="17808" xr:uid="{00000000-0005-0000-0000-00008F050000}"/>
    <cellStyle name="Normal 3 2 2 3 3 4 2 2 4" xfId="10552" xr:uid="{00000000-0005-0000-0000-000090050000}"/>
    <cellStyle name="Normal 3 2 2 3 3 4 2 3" xfId="5110" xr:uid="{00000000-0005-0000-0000-000091050000}"/>
    <cellStyle name="Normal 3 2 2 3 3 4 2 3 2" xfId="19622" xr:uid="{00000000-0005-0000-0000-000092050000}"/>
    <cellStyle name="Normal 3 2 2 3 3 4 2 3 3" xfId="12366" xr:uid="{00000000-0005-0000-0000-000093050000}"/>
    <cellStyle name="Normal 3 2 2 3 3 4 2 4" xfId="15994" xr:uid="{00000000-0005-0000-0000-000094050000}"/>
    <cellStyle name="Normal 3 2 2 3 3 4 2 5" xfId="8738" xr:uid="{00000000-0005-0000-0000-000095050000}"/>
    <cellStyle name="Normal 3 2 2 3 3 4 3" xfId="2389" xr:uid="{00000000-0005-0000-0000-000096050000}"/>
    <cellStyle name="Normal 3 2 2 3 3 4 3 2" xfId="6017" xr:uid="{00000000-0005-0000-0000-000097050000}"/>
    <cellStyle name="Normal 3 2 2 3 3 4 3 2 2" xfId="20529" xr:uid="{00000000-0005-0000-0000-000098050000}"/>
    <cellStyle name="Normal 3 2 2 3 3 4 3 2 3" xfId="13273" xr:uid="{00000000-0005-0000-0000-000099050000}"/>
    <cellStyle name="Normal 3 2 2 3 3 4 3 3" xfId="16901" xr:uid="{00000000-0005-0000-0000-00009A050000}"/>
    <cellStyle name="Normal 3 2 2 3 3 4 3 4" xfId="9645" xr:uid="{00000000-0005-0000-0000-00009B050000}"/>
    <cellStyle name="Normal 3 2 2 3 3 4 4" xfId="4203" xr:uid="{00000000-0005-0000-0000-00009C050000}"/>
    <cellStyle name="Normal 3 2 2 3 3 4 4 2" xfId="18715" xr:uid="{00000000-0005-0000-0000-00009D050000}"/>
    <cellStyle name="Normal 3 2 2 3 3 4 4 3" xfId="11459" xr:uid="{00000000-0005-0000-0000-00009E050000}"/>
    <cellStyle name="Normal 3 2 2 3 3 4 5" xfId="15087" xr:uid="{00000000-0005-0000-0000-00009F050000}"/>
    <cellStyle name="Normal 3 2 2 3 3 4 6" xfId="7831" xr:uid="{00000000-0005-0000-0000-0000A0050000}"/>
    <cellStyle name="Normal 3 2 2 3 3 5" xfId="1136" xr:uid="{00000000-0005-0000-0000-0000A1050000}"/>
    <cellStyle name="Normal 3 2 2 3 3 5 2" xfId="2950" xr:uid="{00000000-0005-0000-0000-0000A2050000}"/>
    <cellStyle name="Normal 3 2 2 3 3 5 2 2" xfId="6578" xr:uid="{00000000-0005-0000-0000-0000A3050000}"/>
    <cellStyle name="Normal 3 2 2 3 3 5 2 2 2" xfId="21090" xr:uid="{00000000-0005-0000-0000-0000A4050000}"/>
    <cellStyle name="Normal 3 2 2 3 3 5 2 2 3" xfId="13834" xr:uid="{00000000-0005-0000-0000-0000A5050000}"/>
    <cellStyle name="Normal 3 2 2 3 3 5 2 3" xfId="17462" xr:uid="{00000000-0005-0000-0000-0000A6050000}"/>
    <cellStyle name="Normal 3 2 2 3 3 5 2 4" xfId="10206" xr:uid="{00000000-0005-0000-0000-0000A7050000}"/>
    <cellStyle name="Normal 3 2 2 3 3 5 3" xfId="4764" xr:uid="{00000000-0005-0000-0000-0000A8050000}"/>
    <cellStyle name="Normal 3 2 2 3 3 5 3 2" xfId="19276" xr:uid="{00000000-0005-0000-0000-0000A9050000}"/>
    <cellStyle name="Normal 3 2 2 3 3 5 3 3" xfId="12020" xr:uid="{00000000-0005-0000-0000-0000AA050000}"/>
    <cellStyle name="Normal 3 2 2 3 3 5 4" xfId="15648" xr:uid="{00000000-0005-0000-0000-0000AB050000}"/>
    <cellStyle name="Normal 3 2 2 3 3 5 5" xfId="8392" xr:uid="{00000000-0005-0000-0000-0000AC050000}"/>
    <cellStyle name="Normal 3 2 2 3 3 6" xfId="2043" xr:uid="{00000000-0005-0000-0000-0000AD050000}"/>
    <cellStyle name="Normal 3 2 2 3 3 6 2" xfId="5671" xr:uid="{00000000-0005-0000-0000-0000AE050000}"/>
    <cellStyle name="Normal 3 2 2 3 3 6 2 2" xfId="20183" xr:uid="{00000000-0005-0000-0000-0000AF050000}"/>
    <cellStyle name="Normal 3 2 2 3 3 6 2 3" xfId="12927" xr:uid="{00000000-0005-0000-0000-0000B0050000}"/>
    <cellStyle name="Normal 3 2 2 3 3 6 3" xfId="16555" xr:uid="{00000000-0005-0000-0000-0000B1050000}"/>
    <cellStyle name="Normal 3 2 2 3 3 6 4" xfId="9299" xr:uid="{00000000-0005-0000-0000-0000B2050000}"/>
    <cellStyle name="Normal 3 2 2 3 3 7" xfId="3857" xr:uid="{00000000-0005-0000-0000-0000B3050000}"/>
    <cellStyle name="Normal 3 2 2 3 3 7 2" xfId="18369" xr:uid="{00000000-0005-0000-0000-0000B4050000}"/>
    <cellStyle name="Normal 3 2 2 3 3 7 3" xfId="11113" xr:uid="{00000000-0005-0000-0000-0000B5050000}"/>
    <cellStyle name="Normal 3 2 2 3 3 8" xfId="14741" xr:uid="{00000000-0005-0000-0000-0000B6050000}"/>
    <cellStyle name="Normal 3 2 2 3 3 9" xfId="7485" xr:uid="{00000000-0005-0000-0000-0000B7050000}"/>
    <cellStyle name="Normal 3 2 2 3 4" xfId="142" xr:uid="{00000000-0005-0000-0000-0000B8050000}"/>
    <cellStyle name="Normal 3 2 2 3 4 2" xfId="488" xr:uid="{00000000-0005-0000-0000-0000B9050000}"/>
    <cellStyle name="Normal 3 2 2 3 4 2 2" xfId="1396" xr:uid="{00000000-0005-0000-0000-0000BA050000}"/>
    <cellStyle name="Normal 3 2 2 3 4 2 2 2" xfId="3210" xr:uid="{00000000-0005-0000-0000-0000BB050000}"/>
    <cellStyle name="Normal 3 2 2 3 4 2 2 2 2" xfId="6838" xr:uid="{00000000-0005-0000-0000-0000BC050000}"/>
    <cellStyle name="Normal 3 2 2 3 4 2 2 2 2 2" xfId="21350" xr:uid="{00000000-0005-0000-0000-0000BD050000}"/>
    <cellStyle name="Normal 3 2 2 3 4 2 2 2 2 3" xfId="14094" xr:uid="{00000000-0005-0000-0000-0000BE050000}"/>
    <cellStyle name="Normal 3 2 2 3 4 2 2 2 3" xfId="17722" xr:uid="{00000000-0005-0000-0000-0000BF050000}"/>
    <cellStyle name="Normal 3 2 2 3 4 2 2 2 4" xfId="10466" xr:uid="{00000000-0005-0000-0000-0000C0050000}"/>
    <cellStyle name="Normal 3 2 2 3 4 2 2 3" xfId="5024" xr:uid="{00000000-0005-0000-0000-0000C1050000}"/>
    <cellStyle name="Normal 3 2 2 3 4 2 2 3 2" xfId="19536" xr:uid="{00000000-0005-0000-0000-0000C2050000}"/>
    <cellStyle name="Normal 3 2 2 3 4 2 2 3 3" xfId="12280" xr:uid="{00000000-0005-0000-0000-0000C3050000}"/>
    <cellStyle name="Normal 3 2 2 3 4 2 2 4" xfId="15908" xr:uid="{00000000-0005-0000-0000-0000C4050000}"/>
    <cellStyle name="Normal 3 2 2 3 4 2 2 5" xfId="8652" xr:uid="{00000000-0005-0000-0000-0000C5050000}"/>
    <cellStyle name="Normal 3 2 2 3 4 2 3" xfId="2303" xr:uid="{00000000-0005-0000-0000-0000C6050000}"/>
    <cellStyle name="Normal 3 2 2 3 4 2 3 2" xfId="5931" xr:uid="{00000000-0005-0000-0000-0000C7050000}"/>
    <cellStyle name="Normal 3 2 2 3 4 2 3 2 2" xfId="20443" xr:uid="{00000000-0005-0000-0000-0000C8050000}"/>
    <cellStyle name="Normal 3 2 2 3 4 2 3 2 3" xfId="13187" xr:uid="{00000000-0005-0000-0000-0000C9050000}"/>
    <cellStyle name="Normal 3 2 2 3 4 2 3 3" xfId="16815" xr:uid="{00000000-0005-0000-0000-0000CA050000}"/>
    <cellStyle name="Normal 3 2 2 3 4 2 3 4" xfId="9559" xr:uid="{00000000-0005-0000-0000-0000CB050000}"/>
    <cellStyle name="Normal 3 2 2 3 4 2 4" xfId="4117" xr:uid="{00000000-0005-0000-0000-0000CC050000}"/>
    <cellStyle name="Normal 3 2 2 3 4 2 4 2" xfId="18629" xr:uid="{00000000-0005-0000-0000-0000CD050000}"/>
    <cellStyle name="Normal 3 2 2 3 4 2 4 3" xfId="11373" xr:uid="{00000000-0005-0000-0000-0000CE050000}"/>
    <cellStyle name="Normal 3 2 2 3 4 2 5" xfId="15001" xr:uid="{00000000-0005-0000-0000-0000CF050000}"/>
    <cellStyle name="Normal 3 2 2 3 4 2 6" xfId="7745" xr:uid="{00000000-0005-0000-0000-0000D0050000}"/>
    <cellStyle name="Normal 3 2 2 3 4 3" xfId="1050" xr:uid="{00000000-0005-0000-0000-0000D1050000}"/>
    <cellStyle name="Normal 3 2 2 3 4 3 2" xfId="2864" xr:uid="{00000000-0005-0000-0000-0000D2050000}"/>
    <cellStyle name="Normal 3 2 2 3 4 3 2 2" xfId="6492" xr:uid="{00000000-0005-0000-0000-0000D3050000}"/>
    <cellStyle name="Normal 3 2 2 3 4 3 2 2 2" xfId="21004" xr:uid="{00000000-0005-0000-0000-0000D4050000}"/>
    <cellStyle name="Normal 3 2 2 3 4 3 2 2 3" xfId="13748" xr:uid="{00000000-0005-0000-0000-0000D5050000}"/>
    <cellStyle name="Normal 3 2 2 3 4 3 2 3" xfId="17376" xr:uid="{00000000-0005-0000-0000-0000D6050000}"/>
    <cellStyle name="Normal 3 2 2 3 4 3 2 4" xfId="10120" xr:uid="{00000000-0005-0000-0000-0000D7050000}"/>
    <cellStyle name="Normal 3 2 2 3 4 3 3" xfId="4678" xr:uid="{00000000-0005-0000-0000-0000D8050000}"/>
    <cellStyle name="Normal 3 2 2 3 4 3 3 2" xfId="19190" xr:uid="{00000000-0005-0000-0000-0000D9050000}"/>
    <cellStyle name="Normal 3 2 2 3 4 3 3 3" xfId="11934" xr:uid="{00000000-0005-0000-0000-0000DA050000}"/>
    <cellStyle name="Normal 3 2 2 3 4 3 4" xfId="15562" xr:uid="{00000000-0005-0000-0000-0000DB050000}"/>
    <cellStyle name="Normal 3 2 2 3 4 3 5" xfId="8306" xr:uid="{00000000-0005-0000-0000-0000DC050000}"/>
    <cellStyle name="Normal 3 2 2 3 4 4" xfId="1957" xr:uid="{00000000-0005-0000-0000-0000DD050000}"/>
    <cellStyle name="Normal 3 2 2 3 4 4 2" xfId="5585" xr:uid="{00000000-0005-0000-0000-0000DE050000}"/>
    <cellStyle name="Normal 3 2 2 3 4 4 2 2" xfId="20097" xr:uid="{00000000-0005-0000-0000-0000DF050000}"/>
    <cellStyle name="Normal 3 2 2 3 4 4 2 3" xfId="12841" xr:uid="{00000000-0005-0000-0000-0000E0050000}"/>
    <cellStyle name="Normal 3 2 2 3 4 4 3" xfId="16469" xr:uid="{00000000-0005-0000-0000-0000E1050000}"/>
    <cellStyle name="Normal 3 2 2 3 4 4 4" xfId="9213" xr:uid="{00000000-0005-0000-0000-0000E2050000}"/>
    <cellStyle name="Normal 3 2 2 3 4 5" xfId="3771" xr:uid="{00000000-0005-0000-0000-0000E3050000}"/>
    <cellStyle name="Normal 3 2 2 3 4 5 2" xfId="18283" xr:uid="{00000000-0005-0000-0000-0000E4050000}"/>
    <cellStyle name="Normal 3 2 2 3 4 5 3" xfId="11027" xr:uid="{00000000-0005-0000-0000-0000E5050000}"/>
    <cellStyle name="Normal 3 2 2 3 4 6" xfId="14655" xr:uid="{00000000-0005-0000-0000-0000E6050000}"/>
    <cellStyle name="Normal 3 2 2 3 4 7" xfId="7399" xr:uid="{00000000-0005-0000-0000-0000E7050000}"/>
    <cellStyle name="Normal 3 2 2 3 5" xfId="272" xr:uid="{00000000-0005-0000-0000-0000E8050000}"/>
    <cellStyle name="Normal 3 2 2 3 5 2" xfId="618" xr:uid="{00000000-0005-0000-0000-0000E9050000}"/>
    <cellStyle name="Normal 3 2 2 3 5 2 2" xfId="1526" xr:uid="{00000000-0005-0000-0000-0000EA050000}"/>
    <cellStyle name="Normal 3 2 2 3 5 2 2 2" xfId="3340" xr:uid="{00000000-0005-0000-0000-0000EB050000}"/>
    <cellStyle name="Normal 3 2 2 3 5 2 2 2 2" xfId="6968" xr:uid="{00000000-0005-0000-0000-0000EC050000}"/>
    <cellStyle name="Normal 3 2 2 3 5 2 2 2 2 2" xfId="21480" xr:uid="{00000000-0005-0000-0000-0000ED050000}"/>
    <cellStyle name="Normal 3 2 2 3 5 2 2 2 2 3" xfId="14224" xr:uid="{00000000-0005-0000-0000-0000EE050000}"/>
    <cellStyle name="Normal 3 2 2 3 5 2 2 2 3" xfId="17852" xr:uid="{00000000-0005-0000-0000-0000EF050000}"/>
    <cellStyle name="Normal 3 2 2 3 5 2 2 2 4" xfId="10596" xr:uid="{00000000-0005-0000-0000-0000F0050000}"/>
    <cellStyle name="Normal 3 2 2 3 5 2 2 3" xfId="5154" xr:uid="{00000000-0005-0000-0000-0000F1050000}"/>
    <cellStyle name="Normal 3 2 2 3 5 2 2 3 2" xfId="19666" xr:uid="{00000000-0005-0000-0000-0000F2050000}"/>
    <cellStyle name="Normal 3 2 2 3 5 2 2 3 3" xfId="12410" xr:uid="{00000000-0005-0000-0000-0000F3050000}"/>
    <cellStyle name="Normal 3 2 2 3 5 2 2 4" xfId="16038" xr:uid="{00000000-0005-0000-0000-0000F4050000}"/>
    <cellStyle name="Normal 3 2 2 3 5 2 2 5" xfId="8782" xr:uid="{00000000-0005-0000-0000-0000F5050000}"/>
    <cellStyle name="Normal 3 2 2 3 5 2 3" xfId="2433" xr:uid="{00000000-0005-0000-0000-0000F6050000}"/>
    <cellStyle name="Normal 3 2 2 3 5 2 3 2" xfId="6061" xr:uid="{00000000-0005-0000-0000-0000F7050000}"/>
    <cellStyle name="Normal 3 2 2 3 5 2 3 2 2" xfId="20573" xr:uid="{00000000-0005-0000-0000-0000F8050000}"/>
    <cellStyle name="Normal 3 2 2 3 5 2 3 2 3" xfId="13317" xr:uid="{00000000-0005-0000-0000-0000F9050000}"/>
    <cellStyle name="Normal 3 2 2 3 5 2 3 3" xfId="16945" xr:uid="{00000000-0005-0000-0000-0000FA050000}"/>
    <cellStyle name="Normal 3 2 2 3 5 2 3 4" xfId="9689" xr:uid="{00000000-0005-0000-0000-0000FB050000}"/>
    <cellStyle name="Normal 3 2 2 3 5 2 4" xfId="4247" xr:uid="{00000000-0005-0000-0000-0000FC050000}"/>
    <cellStyle name="Normal 3 2 2 3 5 2 4 2" xfId="18759" xr:uid="{00000000-0005-0000-0000-0000FD050000}"/>
    <cellStyle name="Normal 3 2 2 3 5 2 4 3" xfId="11503" xr:uid="{00000000-0005-0000-0000-0000FE050000}"/>
    <cellStyle name="Normal 3 2 2 3 5 2 5" xfId="15131" xr:uid="{00000000-0005-0000-0000-0000FF050000}"/>
    <cellStyle name="Normal 3 2 2 3 5 2 6" xfId="7875" xr:uid="{00000000-0005-0000-0000-000000060000}"/>
    <cellStyle name="Normal 3 2 2 3 5 3" xfId="1180" xr:uid="{00000000-0005-0000-0000-000001060000}"/>
    <cellStyle name="Normal 3 2 2 3 5 3 2" xfId="2994" xr:uid="{00000000-0005-0000-0000-000002060000}"/>
    <cellStyle name="Normal 3 2 2 3 5 3 2 2" xfId="6622" xr:uid="{00000000-0005-0000-0000-000003060000}"/>
    <cellStyle name="Normal 3 2 2 3 5 3 2 2 2" xfId="21134" xr:uid="{00000000-0005-0000-0000-000004060000}"/>
    <cellStyle name="Normal 3 2 2 3 5 3 2 2 3" xfId="13878" xr:uid="{00000000-0005-0000-0000-000005060000}"/>
    <cellStyle name="Normal 3 2 2 3 5 3 2 3" xfId="17506" xr:uid="{00000000-0005-0000-0000-000006060000}"/>
    <cellStyle name="Normal 3 2 2 3 5 3 2 4" xfId="10250" xr:uid="{00000000-0005-0000-0000-000007060000}"/>
    <cellStyle name="Normal 3 2 2 3 5 3 3" xfId="4808" xr:uid="{00000000-0005-0000-0000-000008060000}"/>
    <cellStyle name="Normal 3 2 2 3 5 3 3 2" xfId="19320" xr:uid="{00000000-0005-0000-0000-000009060000}"/>
    <cellStyle name="Normal 3 2 2 3 5 3 3 3" xfId="12064" xr:uid="{00000000-0005-0000-0000-00000A060000}"/>
    <cellStyle name="Normal 3 2 2 3 5 3 4" xfId="15692" xr:uid="{00000000-0005-0000-0000-00000B060000}"/>
    <cellStyle name="Normal 3 2 2 3 5 3 5" xfId="8436" xr:uid="{00000000-0005-0000-0000-00000C060000}"/>
    <cellStyle name="Normal 3 2 2 3 5 4" xfId="2087" xr:uid="{00000000-0005-0000-0000-00000D060000}"/>
    <cellStyle name="Normal 3 2 2 3 5 4 2" xfId="5715" xr:uid="{00000000-0005-0000-0000-00000E060000}"/>
    <cellStyle name="Normal 3 2 2 3 5 4 2 2" xfId="20227" xr:uid="{00000000-0005-0000-0000-00000F060000}"/>
    <cellStyle name="Normal 3 2 2 3 5 4 2 3" xfId="12971" xr:uid="{00000000-0005-0000-0000-000010060000}"/>
    <cellStyle name="Normal 3 2 2 3 5 4 3" xfId="16599" xr:uid="{00000000-0005-0000-0000-000011060000}"/>
    <cellStyle name="Normal 3 2 2 3 5 4 4" xfId="9343" xr:uid="{00000000-0005-0000-0000-000012060000}"/>
    <cellStyle name="Normal 3 2 2 3 5 5" xfId="3901" xr:uid="{00000000-0005-0000-0000-000013060000}"/>
    <cellStyle name="Normal 3 2 2 3 5 5 2" xfId="18413" xr:uid="{00000000-0005-0000-0000-000014060000}"/>
    <cellStyle name="Normal 3 2 2 3 5 5 3" xfId="11157" xr:uid="{00000000-0005-0000-0000-000015060000}"/>
    <cellStyle name="Normal 3 2 2 3 5 6" xfId="14785" xr:uid="{00000000-0005-0000-0000-000016060000}"/>
    <cellStyle name="Normal 3 2 2 3 5 7" xfId="7529" xr:uid="{00000000-0005-0000-0000-000017060000}"/>
    <cellStyle name="Normal 3 2 2 3 6" xfId="748" xr:uid="{00000000-0005-0000-0000-000018060000}"/>
    <cellStyle name="Normal 3 2 2 3 6 2" xfId="1656" xr:uid="{00000000-0005-0000-0000-000019060000}"/>
    <cellStyle name="Normal 3 2 2 3 6 2 2" xfId="3470" xr:uid="{00000000-0005-0000-0000-00001A060000}"/>
    <cellStyle name="Normal 3 2 2 3 6 2 2 2" xfId="7098" xr:uid="{00000000-0005-0000-0000-00001B060000}"/>
    <cellStyle name="Normal 3 2 2 3 6 2 2 2 2" xfId="21610" xr:uid="{00000000-0005-0000-0000-00001C060000}"/>
    <cellStyle name="Normal 3 2 2 3 6 2 2 2 3" xfId="14354" xr:uid="{00000000-0005-0000-0000-00001D060000}"/>
    <cellStyle name="Normal 3 2 2 3 6 2 2 3" xfId="17982" xr:uid="{00000000-0005-0000-0000-00001E060000}"/>
    <cellStyle name="Normal 3 2 2 3 6 2 2 4" xfId="10726" xr:uid="{00000000-0005-0000-0000-00001F060000}"/>
    <cellStyle name="Normal 3 2 2 3 6 2 3" xfId="5284" xr:uid="{00000000-0005-0000-0000-000020060000}"/>
    <cellStyle name="Normal 3 2 2 3 6 2 3 2" xfId="19796" xr:uid="{00000000-0005-0000-0000-000021060000}"/>
    <cellStyle name="Normal 3 2 2 3 6 2 3 3" xfId="12540" xr:uid="{00000000-0005-0000-0000-000022060000}"/>
    <cellStyle name="Normal 3 2 2 3 6 2 4" xfId="16168" xr:uid="{00000000-0005-0000-0000-000023060000}"/>
    <cellStyle name="Normal 3 2 2 3 6 2 5" xfId="8912" xr:uid="{00000000-0005-0000-0000-000024060000}"/>
    <cellStyle name="Normal 3 2 2 3 6 3" xfId="2563" xr:uid="{00000000-0005-0000-0000-000025060000}"/>
    <cellStyle name="Normal 3 2 2 3 6 3 2" xfId="6191" xr:uid="{00000000-0005-0000-0000-000026060000}"/>
    <cellStyle name="Normal 3 2 2 3 6 3 2 2" xfId="20703" xr:uid="{00000000-0005-0000-0000-000027060000}"/>
    <cellStyle name="Normal 3 2 2 3 6 3 2 3" xfId="13447" xr:uid="{00000000-0005-0000-0000-000028060000}"/>
    <cellStyle name="Normal 3 2 2 3 6 3 3" xfId="17075" xr:uid="{00000000-0005-0000-0000-000029060000}"/>
    <cellStyle name="Normal 3 2 2 3 6 3 4" xfId="9819" xr:uid="{00000000-0005-0000-0000-00002A060000}"/>
    <cellStyle name="Normal 3 2 2 3 6 4" xfId="4377" xr:uid="{00000000-0005-0000-0000-00002B060000}"/>
    <cellStyle name="Normal 3 2 2 3 6 4 2" xfId="18889" xr:uid="{00000000-0005-0000-0000-00002C060000}"/>
    <cellStyle name="Normal 3 2 2 3 6 4 3" xfId="11633" xr:uid="{00000000-0005-0000-0000-00002D060000}"/>
    <cellStyle name="Normal 3 2 2 3 6 5" xfId="15261" xr:uid="{00000000-0005-0000-0000-00002E060000}"/>
    <cellStyle name="Normal 3 2 2 3 6 6" xfId="8005" xr:uid="{00000000-0005-0000-0000-00002F060000}"/>
    <cellStyle name="Normal 3 2 2 3 7" xfId="402" xr:uid="{00000000-0005-0000-0000-000030060000}"/>
    <cellStyle name="Normal 3 2 2 3 7 2" xfId="1310" xr:uid="{00000000-0005-0000-0000-000031060000}"/>
    <cellStyle name="Normal 3 2 2 3 7 2 2" xfId="3124" xr:uid="{00000000-0005-0000-0000-000032060000}"/>
    <cellStyle name="Normal 3 2 2 3 7 2 2 2" xfId="6752" xr:uid="{00000000-0005-0000-0000-000033060000}"/>
    <cellStyle name="Normal 3 2 2 3 7 2 2 2 2" xfId="21264" xr:uid="{00000000-0005-0000-0000-000034060000}"/>
    <cellStyle name="Normal 3 2 2 3 7 2 2 2 3" xfId="14008" xr:uid="{00000000-0005-0000-0000-000035060000}"/>
    <cellStyle name="Normal 3 2 2 3 7 2 2 3" xfId="17636" xr:uid="{00000000-0005-0000-0000-000036060000}"/>
    <cellStyle name="Normal 3 2 2 3 7 2 2 4" xfId="10380" xr:uid="{00000000-0005-0000-0000-000037060000}"/>
    <cellStyle name="Normal 3 2 2 3 7 2 3" xfId="4938" xr:uid="{00000000-0005-0000-0000-000038060000}"/>
    <cellStyle name="Normal 3 2 2 3 7 2 3 2" xfId="19450" xr:uid="{00000000-0005-0000-0000-000039060000}"/>
    <cellStyle name="Normal 3 2 2 3 7 2 3 3" xfId="12194" xr:uid="{00000000-0005-0000-0000-00003A060000}"/>
    <cellStyle name="Normal 3 2 2 3 7 2 4" xfId="15822" xr:uid="{00000000-0005-0000-0000-00003B060000}"/>
    <cellStyle name="Normal 3 2 2 3 7 2 5" xfId="8566" xr:uid="{00000000-0005-0000-0000-00003C060000}"/>
    <cellStyle name="Normal 3 2 2 3 7 3" xfId="2217" xr:uid="{00000000-0005-0000-0000-00003D060000}"/>
    <cellStyle name="Normal 3 2 2 3 7 3 2" xfId="5845" xr:uid="{00000000-0005-0000-0000-00003E060000}"/>
    <cellStyle name="Normal 3 2 2 3 7 3 2 2" xfId="20357" xr:uid="{00000000-0005-0000-0000-00003F060000}"/>
    <cellStyle name="Normal 3 2 2 3 7 3 2 3" xfId="13101" xr:uid="{00000000-0005-0000-0000-000040060000}"/>
    <cellStyle name="Normal 3 2 2 3 7 3 3" xfId="16729" xr:uid="{00000000-0005-0000-0000-000041060000}"/>
    <cellStyle name="Normal 3 2 2 3 7 3 4" xfId="9473" xr:uid="{00000000-0005-0000-0000-000042060000}"/>
    <cellStyle name="Normal 3 2 2 3 7 4" xfId="4031" xr:uid="{00000000-0005-0000-0000-000043060000}"/>
    <cellStyle name="Normal 3 2 2 3 7 4 2" xfId="18543" xr:uid="{00000000-0005-0000-0000-000044060000}"/>
    <cellStyle name="Normal 3 2 2 3 7 4 3" xfId="11287" xr:uid="{00000000-0005-0000-0000-000045060000}"/>
    <cellStyle name="Normal 3 2 2 3 7 5" xfId="14915" xr:uid="{00000000-0005-0000-0000-000046060000}"/>
    <cellStyle name="Normal 3 2 2 3 7 6" xfId="7659" xr:uid="{00000000-0005-0000-0000-000047060000}"/>
    <cellStyle name="Normal 3 2 2 3 8" xfId="870" xr:uid="{00000000-0005-0000-0000-000048060000}"/>
    <cellStyle name="Normal 3 2 2 3 8 2" xfId="1778" xr:uid="{00000000-0005-0000-0000-000049060000}"/>
    <cellStyle name="Normal 3 2 2 3 8 2 2" xfId="3592" xr:uid="{00000000-0005-0000-0000-00004A060000}"/>
    <cellStyle name="Normal 3 2 2 3 8 2 2 2" xfId="7220" xr:uid="{00000000-0005-0000-0000-00004B060000}"/>
    <cellStyle name="Normal 3 2 2 3 8 2 2 2 2" xfId="21732" xr:uid="{00000000-0005-0000-0000-00004C060000}"/>
    <cellStyle name="Normal 3 2 2 3 8 2 2 2 3" xfId="14476" xr:uid="{00000000-0005-0000-0000-00004D060000}"/>
    <cellStyle name="Normal 3 2 2 3 8 2 2 3" xfId="18104" xr:uid="{00000000-0005-0000-0000-00004E060000}"/>
    <cellStyle name="Normal 3 2 2 3 8 2 2 4" xfId="10848" xr:uid="{00000000-0005-0000-0000-00004F060000}"/>
    <cellStyle name="Normal 3 2 2 3 8 2 3" xfId="5406" xr:uid="{00000000-0005-0000-0000-000050060000}"/>
    <cellStyle name="Normal 3 2 2 3 8 2 3 2" xfId="19918" xr:uid="{00000000-0005-0000-0000-000051060000}"/>
    <cellStyle name="Normal 3 2 2 3 8 2 3 3" xfId="12662" xr:uid="{00000000-0005-0000-0000-000052060000}"/>
    <cellStyle name="Normal 3 2 2 3 8 2 4" xfId="16290" xr:uid="{00000000-0005-0000-0000-000053060000}"/>
    <cellStyle name="Normal 3 2 2 3 8 2 5" xfId="9034" xr:uid="{00000000-0005-0000-0000-000054060000}"/>
    <cellStyle name="Normal 3 2 2 3 8 3" xfId="2685" xr:uid="{00000000-0005-0000-0000-000055060000}"/>
    <cellStyle name="Normal 3 2 2 3 8 3 2" xfId="6313" xr:uid="{00000000-0005-0000-0000-000056060000}"/>
    <cellStyle name="Normal 3 2 2 3 8 3 2 2" xfId="20825" xr:uid="{00000000-0005-0000-0000-000057060000}"/>
    <cellStyle name="Normal 3 2 2 3 8 3 2 3" xfId="13569" xr:uid="{00000000-0005-0000-0000-000058060000}"/>
    <cellStyle name="Normal 3 2 2 3 8 3 3" xfId="17197" xr:uid="{00000000-0005-0000-0000-000059060000}"/>
    <cellStyle name="Normal 3 2 2 3 8 3 4" xfId="9941" xr:uid="{00000000-0005-0000-0000-00005A060000}"/>
    <cellStyle name="Normal 3 2 2 3 8 4" xfId="4499" xr:uid="{00000000-0005-0000-0000-00005B060000}"/>
    <cellStyle name="Normal 3 2 2 3 8 4 2" xfId="19011" xr:uid="{00000000-0005-0000-0000-00005C060000}"/>
    <cellStyle name="Normal 3 2 2 3 8 4 3" xfId="11755" xr:uid="{00000000-0005-0000-0000-00005D060000}"/>
    <cellStyle name="Normal 3 2 2 3 8 5" xfId="15383" xr:uid="{00000000-0005-0000-0000-00005E060000}"/>
    <cellStyle name="Normal 3 2 2 3 8 6" xfId="8127" xr:uid="{00000000-0005-0000-0000-00005F060000}"/>
    <cellStyle name="Normal 3 2 2 3 9" xfId="964" xr:uid="{00000000-0005-0000-0000-000060060000}"/>
    <cellStyle name="Normal 3 2 2 3 9 2" xfId="2778" xr:uid="{00000000-0005-0000-0000-000061060000}"/>
    <cellStyle name="Normal 3 2 2 3 9 2 2" xfId="6406" xr:uid="{00000000-0005-0000-0000-000062060000}"/>
    <cellStyle name="Normal 3 2 2 3 9 2 2 2" xfId="20918" xr:uid="{00000000-0005-0000-0000-000063060000}"/>
    <cellStyle name="Normal 3 2 2 3 9 2 2 3" xfId="13662" xr:uid="{00000000-0005-0000-0000-000064060000}"/>
    <cellStyle name="Normal 3 2 2 3 9 2 3" xfId="17290" xr:uid="{00000000-0005-0000-0000-000065060000}"/>
    <cellStyle name="Normal 3 2 2 3 9 2 4" xfId="10034" xr:uid="{00000000-0005-0000-0000-000066060000}"/>
    <cellStyle name="Normal 3 2 2 3 9 3" xfId="4592" xr:uid="{00000000-0005-0000-0000-000067060000}"/>
    <cellStyle name="Normal 3 2 2 3 9 3 2" xfId="19104" xr:uid="{00000000-0005-0000-0000-000068060000}"/>
    <cellStyle name="Normal 3 2 2 3 9 3 3" xfId="11848" xr:uid="{00000000-0005-0000-0000-000069060000}"/>
    <cellStyle name="Normal 3 2 2 3 9 4" xfId="15476" xr:uid="{00000000-0005-0000-0000-00006A060000}"/>
    <cellStyle name="Normal 3 2 2 3 9 5" xfId="8220" xr:uid="{00000000-0005-0000-0000-00006B060000}"/>
    <cellStyle name="Normal 3 2 2 4" xfId="75" xr:uid="{00000000-0005-0000-0000-00006C060000}"/>
    <cellStyle name="Normal 3 2 2 4 10" xfId="14590" xr:uid="{00000000-0005-0000-0000-00006D060000}"/>
    <cellStyle name="Normal 3 2 2 4 11" xfId="7334" xr:uid="{00000000-0005-0000-0000-00006E060000}"/>
    <cellStyle name="Normal 3 2 2 4 2" xfId="163" xr:uid="{00000000-0005-0000-0000-00006F060000}"/>
    <cellStyle name="Normal 3 2 2 4 2 2" xfId="509" xr:uid="{00000000-0005-0000-0000-000070060000}"/>
    <cellStyle name="Normal 3 2 2 4 2 2 2" xfId="1417" xr:uid="{00000000-0005-0000-0000-000071060000}"/>
    <cellStyle name="Normal 3 2 2 4 2 2 2 2" xfId="3231" xr:uid="{00000000-0005-0000-0000-000072060000}"/>
    <cellStyle name="Normal 3 2 2 4 2 2 2 2 2" xfId="6859" xr:uid="{00000000-0005-0000-0000-000073060000}"/>
    <cellStyle name="Normal 3 2 2 4 2 2 2 2 2 2" xfId="21371" xr:uid="{00000000-0005-0000-0000-000074060000}"/>
    <cellStyle name="Normal 3 2 2 4 2 2 2 2 2 3" xfId="14115" xr:uid="{00000000-0005-0000-0000-000075060000}"/>
    <cellStyle name="Normal 3 2 2 4 2 2 2 2 3" xfId="17743" xr:uid="{00000000-0005-0000-0000-000076060000}"/>
    <cellStyle name="Normal 3 2 2 4 2 2 2 2 4" xfId="10487" xr:uid="{00000000-0005-0000-0000-000077060000}"/>
    <cellStyle name="Normal 3 2 2 4 2 2 2 3" xfId="5045" xr:uid="{00000000-0005-0000-0000-000078060000}"/>
    <cellStyle name="Normal 3 2 2 4 2 2 2 3 2" xfId="19557" xr:uid="{00000000-0005-0000-0000-000079060000}"/>
    <cellStyle name="Normal 3 2 2 4 2 2 2 3 3" xfId="12301" xr:uid="{00000000-0005-0000-0000-00007A060000}"/>
    <cellStyle name="Normal 3 2 2 4 2 2 2 4" xfId="15929" xr:uid="{00000000-0005-0000-0000-00007B060000}"/>
    <cellStyle name="Normal 3 2 2 4 2 2 2 5" xfId="8673" xr:uid="{00000000-0005-0000-0000-00007C060000}"/>
    <cellStyle name="Normal 3 2 2 4 2 2 3" xfId="2324" xr:uid="{00000000-0005-0000-0000-00007D060000}"/>
    <cellStyle name="Normal 3 2 2 4 2 2 3 2" xfId="5952" xr:uid="{00000000-0005-0000-0000-00007E060000}"/>
    <cellStyle name="Normal 3 2 2 4 2 2 3 2 2" xfId="20464" xr:uid="{00000000-0005-0000-0000-00007F060000}"/>
    <cellStyle name="Normal 3 2 2 4 2 2 3 2 3" xfId="13208" xr:uid="{00000000-0005-0000-0000-000080060000}"/>
    <cellStyle name="Normal 3 2 2 4 2 2 3 3" xfId="16836" xr:uid="{00000000-0005-0000-0000-000081060000}"/>
    <cellStyle name="Normal 3 2 2 4 2 2 3 4" xfId="9580" xr:uid="{00000000-0005-0000-0000-000082060000}"/>
    <cellStyle name="Normal 3 2 2 4 2 2 4" xfId="4138" xr:uid="{00000000-0005-0000-0000-000083060000}"/>
    <cellStyle name="Normal 3 2 2 4 2 2 4 2" xfId="18650" xr:uid="{00000000-0005-0000-0000-000084060000}"/>
    <cellStyle name="Normal 3 2 2 4 2 2 4 3" xfId="11394" xr:uid="{00000000-0005-0000-0000-000085060000}"/>
    <cellStyle name="Normal 3 2 2 4 2 2 5" xfId="15022" xr:uid="{00000000-0005-0000-0000-000086060000}"/>
    <cellStyle name="Normal 3 2 2 4 2 2 6" xfId="7766" xr:uid="{00000000-0005-0000-0000-000087060000}"/>
    <cellStyle name="Normal 3 2 2 4 2 3" xfId="1071" xr:uid="{00000000-0005-0000-0000-000088060000}"/>
    <cellStyle name="Normal 3 2 2 4 2 3 2" xfId="2885" xr:uid="{00000000-0005-0000-0000-000089060000}"/>
    <cellStyle name="Normal 3 2 2 4 2 3 2 2" xfId="6513" xr:uid="{00000000-0005-0000-0000-00008A060000}"/>
    <cellStyle name="Normal 3 2 2 4 2 3 2 2 2" xfId="21025" xr:uid="{00000000-0005-0000-0000-00008B060000}"/>
    <cellStyle name="Normal 3 2 2 4 2 3 2 2 3" xfId="13769" xr:uid="{00000000-0005-0000-0000-00008C060000}"/>
    <cellStyle name="Normal 3 2 2 4 2 3 2 3" xfId="17397" xr:uid="{00000000-0005-0000-0000-00008D060000}"/>
    <cellStyle name="Normal 3 2 2 4 2 3 2 4" xfId="10141" xr:uid="{00000000-0005-0000-0000-00008E060000}"/>
    <cellStyle name="Normal 3 2 2 4 2 3 3" xfId="4699" xr:uid="{00000000-0005-0000-0000-00008F060000}"/>
    <cellStyle name="Normal 3 2 2 4 2 3 3 2" xfId="19211" xr:uid="{00000000-0005-0000-0000-000090060000}"/>
    <cellStyle name="Normal 3 2 2 4 2 3 3 3" xfId="11955" xr:uid="{00000000-0005-0000-0000-000091060000}"/>
    <cellStyle name="Normal 3 2 2 4 2 3 4" xfId="15583" xr:uid="{00000000-0005-0000-0000-000092060000}"/>
    <cellStyle name="Normal 3 2 2 4 2 3 5" xfId="8327" xr:uid="{00000000-0005-0000-0000-000093060000}"/>
    <cellStyle name="Normal 3 2 2 4 2 4" xfId="1978" xr:uid="{00000000-0005-0000-0000-000094060000}"/>
    <cellStyle name="Normal 3 2 2 4 2 4 2" xfId="5606" xr:uid="{00000000-0005-0000-0000-000095060000}"/>
    <cellStyle name="Normal 3 2 2 4 2 4 2 2" xfId="20118" xr:uid="{00000000-0005-0000-0000-000096060000}"/>
    <cellStyle name="Normal 3 2 2 4 2 4 2 3" xfId="12862" xr:uid="{00000000-0005-0000-0000-000097060000}"/>
    <cellStyle name="Normal 3 2 2 4 2 4 3" xfId="16490" xr:uid="{00000000-0005-0000-0000-000098060000}"/>
    <cellStyle name="Normal 3 2 2 4 2 4 4" xfId="9234" xr:uid="{00000000-0005-0000-0000-000099060000}"/>
    <cellStyle name="Normal 3 2 2 4 2 5" xfId="3792" xr:uid="{00000000-0005-0000-0000-00009A060000}"/>
    <cellStyle name="Normal 3 2 2 4 2 5 2" xfId="18304" xr:uid="{00000000-0005-0000-0000-00009B060000}"/>
    <cellStyle name="Normal 3 2 2 4 2 5 3" xfId="11048" xr:uid="{00000000-0005-0000-0000-00009C060000}"/>
    <cellStyle name="Normal 3 2 2 4 2 6" xfId="14676" xr:uid="{00000000-0005-0000-0000-00009D060000}"/>
    <cellStyle name="Normal 3 2 2 4 2 7" xfId="7420" xr:uid="{00000000-0005-0000-0000-00009E060000}"/>
    <cellStyle name="Normal 3 2 2 4 3" xfId="293" xr:uid="{00000000-0005-0000-0000-00009F060000}"/>
    <cellStyle name="Normal 3 2 2 4 3 2" xfId="639" xr:uid="{00000000-0005-0000-0000-0000A0060000}"/>
    <cellStyle name="Normal 3 2 2 4 3 2 2" xfId="1547" xr:uid="{00000000-0005-0000-0000-0000A1060000}"/>
    <cellStyle name="Normal 3 2 2 4 3 2 2 2" xfId="3361" xr:uid="{00000000-0005-0000-0000-0000A2060000}"/>
    <cellStyle name="Normal 3 2 2 4 3 2 2 2 2" xfId="6989" xr:uid="{00000000-0005-0000-0000-0000A3060000}"/>
    <cellStyle name="Normal 3 2 2 4 3 2 2 2 2 2" xfId="21501" xr:uid="{00000000-0005-0000-0000-0000A4060000}"/>
    <cellStyle name="Normal 3 2 2 4 3 2 2 2 2 3" xfId="14245" xr:uid="{00000000-0005-0000-0000-0000A5060000}"/>
    <cellStyle name="Normal 3 2 2 4 3 2 2 2 3" xfId="17873" xr:uid="{00000000-0005-0000-0000-0000A6060000}"/>
    <cellStyle name="Normal 3 2 2 4 3 2 2 2 4" xfId="10617" xr:uid="{00000000-0005-0000-0000-0000A7060000}"/>
    <cellStyle name="Normal 3 2 2 4 3 2 2 3" xfId="5175" xr:uid="{00000000-0005-0000-0000-0000A8060000}"/>
    <cellStyle name="Normal 3 2 2 4 3 2 2 3 2" xfId="19687" xr:uid="{00000000-0005-0000-0000-0000A9060000}"/>
    <cellStyle name="Normal 3 2 2 4 3 2 2 3 3" xfId="12431" xr:uid="{00000000-0005-0000-0000-0000AA060000}"/>
    <cellStyle name="Normal 3 2 2 4 3 2 2 4" xfId="16059" xr:uid="{00000000-0005-0000-0000-0000AB060000}"/>
    <cellStyle name="Normal 3 2 2 4 3 2 2 5" xfId="8803" xr:uid="{00000000-0005-0000-0000-0000AC060000}"/>
    <cellStyle name="Normal 3 2 2 4 3 2 3" xfId="2454" xr:uid="{00000000-0005-0000-0000-0000AD060000}"/>
    <cellStyle name="Normal 3 2 2 4 3 2 3 2" xfId="6082" xr:uid="{00000000-0005-0000-0000-0000AE060000}"/>
    <cellStyle name="Normal 3 2 2 4 3 2 3 2 2" xfId="20594" xr:uid="{00000000-0005-0000-0000-0000AF060000}"/>
    <cellStyle name="Normal 3 2 2 4 3 2 3 2 3" xfId="13338" xr:uid="{00000000-0005-0000-0000-0000B0060000}"/>
    <cellStyle name="Normal 3 2 2 4 3 2 3 3" xfId="16966" xr:uid="{00000000-0005-0000-0000-0000B1060000}"/>
    <cellStyle name="Normal 3 2 2 4 3 2 3 4" xfId="9710" xr:uid="{00000000-0005-0000-0000-0000B2060000}"/>
    <cellStyle name="Normal 3 2 2 4 3 2 4" xfId="4268" xr:uid="{00000000-0005-0000-0000-0000B3060000}"/>
    <cellStyle name="Normal 3 2 2 4 3 2 4 2" xfId="18780" xr:uid="{00000000-0005-0000-0000-0000B4060000}"/>
    <cellStyle name="Normal 3 2 2 4 3 2 4 3" xfId="11524" xr:uid="{00000000-0005-0000-0000-0000B5060000}"/>
    <cellStyle name="Normal 3 2 2 4 3 2 5" xfId="15152" xr:uid="{00000000-0005-0000-0000-0000B6060000}"/>
    <cellStyle name="Normal 3 2 2 4 3 2 6" xfId="7896" xr:uid="{00000000-0005-0000-0000-0000B7060000}"/>
    <cellStyle name="Normal 3 2 2 4 3 3" xfId="1201" xr:uid="{00000000-0005-0000-0000-0000B8060000}"/>
    <cellStyle name="Normal 3 2 2 4 3 3 2" xfId="3015" xr:uid="{00000000-0005-0000-0000-0000B9060000}"/>
    <cellStyle name="Normal 3 2 2 4 3 3 2 2" xfId="6643" xr:uid="{00000000-0005-0000-0000-0000BA060000}"/>
    <cellStyle name="Normal 3 2 2 4 3 3 2 2 2" xfId="21155" xr:uid="{00000000-0005-0000-0000-0000BB060000}"/>
    <cellStyle name="Normal 3 2 2 4 3 3 2 2 3" xfId="13899" xr:uid="{00000000-0005-0000-0000-0000BC060000}"/>
    <cellStyle name="Normal 3 2 2 4 3 3 2 3" xfId="17527" xr:uid="{00000000-0005-0000-0000-0000BD060000}"/>
    <cellStyle name="Normal 3 2 2 4 3 3 2 4" xfId="10271" xr:uid="{00000000-0005-0000-0000-0000BE060000}"/>
    <cellStyle name="Normal 3 2 2 4 3 3 3" xfId="4829" xr:uid="{00000000-0005-0000-0000-0000BF060000}"/>
    <cellStyle name="Normal 3 2 2 4 3 3 3 2" xfId="19341" xr:uid="{00000000-0005-0000-0000-0000C0060000}"/>
    <cellStyle name="Normal 3 2 2 4 3 3 3 3" xfId="12085" xr:uid="{00000000-0005-0000-0000-0000C1060000}"/>
    <cellStyle name="Normal 3 2 2 4 3 3 4" xfId="15713" xr:uid="{00000000-0005-0000-0000-0000C2060000}"/>
    <cellStyle name="Normal 3 2 2 4 3 3 5" xfId="8457" xr:uid="{00000000-0005-0000-0000-0000C3060000}"/>
    <cellStyle name="Normal 3 2 2 4 3 4" xfId="2108" xr:uid="{00000000-0005-0000-0000-0000C4060000}"/>
    <cellStyle name="Normal 3 2 2 4 3 4 2" xfId="5736" xr:uid="{00000000-0005-0000-0000-0000C5060000}"/>
    <cellStyle name="Normal 3 2 2 4 3 4 2 2" xfId="20248" xr:uid="{00000000-0005-0000-0000-0000C6060000}"/>
    <cellStyle name="Normal 3 2 2 4 3 4 2 3" xfId="12992" xr:uid="{00000000-0005-0000-0000-0000C7060000}"/>
    <cellStyle name="Normal 3 2 2 4 3 4 3" xfId="16620" xr:uid="{00000000-0005-0000-0000-0000C8060000}"/>
    <cellStyle name="Normal 3 2 2 4 3 4 4" xfId="9364" xr:uid="{00000000-0005-0000-0000-0000C9060000}"/>
    <cellStyle name="Normal 3 2 2 4 3 5" xfId="3922" xr:uid="{00000000-0005-0000-0000-0000CA060000}"/>
    <cellStyle name="Normal 3 2 2 4 3 5 2" xfId="18434" xr:uid="{00000000-0005-0000-0000-0000CB060000}"/>
    <cellStyle name="Normal 3 2 2 4 3 5 3" xfId="11178" xr:uid="{00000000-0005-0000-0000-0000CC060000}"/>
    <cellStyle name="Normal 3 2 2 4 3 6" xfId="14806" xr:uid="{00000000-0005-0000-0000-0000CD060000}"/>
    <cellStyle name="Normal 3 2 2 4 3 7" xfId="7550" xr:uid="{00000000-0005-0000-0000-0000CE060000}"/>
    <cellStyle name="Normal 3 2 2 4 4" xfId="769" xr:uid="{00000000-0005-0000-0000-0000CF060000}"/>
    <cellStyle name="Normal 3 2 2 4 4 2" xfId="1677" xr:uid="{00000000-0005-0000-0000-0000D0060000}"/>
    <cellStyle name="Normal 3 2 2 4 4 2 2" xfId="3491" xr:uid="{00000000-0005-0000-0000-0000D1060000}"/>
    <cellStyle name="Normal 3 2 2 4 4 2 2 2" xfId="7119" xr:uid="{00000000-0005-0000-0000-0000D2060000}"/>
    <cellStyle name="Normal 3 2 2 4 4 2 2 2 2" xfId="21631" xr:uid="{00000000-0005-0000-0000-0000D3060000}"/>
    <cellStyle name="Normal 3 2 2 4 4 2 2 2 3" xfId="14375" xr:uid="{00000000-0005-0000-0000-0000D4060000}"/>
    <cellStyle name="Normal 3 2 2 4 4 2 2 3" xfId="18003" xr:uid="{00000000-0005-0000-0000-0000D5060000}"/>
    <cellStyle name="Normal 3 2 2 4 4 2 2 4" xfId="10747" xr:uid="{00000000-0005-0000-0000-0000D6060000}"/>
    <cellStyle name="Normal 3 2 2 4 4 2 3" xfId="5305" xr:uid="{00000000-0005-0000-0000-0000D7060000}"/>
    <cellStyle name="Normal 3 2 2 4 4 2 3 2" xfId="19817" xr:uid="{00000000-0005-0000-0000-0000D8060000}"/>
    <cellStyle name="Normal 3 2 2 4 4 2 3 3" xfId="12561" xr:uid="{00000000-0005-0000-0000-0000D9060000}"/>
    <cellStyle name="Normal 3 2 2 4 4 2 4" xfId="16189" xr:uid="{00000000-0005-0000-0000-0000DA060000}"/>
    <cellStyle name="Normal 3 2 2 4 4 2 5" xfId="8933" xr:uid="{00000000-0005-0000-0000-0000DB060000}"/>
    <cellStyle name="Normal 3 2 2 4 4 3" xfId="2584" xr:uid="{00000000-0005-0000-0000-0000DC060000}"/>
    <cellStyle name="Normal 3 2 2 4 4 3 2" xfId="6212" xr:uid="{00000000-0005-0000-0000-0000DD060000}"/>
    <cellStyle name="Normal 3 2 2 4 4 3 2 2" xfId="20724" xr:uid="{00000000-0005-0000-0000-0000DE060000}"/>
    <cellStyle name="Normal 3 2 2 4 4 3 2 3" xfId="13468" xr:uid="{00000000-0005-0000-0000-0000DF060000}"/>
    <cellStyle name="Normal 3 2 2 4 4 3 3" xfId="17096" xr:uid="{00000000-0005-0000-0000-0000E0060000}"/>
    <cellStyle name="Normal 3 2 2 4 4 3 4" xfId="9840" xr:uid="{00000000-0005-0000-0000-0000E1060000}"/>
    <cellStyle name="Normal 3 2 2 4 4 4" xfId="4398" xr:uid="{00000000-0005-0000-0000-0000E2060000}"/>
    <cellStyle name="Normal 3 2 2 4 4 4 2" xfId="18910" xr:uid="{00000000-0005-0000-0000-0000E3060000}"/>
    <cellStyle name="Normal 3 2 2 4 4 4 3" xfId="11654" xr:uid="{00000000-0005-0000-0000-0000E4060000}"/>
    <cellStyle name="Normal 3 2 2 4 4 5" xfId="15282" xr:uid="{00000000-0005-0000-0000-0000E5060000}"/>
    <cellStyle name="Normal 3 2 2 4 4 6" xfId="8026" xr:uid="{00000000-0005-0000-0000-0000E6060000}"/>
    <cellStyle name="Normal 3 2 2 4 5" xfId="423" xr:uid="{00000000-0005-0000-0000-0000E7060000}"/>
    <cellStyle name="Normal 3 2 2 4 5 2" xfId="1331" xr:uid="{00000000-0005-0000-0000-0000E8060000}"/>
    <cellStyle name="Normal 3 2 2 4 5 2 2" xfId="3145" xr:uid="{00000000-0005-0000-0000-0000E9060000}"/>
    <cellStyle name="Normal 3 2 2 4 5 2 2 2" xfId="6773" xr:uid="{00000000-0005-0000-0000-0000EA060000}"/>
    <cellStyle name="Normal 3 2 2 4 5 2 2 2 2" xfId="21285" xr:uid="{00000000-0005-0000-0000-0000EB060000}"/>
    <cellStyle name="Normal 3 2 2 4 5 2 2 2 3" xfId="14029" xr:uid="{00000000-0005-0000-0000-0000EC060000}"/>
    <cellStyle name="Normal 3 2 2 4 5 2 2 3" xfId="17657" xr:uid="{00000000-0005-0000-0000-0000ED060000}"/>
    <cellStyle name="Normal 3 2 2 4 5 2 2 4" xfId="10401" xr:uid="{00000000-0005-0000-0000-0000EE060000}"/>
    <cellStyle name="Normal 3 2 2 4 5 2 3" xfId="4959" xr:uid="{00000000-0005-0000-0000-0000EF060000}"/>
    <cellStyle name="Normal 3 2 2 4 5 2 3 2" xfId="19471" xr:uid="{00000000-0005-0000-0000-0000F0060000}"/>
    <cellStyle name="Normal 3 2 2 4 5 2 3 3" xfId="12215" xr:uid="{00000000-0005-0000-0000-0000F1060000}"/>
    <cellStyle name="Normal 3 2 2 4 5 2 4" xfId="15843" xr:uid="{00000000-0005-0000-0000-0000F2060000}"/>
    <cellStyle name="Normal 3 2 2 4 5 2 5" xfId="8587" xr:uid="{00000000-0005-0000-0000-0000F3060000}"/>
    <cellStyle name="Normal 3 2 2 4 5 3" xfId="2238" xr:uid="{00000000-0005-0000-0000-0000F4060000}"/>
    <cellStyle name="Normal 3 2 2 4 5 3 2" xfId="5866" xr:uid="{00000000-0005-0000-0000-0000F5060000}"/>
    <cellStyle name="Normal 3 2 2 4 5 3 2 2" xfId="20378" xr:uid="{00000000-0005-0000-0000-0000F6060000}"/>
    <cellStyle name="Normal 3 2 2 4 5 3 2 3" xfId="13122" xr:uid="{00000000-0005-0000-0000-0000F7060000}"/>
    <cellStyle name="Normal 3 2 2 4 5 3 3" xfId="16750" xr:uid="{00000000-0005-0000-0000-0000F8060000}"/>
    <cellStyle name="Normal 3 2 2 4 5 3 4" xfId="9494" xr:uid="{00000000-0005-0000-0000-0000F9060000}"/>
    <cellStyle name="Normal 3 2 2 4 5 4" xfId="4052" xr:uid="{00000000-0005-0000-0000-0000FA060000}"/>
    <cellStyle name="Normal 3 2 2 4 5 4 2" xfId="18564" xr:uid="{00000000-0005-0000-0000-0000FB060000}"/>
    <cellStyle name="Normal 3 2 2 4 5 4 3" xfId="11308" xr:uid="{00000000-0005-0000-0000-0000FC060000}"/>
    <cellStyle name="Normal 3 2 2 4 5 5" xfId="14936" xr:uid="{00000000-0005-0000-0000-0000FD060000}"/>
    <cellStyle name="Normal 3 2 2 4 5 6" xfId="7680" xr:uid="{00000000-0005-0000-0000-0000FE060000}"/>
    <cellStyle name="Normal 3 2 2 4 6" xfId="900" xr:uid="{00000000-0005-0000-0000-0000FF060000}"/>
    <cellStyle name="Normal 3 2 2 4 6 2" xfId="1808" xr:uid="{00000000-0005-0000-0000-000000070000}"/>
    <cellStyle name="Normal 3 2 2 4 6 2 2" xfId="3622" xr:uid="{00000000-0005-0000-0000-000001070000}"/>
    <cellStyle name="Normal 3 2 2 4 6 2 2 2" xfId="7250" xr:uid="{00000000-0005-0000-0000-000002070000}"/>
    <cellStyle name="Normal 3 2 2 4 6 2 2 2 2" xfId="21762" xr:uid="{00000000-0005-0000-0000-000003070000}"/>
    <cellStyle name="Normal 3 2 2 4 6 2 2 2 3" xfId="14506" xr:uid="{00000000-0005-0000-0000-000004070000}"/>
    <cellStyle name="Normal 3 2 2 4 6 2 2 3" xfId="18134" xr:uid="{00000000-0005-0000-0000-000005070000}"/>
    <cellStyle name="Normal 3 2 2 4 6 2 2 4" xfId="10878" xr:uid="{00000000-0005-0000-0000-000006070000}"/>
    <cellStyle name="Normal 3 2 2 4 6 2 3" xfId="5436" xr:uid="{00000000-0005-0000-0000-000007070000}"/>
    <cellStyle name="Normal 3 2 2 4 6 2 3 2" xfId="19948" xr:uid="{00000000-0005-0000-0000-000008070000}"/>
    <cellStyle name="Normal 3 2 2 4 6 2 3 3" xfId="12692" xr:uid="{00000000-0005-0000-0000-000009070000}"/>
    <cellStyle name="Normal 3 2 2 4 6 2 4" xfId="16320" xr:uid="{00000000-0005-0000-0000-00000A070000}"/>
    <cellStyle name="Normal 3 2 2 4 6 2 5" xfId="9064" xr:uid="{00000000-0005-0000-0000-00000B070000}"/>
    <cellStyle name="Normal 3 2 2 4 6 3" xfId="2715" xr:uid="{00000000-0005-0000-0000-00000C070000}"/>
    <cellStyle name="Normal 3 2 2 4 6 3 2" xfId="6343" xr:uid="{00000000-0005-0000-0000-00000D070000}"/>
    <cellStyle name="Normal 3 2 2 4 6 3 2 2" xfId="20855" xr:uid="{00000000-0005-0000-0000-00000E070000}"/>
    <cellStyle name="Normal 3 2 2 4 6 3 2 3" xfId="13599" xr:uid="{00000000-0005-0000-0000-00000F070000}"/>
    <cellStyle name="Normal 3 2 2 4 6 3 3" xfId="17227" xr:uid="{00000000-0005-0000-0000-000010070000}"/>
    <cellStyle name="Normal 3 2 2 4 6 3 4" xfId="9971" xr:uid="{00000000-0005-0000-0000-000011070000}"/>
    <cellStyle name="Normal 3 2 2 4 6 4" xfId="4529" xr:uid="{00000000-0005-0000-0000-000012070000}"/>
    <cellStyle name="Normal 3 2 2 4 6 4 2" xfId="19041" xr:uid="{00000000-0005-0000-0000-000013070000}"/>
    <cellStyle name="Normal 3 2 2 4 6 4 3" xfId="11785" xr:uid="{00000000-0005-0000-0000-000014070000}"/>
    <cellStyle name="Normal 3 2 2 4 6 5" xfId="15413" xr:uid="{00000000-0005-0000-0000-000015070000}"/>
    <cellStyle name="Normal 3 2 2 4 6 6" xfId="8157" xr:uid="{00000000-0005-0000-0000-000016070000}"/>
    <cellStyle name="Normal 3 2 2 4 7" xfId="985" xr:uid="{00000000-0005-0000-0000-000017070000}"/>
    <cellStyle name="Normal 3 2 2 4 7 2" xfId="2799" xr:uid="{00000000-0005-0000-0000-000018070000}"/>
    <cellStyle name="Normal 3 2 2 4 7 2 2" xfId="6427" xr:uid="{00000000-0005-0000-0000-000019070000}"/>
    <cellStyle name="Normal 3 2 2 4 7 2 2 2" xfId="20939" xr:uid="{00000000-0005-0000-0000-00001A070000}"/>
    <cellStyle name="Normal 3 2 2 4 7 2 2 3" xfId="13683" xr:uid="{00000000-0005-0000-0000-00001B070000}"/>
    <cellStyle name="Normal 3 2 2 4 7 2 3" xfId="17311" xr:uid="{00000000-0005-0000-0000-00001C070000}"/>
    <cellStyle name="Normal 3 2 2 4 7 2 4" xfId="10055" xr:uid="{00000000-0005-0000-0000-00001D070000}"/>
    <cellStyle name="Normal 3 2 2 4 7 3" xfId="4613" xr:uid="{00000000-0005-0000-0000-00001E070000}"/>
    <cellStyle name="Normal 3 2 2 4 7 3 2" xfId="19125" xr:uid="{00000000-0005-0000-0000-00001F070000}"/>
    <cellStyle name="Normal 3 2 2 4 7 3 3" xfId="11869" xr:uid="{00000000-0005-0000-0000-000020070000}"/>
    <cellStyle name="Normal 3 2 2 4 7 4" xfId="15497" xr:uid="{00000000-0005-0000-0000-000021070000}"/>
    <cellStyle name="Normal 3 2 2 4 7 5" xfId="8241" xr:uid="{00000000-0005-0000-0000-000022070000}"/>
    <cellStyle name="Normal 3 2 2 4 8" xfId="1892" xr:uid="{00000000-0005-0000-0000-000023070000}"/>
    <cellStyle name="Normal 3 2 2 4 8 2" xfId="5520" xr:uid="{00000000-0005-0000-0000-000024070000}"/>
    <cellStyle name="Normal 3 2 2 4 8 2 2" xfId="20032" xr:uid="{00000000-0005-0000-0000-000025070000}"/>
    <cellStyle name="Normal 3 2 2 4 8 2 3" xfId="12776" xr:uid="{00000000-0005-0000-0000-000026070000}"/>
    <cellStyle name="Normal 3 2 2 4 8 3" xfId="16404" xr:uid="{00000000-0005-0000-0000-000027070000}"/>
    <cellStyle name="Normal 3 2 2 4 8 4" xfId="9148" xr:uid="{00000000-0005-0000-0000-000028070000}"/>
    <cellStyle name="Normal 3 2 2 4 9" xfId="3706" xr:uid="{00000000-0005-0000-0000-000029070000}"/>
    <cellStyle name="Normal 3 2 2 4 9 2" xfId="18218" xr:uid="{00000000-0005-0000-0000-00002A070000}"/>
    <cellStyle name="Normal 3 2 2 4 9 3" xfId="10962" xr:uid="{00000000-0005-0000-0000-00002B070000}"/>
    <cellStyle name="Normal 3 2 2 5" xfId="207" xr:uid="{00000000-0005-0000-0000-00002C070000}"/>
    <cellStyle name="Normal 3 2 2 5 2" xfId="337" xr:uid="{00000000-0005-0000-0000-00002D070000}"/>
    <cellStyle name="Normal 3 2 2 5 2 2" xfId="683" xr:uid="{00000000-0005-0000-0000-00002E070000}"/>
    <cellStyle name="Normal 3 2 2 5 2 2 2" xfId="1591" xr:uid="{00000000-0005-0000-0000-00002F070000}"/>
    <cellStyle name="Normal 3 2 2 5 2 2 2 2" xfId="3405" xr:uid="{00000000-0005-0000-0000-000030070000}"/>
    <cellStyle name="Normal 3 2 2 5 2 2 2 2 2" xfId="7033" xr:uid="{00000000-0005-0000-0000-000031070000}"/>
    <cellStyle name="Normal 3 2 2 5 2 2 2 2 2 2" xfId="21545" xr:uid="{00000000-0005-0000-0000-000032070000}"/>
    <cellStyle name="Normal 3 2 2 5 2 2 2 2 2 3" xfId="14289" xr:uid="{00000000-0005-0000-0000-000033070000}"/>
    <cellStyle name="Normal 3 2 2 5 2 2 2 2 3" xfId="17917" xr:uid="{00000000-0005-0000-0000-000034070000}"/>
    <cellStyle name="Normal 3 2 2 5 2 2 2 2 4" xfId="10661" xr:uid="{00000000-0005-0000-0000-000035070000}"/>
    <cellStyle name="Normal 3 2 2 5 2 2 2 3" xfId="5219" xr:uid="{00000000-0005-0000-0000-000036070000}"/>
    <cellStyle name="Normal 3 2 2 5 2 2 2 3 2" xfId="19731" xr:uid="{00000000-0005-0000-0000-000037070000}"/>
    <cellStyle name="Normal 3 2 2 5 2 2 2 3 3" xfId="12475" xr:uid="{00000000-0005-0000-0000-000038070000}"/>
    <cellStyle name="Normal 3 2 2 5 2 2 2 4" xfId="16103" xr:uid="{00000000-0005-0000-0000-000039070000}"/>
    <cellStyle name="Normal 3 2 2 5 2 2 2 5" xfId="8847" xr:uid="{00000000-0005-0000-0000-00003A070000}"/>
    <cellStyle name="Normal 3 2 2 5 2 2 3" xfId="2498" xr:uid="{00000000-0005-0000-0000-00003B070000}"/>
    <cellStyle name="Normal 3 2 2 5 2 2 3 2" xfId="6126" xr:uid="{00000000-0005-0000-0000-00003C070000}"/>
    <cellStyle name="Normal 3 2 2 5 2 2 3 2 2" xfId="20638" xr:uid="{00000000-0005-0000-0000-00003D070000}"/>
    <cellStyle name="Normal 3 2 2 5 2 2 3 2 3" xfId="13382" xr:uid="{00000000-0005-0000-0000-00003E070000}"/>
    <cellStyle name="Normal 3 2 2 5 2 2 3 3" xfId="17010" xr:uid="{00000000-0005-0000-0000-00003F070000}"/>
    <cellStyle name="Normal 3 2 2 5 2 2 3 4" xfId="9754" xr:uid="{00000000-0005-0000-0000-000040070000}"/>
    <cellStyle name="Normal 3 2 2 5 2 2 4" xfId="4312" xr:uid="{00000000-0005-0000-0000-000041070000}"/>
    <cellStyle name="Normal 3 2 2 5 2 2 4 2" xfId="18824" xr:uid="{00000000-0005-0000-0000-000042070000}"/>
    <cellStyle name="Normal 3 2 2 5 2 2 4 3" xfId="11568" xr:uid="{00000000-0005-0000-0000-000043070000}"/>
    <cellStyle name="Normal 3 2 2 5 2 2 5" xfId="15196" xr:uid="{00000000-0005-0000-0000-000044070000}"/>
    <cellStyle name="Normal 3 2 2 5 2 2 6" xfId="7940" xr:uid="{00000000-0005-0000-0000-000045070000}"/>
    <cellStyle name="Normal 3 2 2 5 2 3" xfId="1245" xr:uid="{00000000-0005-0000-0000-000046070000}"/>
    <cellStyle name="Normal 3 2 2 5 2 3 2" xfId="3059" xr:uid="{00000000-0005-0000-0000-000047070000}"/>
    <cellStyle name="Normal 3 2 2 5 2 3 2 2" xfId="6687" xr:uid="{00000000-0005-0000-0000-000048070000}"/>
    <cellStyle name="Normal 3 2 2 5 2 3 2 2 2" xfId="21199" xr:uid="{00000000-0005-0000-0000-000049070000}"/>
    <cellStyle name="Normal 3 2 2 5 2 3 2 2 3" xfId="13943" xr:uid="{00000000-0005-0000-0000-00004A070000}"/>
    <cellStyle name="Normal 3 2 2 5 2 3 2 3" xfId="17571" xr:uid="{00000000-0005-0000-0000-00004B070000}"/>
    <cellStyle name="Normal 3 2 2 5 2 3 2 4" xfId="10315" xr:uid="{00000000-0005-0000-0000-00004C070000}"/>
    <cellStyle name="Normal 3 2 2 5 2 3 3" xfId="4873" xr:uid="{00000000-0005-0000-0000-00004D070000}"/>
    <cellStyle name="Normal 3 2 2 5 2 3 3 2" xfId="19385" xr:uid="{00000000-0005-0000-0000-00004E070000}"/>
    <cellStyle name="Normal 3 2 2 5 2 3 3 3" xfId="12129" xr:uid="{00000000-0005-0000-0000-00004F070000}"/>
    <cellStyle name="Normal 3 2 2 5 2 3 4" xfId="15757" xr:uid="{00000000-0005-0000-0000-000050070000}"/>
    <cellStyle name="Normal 3 2 2 5 2 3 5" xfId="8501" xr:uid="{00000000-0005-0000-0000-000051070000}"/>
    <cellStyle name="Normal 3 2 2 5 2 4" xfId="2152" xr:uid="{00000000-0005-0000-0000-000052070000}"/>
    <cellStyle name="Normal 3 2 2 5 2 4 2" xfId="5780" xr:uid="{00000000-0005-0000-0000-000053070000}"/>
    <cellStyle name="Normal 3 2 2 5 2 4 2 2" xfId="20292" xr:uid="{00000000-0005-0000-0000-000054070000}"/>
    <cellStyle name="Normal 3 2 2 5 2 4 2 3" xfId="13036" xr:uid="{00000000-0005-0000-0000-000055070000}"/>
    <cellStyle name="Normal 3 2 2 5 2 4 3" xfId="16664" xr:uid="{00000000-0005-0000-0000-000056070000}"/>
    <cellStyle name="Normal 3 2 2 5 2 4 4" xfId="9408" xr:uid="{00000000-0005-0000-0000-000057070000}"/>
    <cellStyle name="Normal 3 2 2 5 2 5" xfId="3966" xr:uid="{00000000-0005-0000-0000-000058070000}"/>
    <cellStyle name="Normal 3 2 2 5 2 5 2" xfId="18478" xr:uid="{00000000-0005-0000-0000-000059070000}"/>
    <cellStyle name="Normal 3 2 2 5 2 5 3" xfId="11222" xr:uid="{00000000-0005-0000-0000-00005A070000}"/>
    <cellStyle name="Normal 3 2 2 5 2 6" xfId="14850" xr:uid="{00000000-0005-0000-0000-00005B070000}"/>
    <cellStyle name="Normal 3 2 2 5 2 7" xfId="7594" xr:uid="{00000000-0005-0000-0000-00005C070000}"/>
    <cellStyle name="Normal 3 2 2 5 3" xfId="813" xr:uid="{00000000-0005-0000-0000-00005D070000}"/>
    <cellStyle name="Normal 3 2 2 5 3 2" xfId="1721" xr:uid="{00000000-0005-0000-0000-00005E070000}"/>
    <cellStyle name="Normal 3 2 2 5 3 2 2" xfId="3535" xr:uid="{00000000-0005-0000-0000-00005F070000}"/>
    <cellStyle name="Normal 3 2 2 5 3 2 2 2" xfId="7163" xr:uid="{00000000-0005-0000-0000-000060070000}"/>
    <cellStyle name="Normal 3 2 2 5 3 2 2 2 2" xfId="21675" xr:uid="{00000000-0005-0000-0000-000061070000}"/>
    <cellStyle name="Normal 3 2 2 5 3 2 2 2 3" xfId="14419" xr:uid="{00000000-0005-0000-0000-000062070000}"/>
    <cellStyle name="Normal 3 2 2 5 3 2 2 3" xfId="18047" xr:uid="{00000000-0005-0000-0000-000063070000}"/>
    <cellStyle name="Normal 3 2 2 5 3 2 2 4" xfId="10791" xr:uid="{00000000-0005-0000-0000-000064070000}"/>
    <cellStyle name="Normal 3 2 2 5 3 2 3" xfId="5349" xr:uid="{00000000-0005-0000-0000-000065070000}"/>
    <cellStyle name="Normal 3 2 2 5 3 2 3 2" xfId="19861" xr:uid="{00000000-0005-0000-0000-000066070000}"/>
    <cellStyle name="Normal 3 2 2 5 3 2 3 3" xfId="12605" xr:uid="{00000000-0005-0000-0000-000067070000}"/>
    <cellStyle name="Normal 3 2 2 5 3 2 4" xfId="16233" xr:uid="{00000000-0005-0000-0000-000068070000}"/>
    <cellStyle name="Normal 3 2 2 5 3 2 5" xfId="8977" xr:uid="{00000000-0005-0000-0000-000069070000}"/>
    <cellStyle name="Normal 3 2 2 5 3 3" xfId="2628" xr:uid="{00000000-0005-0000-0000-00006A070000}"/>
    <cellStyle name="Normal 3 2 2 5 3 3 2" xfId="6256" xr:uid="{00000000-0005-0000-0000-00006B070000}"/>
    <cellStyle name="Normal 3 2 2 5 3 3 2 2" xfId="20768" xr:uid="{00000000-0005-0000-0000-00006C070000}"/>
    <cellStyle name="Normal 3 2 2 5 3 3 2 3" xfId="13512" xr:uid="{00000000-0005-0000-0000-00006D070000}"/>
    <cellStyle name="Normal 3 2 2 5 3 3 3" xfId="17140" xr:uid="{00000000-0005-0000-0000-00006E070000}"/>
    <cellStyle name="Normal 3 2 2 5 3 3 4" xfId="9884" xr:uid="{00000000-0005-0000-0000-00006F070000}"/>
    <cellStyle name="Normal 3 2 2 5 3 4" xfId="4442" xr:uid="{00000000-0005-0000-0000-000070070000}"/>
    <cellStyle name="Normal 3 2 2 5 3 4 2" xfId="18954" xr:uid="{00000000-0005-0000-0000-000071070000}"/>
    <cellStyle name="Normal 3 2 2 5 3 4 3" xfId="11698" xr:uid="{00000000-0005-0000-0000-000072070000}"/>
    <cellStyle name="Normal 3 2 2 5 3 5" xfId="15326" xr:uid="{00000000-0005-0000-0000-000073070000}"/>
    <cellStyle name="Normal 3 2 2 5 3 6" xfId="8070" xr:uid="{00000000-0005-0000-0000-000074070000}"/>
    <cellStyle name="Normal 3 2 2 5 4" xfId="553" xr:uid="{00000000-0005-0000-0000-000075070000}"/>
    <cellStyle name="Normal 3 2 2 5 4 2" xfId="1461" xr:uid="{00000000-0005-0000-0000-000076070000}"/>
    <cellStyle name="Normal 3 2 2 5 4 2 2" xfId="3275" xr:uid="{00000000-0005-0000-0000-000077070000}"/>
    <cellStyle name="Normal 3 2 2 5 4 2 2 2" xfId="6903" xr:uid="{00000000-0005-0000-0000-000078070000}"/>
    <cellStyle name="Normal 3 2 2 5 4 2 2 2 2" xfId="21415" xr:uid="{00000000-0005-0000-0000-000079070000}"/>
    <cellStyle name="Normal 3 2 2 5 4 2 2 2 3" xfId="14159" xr:uid="{00000000-0005-0000-0000-00007A070000}"/>
    <cellStyle name="Normal 3 2 2 5 4 2 2 3" xfId="17787" xr:uid="{00000000-0005-0000-0000-00007B070000}"/>
    <cellStyle name="Normal 3 2 2 5 4 2 2 4" xfId="10531" xr:uid="{00000000-0005-0000-0000-00007C070000}"/>
    <cellStyle name="Normal 3 2 2 5 4 2 3" xfId="5089" xr:uid="{00000000-0005-0000-0000-00007D070000}"/>
    <cellStyle name="Normal 3 2 2 5 4 2 3 2" xfId="19601" xr:uid="{00000000-0005-0000-0000-00007E070000}"/>
    <cellStyle name="Normal 3 2 2 5 4 2 3 3" xfId="12345" xr:uid="{00000000-0005-0000-0000-00007F070000}"/>
    <cellStyle name="Normal 3 2 2 5 4 2 4" xfId="15973" xr:uid="{00000000-0005-0000-0000-000080070000}"/>
    <cellStyle name="Normal 3 2 2 5 4 2 5" xfId="8717" xr:uid="{00000000-0005-0000-0000-000081070000}"/>
    <cellStyle name="Normal 3 2 2 5 4 3" xfId="2368" xr:uid="{00000000-0005-0000-0000-000082070000}"/>
    <cellStyle name="Normal 3 2 2 5 4 3 2" xfId="5996" xr:uid="{00000000-0005-0000-0000-000083070000}"/>
    <cellStyle name="Normal 3 2 2 5 4 3 2 2" xfId="20508" xr:uid="{00000000-0005-0000-0000-000084070000}"/>
    <cellStyle name="Normal 3 2 2 5 4 3 2 3" xfId="13252" xr:uid="{00000000-0005-0000-0000-000085070000}"/>
    <cellStyle name="Normal 3 2 2 5 4 3 3" xfId="16880" xr:uid="{00000000-0005-0000-0000-000086070000}"/>
    <cellStyle name="Normal 3 2 2 5 4 3 4" xfId="9624" xr:uid="{00000000-0005-0000-0000-000087070000}"/>
    <cellStyle name="Normal 3 2 2 5 4 4" xfId="4182" xr:uid="{00000000-0005-0000-0000-000088070000}"/>
    <cellStyle name="Normal 3 2 2 5 4 4 2" xfId="18694" xr:uid="{00000000-0005-0000-0000-000089070000}"/>
    <cellStyle name="Normal 3 2 2 5 4 4 3" xfId="11438" xr:uid="{00000000-0005-0000-0000-00008A070000}"/>
    <cellStyle name="Normal 3 2 2 5 4 5" xfId="15066" xr:uid="{00000000-0005-0000-0000-00008B070000}"/>
    <cellStyle name="Normal 3 2 2 5 4 6" xfId="7810" xr:uid="{00000000-0005-0000-0000-00008C070000}"/>
    <cellStyle name="Normal 3 2 2 5 5" xfId="1115" xr:uid="{00000000-0005-0000-0000-00008D070000}"/>
    <cellStyle name="Normal 3 2 2 5 5 2" xfId="2929" xr:uid="{00000000-0005-0000-0000-00008E070000}"/>
    <cellStyle name="Normal 3 2 2 5 5 2 2" xfId="6557" xr:uid="{00000000-0005-0000-0000-00008F070000}"/>
    <cellStyle name="Normal 3 2 2 5 5 2 2 2" xfId="21069" xr:uid="{00000000-0005-0000-0000-000090070000}"/>
    <cellStyle name="Normal 3 2 2 5 5 2 2 3" xfId="13813" xr:uid="{00000000-0005-0000-0000-000091070000}"/>
    <cellStyle name="Normal 3 2 2 5 5 2 3" xfId="17441" xr:uid="{00000000-0005-0000-0000-000092070000}"/>
    <cellStyle name="Normal 3 2 2 5 5 2 4" xfId="10185" xr:uid="{00000000-0005-0000-0000-000093070000}"/>
    <cellStyle name="Normal 3 2 2 5 5 3" xfId="4743" xr:uid="{00000000-0005-0000-0000-000094070000}"/>
    <cellStyle name="Normal 3 2 2 5 5 3 2" xfId="19255" xr:uid="{00000000-0005-0000-0000-000095070000}"/>
    <cellStyle name="Normal 3 2 2 5 5 3 3" xfId="11999" xr:uid="{00000000-0005-0000-0000-000096070000}"/>
    <cellStyle name="Normal 3 2 2 5 5 4" xfId="15627" xr:uid="{00000000-0005-0000-0000-000097070000}"/>
    <cellStyle name="Normal 3 2 2 5 5 5" xfId="8371" xr:uid="{00000000-0005-0000-0000-000098070000}"/>
    <cellStyle name="Normal 3 2 2 5 6" xfId="2022" xr:uid="{00000000-0005-0000-0000-000099070000}"/>
    <cellStyle name="Normal 3 2 2 5 6 2" xfId="5650" xr:uid="{00000000-0005-0000-0000-00009A070000}"/>
    <cellStyle name="Normal 3 2 2 5 6 2 2" xfId="20162" xr:uid="{00000000-0005-0000-0000-00009B070000}"/>
    <cellStyle name="Normal 3 2 2 5 6 2 3" xfId="12906" xr:uid="{00000000-0005-0000-0000-00009C070000}"/>
    <cellStyle name="Normal 3 2 2 5 6 3" xfId="16534" xr:uid="{00000000-0005-0000-0000-00009D070000}"/>
    <cellStyle name="Normal 3 2 2 5 6 4" xfId="9278" xr:uid="{00000000-0005-0000-0000-00009E070000}"/>
    <cellStyle name="Normal 3 2 2 5 7" xfId="3836" xr:uid="{00000000-0005-0000-0000-00009F070000}"/>
    <cellStyle name="Normal 3 2 2 5 7 2" xfId="18348" xr:uid="{00000000-0005-0000-0000-0000A0070000}"/>
    <cellStyle name="Normal 3 2 2 5 7 3" xfId="11092" xr:uid="{00000000-0005-0000-0000-0000A1070000}"/>
    <cellStyle name="Normal 3 2 2 5 8" xfId="14720" xr:uid="{00000000-0005-0000-0000-0000A2070000}"/>
    <cellStyle name="Normal 3 2 2 5 9" xfId="7464" xr:uid="{00000000-0005-0000-0000-0000A3070000}"/>
    <cellStyle name="Normal 3 2 2 6" xfId="121" xr:uid="{00000000-0005-0000-0000-0000A4070000}"/>
    <cellStyle name="Normal 3 2 2 6 2" xfId="467" xr:uid="{00000000-0005-0000-0000-0000A5070000}"/>
    <cellStyle name="Normal 3 2 2 6 2 2" xfId="1375" xr:uid="{00000000-0005-0000-0000-0000A6070000}"/>
    <cellStyle name="Normal 3 2 2 6 2 2 2" xfId="3189" xr:uid="{00000000-0005-0000-0000-0000A7070000}"/>
    <cellStyle name="Normal 3 2 2 6 2 2 2 2" xfId="6817" xr:uid="{00000000-0005-0000-0000-0000A8070000}"/>
    <cellStyle name="Normal 3 2 2 6 2 2 2 2 2" xfId="21329" xr:uid="{00000000-0005-0000-0000-0000A9070000}"/>
    <cellStyle name="Normal 3 2 2 6 2 2 2 2 3" xfId="14073" xr:uid="{00000000-0005-0000-0000-0000AA070000}"/>
    <cellStyle name="Normal 3 2 2 6 2 2 2 3" xfId="17701" xr:uid="{00000000-0005-0000-0000-0000AB070000}"/>
    <cellStyle name="Normal 3 2 2 6 2 2 2 4" xfId="10445" xr:uid="{00000000-0005-0000-0000-0000AC070000}"/>
    <cellStyle name="Normal 3 2 2 6 2 2 3" xfId="5003" xr:uid="{00000000-0005-0000-0000-0000AD070000}"/>
    <cellStyle name="Normal 3 2 2 6 2 2 3 2" xfId="19515" xr:uid="{00000000-0005-0000-0000-0000AE070000}"/>
    <cellStyle name="Normal 3 2 2 6 2 2 3 3" xfId="12259" xr:uid="{00000000-0005-0000-0000-0000AF070000}"/>
    <cellStyle name="Normal 3 2 2 6 2 2 4" xfId="15887" xr:uid="{00000000-0005-0000-0000-0000B0070000}"/>
    <cellStyle name="Normal 3 2 2 6 2 2 5" xfId="8631" xr:uid="{00000000-0005-0000-0000-0000B1070000}"/>
    <cellStyle name="Normal 3 2 2 6 2 3" xfId="2282" xr:uid="{00000000-0005-0000-0000-0000B2070000}"/>
    <cellStyle name="Normal 3 2 2 6 2 3 2" xfId="5910" xr:uid="{00000000-0005-0000-0000-0000B3070000}"/>
    <cellStyle name="Normal 3 2 2 6 2 3 2 2" xfId="20422" xr:uid="{00000000-0005-0000-0000-0000B4070000}"/>
    <cellStyle name="Normal 3 2 2 6 2 3 2 3" xfId="13166" xr:uid="{00000000-0005-0000-0000-0000B5070000}"/>
    <cellStyle name="Normal 3 2 2 6 2 3 3" xfId="16794" xr:uid="{00000000-0005-0000-0000-0000B6070000}"/>
    <cellStyle name="Normal 3 2 2 6 2 3 4" xfId="9538" xr:uid="{00000000-0005-0000-0000-0000B7070000}"/>
    <cellStyle name="Normal 3 2 2 6 2 4" xfId="4096" xr:uid="{00000000-0005-0000-0000-0000B8070000}"/>
    <cellStyle name="Normal 3 2 2 6 2 4 2" xfId="18608" xr:uid="{00000000-0005-0000-0000-0000B9070000}"/>
    <cellStyle name="Normal 3 2 2 6 2 4 3" xfId="11352" xr:uid="{00000000-0005-0000-0000-0000BA070000}"/>
    <cellStyle name="Normal 3 2 2 6 2 5" xfId="14980" xr:uid="{00000000-0005-0000-0000-0000BB070000}"/>
    <cellStyle name="Normal 3 2 2 6 2 6" xfId="7724" xr:uid="{00000000-0005-0000-0000-0000BC070000}"/>
    <cellStyle name="Normal 3 2 2 6 3" xfId="1029" xr:uid="{00000000-0005-0000-0000-0000BD070000}"/>
    <cellStyle name="Normal 3 2 2 6 3 2" xfId="2843" xr:uid="{00000000-0005-0000-0000-0000BE070000}"/>
    <cellStyle name="Normal 3 2 2 6 3 2 2" xfId="6471" xr:uid="{00000000-0005-0000-0000-0000BF070000}"/>
    <cellStyle name="Normal 3 2 2 6 3 2 2 2" xfId="20983" xr:uid="{00000000-0005-0000-0000-0000C0070000}"/>
    <cellStyle name="Normal 3 2 2 6 3 2 2 3" xfId="13727" xr:uid="{00000000-0005-0000-0000-0000C1070000}"/>
    <cellStyle name="Normal 3 2 2 6 3 2 3" xfId="17355" xr:uid="{00000000-0005-0000-0000-0000C2070000}"/>
    <cellStyle name="Normal 3 2 2 6 3 2 4" xfId="10099" xr:uid="{00000000-0005-0000-0000-0000C3070000}"/>
    <cellStyle name="Normal 3 2 2 6 3 3" xfId="4657" xr:uid="{00000000-0005-0000-0000-0000C4070000}"/>
    <cellStyle name="Normal 3 2 2 6 3 3 2" xfId="19169" xr:uid="{00000000-0005-0000-0000-0000C5070000}"/>
    <cellStyle name="Normal 3 2 2 6 3 3 3" xfId="11913" xr:uid="{00000000-0005-0000-0000-0000C6070000}"/>
    <cellStyle name="Normal 3 2 2 6 3 4" xfId="15541" xr:uid="{00000000-0005-0000-0000-0000C7070000}"/>
    <cellStyle name="Normal 3 2 2 6 3 5" xfId="8285" xr:uid="{00000000-0005-0000-0000-0000C8070000}"/>
    <cellStyle name="Normal 3 2 2 6 4" xfId="1936" xr:uid="{00000000-0005-0000-0000-0000C9070000}"/>
    <cellStyle name="Normal 3 2 2 6 4 2" xfId="5564" xr:uid="{00000000-0005-0000-0000-0000CA070000}"/>
    <cellStyle name="Normal 3 2 2 6 4 2 2" xfId="20076" xr:uid="{00000000-0005-0000-0000-0000CB070000}"/>
    <cellStyle name="Normal 3 2 2 6 4 2 3" xfId="12820" xr:uid="{00000000-0005-0000-0000-0000CC070000}"/>
    <cellStyle name="Normal 3 2 2 6 4 3" xfId="16448" xr:uid="{00000000-0005-0000-0000-0000CD070000}"/>
    <cellStyle name="Normal 3 2 2 6 4 4" xfId="9192" xr:uid="{00000000-0005-0000-0000-0000CE070000}"/>
    <cellStyle name="Normal 3 2 2 6 5" xfId="3750" xr:uid="{00000000-0005-0000-0000-0000CF070000}"/>
    <cellStyle name="Normal 3 2 2 6 5 2" xfId="18262" xr:uid="{00000000-0005-0000-0000-0000D0070000}"/>
    <cellStyle name="Normal 3 2 2 6 5 3" xfId="11006" xr:uid="{00000000-0005-0000-0000-0000D1070000}"/>
    <cellStyle name="Normal 3 2 2 6 6" xfId="14634" xr:uid="{00000000-0005-0000-0000-0000D2070000}"/>
    <cellStyle name="Normal 3 2 2 6 7" xfId="7378" xr:uid="{00000000-0005-0000-0000-0000D3070000}"/>
    <cellStyle name="Normal 3 2 2 7" xfId="251" xr:uid="{00000000-0005-0000-0000-0000D4070000}"/>
    <cellStyle name="Normal 3 2 2 7 2" xfId="597" xr:uid="{00000000-0005-0000-0000-0000D5070000}"/>
    <cellStyle name="Normal 3 2 2 7 2 2" xfId="1505" xr:uid="{00000000-0005-0000-0000-0000D6070000}"/>
    <cellStyle name="Normal 3 2 2 7 2 2 2" xfId="3319" xr:uid="{00000000-0005-0000-0000-0000D7070000}"/>
    <cellStyle name="Normal 3 2 2 7 2 2 2 2" xfId="6947" xr:uid="{00000000-0005-0000-0000-0000D8070000}"/>
    <cellStyle name="Normal 3 2 2 7 2 2 2 2 2" xfId="21459" xr:uid="{00000000-0005-0000-0000-0000D9070000}"/>
    <cellStyle name="Normal 3 2 2 7 2 2 2 2 3" xfId="14203" xr:uid="{00000000-0005-0000-0000-0000DA070000}"/>
    <cellStyle name="Normal 3 2 2 7 2 2 2 3" xfId="17831" xr:uid="{00000000-0005-0000-0000-0000DB070000}"/>
    <cellStyle name="Normal 3 2 2 7 2 2 2 4" xfId="10575" xr:uid="{00000000-0005-0000-0000-0000DC070000}"/>
    <cellStyle name="Normal 3 2 2 7 2 2 3" xfId="5133" xr:uid="{00000000-0005-0000-0000-0000DD070000}"/>
    <cellStyle name="Normal 3 2 2 7 2 2 3 2" xfId="19645" xr:uid="{00000000-0005-0000-0000-0000DE070000}"/>
    <cellStyle name="Normal 3 2 2 7 2 2 3 3" xfId="12389" xr:uid="{00000000-0005-0000-0000-0000DF070000}"/>
    <cellStyle name="Normal 3 2 2 7 2 2 4" xfId="16017" xr:uid="{00000000-0005-0000-0000-0000E0070000}"/>
    <cellStyle name="Normal 3 2 2 7 2 2 5" xfId="8761" xr:uid="{00000000-0005-0000-0000-0000E1070000}"/>
    <cellStyle name="Normal 3 2 2 7 2 3" xfId="2412" xr:uid="{00000000-0005-0000-0000-0000E2070000}"/>
    <cellStyle name="Normal 3 2 2 7 2 3 2" xfId="6040" xr:uid="{00000000-0005-0000-0000-0000E3070000}"/>
    <cellStyle name="Normal 3 2 2 7 2 3 2 2" xfId="20552" xr:uid="{00000000-0005-0000-0000-0000E4070000}"/>
    <cellStyle name="Normal 3 2 2 7 2 3 2 3" xfId="13296" xr:uid="{00000000-0005-0000-0000-0000E5070000}"/>
    <cellStyle name="Normal 3 2 2 7 2 3 3" xfId="16924" xr:uid="{00000000-0005-0000-0000-0000E6070000}"/>
    <cellStyle name="Normal 3 2 2 7 2 3 4" xfId="9668" xr:uid="{00000000-0005-0000-0000-0000E7070000}"/>
    <cellStyle name="Normal 3 2 2 7 2 4" xfId="4226" xr:uid="{00000000-0005-0000-0000-0000E8070000}"/>
    <cellStyle name="Normal 3 2 2 7 2 4 2" xfId="18738" xr:uid="{00000000-0005-0000-0000-0000E9070000}"/>
    <cellStyle name="Normal 3 2 2 7 2 4 3" xfId="11482" xr:uid="{00000000-0005-0000-0000-0000EA070000}"/>
    <cellStyle name="Normal 3 2 2 7 2 5" xfId="15110" xr:uid="{00000000-0005-0000-0000-0000EB070000}"/>
    <cellStyle name="Normal 3 2 2 7 2 6" xfId="7854" xr:uid="{00000000-0005-0000-0000-0000EC070000}"/>
    <cellStyle name="Normal 3 2 2 7 3" xfId="1159" xr:uid="{00000000-0005-0000-0000-0000ED070000}"/>
    <cellStyle name="Normal 3 2 2 7 3 2" xfId="2973" xr:uid="{00000000-0005-0000-0000-0000EE070000}"/>
    <cellStyle name="Normal 3 2 2 7 3 2 2" xfId="6601" xr:uid="{00000000-0005-0000-0000-0000EF070000}"/>
    <cellStyle name="Normal 3 2 2 7 3 2 2 2" xfId="21113" xr:uid="{00000000-0005-0000-0000-0000F0070000}"/>
    <cellStyle name="Normal 3 2 2 7 3 2 2 3" xfId="13857" xr:uid="{00000000-0005-0000-0000-0000F1070000}"/>
    <cellStyle name="Normal 3 2 2 7 3 2 3" xfId="17485" xr:uid="{00000000-0005-0000-0000-0000F2070000}"/>
    <cellStyle name="Normal 3 2 2 7 3 2 4" xfId="10229" xr:uid="{00000000-0005-0000-0000-0000F3070000}"/>
    <cellStyle name="Normal 3 2 2 7 3 3" xfId="4787" xr:uid="{00000000-0005-0000-0000-0000F4070000}"/>
    <cellStyle name="Normal 3 2 2 7 3 3 2" xfId="19299" xr:uid="{00000000-0005-0000-0000-0000F5070000}"/>
    <cellStyle name="Normal 3 2 2 7 3 3 3" xfId="12043" xr:uid="{00000000-0005-0000-0000-0000F6070000}"/>
    <cellStyle name="Normal 3 2 2 7 3 4" xfId="15671" xr:uid="{00000000-0005-0000-0000-0000F7070000}"/>
    <cellStyle name="Normal 3 2 2 7 3 5" xfId="8415" xr:uid="{00000000-0005-0000-0000-0000F8070000}"/>
    <cellStyle name="Normal 3 2 2 7 4" xfId="2066" xr:uid="{00000000-0005-0000-0000-0000F9070000}"/>
    <cellStyle name="Normal 3 2 2 7 4 2" xfId="5694" xr:uid="{00000000-0005-0000-0000-0000FA070000}"/>
    <cellStyle name="Normal 3 2 2 7 4 2 2" xfId="20206" xr:uid="{00000000-0005-0000-0000-0000FB070000}"/>
    <cellStyle name="Normal 3 2 2 7 4 2 3" xfId="12950" xr:uid="{00000000-0005-0000-0000-0000FC070000}"/>
    <cellStyle name="Normal 3 2 2 7 4 3" xfId="16578" xr:uid="{00000000-0005-0000-0000-0000FD070000}"/>
    <cellStyle name="Normal 3 2 2 7 4 4" xfId="9322" xr:uid="{00000000-0005-0000-0000-0000FE070000}"/>
    <cellStyle name="Normal 3 2 2 7 5" xfId="3880" xr:uid="{00000000-0005-0000-0000-0000FF070000}"/>
    <cellStyle name="Normal 3 2 2 7 5 2" xfId="18392" xr:uid="{00000000-0005-0000-0000-000000080000}"/>
    <cellStyle name="Normal 3 2 2 7 5 3" xfId="11136" xr:uid="{00000000-0005-0000-0000-000001080000}"/>
    <cellStyle name="Normal 3 2 2 7 6" xfId="14764" xr:uid="{00000000-0005-0000-0000-000002080000}"/>
    <cellStyle name="Normal 3 2 2 7 7" xfId="7508" xr:uid="{00000000-0005-0000-0000-000003080000}"/>
    <cellStyle name="Normal 3 2 2 8" xfId="727" xr:uid="{00000000-0005-0000-0000-000004080000}"/>
    <cellStyle name="Normal 3 2 2 8 2" xfId="1635" xr:uid="{00000000-0005-0000-0000-000005080000}"/>
    <cellStyle name="Normal 3 2 2 8 2 2" xfId="3449" xr:uid="{00000000-0005-0000-0000-000006080000}"/>
    <cellStyle name="Normal 3 2 2 8 2 2 2" xfId="7077" xr:uid="{00000000-0005-0000-0000-000007080000}"/>
    <cellStyle name="Normal 3 2 2 8 2 2 2 2" xfId="21589" xr:uid="{00000000-0005-0000-0000-000008080000}"/>
    <cellStyle name="Normal 3 2 2 8 2 2 2 3" xfId="14333" xr:uid="{00000000-0005-0000-0000-000009080000}"/>
    <cellStyle name="Normal 3 2 2 8 2 2 3" xfId="17961" xr:uid="{00000000-0005-0000-0000-00000A080000}"/>
    <cellStyle name="Normal 3 2 2 8 2 2 4" xfId="10705" xr:uid="{00000000-0005-0000-0000-00000B080000}"/>
    <cellStyle name="Normal 3 2 2 8 2 3" xfId="5263" xr:uid="{00000000-0005-0000-0000-00000C080000}"/>
    <cellStyle name="Normal 3 2 2 8 2 3 2" xfId="19775" xr:uid="{00000000-0005-0000-0000-00000D080000}"/>
    <cellStyle name="Normal 3 2 2 8 2 3 3" xfId="12519" xr:uid="{00000000-0005-0000-0000-00000E080000}"/>
    <cellStyle name="Normal 3 2 2 8 2 4" xfId="16147" xr:uid="{00000000-0005-0000-0000-00000F080000}"/>
    <cellStyle name="Normal 3 2 2 8 2 5" xfId="8891" xr:uid="{00000000-0005-0000-0000-000010080000}"/>
    <cellStyle name="Normal 3 2 2 8 3" xfId="2542" xr:uid="{00000000-0005-0000-0000-000011080000}"/>
    <cellStyle name="Normal 3 2 2 8 3 2" xfId="6170" xr:uid="{00000000-0005-0000-0000-000012080000}"/>
    <cellStyle name="Normal 3 2 2 8 3 2 2" xfId="20682" xr:uid="{00000000-0005-0000-0000-000013080000}"/>
    <cellStyle name="Normal 3 2 2 8 3 2 3" xfId="13426" xr:uid="{00000000-0005-0000-0000-000014080000}"/>
    <cellStyle name="Normal 3 2 2 8 3 3" xfId="17054" xr:uid="{00000000-0005-0000-0000-000015080000}"/>
    <cellStyle name="Normal 3 2 2 8 3 4" xfId="9798" xr:uid="{00000000-0005-0000-0000-000016080000}"/>
    <cellStyle name="Normal 3 2 2 8 4" xfId="4356" xr:uid="{00000000-0005-0000-0000-000017080000}"/>
    <cellStyle name="Normal 3 2 2 8 4 2" xfId="18868" xr:uid="{00000000-0005-0000-0000-000018080000}"/>
    <cellStyle name="Normal 3 2 2 8 4 3" xfId="11612" xr:uid="{00000000-0005-0000-0000-000019080000}"/>
    <cellStyle name="Normal 3 2 2 8 5" xfId="15240" xr:uid="{00000000-0005-0000-0000-00001A080000}"/>
    <cellStyle name="Normal 3 2 2 8 6" xfId="7984" xr:uid="{00000000-0005-0000-0000-00001B080000}"/>
    <cellStyle name="Normal 3 2 2 9" xfId="381" xr:uid="{00000000-0005-0000-0000-00001C080000}"/>
    <cellStyle name="Normal 3 2 2 9 2" xfId="1289" xr:uid="{00000000-0005-0000-0000-00001D080000}"/>
    <cellStyle name="Normal 3 2 2 9 2 2" xfId="3103" xr:uid="{00000000-0005-0000-0000-00001E080000}"/>
    <cellStyle name="Normal 3 2 2 9 2 2 2" xfId="6731" xr:uid="{00000000-0005-0000-0000-00001F080000}"/>
    <cellStyle name="Normal 3 2 2 9 2 2 2 2" xfId="21243" xr:uid="{00000000-0005-0000-0000-000020080000}"/>
    <cellStyle name="Normal 3 2 2 9 2 2 2 3" xfId="13987" xr:uid="{00000000-0005-0000-0000-000021080000}"/>
    <cellStyle name="Normal 3 2 2 9 2 2 3" xfId="17615" xr:uid="{00000000-0005-0000-0000-000022080000}"/>
    <cellStyle name="Normal 3 2 2 9 2 2 4" xfId="10359" xr:uid="{00000000-0005-0000-0000-000023080000}"/>
    <cellStyle name="Normal 3 2 2 9 2 3" xfId="4917" xr:uid="{00000000-0005-0000-0000-000024080000}"/>
    <cellStyle name="Normal 3 2 2 9 2 3 2" xfId="19429" xr:uid="{00000000-0005-0000-0000-000025080000}"/>
    <cellStyle name="Normal 3 2 2 9 2 3 3" xfId="12173" xr:uid="{00000000-0005-0000-0000-000026080000}"/>
    <cellStyle name="Normal 3 2 2 9 2 4" xfId="15801" xr:uid="{00000000-0005-0000-0000-000027080000}"/>
    <cellStyle name="Normal 3 2 2 9 2 5" xfId="8545" xr:uid="{00000000-0005-0000-0000-000028080000}"/>
    <cellStyle name="Normal 3 2 2 9 3" xfId="2196" xr:uid="{00000000-0005-0000-0000-000029080000}"/>
    <cellStyle name="Normal 3 2 2 9 3 2" xfId="5824" xr:uid="{00000000-0005-0000-0000-00002A080000}"/>
    <cellStyle name="Normal 3 2 2 9 3 2 2" xfId="20336" xr:uid="{00000000-0005-0000-0000-00002B080000}"/>
    <cellStyle name="Normal 3 2 2 9 3 2 3" xfId="13080" xr:uid="{00000000-0005-0000-0000-00002C080000}"/>
    <cellStyle name="Normal 3 2 2 9 3 3" xfId="16708" xr:uid="{00000000-0005-0000-0000-00002D080000}"/>
    <cellStyle name="Normal 3 2 2 9 3 4" xfId="9452" xr:uid="{00000000-0005-0000-0000-00002E080000}"/>
    <cellStyle name="Normal 3 2 2 9 4" xfId="4010" xr:uid="{00000000-0005-0000-0000-00002F080000}"/>
    <cellStyle name="Normal 3 2 2 9 4 2" xfId="18522" xr:uid="{00000000-0005-0000-0000-000030080000}"/>
    <cellStyle name="Normal 3 2 2 9 4 3" xfId="11266" xr:uid="{00000000-0005-0000-0000-000031080000}"/>
    <cellStyle name="Normal 3 2 2 9 5" xfId="14894" xr:uid="{00000000-0005-0000-0000-000032080000}"/>
    <cellStyle name="Normal 3 2 2 9 6" xfId="7638" xr:uid="{00000000-0005-0000-0000-000033080000}"/>
    <cellStyle name="Normal 3 2 3" xfId="41" xr:uid="{00000000-0005-0000-0000-000034080000}"/>
    <cellStyle name="Normal 3 2 3 10" xfId="952" xr:uid="{00000000-0005-0000-0000-000035080000}"/>
    <cellStyle name="Normal 3 2 3 10 2" xfId="2766" xr:uid="{00000000-0005-0000-0000-000036080000}"/>
    <cellStyle name="Normal 3 2 3 10 2 2" xfId="6394" xr:uid="{00000000-0005-0000-0000-000037080000}"/>
    <cellStyle name="Normal 3 2 3 10 2 2 2" xfId="20906" xr:uid="{00000000-0005-0000-0000-000038080000}"/>
    <cellStyle name="Normal 3 2 3 10 2 2 3" xfId="13650" xr:uid="{00000000-0005-0000-0000-000039080000}"/>
    <cellStyle name="Normal 3 2 3 10 2 3" xfId="17278" xr:uid="{00000000-0005-0000-0000-00003A080000}"/>
    <cellStyle name="Normal 3 2 3 10 2 4" xfId="10022" xr:uid="{00000000-0005-0000-0000-00003B080000}"/>
    <cellStyle name="Normal 3 2 3 10 3" xfId="4580" xr:uid="{00000000-0005-0000-0000-00003C080000}"/>
    <cellStyle name="Normal 3 2 3 10 3 2" xfId="19092" xr:uid="{00000000-0005-0000-0000-00003D080000}"/>
    <cellStyle name="Normal 3 2 3 10 3 3" xfId="11836" xr:uid="{00000000-0005-0000-0000-00003E080000}"/>
    <cellStyle name="Normal 3 2 3 10 4" xfId="15464" xr:uid="{00000000-0005-0000-0000-00003F080000}"/>
    <cellStyle name="Normal 3 2 3 10 5" xfId="8208" xr:uid="{00000000-0005-0000-0000-000040080000}"/>
    <cellStyle name="Normal 3 2 3 11" xfId="1859" xr:uid="{00000000-0005-0000-0000-000041080000}"/>
    <cellStyle name="Normal 3 2 3 11 2" xfId="5487" xr:uid="{00000000-0005-0000-0000-000042080000}"/>
    <cellStyle name="Normal 3 2 3 11 2 2" xfId="19999" xr:uid="{00000000-0005-0000-0000-000043080000}"/>
    <cellStyle name="Normal 3 2 3 11 2 3" xfId="12743" xr:uid="{00000000-0005-0000-0000-000044080000}"/>
    <cellStyle name="Normal 3 2 3 11 3" xfId="16371" xr:uid="{00000000-0005-0000-0000-000045080000}"/>
    <cellStyle name="Normal 3 2 3 11 4" xfId="9115" xr:uid="{00000000-0005-0000-0000-000046080000}"/>
    <cellStyle name="Normal 3 2 3 12" xfId="3673" xr:uid="{00000000-0005-0000-0000-000047080000}"/>
    <cellStyle name="Normal 3 2 3 12 2" xfId="18185" xr:uid="{00000000-0005-0000-0000-000048080000}"/>
    <cellStyle name="Normal 3 2 3 12 3" xfId="10929" xr:uid="{00000000-0005-0000-0000-000049080000}"/>
    <cellStyle name="Normal 3 2 3 13" xfId="14557" xr:uid="{00000000-0005-0000-0000-00004A080000}"/>
    <cellStyle name="Normal 3 2 3 14" xfId="7301" xr:uid="{00000000-0005-0000-0000-00004B080000}"/>
    <cellStyle name="Normal 3 2 3 2" xfId="63" xr:uid="{00000000-0005-0000-0000-00004C080000}"/>
    <cellStyle name="Normal 3 2 3 2 10" xfId="1880" xr:uid="{00000000-0005-0000-0000-00004D080000}"/>
    <cellStyle name="Normal 3 2 3 2 10 2" xfId="5508" xr:uid="{00000000-0005-0000-0000-00004E080000}"/>
    <cellStyle name="Normal 3 2 3 2 10 2 2" xfId="20020" xr:uid="{00000000-0005-0000-0000-00004F080000}"/>
    <cellStyle name="Normal 3 2 3 2 10 2 3" xfId="12764" xr:uid="{00000000-0005-0000-0000-000050080000}"/>
    <cellStyle name="Normal 3 2 3 2 10 3" xfId="16392" xr:uid="{00000000-0005-0000-0000-000051080000}"/>
    <cellStyle name="Normal 3 2 3 2 10 4" xfId="9136" xr:uid="{00000000-0005-0000-0000-000052080000}"/>
    <cellStyle name="Normal 3 2 3 2 11" xfId="3694" xr:uid="{00000000-0005-0000-0000-000053080000}"/>
    <cellStyle name="Normal 3 2 3 2 11 2" xfId="18206" xr:uid="{00000000-0005-0000-0000-000054080000}"/>
    <cellStyle name="Normal 3 2 3 2 11 3" xfId="10950" xr:uid="{00000000-0005-0000-0000-000055080000}"/>
    <cellStyle name="Normal 3 2 3 2 12" xfId="14578" xr:uid="{00000000-0005-0000-0000-000056080000}"/>
    <cellStyle name="Normal 3 2 3 2 13" xfId="7322" xr:uid="{00000000-0005-0000-0000-000057080000}"/>
    <cellStyle name="Normal 3 2 3 2 2" xfId="105" xr:uid="{00000000-0005-0000-0000-000058080000}"/>
    <cellStyle name="Normal 3 2 3 2 2 10" xfId="14620" xr:uid="{00000000-0005-0000-0000-000059080000}"/>
    <cellStyle name="Normal 3 2 3 2 2 11" xfId="7364" xr:uid="{00000000-0005-0000-0000-00005A080000}"/>
    <cellStyle name="Normal 3 2 3 2 2 2" xfId="193" xr:uid="{00000000-0005-0000-0000-00005B080000}"/>
    <cellStyle name="Normal 3 2 3 2 2 2 2" xfId="539" xr:uid="{00000000-0005-0000-0000-00005C080000}"/>
    <cellStyle name="Normal 3 2 3 2 2 2 2 2" xfId="1447" xr:uid="{00000000-0005-0000-0000-00005D080000}"/>
    <cellStyle name="Normal 3 2 3 2 2 2 2 2 2" xfId="3261" xr:uid="{00000000-0005-0000-0000-00005E080000}"/>
    <cellStyle name="Normal 3 2 3 2 2 2 2 2 2 2" xfId="6889" xr:uid="{00000000-0005-0000-0000-00005F080000}"/>
    <cellStyle name="Normal 3 2 3 2 2 2 2 2 2 2 2" xfId="21401" xr:uid="{00000000-0005-0000-0000-000060080000}"/>
    <cellStyle name="Normal 3 2 3 2 2 2 2 2 2 2 3" xfId="14145" xr:uid="{00000000-0005-0000-0000-000061080000}"/>
    <cellStyle name="Normal 3 2 3 2 2 2 2 2 2 3" xfId="17773" xr:uid="{00000000-0005-0000-0000-000062080000}"/>
    <cellStyle name="Normal 3 2 3 2 2 2 2 2 2 4" xfId="10517" xr:uid="{00000000-0005-0000-0000-000063080000}"/>
    <cellStyle name="Normal 3 2 3 2 2 2 2 2 3" xfId="5075" xr:uid="{00000000-0005-0000-0000-000064080000}"/>
    <cellStyle name="Normal 3 2 3 2 2 2 2 2 3 2" xfId="19587" xr:uid="{00000000-0005-0000-0000-000065080000}"/>
    <cellStyle name="Normal 3 2 3 2 2 2 2 2 3 3" xfId="12331" xr:uid="{00000000-0005-0000-0000-000066080000}"/>
    <cellStyle name="Normal 3 2 3 2 2 2 2 2 4" xfId="15959" xr:uid="{00000000-0005-0000-0000-000067080000}"/>
    <cellStyle name="Normal 3 2 3 2 2 2 2 2 5" xfId="8703" xr:uid="{00000000-0005-0000-0000-000068080000}"/>
    <cellStyle name="Normal 3 2 3 2 2 2 2 3" xfId="2354" xr:uid="{00000000-0005-0000-0000-000069080000}"/>
    <cellStyle name="Normal 3 2 3 2 2 2 2 3 2" xfId="5982" xr:uid="{00000000-0005-0000-0000-00006A080000}"/>
    <cellStyle name="Normal 3 2 3 2 2 2 2 3 2 2" xfId="20494" xr:uid="{00000000-0005-0000-0000-00006B080000}"/>
    <cellStyle name="Normal 3 2 3 2 2 2 2 3 2 3" xfId="13238" xr:uid="{00000000-0005-0000-0000-00006C080000}"/>
    <cellStyle name="Normal 3 2 3 2 2 2 2 3 3" xfId="16866" xr:uid="{00000000-0005-0000-0000-00006D080000}"/>
    <cellStyle name="Normal 3 2 3 2 2 2 2 3 4" xfId="9610" xr:uid="{00000000-0005-0000-0000-00006E080000}"/>
    <cellStyle name="Normal 3 2 3 2 2 2 2 4" xfId="4168" xr:uid="{00000000-0005-0000-0000-00006F080000}"/>
    <cellStyle name="Normal 3 2 3 2 2 2 2 4 2" xfId="18680" xr:uid="{00000000-0005-0000-0000-000070080000}"/>
    <cellStyle name="Normal 3 2 3 2 2 2 2 4 3" xfId="11424" xr:uid="{00000000-0005-0000-0000-000071080000}"/>
    <cellStyle name="Normal 3 2 3 2 2 2 2 5" xfId="15052" xr:uid="{00000000-0005-0000-0000-000072080000}"/>
    <cellStyle name="Normal 3 2 3 2 2 2 2 6" xfId="7796" xr:uid="{00000000-0005-0000-0000-000073080000}"/>
    <cellStyle name="Normal 3 2 3 2 2 2 3" xfId="1101" xr:uid="{00000000-0005-0000-0000-000074080000}"/>
    <cellStyle name="Normal 3 2 3 2 2 2 3 2" xfId="2915" xr:uid="{00000000-0005-0000-0000-000075080000}"/>
    <cellStyle name="Normal 3 2 3 2 2 2 3 2 2" xfId="6543" xr:uid="{00000000-0005-0000-0000-000076080000}"/>
    <cellStyle name="Normal 3 2 3 2 2 2 3 2 2 2" xfId="21055" xr:uid="{00000000-0005-0000-0000-000077080000}"/>
    <cellStyle name="Normal 3 2 3 2 2 2 3 2 2 3" xfId="13799" xr:uid="{00000000-0005-0000-0000-000078080000}"/>
    <cellStyle name="Normal 3 2 3 2 2 2 3 2 3" xfId="17427" xr:uid="{00000000-0005-0000-0000-000079080000}"/>
    <cellStyle name="Normal 3 2 3 2 2 2 3 2 4" xfId="10171" xr:uid="{00000000-0005-0000-0000-00007A080000}"/>
    <cellStyle name="Normal 3 2 3 2 2 2 3 3" xfId="4729" xr:uid="{00000000-0005-0000-0000-00007B080000}"/>
    <cellStyle name="Normal 3 2 3 2 2 2 3 3 2" xfId="19241" xr:uid="{00000000-0005-0000-0000-00007C080000}"/>
    <cellStyle name="Normal 3 2 3 2 2 2 3 3 3" xfId="11985" xr:uid="{00000000-0005-0000-0000-00007D080000}"/>
    <cellStyle name="Normal 3 2 3 2 2 2 3 4" xfId="15613" xr:uid="{00000000-0005-0000-0000-00007E080000}"/>
    <cellStyle name="Normal 3 2 3 2 2 2 3 5" xfId="8357" xr:uid="{00000000-0005-0000-0000-00007F080000}"/>
    <cellStyle name="Normal 3 2 3 2 2 2 4" xfId="2008" xr:uid="{00000000-0005-0000-0000-000080080000}"/>
    <cellStyle name="Normal 3 2 3 2 2 2 4 2" xfId="5636" xr:uid="{00000000-0005-0000-0000-000081080000}"/>
    <cellStyle name="Normal 3 2 3 2 2 2 4 2 2" xfId="20148" xr:uid="{00000000-0005-0000-0000-000082080000}"/>
    <cellStyle name="Normal 3 2 3 2 2 2 4 2 3" xfId="12892" xr:uid="{00000000-0005-0000-0000-000083080000}"/>
    <cellStyle name="Normal 3 2 3 2 2 2 4 3" xfId="16520" xr:uid="{00000000-0005-0000-0000-000084080000}"/>
    <cellStyle name="Normal 3 2 3 2 2 2 4 4" xfId="9264" xr:uid="{00000000-0005-0000-0000-000085080000}"/>
    <cellStyle name="Normal 3 2 3 2 2 2 5" xfId="3822" xr:uid="{00000000-0005-0000-0000-000086080000}"/>
    <cellStyle name="Normal 3 2 3 2 2 2 5 2" xfId="18334" xr:uid="{00000000-0005-0000-0000-000087080000}"/>
    <cellStyle name="Normal 3 2 3 2 2 2 5 3" xfId="11078" xr:uid="{00000000-0005-0000-0000-000088080000}"/>
    <cellStyle name="Normal 3 2 3 2 2 2 6" xfId="14706" xr:uid="{00000000-0005-0000-0000-000089080000}"/>
    <cellStyle name="Normal 3 2 3 2 2 2 7" xfId="7450" xr:uid="{00000000-0005-0000-0000-00008A080000}"/>
    <cellStyle name="Normal 3 2 3 2 2 3" xfId="323" xr:uid="{00000000-0005-0000-0000-00008B080000}"/>
    <cellStyle name="Normal 3 2 3 2 2 3 2" xfId="669" xr:uid="{00000000-0005-0000-0000-00008C080000}"/>
    <cellStyle name="Normal 3 2 3 2 2 3 2 2" xfId="1577" xr:uid="{00000000-0005-0000-0000-00008D080000}"/>
    <cellStyle name="Normal 3 2 3 2 2 3 2 2 2" xfId="3391" xr:uid="{00000000-0005-0000-0000-00008E080000}"/>
    <cellStyle name="Normal 3 2 3 2 2 3 2 2 2 2" xfId="7019" xr:uid="{00000000-0005-0000-0000-00008F080000}"/>
    <cellStyle name="Normal 3 2 3 2 2 3 2 2 2 2 2" xfId="21531" xr:uid="{00000000-0005-0000-0000-000090080000}"/>
    <cellStyle name="Normal 3 2 3 2 2 3 2 2 2 2 3" xfId="14275" xr:uid="{00000000-0005-0000-0000-000091080000}"/>
    <cellStyle name="Normal 3 2 3 2 2 3 2 2 2 3" xfId="17903" xr:uid="{00000000-0005-0000-0000-000092080000}"/>
    <cellStyle name="Normal 3 2 3 2 2 3 2 2 2 4" xfId="10647" xr:uid="{00000000-0005-0000-0000-000093080000}"/>
    <cellStyle name="Normal 3 2 3 2 2 3 2 2 3" xfId="5205" xr:uid="{00000000-0005-0000-0000-000094080000}"/>
    <cellStyle name="Normal 3 2 3 2 2 3 2 2 3 2" xfId="19717" xr:uid="{00000000-0005-0000-0000-000095080000}"/>
    <cellStyle name="Normal 3 2 3 2 2 3 2 2 3 3" xfId="12461" xr:uid="{00000000-0005-0000-0000-000096080000}"/>
    <cellStyle name="Normal 3 2 3 2 2 3 2 2 4" xfId="16089" xr:uid="{00000000-0005-0000-0000-000097080000}"/>
    <cellStyle name="Normal 3 2 3 2 2 3 2 2 5" xfId="8833" xr:uid="{00000000-0005-0000-0000-000098080000}"/>
    <cellStyle name="Normal 3 2 3 2 2 3 2 3" xfId="2484" xr:uid="{00000000-0005-0000-0000-000099080000}"/>
    <cellStyle name="Normal 3 2 3 2 2 3 2 3 2" xfId="6112" xr:uid="{00000000-0005-0000-0000-00009A080000}"/>
    <cellStyle name="Normal 3 2 3 2 2 3 2 3 2 2" xfId="20624" xr:uid="{00000000-0005-0000-0000-00009B080000}"/>
    <cellStyle name="Normal 3 2 3 2 2 3 2 3 2 3" xfId="13368" xr:uid="{00000000-0005-0000-0000-00009C080000}"/>
    <cellStyle name="Normal 3 2 3 2 2 3 2 3 3" xfId="16996" xr:uid="{00000000-0005-0000-0000-00009D080000}"/>
    <cellStyle name="Normal 3 2 3 2 2 3 2 3 4" xfId="9740" xr:uid="{00000000-0005-0000-0000-00009E080000}"/>
    <cellStyle name="Normal 3 2 3 2 2 3 2 4" xfId="4298" xr:uid="{00000000-0005-0000-0000-00009F080000}"/>
    <cellStyle name="Normal 3 2 3 2 2 3 2 4 2" xfId="18810" xr:uid="{00000000-0005-0000-0000-0000A0080000}"/>
    <cellStyle name="Normal 3 2 3 2 2 3 2 4 3" xfId="11554" xr:uid="{00000000-0005-0000-0000-0000A1080000}"/>
    <cellStyle name="Normal 3 2 3 2 2 3 2 5" xfId="15182" xr:uid="{00000000-0005-0000-0000-0000A2080000}"/>
    <cellStyle name="Normal 3 2 3 2 2 3 2 6" xfId="7926" xr:uid="{00000000-0005-0000-0000-0000A3080000}"/>
    <cellStyle name="Normal 3 2 3 2 2 3 3" xfId="1231" xr:uid="{00000000-0005-0000-0000-0000A4080000}"/>
    <cellStyle name="Normal 3 2 3 2 2 3 3 2" xfId="3045" xr:uid="{00000000-0005-0000-0000-0000A5080000}"/>
    <cellStyle name="Normal 3 2 3 2 2 3 3 2 2" xfId="6673" xr:uid="{00000000-0005-0000-0000-0000A6080000}"/>
    <cellStyle name="Normal 3 2 3 2 2 3 3 2 2 2" xfId="21185" xr:uid="{00000000-0005-0000-0000-0000A7080000}"/>
    <cellStyle name="Normal 3 2 3 2 2 3 3 2 2 3" xfId="13929" xr:uid="{00000000-0005-0000-0000-0000A8080000}"/>
    <cellStyle name="Normal 3 2 3 2 2 3 3 2 3" xfId="17557" xr:uid="{00000000-0005-0000-0000-0000A9080000}"/>
    <cellStyle name="Normal 3 2 3 2 2 3 3 2 4" xfId="10301" xr:uid="{00000000-0005-0000-0000-0000AA080000}"/>
    <cellStyle name="Normal 3 2 3 2 2 3 3 3" xfId="4859" xr:uid="{00000000-0005-0000-0000-0000AB080000}"/>
    <cellStyle name="Normal 3 2 3 2 2 3 3 3 2" xfId="19371" xr:uid="{00000000-0005-0000-0000-0000AC080000}"/>
    <cellStyle name="Normal 3 2 3 2 2 3 3 3 3" xfId="12115" xr:uid="{00000000-0005-0000-0000-0000AD080000}"/>
    <cellStyle name="Normal 3 2 3 2 2 3 3 4" xfId="15743" xr:uid="{00000000-0005-0000-0000-0000AE080000}"/>
    <cellStyle name="Normal 3 2 3 2 2 3 3 5" xfId="8487" xr:uid="{00000000-0005-0000-0000-0000AF080000}"/>
    <cellStyle name="Normal 3 2 3 2 2 3 4" xfId="2138" xr:uid="{00000000-0005-0000-0000-0000B0080000}"/>
    <cellStyle name="Normal 3 2 3 2 2 3 4 2" xfId="5766" xr:uid="{00000000-0005-0000-0000-0000B1080000}"/>
    <cellStyle name="Normal 3 2 3 2 2 3 4 2 2" xfId="20278" xr:uid="{00000000-0005-0000-0000-0000B2080000}"/>
    <cellStyle name="Normal 3 2 3 2 2 3 4 2 3" xfId="13022" xr:uid="{00000000-0005-0000-0000-0000B3080000}"/>
    <cellStyle name="Normal 3 2 3 2 2 3 4 3" xfId="16650" xr:uid="{00000000-0005-0000-0000-0000B4080000}"/>
    <cellStyle name="Normal 3 2 3 2 2 3 4 4" xfId="9394" xr:uid="{00000000-0005-0000-0000-0000B5080000}"/>
    <cellStyle name="Normal 3 2 3 2 2 3 5" xfId="3952" xr:uid="{00000000-0005-0000-0000-0000B6080000}"/>
    <cellStyle name="Normal 3 2 3 2 2 3 5 2" xfId="18464" xr:uid="{00000000-0005-0000-0000-0000B7080000}"/>
    <cellStyle name="Normal 3 2 3 2 2 3 5 3" xfId="11208" xr:uid="{00000000-0005-0000-0000-0000B8080000}"/>
    <cellStyle name="Normal 3 2 3 2 2 3 6" xfId="14836" xr:uid="{00000000-0005-0000-0000-0000B9080000}"/>
    <cellStyle name="Normal 3 2 3 2 2 3 7" xfId="7580" xr:uid="{00000000-0005-0000-0000-0000BA080000}"/>
    <cellStyle name="Normal 3 2 3 2 2 4" xfId="799" xr:uid="{00000000-0005-0000-0000-0000BB080000}"/>
    <cellStyle name="Normal 3 2 3 2 2 4 2" xfId="1707" xr:uid="{00000000-0005-0000-0000-0000BC080000}"/>
    <cellStyle name="Normal 3 2 3 2 2 4 2 2" xfId="3521" xr:uid="{00000000-0005-0000-0000-0000BD080000}"/>
    <cellStyle name="Normal 3 2 3 2 2 4 2 2 2" xfId="7149" xr:uid="{00000000-0005-0000-0000-0000BE080000}"/>
    <cellStyle name="Normal 3 2 3 2 2 4 2 2 2 2" xfId="21661" xr:uid="{00000000-0005-0000-0000-0000BF080000}"/>
    <cellStyle name="Normal 3 2 3 2 2 4 2 2 2 3" xfId="14405" xr:uid="{00000000-0005-0000-0000-0000C0080000}"/>
    <cellStyle name="Normal 3 2 3 2 2 4 2 2 3" xfId="18033" xr:uid="{00000000-0005-0000-0000-0000C1080000}"/>
    <cellStyle name="Normal 3 2 3 2 2 4 2 2 4" xfId="10777" xr:uid="{00000000-0005-0000-0000-0000C2080000}"/>
    <cellStyle name="Normal 3 2 3 2 2 4 2 3" xfId="5335" xr:uid="{00000000-0005-0000-0000-0000C3080000}"/>
    <cellStyle name="Normal 3 2 3 2 2 4 2 3 2" xfId="19847" xr:uid="{00000000-0005-0000-0000-0000C4080000}"/>
    <cellStyle name="Normal 3 2 3 2 2 4 2 3 3" xfId="12591" xr:uid="{00000000-0005-0000-0000-0000C5080000}"/>
    <cellStyle name="Normal 3 2 3 2 2 4 2 4" xfId="16219" xr:uid="{00000000-0005-0000-0000-0000C6080000}"/>
    <cellStyle name="Normal 3 2 3 2 2 4 2 5" xfId="8963" xr:uid="{00000000-0005-0000-0000-0000C7080000}"/>
    <cellStyle name="Normal 3 2 3 2 2 4 3" xfId="2614" xr:uid="{00000000-0005-0000-0000-0000C8080000}"/>
    <cellStyle name="Normal 3 2 3 2 2 4 3 2" xfId="6242" xr:uid="{00000000-0005-0000-0000-0000C9080000}"/>
    <cellStyle name="Normal 3 2 3 2 2 4 3 2 2" xfId="20754" xr:uid="{00000000-0005-0000-0000-0000CA080000}"/>
    <cellStyle name="Normal 3 2 3 2 2 4 3 2 3" xfId="13498" xr:uid="{00000000-0005-0000-0000-0000CB080000}"/>
    <cellStyle name="Normal 3 2 3 2 2 4 3 3" xfId="17126" xr:uid="{00000000-0005-0000-0000-0000CC080000}"/>
    <cellStyle name="Normal 3 2 3 2 2 4 3 4" xfId="9870" xr:uid="{00000000-0005-0000-0000-0000CD080000}"/>
    <cellStyle name="Normal 3 2 3 2 2 4 4" xfId="4428" xr:uid="{00000000-0005-0000-0000-0000CE080000}"/>
    <cellStyle name="Normal 3 2 3 2 2 4 4 2" xfId="18940" xr:uid="{00000000-0005-0000-0000-0000CF080000}"/>
    <cellStyle name="Normal 3 2 3 2 2 4 4 3" xfId="11684" xr:uid="{00000000-0005-0000-0000-0000D0080000}"/>
    <cellStyle name="Normal 3 2 3 2 2 4 5" xfId="15312" xr:uid="{00000000-0005-0000-0000-0000D1080000}"/>
    <cellStyle name="Normal 3 2 3 2 2 4 6" xfId="8056" xr:uid="{00000000-0005-0000-0000-0000D2080000}"/>
    <cellStyle name="Normal 3 2 3 2 2 5" xfId="453" xr:uid="{00000000-0005-0000-0000-0000D3080000}"/>
    <cellStyle name="Normal 3 2 3 2 2 5 2" xfId="1361" xr:uid="{00000000-0005-0000-0000-0000D4080000}"/>
    <cellStyle name="Normal 3 2 3 2 2 5 2 2" xfId="3175" xr:uid="{00000000-0005-0000-0000-0000D5080000}"/>
    <cellStyle name="Normal 3 2 3 2 2 5 2 2 2" xfId="6803" xr:uid="{00000000-0005-0000-0000-0000D6080000}"/>
    <cellStyle name="Normal 3 2 3 2 2 5 2 2 2 2" xfId="21315" xr:uid="{00000000-0005-0000-0000-0000D7080000}"/>
    <cellStyle name="Normal 3 2 3 2 2 5 2 2 2 3" xfId="14059" xr:uid="{00000000-0005-0000-0000-0000D8080000}"/>
    <cellStyle name="Normal 3 2 3 2 2 5 2 2 3" xfId="17687" xr:uid="{00000000-0005-0000-0000-0000D9080000}"/>
    <cellStyle name="Normal 3 2 3 2 2 5 2 2 4" xfId="10431" xr:uid="{00000000-0005-0000-0000-0000DA080000}"/>
    <cellStyle name="Normal 3 2 3 2 2 5 2 3" xfId="4989" xr:uid="{00000000-0005-0000-0000-0000DB080000}"/>
    <cellStyle name="Normal 3 2 3 2 2 5 2 3 2" xfId="19501" xr:uid="{00000000-0005-0000-0000-0000DC080000}"/>
    <cellStyle name="Normal 3 2 3 2 2 5 2 3 3" xfId="12245" xr:uid="{00000000-0005-0000-0000-0000DD080000}"/>
    <cellStyle name="Normal 3 2 3 2 2 5 2 4" xfId="15873" xr:uid="{00000000-0005-0000-0000-0000DE080000}"/>
    <cellStyle name="Normal 3 2 3 2 2 5 2 5" xfId="8617" xr:uid="{00000000-0005-0000-0000-0000DF080000}"/>
    <cellStyle name="Normal 3 2 3 2 2 5 3" xfId="2268" xr:uid="{00000000-0005-0000-0000-0000E0080000}"/>
    <cellStyle name="Normal 3 2 3 2 2 5 3 2" xfId="5896" xr:uid="{00000000-0005-0000-0000-0000E1080000}"/>
    <cellStyle name="Normal 3 2 3 2 2 5 3 2 2" xfId="20408" xr:uid="{00000000-0005-0000-0000-0000E2080000}"/>
    <cellStyle name="Normal 3 2 3 2 2 5 3 2 3" xfId="13152" xr:uid="{00000000-0005-0000-0000-0000E3080000}"/>
    <cellStyle name="Normal 3 2 3 2 2 5 3 3" xfId="16780" xr:uid="{00000000-0005-0000-0000-0000E4080000}"/>
    <cellStyle name="Normal 3 2 3 2 2 5 3 4" xfId="9524" xr:uid="{00000000-0005-0000-0000-0000E5080000}"/>
    <cellStyle name="Normal 3 2 3 2 2 5 4" xfId="4082" xr:uid="{00000000-0005-0000-0000-0000E6080000}"/>
    <cellStyle name="Normal 3 2 3 2 2 5 4 2" xfId="18594" xr:uid="{00000000-0005-0000-0000-0000E7080000}"/>
    <cellStyle name="Normal 3 2 3 2 2 5 4 3" xfId="11338" xr:uid="{00000000-0005-0000-0000-0000E8080000}"/>
    <cellStyle name="Normal 3 2 3 2 2 5 5" xfId="14966" xr:uid="{00000000-0005-0000-0000-0000E9080000}"/>
    <cellStyle name="Normal 3 2 3 2 2 5 6" xfId="7710" xr:uid="{00000000-0005-0000-0000-0000EA080000}"/>
    <cellStyle name="Normal 3 2 3 2 2 6" xfId="916" xr:uid="{00000000-0005-0000-0000-0000EB080000}"/>
    <cellStyle name="Normal 3 2 3 2 2 6 2" xfId="1823" xr:uid="{00000000-0005-0000-0000-0000EC080000}"/>
    <cellStyle name="Normal 3 2 3 2 2 6 2 2" xfId="3637" xr:uid="{00000000-0005-0000-0000-0000ED080000}"/>
    <cellStyle name="Normal 3 2 3 2 2 6 2 2 2" xfId="7265" xr:uid="{00000000-0005-0000-0000-0000EE080000}"/>
    <cellStyle name="Normal 3 2 3 2 2 6 2 2 2 2" xfId="21777" xr:uid="{00000000-0005-0000-0000-0000EF080000}"/>
    <cellStyle name="Normal 3 2 3 2 2 6 2 2 2 3" xfId="14521" xr:uid="{00000000-0005-0000-0000-0000F0080000}"/>
    <cellStyle name="Normal 3 2 3 2 2 6 2 2 3" xfId="18149" xr:uid="{00000000-0005-0000-0000-0000F1080000}"/>
    <cellStyle name="Normal 3 2 3 2 2 6 2 2 4" xfId="10893" xr:uid="{00000000-0005-0000-0000-0000F2080000}"/>
    <cellStyle name="Normal 3 2 3 2 2 6 2 3" xfId="5451" xr:uid="{00000000-0005-0000-0000-0000F3080000}"/>
    <cellStyle name="Normal 3 2 3 2 2 6 2 3 2" xfId="19963" xr:uid="{00000000-0005-0000-0000-0000F4080000}"/>
    <cellStyle name="Normal 3 2 3 2 2 6 2 3 3" xfId="12707" xr:uid="{00000000-0005-0000-0000-0000F5080000}"/>
    <cellStyle name="Normal 3 2 3 2 2 6 2 4" xfId="16335" xr:uid="{00000000-0005-0000-0000-0000F6080000}"/>
    <cellStyle name="Normal 3 2 3 2 2 6 2 5" xfId="9079" xr:uid="{00000000-0005-0000-0000-0000F7080000}"/>
    <cellStyle name="Normal 3 2 3 2 2 6 3" xfId="2730" xr:uid="{00000000-0005-0000-0000-0000F8080000}"/>
    <cellStyle name="Normal 3 2 3 2 2 6 3 2" xfId="6358" xr:uid="{00000000-0005-0000-0000-0000F9080000}"/>
    <cellStyle name="Normal 3 2 3 2 2 6 3 2 2" xfId="20870" xr:uid="{00000000-0005-0000-0000-0000FA080000}"/>
    <cellStyle name="Normal 3 2 3 2 2 6 3 2 3" xfId="13614" xr:uid="{00000000-0005-0000-0000-0000FB080000}"/>
    <cellStyle name="Normal 3 2 3 2 2 6 3 3" xfId="17242" xr:uid="{00000000-0005-0000-0000-0000FC080000}"/>
    <cellStyle name="Normal 3 2 3 2 2 6 3 4" xfId="9986" xr:uid="{00000000-0005-0000-0000-0000FD080000}"/>
    <cellStyle name="Normal 3 2 3 2 2 6 4" xfId="4544" xr:uid="{00000000-0005-0000-0000-0000FE080000}"/>
    <cellStyle name="Normal 3 2 3 2 2 6 4 2" xfId="19056" xr:uid="{00000000-0005-0000-0000-0000FF080000}"/>
    <cellStyle name="Normal 3 2 3 2 2 6 4 3" xfId="11800" xr:uid="{00000000-0005-0000-0000-000000090000}"/>
    <cellStyle name="Normal 3 2 3 2 2 6 5" xfId="15428" xr:uid="{00000000-0005-0000-0000-000001090000}"/>
    <cellStyle name="Normal 3 2 3 2 2 6 6" xfId="8172" xr:uid="{00000000-0005-0000-0000-000002090000}"/>
    <cellStyle name="Normal 3 2 3 2 2 7" xfId="1015" xr:uid="{00000000-0005-0000-0000-000003090000}"/>
    <cellStyle name="Normal 3 2 3 2 2 7 2" xfId="2829" xr:uid="{00000000-0005-0000-0000-000004090000}"/>
    <cellStyle name="Normal 3 2 3 2 2 7 2 2" xfId="6457" xr:uid="{00000000-0005-0000-0000-000005090000}"/>
    <cellStyle name="Normal 3 2 3 2 2 7 2 2 2" xfId="20969" xr:uid="{00000000-0005-0000-0000-000006090000}"/>
    <cellStyle name="Normal 3 2 3 2 2 7 2 2 3" xfId="13713" xr:uid="{00000000-0005-0000-0000-000007090000}"/>
    <cellStyle name="Normal 3 2 3 2 2 7 2 3" xfId="17341" xr:uid="{00000000-0005-0000-0000-000008090000}"/>
    <cellStyle name="Normal 3 2 3 2 2 7 2 4" xfId="10085" xr:uid="{00000000-0005-0000-0000-000009090000}"/>
    <cellStyle name="Normal 3 2 3 2 2 7 3" xfId="4643" xr:uid="{00000000-0005-0000-0000-00000A090000}"/>
    <cellStyle name="Normal 3 2 3 2 2 7 3 2" xfId="19155" xr:uid="{00000000-0005-0000-0000-00000B090000}"/>
    <cellStyle name="Normal 3 2 3 2 2 7 3 3" xfId="11899" xr:uid="{00000000-0005-0000-0000-00000C090000}"/>
    <cellStyle name="Normal 3 2 3 2 2 7 4" xfId="15527" xr:uid="{00000000-0005-0000-0000-00000D090000}"/>
    <cellStyle name="Normal 3 2 3 2 2 7 5" xfId="8271" xr:uid="{00000000-0005-0000-0000-00000E090000}"/>
    <cellStyle name="Normal 3 2 3 2 2 8" xfId="1922" xr:uid="{00000000-0005-0000-0000-00000F090000}"/>
    <cellStyle name="Normal 3 2 3 2 2 8 2" xfId="5550" xr:uid="{00000000-0005-0000-0000-000010090000}"/>
    <cellStyle name="Normal 3 2 3 2 2 8 2 2" xfId="20062" xr:uid="{00000000-0005-0000-0000-000011090000}"/>
    <cellStyle name="Normal 3 2 3 2 2 8 2 3" xfId="12806" xr:uid="{00000000-0005-0000-0000-000012090000}"/>
    <cellStyle name="Normal 3 2 3 2 2 8 3" xfId="16434" xr:uid="{00000000-0005-0000-0000-000013090000}"/>
    <cellStyle name="Normal 3 2 3 2 2 8 4" xfId="9178" xr:uid="{00000000-0005-0000-0000-000014090000}"/>
    <cellStyle name="Normal 3 2 3 2 2 9" xfId="3736" xr:uid="{00000000-0005-0000-0000-000015090000}"/>
    <cellStyle name="Normal 3 2 3 2 2 9 2" xfId="18248" xr:uid="{00000000-0005-0000-0000-000016090000}"/>
    <cellStyle name="Normal 3 2 3 2 2 9 3" xfId="10992" xr:uid="{00000000-0005-0000-0000-000017090000}"/>
    <cellStyle name="Normal 3 2 3 2 3" xfId="237" xr:uid="{00000000-0005-0000-0000-000018090000}"/>
    <cellStyle name="Normal 3 2 3 2 3 2" xfId="367" xr:uid="{00000000-0005-0000-0000-000019090000}"/>
    <cellStyle name="Normal 3 2 3 2 3 2 2" xfId="713" xr:uid="{00000000-0005-0000-0000-00001A090000}"/>
    <cellStyle name="Normal 3 2 3 2 3 2 2 2" xfId="1621" xr:uid="{00000000-0005-0000-0000-00001B090000}"/>
    <cellStyle name="Normal 3 2 3 2 3 2 2 2 2" xfId="3435" xr:uid="{00000000-0005-0000-0000-00001C090000}"/>
    <cellStyle name="Normal 3 2 3 2 3 2 2 2 2 2" xfId="7063" xr:uid="{00000000-0005-0000-0000-00001D090000}"/>
    <cellStyle name="Normal 3 2 3 2 3 2 2 2 2 2 2" xfId="21575" xr:uid="{00000000-0005-0000-0000-00001E090000}"/>
    <cellStyle name="Normal 3 2 3 2 3 2 2 2 2 2 3" xfId="14319" xr:uid="{00000000-0005-0000-0000-00001F090000}"/>
    <cellStyle name="Normal 3 2 3 2 3 2 2 2 2 3" xfId="17947" xr:uid="{00000000-0005-0000-0000-000020090000}"/>
    <cellStyle name="Normal 3 2 3 2 3 2 2 2 2 4" xfId="10691" xr:uid="{00000000-0005-0000-0000-000021090000}"/>
    <cellStyle name="Normal 3 2 3 2 3 2 2 2 3" xfId="5249" xr:uid="{00000000-0005-0000-0000-000022090000}"/>
    <cellStyle name="Normal 3 2 3 2 3 2 2 2 3 2" xfId="19761" xr:uid="{00000000-0005-0000-0000-000023090000}"/>
    <cellStyle name="Normal 3 2 3 2 3 2 2 2 3 3" xfId="12505" xr:uid="{00000000-0005-0000-0000-000024090000}"/>
    <cellStyle name="Normal 3 2 3 2 3 2 2 2 4" xfId="16133" xr:uid="{00000000-0005-0000-0000-000025090000}"/>
    <cellStyle name="Normal 3 2 3 2 3 2 2 2 5" xfId="8877" xr:uid="{00000000-0005-0000-0000-000026090000}"/>
    <cellStyle name="Normal 3 2 3 2 3 2 2 3" xfId="2528" xr:uid="{00000000-0005-0000-0000-000027090000}"/>
    <cellStyle name="Normal 3 2 3 2 3 2 2 3 2" xfId="6156" xr:uid="{00000000-0005-0000-0000-000028090000}"/>
    <cellStyle name="Normal 3 2 3 2 3 2 2 3 2 2" xfId="20668" xr:uid="{00000000-0005-0000-0000-000029090000}"/>
    <cellStyle name="Normal 3 2 3 2 3 2 2 3 2 3" xfId="13412" xr:uid="{00000000-0005-0000-0000-00002A090000}"/>
    <cellStyle name="Normal 3 2 3 2 3 2 2 3 3" xfId="17040" xr:uid="{00000000-0005-0000-0000-00002B090000}"/>
    <cellStyle name="Normal 3 2 3 2 3 2 2 3 4" xfId="9784" xr:uid="{00000000-0005-0000-0000-00002C090000}"/>
    <cellStyle name="Normal 3 2 3 2 3 2 2 4" xfId="4342" xr:uid="{00000000-0005-0000-0000-00002D090000}"/>
    <cellStyle name="Normal 3 2 3 2 3 2 2 4 2" xfId="18854" xr:uid="{00000000-0005-0000-0000-00002E090000}"/>
    <cellStyle name="Normal 3 2 3 2 3 2 2 4 3" xfId="11598" xr:uid="{00000000-0005-0000-0000-00002F090000}"/>
    <cellStyle name="Normal 3 2 3 2 3 2 2 5" xfId="15226" xr:uid="{00000000-0005-0000-0000-000030090000}"/>
    <cellStyle name="Normal 3 2 3 2 3 2 2 6" xfId="7970" xr:uid="{00000000-0005-0000-0000-000031090000}"/>
    <cellStyle name="Normal 3 2 3 2 3 2 3" xfId="1275" xr:uid="{00000000-0005-0000-0000-000032090000}"/>
    <cellStyle name="Normal 3 2 3 2 3 2 3 2" xfId="3089" xr:uid="{00000000-0005-0000-0000-000033090000}"/>
    <cellStyle name="Normal 3 2 3 2 3 2 3 2 2" xfId="6717" xr:uid="{00000000-0005-0000-0000-000034090000}"/>
    <cellStyle name="Normal 3 2 3 2 3 2 3 2 2 2" xfId="21229" xr:uid="{00000000-0005-0000-0000-000035090000}"/>
    <cellStyle name="Normal 3 2 3 2 3 2 3 2 2 3" xfId="13973" xr:uid="{00000000-0005-0000-0000-000036090000}"/>
    <cellStyle name="Normal 3 2 3 2 3 2 3 2 3" xfId="17601" xr:uid="{00000000-0005-0000-0000-000037090000}"/>
    <cellStyle name="Normal 3 2 3 2 3 2 3 2 4" xfId="10345" xr:uid="{00000000-0005-0000-0000-000038090000}"/>
    <cellStyle name="Normal 3 2 3 2 3 2 3 3" xfId="4903" xr:uid="{00000000-0005-0000-0000-000039090000}"/>
    <cellStyle name="Normal 3 2 3 2 3 2 3 3 2" xfId="19415" xr:uid="{00000000-0005-0000-0000-00003A090000}"/>
    <cellStyle name="Normal 3 2 3 2 3 2 3 3 3" xfId="12159" xr:uid="{00000000-0005-0000-0000-00003B090000}"/>
    <cellStyle name="Normal 3 2 3 2 3 2 3 4" xfId="15787" xr:uid="{00000000-0005-0000-0000-00003C090000}"/>
    <cellStyle name="Normal 3 2 3 2 3 2 3 5" xfId="8531" xr:uid="{00000000-0005-0000-0000-00003D090000}"/>
    <cellStyle name="Normal 3 2 3 2 3 2 4" xfId="2182" xr:uid="{00000000-0005-0000-0000-00003E090000}"/>
    <cellStyle name="Normal 3 2 3 2 3 2 4 2" xfId="5810" xr:uid="{00000000-0005-0000-0000-00003F090000}"/>
    <cellStyle name="Normal 3 2 3 2 3 2 4 2 2" xfId="20322" xr:uid="{00000000-0005-0000-0000-000040090000}"/>
    <cellStyle name="Normal 3 2 3 2 3 2 4 2 3" xfId="13066" xr:uid="{00000000-0005-0000-0000-000041090000}"/>
    <cellStyle name="Normal 3 2 3 2 3 2 4 3" xfId="16694" xr:uid="{00000000-0005-0000-0000-000042090000}"/>
    <cellStyle name="Normal 3 2 3 2 3 2 4 4" xfId="9438" xr:uid="{00000000-0005-0000-0000-000043090000}"/>
    <cellStyle name="Normal 3 2 3 2 3 2 5" xfId="3996" xr:uid="{00000000-0005-0000-0000-000044090000}"/>
    <cellStyle name="Normal 3 2 3 2 3 2 5 2" xfId="18508" xr:uid="{00000000-0005-0000-0000-000045090000}"/>
    <cellStyle name="Normal 3 2 3 2 3 2 5 3" xfId="11252" xr:uid="{00000000-0005-0000-0000-000046090000}"/>
    <cellStyle name="Normal 3 2 3 2 3 2 6" xfId="14880" xr:uid="{00000000-0005-0000-0000-000047090000}"/>
    <cellStyle name="Normal 3 2 3 2 3 2 7" xfId="7624" xr:uid="{00000000-0005-0000-0000-000048090000}"/>
    <cellStyle name="Normal 3 2 3 2 3 3" xfId="843" xr:uid="{00000000-0005-0000-0000-000049090000}"/>
    <cellStyle name="Normal 3 2 3 2 3 3 2" xfId="1751" xr:uid="{00000000-0005-0000-0000-00004A090000}"/>
    <cellStyle name="Normal 3 2 3 2 3 3 2 2" xfId="3565" xr:uid="{00000000-0005-0000-0000-00004B090000}"/>
    <cellStyle name="Normal 3 2 3 2 3 3 2 2 2" xfId="7193" xr:uid="{00000000-0005-0000-0000-00004C090000}"/>
    <cellStyle name="Normal 3 2 3 2 3 3 2 2 2 2" xfId="21705" xr:uid="{00000000-0005-0000-0000-00004D090000}"/>
    <cellStyle name="Normal 3 2 3 2 3 3 2 2 2 3" xfId="14449" xr:uid="{00000000-0005-0000-0000-00004E090000}"/>
    <cellStyle name="Normal 3 2 3 2 3 3 2 2 3" xfId="18077" xr:uid="{00000000-0005-0000-0000-00004F090000}"/>
    <cellStyle name="Normal 3 2 3 2 3 3 2 2 4" xfId="10821" xr:uid="{00000000-0005-0000-0000-000050090000}"/>
    <cellStyle name="Normal 3 2 3 2 3 3 2 3" xfId="5379" xr:uid="{00000000-0005-0000-0000-000051090000}"/>
    <cellStyle name="Normal 3 2 3 2 3 3 2 3 2" xfId="19891" xr:uid="{00000000-0005-0000-0000-000052090000}"/>
    <cellStyle name="Normal 3 2 3 2 3 3 2 3 3" xfId="12635" xr:uid="{00000000-0005-0000-0000-000053090000}"/>
    <cellStyle name="Normal 3 2 3 2 3 3 2 4" xfId="16263" xr:uid="{00000000-0005-0000-0000-000054090000}"/>
    <cellStyle name="Normal 3 2 3 2 3 3 2 5" xfId="9007" xr:uid="{00000000-0005-0000-0000-000055090000}"/>
    <cellStyle name="Normal 3 2 3 2 3 3 3" xfId="2658" xr:uid="{00000000-0005-0000-0000-000056090000}"/>
    <cellStyle name="Normal 3 2 3 2 3 3 3 2" xfId="6286" xr:uid="{00000000-0005-0000-0000-000057090000}"/>
    <cellStyle name="Normal 3 2 3 2 3 3 3 2 2" xfId="20798" xr:uid="{00000000-0005-0000-0000-000058090000}"/>
    <cellStyle name="Normal 3 2 3 2 3 3 3 2 3" xfId="13542" xr:uid="{00000000-0005-0000-0000-000059090000}"/>
    <cellStyle name="Normal 3 2 3 2 3 3 3 3" xfId="17170" xr:uid="{00000000-0005-0000-0000-00005A090000}"/>
    <cellStyle name="Normal 3 2 3 2 3 3 3 4" xfId="9914" xr:uid="{00000000-0005-0000-0000-00005B090000}"/>
    <cellStyle name="Normal 3 2 3 2 3 3 4" xfId="4472" xr:uid="{00000000-0005-0000-0000-00005C090000}"/>
    <cellStyle name="Normal 3 2 3 2 3 3 4 2" xfId="18984" xr:uid="{00000000-0005-0000-0000-00005D090000}"/>
    <cellStyle name="Normal 3 2 3 2 3 3 4 3" xfId="11728" xr:uid="{00000000-0005-0000-0000-00005E090000}"/>
    <cellStyle name="Normal 3 2 3 2 3 3 5" xfId="15356" xr:uid="{00000000-0005-0000-0000-00005F090000}"/>
    <cellStyle name="Normal 3 2 3 2 3 3 6" xfId="8100" xr:uid="{00000000-0005-0000-0000-000060090000}"/>
    <cellStyle name="Normal 3 2 3 2 3 4" xfId="583" xr:uid="{00000000-0005-0000-0000-000061090000}"/>
    <cellStyle name="Normal 3 2 3 2 3 4 2" xfId="1491" xr:uid="{00000000-0005-0000-0000-000062090000}"/>
    <cellStyle name="Normal 3 2 3 2 3 4 2 2" xfId="3305" xr:uid="{00000000-0005-0000-0000-000063090000}"/>
    <cellStyle name="Normal 3 2 3 2 3 4 2 2 2" xfId="6933" xr:uid="{00000000-0005-0000-0000-000064090000}"/>
    <cellStyle name="Normal 3 2 3 2 3 4 2 2 2 2" xfId="21445" xr:uid="{00000000-0005-0000-0000-000065090000}"/>
    <cellStyle name="Normal 3 2 3 2 3 4 2 2 2 3" xfId="14189" xr:uid="{00000000-0005-0000-0000-000066090000}"/>
    <cellStyle name="Normal 3 2 3 2 3 4 2 2 3" xfId="17817" xr:uid="{00000000-0005-0000-0000-000067090000}"/>
    <cellStyle name="Normal 3 2 3 2 3 4 2 2 4" xfId="10561" xr:uid="{00000000-0005-0000-0000-000068090000}"/>
    <cellStyle name="Normal 3 2 3 2 3 4 2 3" xfId="5119" xr:uid="{00000000-0005-0000-0000-000069090000}"/>
    <cellStyle name="Normal 3 2 3 2 3 4 2 3 2" xfId="19631" xr:uid="{00000000-0005-0000-0000-00006A090000}"/>
    <cellStyle name="Normal 3 2 3 2 3 4 2 3 3" xfId="12375" xr:uid="{00000000-0005-0000-0000-00006B090000}"/>
    <cellStyle name="Normal 3 2 3 2 3 4 2 4" xfId="16003" xr:uid="{00000000-0005-0000-0000-00006C090000}"/>
    <cellStyle name="Normal 3 2 3 2 3 4 2 5" xfId="8747" xr:uid="{00000000-0005-0000-0000-00006D090000}"/>
    <cellStyle name="Normal 3 2 3 2 3 4 3" xfId="2398" xr:uid="{00000000-0005-0000-0000-00006E090000}"/>
    <cellStyle name="Normal 3 2 3 2 3 4 3 2" xfId="6026" xr:uid="{00000000-0005-0000-0000-00006F090000}"/>
    <cellStyle name="Normal 3 2 3 2 3 4 3 2 2" xfId="20538" xr:uid="{00000000-0005-0000-0000-000070090000}"/>
    <cellStyle name="Normal 3 2 3 2 3 4 3 2 3" xfId="13282" xr:uid="{00000000-0005-0000-0000-000071090000}"/>
    <cellStyle name="Normal 3 2 3 2 3 4 3 3" xfId="16910" xr:uid="{00000000-0005-0000-0000-000072090000}"/>
    <cellStyle name="Normal 3 2 3 2 3 4 3 4" xfId="9654" xr:uid="{00000000-0005-0000-0000-000073090000}"/>
    <cellStyle name="Normal 3 2 3 2 3 4 4" xfId="4212" xr:uid="{00000000-0005-0000-0000-000074090000}"/>
    <cellStyle name="Normal 3 2 3 2 3 4 4 2" xfId="18724" xr:uid="{00000000-0005-0000-0000-000075090000}"/>
    <cellStyle name="Normal 3 2 3 2 3 4 4 3" xfId="11468" xr:uid="{00000000-0005-0000-0000-000076090000}"/>
    <cellStyle name="Normal 3 2 3 2 3 4 5" xfId="15096" xr:uid="{00000000-0005-0000-0000-000077090000}"/>
    <cellStyle name="Normal 3 2 3 2 3 4 6" xfId="7840" xr:uid="{00000000-0005-0000-0000-000078090000}"/>
    <cellStyle name="Normal 3 2 3 2 3 5" xfId="1145" xr:uid="{00000000-0005-0000-0000-000079090000}"/>
    <cellStyle name="Normal 3 2 3 2 3 5 2" xfId="2959" xr:uid="{00000000-0005-0000-0000-00007A090000}"/>
    <cellStyle name="Normal 3 2 3 2 3 5 2 2" xfId="6587" xr:uid="{00000000-0005-0000-0000-00007B090000}"/>
    <cellStyle name="Normal 3 2 3 2 3 5 2 2 2" xfId="21099" xr:uid="{00000000-0005-0000-0000-00007C090000}"/>
    <cellStyle name="Normal 3 2 3 2 3 5 2 2 3" xfId="13843" xr:uid="{00000000-0005-0000-0000-00007D090000}"/>
    <cellStyle name="Normal 3 2 3 2 3 5 2 3" xfId="17471" xr:uid="{00000000-0005-0000-0000-00007E090000}"/>
    <cellStyle name="Normal 3 2 3 2 3 5 2 4" xfId="10215" xr:uid="{00000000-0005-0000-0000-00007F090000}"/>
    <cellStyle name="Normal 3 2 3 2 3 5 3" xfId="4773" xr:uid="{00000000-0005-0000-0000-000080090000}"/>
    <cellStyle name="Normal 3 2 3 2 3 5 3 2" xfId="19285" xr:uid="{00000000-0005-0000-0000-000081090000}"/>
    <cellStyle name="Normal 3 2 3 2 3 5 3 3" xfId="12029" xr:uid="{00000000-0005-0000-0000-000082090000}"/>
    <cellStyle name="Normal 3 2 3 2 3 5 4" xfId="15657" xr:uid="{00000000-0005-0000-0000-000083090000}"/>
    <cellStyle name="Normal 3 2 3 2 3 5 5" xfId="8401" xr:uid="{00000000-0005-0000-0000-000084090000}"/>
    <cellStyle name="Normal 3 2 3 2 3 6" xfId="2052" xr:uid="{00000000-0005-0000-0000-000085090000}"/>
    <cellStyle name="Normal 3 2 3 2 3 6 2" xfId="5680" xr:uid="{00000000-0005-0000-0000-000086090000}"/>
    <cellStyle name="Normal 3 2 3 2 3 6 2 2" xfId="20192" xr:uid="{00000000-0005-0000-0000-000087090000}"/>
    <cellStyle name="Normal 3 2 3 2 3 6 2 3" xfId="12936" xr:uid="{00000000-0005-0000-0000-000088090000}"/>
    <cellStyle name="Normal 3 2 3 2 3 6 3" xfId="16564" xr:uid="{00000000-0005-0000-0000-000089090000}"/>
    <cellStyle name="Normal 3 2 3 2 3 6 4" xfId="9308" xr:uid="{00000000-0005-0000-0000-00008A090000}"/>
    <cellStyle name="Normal 3 2 3 2 3 7" xfId="3866" xr:uid="{00000000-0005-0000-0000-00008B090000}"/>
    <cellStyle name="Normal 3 2 3 2 3 7 2" xfId="18378" xr:uid="{00000000-0005-0000-0000-00008C090000}"/>
    <cellStyle name="Normal 3 2 3 2 3 7 3" xfId="11122" xr:uid="{00000000-0005-0000-0000-00008D090000}"/>
    <cellStyle name="Normal 3 2 3 2 3 8" xfId="14750" xr:uid="{00000000-0005-0000-0000-00008E090000}"/>
    <cellStyle name="Normal 3 2 3 2 3 9" xfId="7494" xr:uid="{00000000-0005-0000-0000-00008F090000}"/>
    <cellStyle name="Normal 3 2 3 2 4" xfId="151" xr:uid="{00000000-0005-0000-0000-000090090000}"/>
    <cellStyle name="Normal 3 2 3 2 4 2" xfId="497" xr:uid="{00000000-0005-0000-0000-000091090000}"/>
    <cellStyle name="Normal 3 2 3 2 4 2 2" xfId="1405" xr:uid="{00000000-0005-0000-0000-000092090000}"/>
    <cellStyle name="Normal 3 2 3 2 4 2 2 2" xfId="3219" xr:uid="{00000000-0005-0000-0000-000093090000}"/>
    <cellStyle name="Normal 3 2 3 2 4 2 2 2 2" xfId="6847" xr:uid="{00000000-0005-0000-0000-000094090000}"/>
    <cellStyle name="Normal 3 2 3 2 4 2 2 2 2 2" xfId="21359" xr:uid="{00000000-0005-0000-0000-000095090000}"/>
    <cellStyle name="Normal 3 2 3 2 4 2 2 2 2 3" xfId="14103" xr:uid="{00000000-0005-0000-0000-000096090000}"/>
    <cellStyle name="Normal 3 2 3 2 4 2 2 2 3" xfId="17731" xr:uid="{00000000-0005-0000-0000-000097090000}"/>
    <cellStyle name="Normal 3 2 3 2 4 2 2 2 4" xfId="10475" xr:uid="{00000000-0005-0000-0000-000098090000}"/>
    <cellStyle name="Normal 3 2 3 2 4 2 2 3" xfId="5033" xr:uid="{00000000-0005-0000-0000-000099090000}"/>
    <cellStyle name="Normal 3 2 3 2 4 2 2 3 2" xfId="19545" xr:uid="{00000000-0005-0000-0000-00009A090000}"/>
    <cellStyle name="Normal 3 2 3 2 4 2 2 3 3" xfId="12289" xr:uid="{00000000-0005-0000-0000-00009B090000}"/>
    <cellStyle name="Normal 3 2 3 2 4 2 2 4" xfId="15917" xr:uid="{00000000-0005-0000-0000-00009C090000}"/>
    <cellStyle name="Normal 3 2 3 2 4 2 2 5" xfId="8661" xr:uid="{00000000-0005-0000-0000-00009D090000}"/>
    <cellStyle name="Normal 3 2 3 2 4 2 3" xfId="2312" xr:uid="{00000000-0005-0000-0000-00009E090000}"/>
    <cellStyle name="Normal 3 2 3 2 4 2 3 2" xfId="5940" xr:uid="{00000000-0005-0000-0000-00009F090000}"/>
    <cellStyle name="Normal 3 2 3 2 4 2 3 2 2" xfId="20452" xr:uid="{00000000-0005-0000-0000-0000A0090000}"/>
    <cellStyle name="Normal 3 2 3 2 4 2 3 2 3" xfId="13196" xr:uid="{00000000-0005-0000-0000-0000A1090000}"/>
    <cellStyle name="Normal 3 2 3 2 4 2 3 3" xfId="16824" xr:uid="{00000000-0005-0000-0000-0000A2090000}"/>
    <cellStyle name="Normal 3 2 3 2 4 2 3 4" xfId="9568" xr:uid="{00000000-0005-0000-0000-0000A3090000}"/>
    <cellStyle name="Normal 3 2 3 2 4 2 4" xfId="4126" xr:uid="{00000000-0005-0000-0000-0000A4090000}"/>
    <cellStyle name="Normal 3 2 3 2 4 2 4 2" xfId="18638" xr:uid="{00000000-0005-0000-0000-0000A5090000}"/>
    <cellStyle name="Normal 3 2 3 2 4 2 4 3" xfId="11382" xr:uid="{00000000-0005-0000-0000-0000A6090000}"/>
    <cellStyle name="Normal 3 2 3 2 4 2 5" xfId="15010" xr:uid="{00000000-0005-0000-0000-0000A7090000}"/>
    <cellStyle name="Normal 3 2 3 2 4 2 6" xfId="7754" xr:uid="{00000000-0005-0000-0000-0000A8090000}"/>
    <cellStyle name="Normal 3 2 3 2 4 3" xfId="1059" xr:uid="{00000000-0005-0000-0000-0000A9090000}"/>
    <cellStyle name="Normal 3 2 3 2 4 3 2" xfId="2873" xr:uid="{00000000-0005-0000-0000-0000AA090000}"/>
    <cellStyle name="Normal 3 2 3 2 4 3 2 2" xfId="6501" xr:uid="{00000000-0005-0000-0000-0000AB090000}"/>
    <cellStyle name="Normal 3 2 3 2 4 3 2 2 2" xfId="21013" xr:uid="{00000000-0005-0000-0000-0000AC090000}"/>
    <cellStyle name="Normal 3 2 3 2 4 3 2 2 3" xfId="13757" xr:uid="{00000000-0005-0000-0000-0000AD090000}"/>
    <cellStyle name="Normal 3 2 3 2 4 3 2 3" xfId="17385" xr:uid="{00000000-0005-0000-0000-0000AE090000}"/>
    <cellStyle name="Normal 3 2 3 2 4 3 2 4" xfId="10129" xr:uid="{00000000-0005-0000-0000-0000AF090000}"/>
    <cellStyle name="Normal 3 2 3 2 4 3 3" xfId="4687" xr:uid="{00000000-0005-0000-0000-0000B0090000}"/>
    <cellStyle name="Normal 3 2 3 2 4 3 3 2" xfId="19199" xr:uid="{00000000-0005-0000-0000-0000B1090000}"/>
    <cellStyle name="Normal 3 2 3 2 4 3 3 3" xfId="11943" xr:uid="{00000000-0005-0000-0000-0000B2090000}"/>
    <cellStyle name="Normal 3 2 3 2 4 3 4" xfId="15571" xr:uid="{00000000-0005-0000-0000-0000B3090000}"/>
    <cellStyle name="Normal 3 2 3 2 4 3 5" xfId="8315" xr:uid="{00000000-0005-0000-0000-0000B4090000}"/>
    <cellStyle name="Normal 3 2 3 2 4 4" xfId="1966" xr:uid="{00000000-0005-0000-0000-0000B5090000}"/>
    <cellStyle name="Normal 3 2 3 2 4 4 2" xfId="5594" xr:uid="{00000000-0005-0000-0000-0000B6090000}"/>
    <cellStyle name="Normal 3 2 3 2 4 4 2 2" xfId="20106" xr:uid="{00000000-0005-0000-0000-0000B7090000}"/>
    <cellStyle name="Normal 3 2 3 2 4 4 2 3" xfId="12850" xr:uid="{00000000-0005-0000-0000-0000B8090000}"/>
    <cellStyle name="Normal 3 2 3 2 4 4 3" xfId="16478" xr:uid="{00000000-0005-0000-0000-0000B9090000}"/>
    <cellStyle name="Normal 3 2 3 2 4 4 4" xfId="9222" xr:uid="{00000000-0005-0000-0000-0000BA090000}"/>
    <cellStyle name="Normal 3 2 3 2 4 5" xfId="3780" xr:uid="{00000000-0005-0000-0000-0000BB090000}"/>
    <cellStyle name="Normal 3 2 3 2 4 5 2" xfId="18292" xr:uid="{00000000-0005-0000-0000-0000BC090000}"/>
    <cellStyle name="Normal 3 2 3 2 4 5 3" xfId="11036" xr:uid="{00000000-0005-0000-0000-0000BD090000}"/>
    <cellStyle name="Normal 3 2 3 2 4 6" xfId="14664" xr:uid="{00000000-0005-0000-0000-0000BE090000}"/>
    <cellStyle name="Normal 3 2 3 2 4 7" xfId="7408" xr:uid="{00000000-0005-0000-0000-0000BF090000}"/>
    <cellStyle name="Normal 3 2 3 2 5" xfId="281" xr:uid="{00000000-0005-0000-0000-0000C0090000}"/>
    <cellStyle name="Normal 3 2 3 2 5 2" xfId="627" xr:uid="{00000000-0005-0000-0000-0000C1090000}"/>
    <cellStyle name="Normal 3 2 3 2 5 2 2" xfId="1535" xr:uid="{00000000-0005-0000-0000-0000C2090000}"/>
    <cellStyle name="Normal 3 2 3 2 5 2 2 2" xfId="3349" xr:uid="{00000000-0005-0000-0000-0000C3090000}"/>
    <cellStyle name="Normal 3 2 3 2 5 2 2 2 2" xfId="6977" xr:uid="{00000000-0005-0000-0000-0000C4090000}"/>
    <cellStyle name="Normal 3 2 3 2 5 2 2 2 2 2" xfId="21489" xr:uid="{00000000-0005-0000-0000-0000C5090000}"/>
    <cellStyle name="Normal 3 2 3 2 5 2 2 2 2 3" xfId="14233" xr:uid="{00000000-0005-0000-0000-0000C6090000}"/>
    <cellStyle name="Normal 3 2 3 2 5 2 2 2 3" xfId="17861" xr:uid="{00000000-0005-0000-0000-0000C7090000}"/>
    <cellStyle name="Normal 3 2 3 2 5 2 2 2 4" xfId="10605" xr:uid="{00000000-0005-0000-0000-0000C8090000}"/>
    <cellStyle name="Normal 3 2 3 2 5 2 2 3" xfId="5163" xr:uid="{00000000-0005-0000-0000-0000C9090000}"/>
    <cellStyle name="Normal 3 2 3 2 5 2 2 3 2" xfId="19675" xr:uid="{00000000-0005-0000-0000-0000CA090000}"/>
    <cellStyle name="Normal 3 2 3 2 5 2 2 3 3" xfId="12419" xr:uid="{00000000-0005-0000-0000-0000CB090000}"/>
    <cellStyle name="Normal 3 2 3 2 5 2 2 4" xfId="16047" xr:uid="{00000000-0005-0000-0000-0000CC090000}"/>
    <cellStyle name="Normal 3 2 3 2 5 2 2 5" xfId="8791" xr:uid="{00000000-0005-0000-0000-0000CD090000}"/>
    <cellStyle name="Normal 3 2 3 2 5 2 3" xfId="2442" xr:uid="{00000000-0005-0000-0000-0000CE090000}"/>
    <cellStyle name="Normal 3 2 3 2 5 2 3 2" xfId="6070" xr:uid="{00000000-0005-0000-0000-0000CF090000}"/>
    <cellStyle name="Normal 3 2 3 2 5 2 3 2 2" xfId="20582" xr:uid="{00000000-0005-0000-0000-0000D0090000}"/>
    <cellStyle name="Normal 3 2 3 2 5 2 3 2 3" xfId="13326" xr:uid="{00000000-0005-0000-0000-0000D1090000}"/>
    <cellStyle name="Normal 3 2 3 2 5 2 3 3" xfId="16954" xr:uid="{00000000-0005-0000-0000-0000D2090000}"/>
    <cellStyle name="Normal 3 2 3 2 5 2 3 4" xfId="9698" xr:uid="{00000000-0005-0000-0000-0000D3090000}"/>
    <cellStyle name="Normal 3 2 3 2 5 2 4" xfId="4256" xr:uid="{00000000-0005-0000-0000-0000D4090000}"/>
    <cellStyle name="Normal 3 2 3 2 5 2 4 2" xfId="18768" xr:uid="{00000000-0005-0000-0000-0000D5090000}"/>
    <cellStyle name="Normal 3 2 3 2 5 2 4 3" xfId="11512" xr:uid="{00000000-0005-0000-0000-0000D6090000}"/>
    <cellStyle name="Normal 3 2 3 2 5 2 5" xfId="15140" xr:uid="{00000000-0005-0000-0000-0000D7090000}"/>
    <cellStyle name="Normal 3 2 3 2 5 2 6" xfId="7884" xr:uid="{00000000-0005-0000-0000-0000D8090000}"/>
    <cellStyle name="Normal 3 2 3 2 5 3" xfId="1189" xr:uid="{00000000-0005-0000-0000-0000D9090000}"/>
    <cellStyle name="Normal 3 2 3 2 5 3 2" xfId="3003" xr:uid="{00000000-0005-0000-0000-0000DA090000}"/>
    <cellStyle name="Normal 3 2 3 2 5 3 2 2" xfId="6631" xr:uid="{00000000-0005-0000-0000-0000DB090000}"/>
    <cellStyle name="Normal 3 2 3 2 5 3 2 2 2" xfId="21143" xr:uid="{00000000-0005-0000-0000-0000DC090000}"/>
    <cellStyle name="Normal 3 2 3 2 5 3 2 2 3" xfId="13887" xr:uid="{00000000-0005-0000-0000-0000DD090000}"/>
    <cellStyle name="Normal 3 2 3 2 5 3 2 3" xfId="17515" xr:uid="{00000000-0005-0000-0000-0000DE090000}"/>
    <cellStyle name="Normal 3 2 3 2 5 3 2 4" xfId="10259" xr:uid="{00000000-0005-0000-0000-0000DF090000}"/>
    <cellStyle name="Normal 3 2 3 2 5 3 3" xfId="4817" xr:uid="{00000000-0005-0000-0000-0000E0090000}"/>
    <cellStyle name="Normal 3 2 3 2 5 3 3 2" xfId="19329" xr:uid="{00000000-0005-0000-0000-0000E1090000}"/>
    <cellStyle name="Normal 3 2 3 2 5 3 3 3" xfId="12073" xr:uid="{00000000-0005-0000-0000-0000E2090000}"/>
    <cellStyle name="Normal 3 2 3 2 5 3 4" xfId="15701" xr:uid="{00000000-0005-0000-0000-0000E3090000}"/>
    <cellStyle name="Normal 3 2 3 2 5 3 5" xfId="8445" xr:uid="{00000000-0005-0000-0000-0000E4090000}"/>
    <cellStyle name="Normal 3 2 3 2 5 4" xfId="2096" xr:uid="{00000000-0005-0000-0000-0000E5090000}"/>
    <cellStyle name="Normal 3 2 3 2 5 4 2" xfId="5724" xr:uid="{00000000-0005-0000-0000-0000E6090000}"/>
    <cellStyle name="Normal 3 2 3 2 5 4 2 2" xfId="20236" xr:uid="{00000000-0005-0000-0000-0000E7090000}"/>
    <cellStyle name="Normal 3 2 3 2 5 4 2 3" xfId="12980" xr:uid="{00000000-0005-0000-0000-0000E8090000}"/>
    <cellStyle name="Normal 3 2 3 2 5 4 3" xfId="16608" xr:uid="{00000000-0005-0000-0000-0000E9090000}"/>
    <cellStyle name="Normal 3 2 3 2 5 4 4" xfId="9352" xr:uid="{00000000-0005-0000-0000-0000EA090000}"/>
    <cellStyle name="Normal 3 2 3 2 5 5" xfId="3910" xr:uid="{00000000-0005-0000-0000-0000EB090000}"/>
    <cellStyle name="Normal 3 2 3 2 5 5 2" xfId="18422" xr:uid="{00000000-0005-0000-0000-0000EC090000}"/>
    <cellStyle name="Normal 3 2 3 2 5 5 3" xfId="11166" xr:uid="{00000000-0005-0000-0000-0000ED090000}"/>
    <cellStyle name="Normal 3 2 3 2 5 6" xfId="14794" xr:uid="{00000000-0005-0000-0000-0000EE090000}"/>
    <cellStyle name="Normal 3 2 3 2 5 7" xfId="7538" xr:uid="{00000000-0005-0000-0000-0000EF090000}"/>
    <cellStyle name="Normal 3 2 3 2 6" xfId="757" xr:uid="{00000000-0005-0000-0000-0000F0090000}"/>
    <cellStyle name="Normal 3 2 3 2 6 2" xfId="1665" xr:uid="{00000000-0005-0000-0000-0000F1090000}"/>
    <cellStyle name="Normal 3 2 3 2 6 2 2" xfId="3479" xr:uid="{00000000-0005-0000-0000-0000F2090000}"/>
    <cellStyle name="Normal 3 2 3 2 6 2 2 2" xfId="7107" xr:uid="{00000000-0005-0000-0000-0000F3090000}"/>
    <cellStyle name="Normal 3 2 3 2 6 2 2 2 2" xfId="21619" xr:uid="{00000000-0005-0000-0000-0000F4090000}"/>
    <cellStyle name="Normal 3 2 3 2 6 2 2 2 3" xfId="14363" xr:uid="{00000000-0005-0000-0000-0000F5090000}"/>
    <cellStyle name="Normal 3 2 3 2 6 2 2 3" xfId="17991" xr:uid="{00000000-0005-0000-0000-0000F6090000}"/>
    <cellStyle name="Normal 3 2 3 2 6 2 2 4" xfId="10735" xr:uid="{00000000-0005-0000-0000-0000F7090000}"/>
    <cellStyle name="Normal 3 2 3 2 6 2 3" xfId="5293" xr:uid="{00000000-0005-0000-0000-0000F8090000}"/>
    <cellStyle name="Normal 3 2 3 2 6 2 3 2" xfId="19805" xr:uid="{00000000-0005-0000-0000-0000F9090000}"/>
    <cellStyle name="Normal 3 2 3 2 6 2 3 3" xfId="12549" xr:uid="{00000000-0005-0000-0000-0000FA090000}"/>
    <cellStyle name="Normal 3 2 3 2 6 2 4" xfId="16177" xr:uid="{00000000-0005-0000-0000-0000FB090000}"/>
    <cellStyle name="Normal 3 2 3 2 6 2 5" xfId="8921" xr:uid="{00000000-0005-0000-0000-0000FC090000}"/>
    <cellStyle name="Normal 3 2 3 2 6 3" xfId="2572" xr:uid="{00000000-0005-0000-0000-0000FD090000}"/>
    <cellStyle name="Normal 3 2 3 2 6 3 2" xfId="6200" xr:uid="{00000000-0005-0000-0000-0000FE090000}"/>
    <cellStyle name="Normal 3 2 3 2 6 3 2 2" xfId="20712" xr:uid="{00000000-0005-0000-0000-0000FF090000}"/>
    <cellStyle name="Normal 3 2 3 2 6 3 2 3" xfId="13456" xr:uid="{00000000-0005-0000-0000-0000000A0000}"/>
    <cellStyle name="Normal 3 2 3 2 6 3 3" xfId="17084" xr:uid="{00000000-0005-0000-0000-0000010A0000}"/>
    <cellStyle name="Normal 3 2 3 2 6 3 4" xfId="9828" xr:uid="{00000000-0005-0000-0000-0000020A0000}"/>
    <cellStyle name="Normal 3 2 3 2 6 4" xfId="4386" xr:uid="{00000000-0005-0000-0000-0000030A0000}"/>
    <cellStyle name="Normal 3 2 3 2 6 4 2" xfId="18898" xr:uid="{00000000-0005-0000-0000-0000040A0000}"/>
    <cellStyle name="Normal 3 2 3 2 6 4 3" xfId="11642" xr:uid="{00000000-0005-0000-0000-0000050A0000}"/>
    <cellStyle name="Normal 3 2 3 2 6 5" xfId="15270" xr:uid="{00000000-0005-0000-0000-0000060A0000}"/>
    <cellStyle name="Normal 3 2 3 2 6 6" xfId="8014" xr:uid="{00000000-0005-0000-0000-0000070A0000}"/>
    <cellStyle name="Normal 3 2 3 2 7" xfId="411" xr:uid="{00000000-0005-0000-0000-0000080A0000}"/>
    <cellStyle name="Normal 3 2 3 2 7 2" xfId="1319" xr:uid="{00000000-0005-0000-0000-0000090A0000}"/>
    <cellStyle name="Normal 3 2 3 2 7 2 2" xfId="3133" xr:uid="{00000000-0005-0000-0000-00000A0A0000}"/>
    <cellStyle name="Normal 3 2 3 2 7 2 2 2" xfId="6761" xr:uid="{00000000-0005-0000-0000-00000B0A0000}"/>
    <cellStyle name="Normal 3 2 3 2 7 2 2 2 2" xfId="21273" xr:uid="{00000000-0005-0000-0000-00000C0A0000}"/>
    <cellStyle name="Normal 3 2 3 2 7 2 2 2 3" xfId="14017" xr:uid="{00000000-0005-0000-0000-00000D0A0000}"/>
    <cellStyle name="Normal 3 2 3 2 7 2 2 3" xfId="17645" xr:uid="{00000000-0005-0000-0000-00000E0A0000}"/>
    <cellStyle name="Normal 3 2 3 2 7 2 2 4" xfId="10389" xr:uid="{00000000-0005-0000-0000-00000F0A0000}"/>
    <cellStyle name="Normal 3 2 3 2 7 2 3" xfId="4947" xr:uid="{00000000-0005-0000-0000-0000100A0000}"/>
    <cellStyle name="Normal 3 2 3 2 7 2 3 2" xfId="19459" xr:uid="{00000000-0005-0000-0000-0000110A0000}"/>
    <cellStyle name="Normal 3 2 3 2 7 2 3 3" xfId="12203" xr:uid="{00000000-0005-0000-0000-0000120A0000}"/>
    <cellStyle name="Normal 3 2 3 2 7 2 4" xfId="15831" xr:uid="{00000000-0005-0000-0000-0000130A0000}"/>
    <cellStyle name="Normal 3 2 3 2 7 2 5" xfId="8575" xr:uid="{00000000-0005-0000-0000-0000140A0000}"/>
    <cellStyle name="Normal 3 2 3 2 7 3" xfId="2226" xr:uid="{00000000-0005-0000-0000-0000150A0000}"/>
    <cellStyle name="Normal 3 2 3 2 7 3 2" xfId="5854" xr:uid="{00000000-0005-0000-0000-0000160A0000}"/>
    <cellStyle name="Normal 3 2 3 2 7 3 2 2" xfId="20366" xr:uid="{00000000-0005-0000-0000-0000170A0000}"/>
    <cellStyle name="Normal 3 2 3 2 7 3 2 3" xfId="13110" xr:uid="{00000000-0005-0000-0000-0000180A0000}"/>
    <cellStyle name="Normal 3 2 3 2 7 3 3" xfId="16738" xr:uid="{00000000-0005-0000-0000-0000190A0000}"/>
    <cellStyle name="Normal 3 2 3 2 7 3 4" xfId="9482" xr:uid="{00000000-0005-0000-0000-00001A0A0000}"/>
    <cellStyle name="Normal 3 2 3 2 7 4" xfId="4040" xr:uid="{00000000-0005-0000-0000-00001B0A0000}"/>
    <cellStyle name="Normal 3 2 3 2 7 4 2" xfId="18552" xr:uid="{00000000-0005-0000-0000-00001C0A0000}"/>
    <cellStyle name="Normal 3 2 3 2 7 4 3" xfId="11296" xr:uid="{00000000-0005-0000-0000-00001D0A0000}"/>
    <cellStyle name="Normal 3 2 3 2 7 5" xfId="14924" xr:uid="{00000000-0005-0000-0000-00001E0A0000}"/>
    <cellStyle name="Normal 3 2 3 2 7 6" xfId="7668" xr:uid="{00000000-0005-0000-0000-00001F0A0000}"/>
    <cellStyle name="Normal 3 2 3 2 8" xfId="872" xr:uid="{00000000-0005-0000-0000-0000200A0000}"/>
    <cellStyle name="Normal 3 2 3 2 8 2" xfId="1780" xr:uid="{00000000-0005-0000-0000-0000210A0000}"/>
    <cellStyle name="Normal 3 2 3 2 8 2 2" xfId="3594" xr:uid="{00000000-0005-0000-0000-0000220A0000}"/>
    <cellStyle name="Normal 3 2 3 2 8 2 2 2" xfId="7222" xr:uid="{00000000-0005-0000-0000-0000230A0000}"/>
    <cellStyle name="Normal 3 2 3 2 8 2 2 2 2" xfId="21734" xr:uid="{00000000-0005-0000-0000-0000240A0000}"/>
    <cellStyle name="Normal 3 2 3 2 8 2 2 2 3" xfId="14478" xr:uid="{00000000-0005-0000-0000-0000250A0000}"/>
    <cellStyle name="Normal 3 2 3 2 8 2 2 3" xfId="18106" xr:uid="{00000000-0005-0000-0000-0000260A0000}"/>
    <cellStyle name="Normal 3 2 3 2 8 2 2 4" xfId="10850" xr:uid="{00000000-0005-0000-0000-0000270A0000}"/>
    <cellStyle name="Normal 3 2 3 2 8 2 3" xfId="5408" xr:uid="{00000000-0005-0000-0000-0000280A0000}"/>
    <cellStyle name="Normal 3 2 3 2 8 2 3 2" xfId="19920" xr:uid="{00000000-0005-0000-0000-0000290A0000}"/>
    <cellStyle name="Normal 3 2 3 2 8 2 3 3" xfId="12664" xr:uid="{00000000-0005-0000-0000-00002A0A0000}"/>
    <cellStyle name="Normal 3 2 3 2 8 2 4" xfId="16292" xr:uid="{00000000-0005-0000-0000-00002B0A0000}"/>
    <cellStyle name="Normal 3 2 3 2 8 2 5" xfId="9036" xr:uid="{00000000-0005-0000-0000-00002C0A0000}"/>
    <cellStyle name="Normal 3 2 3 2 8 3" xfId="2687" xr:uid="{00000000-0005-0000-0000-00002D0A0000}"/>
    <cellStyle name="Normal 3 2 3 2 8 3 2" xfId="6315" xr:uid="{00000000-0005-0000-0000-00002E0A0000}"/>
    <cellStyle name="Normal 3 2 3 2 8 3 2 2" xfId="20827" xr:uid="{00000000-0005-0000-0000-00002F0A0000}"/>
    <cellStyle name="Normal 3 2 3 2 8 3 2 3" xfId="13571" xr:uid="{00000000-0005-0000-0000-0000300A0000}"/>
    <cellStyle name="Normal 3 2 3 2 8 3 3" xfId="17199" xr:uid="{00000000-0005-0000-0000-0000310A0000}"/>
    <cellStyle name="Normal 3 2 3 2 8 3 4" xfId="9943" xr:uid="{00000000-0005-0000-0000-0000320A0000}"/>
    <cellStyle name="Normal 3 2 3 2 8 4" xfId="4501" xr:uid="{00000000-0005-0000-0000-0000330A0000}"/>
    <cellStyle name="Normal 3 2 3 2 8 4 2" xfId="19013" xr:uid="{00000000-0005-0000-0000-0000340A0000}"/>
    <cellStyle name="Normal 3 2 3 2 8 4 3" xfId="11757" xr:uid="{00000000-0005-0000-0000-0000350A0000}"/>
    <cellStyle name="Normal 3 2 3 2 8 5" xfId="15385" xr:uid="{00000000-0005-0000-0000-0000360A0000}"/>
    <cellStyle name="Normal 3 2 3 2 8 6" xfId="8129" xr:uid="{00000000-0005-0000-0000-0000370A0000}"/>
    <cellStyle name="Normal 3 2 3 2 9" xfId="973" xr:uid="{00000000-0005-0000-0000-0000380A0000}"/>
    <cellStyle name="Normal 3 2 3 2 9 2" xfId="2787" xr:uid="{00000000-0005-0000-0000-0000390A0000}"/>
    <cellStyle name="Normal 3 2 3 2 9 2 2" xfId="6415" xr:uid="{00000000-0005-0000-0000-00003A0A0000}"/>
    <cellStyle name="Normal 3 2 3 2 9 2 2 2" xfId="20927" xr:uid="{00000000-0005-0000-0000-00003B0A0000}"/>
    <cellStyle name="Normal 3 2 3 2 9 2 2 3" xfId="13671" xr:uid="{00000000-0005-0000-0000-00003C0A0000}"/>
    <cellStyle name="Normal 3 2 3 2 9 2 3" xfId="17299" xr:uid="{00000000-0005-0000-0000-00003D0A0000}"/>
    <cellStyle name="Normal 3 2 3 2 9 2 4" xfId="10043" xr:uid="{00000000-0005-0000-0000-00003E0A0000}"/>
    <cellStyle name="Normal 3 2 3 2 9 3" xfId="4601" xr:uid="{00000000-0005-0000-0000-00003F0A0000}"/>
    <cellStyle name="Normal 3 2 3 2 9 3 2" xfId="19113" xr:uid="{00000000-0005-0000-0000-0000400A0000}"/>
    <cellStyle name="Normal 3 2 3 2 9 3 3" xfId="11857" xr:uid="{00000000-0005-0000-0000-0000410A0000}"/>
    <cellStyle name="Normal 3 2 3 2 9 4" xfId="15485" xr:uid="{00000000-0005-0000-0000-0000420A0000}"/>
    <cellStyle name="Normal 3 2 3 2 9 5" xfId="8229" xr:uid="{00000000-0005-0000-0000-0000430A0000}"/>
    <cellStyle name="Normal 3 2 3 3" xfId="84" xr:uid="{00000000-0005-0000-0000-0000440A0000}"/>
    <cellStyle name="Normal 3 2 3 3 10" xfId="14599" xr:uid="{00000000-0005-0000-0000-0000450A0000}"/>
    <cellStyle name="Normal 3 2 3 3 11" xfId="7343" xr:uid="{00000000-0005-0000-0000-0000460A0000}"/>
    <cellStyle name="Normal 3 2 3 3 2" xfId="172" xr:uid="{00000000-0005-0000-0000-0000470A0000}"/>
    <cellStyle name="Normal 3 2 3 3 2 2" xfId="518" xr:uid="{00000000-0005-0000-0000-0000480A0000}"/>
    <cellStyle name="Normal 3 2 3 3 2 2 2" xfId="1426" xr:uid="{00000000-0005-0000-0000-0000490A0000}"/>
    <cellStyle name="Normal 3 2 3 3 2 2 2 2" xfId="3240" xr:uid="{00000000-0005-0000-0000-00004A0A0000}"/>
    <cellStyle name="Normal 3 2 3 3 2 2 2 2 2" xfId="6868" xr:uid="{00000000-0005-0000-0000-00004B0A0000}"/>
    <cellStyle name="Normal 3 2 3 3 2 2 2 2 2 2" xfId="21380" xr:uid="{00000000-0005-0000-0000-00004C0A0000}"/>
    <cellStyle name="Normal 3 2 3 3 2 2 2 2 2 3" xfId="14124" xr:uid="{00000000-0005-0000-0000-00004D0A0000}"/>
    <cellStyle name="Normal 3 2 3 3 2 2 2 2 3" xfId="17752" xr:uid="{00000000-0005-0000-0000-00004E0A0000}"/>
    <cellStyle name="Normal 3 2 3 3 2 2 2 2 4" xfId="10496" xr:uid="{00000000-0005-0000-0000-00004F0A0000}"/>
    <cellStyle name="Normal 3 2 3 3 2 2 2 3" xfId="5054" xr:uid="{00000000-0005-0000-0000-0000500A0000}"/>
    <cellStyle name="Normal 3 2 3 3 2 2 2 3 2" xfId="19566" xr:uid="{00000000-0005-0000-0000-0000510A0000}"/>
    <cellStyle name="Normal 3 2 3 3 2 2 2 3 3" xfId="12310" xr:uid="{00000000-0005-0000-0000-0000520A0000}"/>
    <cellStyle name="Normal 3 2 3 3 2 2 2 4" xfId="15938" xr:uid="{00000000-0005-0000-0000-0000530A0000}"/>
    <cellStyle name="Normal 3 2 3 3 2 2 2 5" xfId="8682" xr:uid="{00000000-0005-0000-0000-0000540A0000}"/>
    <cellStyle name="Normal 3 2 3 3 2 2 3" xfId="2333" xr:uid="{00000000-0005-0000-0000-0000550A0000}"/>
    <cellStyle name="Normal 3 2 3 3 2 2 3 2" xfId="5961" xr:uid="{00000000-0005-0000-0000-0000560A0000}"/>
    <cellStyle name="Normal 3 2 3 3 2 2 3 2 2" xfId="20473" xr:uid="{00000000-0005-0000-0000-0000570A0000}"/>
    <cellStyle name="Normal 3 2 3 3 2 2 3 2 3" xfId="13217" xr:uid="{00000000-0005-0000-0000-0000580A0000}"/>
    <cellStyle name="Normal 3 2 3 3 2 2 3 3" xfId="16845" xr:uid="{00000000-0005-0000-0000-0000590A0000}"/>
    <cellStyle name="Normal 3 2 3 3 2 2 3 4" xfId="9589" xr:uid="{00000000-0005-0000-0000-00005A0A0000}"/>
    <cellStyle name="Normal 3 2 3 3 2 2 4" xfId="4147" xr:uid="{00000000-0005-0000-0000-00005B0A0000}"/>
    <cellStyle name="Normal 3 2 3 3 2 2 4 2" xfId="18659" xr:uid="{00000000-0005-0000-0000-00005C0A0000}"/>
    <cellStyle name="Normal 3 2 3 3 2 2 4 3" xfId="11403" xr:uid="{00000000-0005-0000-0000-00005D0A0000}"/>
    <cellStyle name="Normal 3 2 3 3 2 2 5" xfId="15031" xr:uid="{00000000-0005-0000-0000-00005E0A0000}"/>
    <cellStyle name="Normal 3 2 3 3 2 2 6" xfId="7775" xr:uid="{00000000-0005-0000-0000-00005F0A0000}"/>
    <cellStyle name="Normal 3 2 3 3 2 3" xfId="1080" xr:uid="{00000000-0005-0000-0000-0000600A0000}"/>
    <cellStyle name="Normal 3 2 3 3 2 3 2" xfId="2894" xr:uid="{00000000-0005-0000-0000-0000610A0000}"/>
    <cellStyle name="Normal 3 2 3 3 2 3 2 2" xfId="6522" xr:uid="{00000000-0005-0000-0000-0000620A0000}"/>
    <cellStyle name="Normal 3 2 3 3 2 3 2 2 2" xfId="21034" xr:uid="{00000000-0005-0000-0000-0000630A0000}"/>
    <cellStyle name="Normal 3 2 3 3 2 3 2 2 3" xfId="13778" xr:uid="{00000000-0005-0000-0000-0000640A0000}"/>
    <cellStyle name="Normal 3 2 3 3 2 3 2 3" xfId="17406" xr:uid="{00000000-0005-0000-0000-0000650A0000}"/>
    <cellStyle name="Normal 3 2 3 3 2 3 2 4" xfId="10150" xr:uid="{00000000-0005-0000-0000-0000660A0000}"/>
    <cellStyle name="Normal 3 2 3 3 2 3 3" xfId="4708" xr:uid="{00000000-0005-0000-0000-0000670A0000}"/>
    <cellStyle name="Normal 3 2 3 3 2 3 3 2" xfId="19220" xr:uid="{00000000-0005-0000-0000-0000680A0000}"/>
    <cellStyle name="Normal 3 2 3 3 2 3 3 3" xfId="11964" xr:uid="{00000000-0005-0000-0000-0000690A0000}"/>
    <cellStyle name="Normal 3 2 3 3 2 3 4" xfId="15592" xr:uid="{00000000-0005-0000-0000-00006A0A0000}"/>
    <cellStyle name="Normal 3 2 3 3 2 3 5" xfId="8336" xr:uid="{00000000-0005-0000-0000-00006B0A0000}"/>
    <cellStyle name="Normal 3 2 3 3 2 4" xfId="1987" xr:uid="{00000000-0005-0000-0000-00006C0A0000}"/>
    <cellStyle name="Normal 3 2 3 3 2 4 2" xfId="5615" xr:uid="{00000000-0005-0000-0000-00006D0A0000}"/>
    <cellStyle name="Normal 3 2 3 3 2 4 2 2" xfId="20127" xr:uid="{00000000-0005-0000-0000-00006E0A0000}"/>
    <cellStyle name="Normal 3 2 3 3 2 4 2 3" xfId="12871" xr:uid="{00000000-0005-0000-0000-00006F0A0000}"/>
    <cellStyle name="Normal 3 2 3 3 2 4 3" xfId="16499" xr:uid="{00000000-0005-0000-0000-0000700A0000}"/>
    <cellStyle name="Normal 3 2 3 3 2 4 4" xfId="9243" xr:uid="{00000000-0005-0000-0000-0000710A0000}"/>
    <cellStyle name="Normal 3 2 3 3 2 5" xfId="3801" xr:uid="{00000000-0005-0000-0000-0000720A0000}"/>
    <cellStyle name="Normal 3 2 3 3 2 5 2" xfId="18313" xr:uid="{00000000-0005-0000-0000-0000730A0000}"/>
    <cellStyle name="Normal 3 2 3 3 2 5 3" xfId="11057" xr:uid="{00000000-0005-0000-0000-0000740A0000}"/>
    <cellStyle name="Normal 3 2 3 3 2 6" xfId="14685" xr:uid="{00000000-0005-0000-0000-0000750A0000}"/>
    <cellStyle name="Normal 3 2 3 3 2 7" xfId="7429" xr:uid="{00000000-0005-0000-0000-0000760A0000}"/>
    <cellStyle name="Normal 3 2 3 3 3" xfId="302" xr:uid="{00000000-0005-0000-0000-0000770A0000}"/>
    <cellStyle name="Normal 3 2 3 3 3 2" xfId="648" xr:uid="{00000000-0005-0000-0000-0000780A0000}"/>
    <cellStyle name="Normal 3 2 3 3 3 2 2" xfId="1556" xr:uid="{00000000-0005-0000-0000-0000790A0000}"/>
    <cellStyle name="Normal 3 2 3 3 3 2 2 2" xfId="3370" xr:uid="{00000000-0005-0000-0000-00007A0A0000}"/>
    <cellStyle name="Normal 3 2 3 3 3 2 2 2 2" xfId="6998" xr:uid="{00000000-0005-0000-0000-00007B0A0000}"/>
    <cellStyle name="Normal 3 2 3 3 3 2 2 2 2 2" xfId="21510" xr:uid="{00000000-0005-0000-0000-00007C0A0000}"/>
    <cellStyle name="Normal 3 2 3 3 3 2 2 2 2 3" xfId="14254" xr:uid="{00000000-0005-0000-0000-00007D0A0000}"/>
    <cellStyle name="Normal 3 2 3 3 3 2 2 2 3" xfId="17882" xr:uid="{00000000-0005-0000-0000-00007E0A0000}"/>
    <cellStyle name="Normal 3 2 3 3 3 2 2 2 4" xfId="10626" xr:uid="{00000000-0005-0000-0000-00007F0A0000}"/>
    <cellStyle name="Normal 3 2 3 3 3 2 2 3" xfId="5184" xr:uid="{00000000-0005-0000-0000-0000800A0000}"/>
    <cellStyle name="Normal 3 2 3 3 3 2 2 3 2" xfId="19696" xr:uid="{00000000-0005-0000-0000-0000810A0000}"/>
    <cellStyle name="Normal 3 2 3 3 3 2 2 3 3" xfId="12440" xr:uid="{00000000-0005-0000-0000-0000820A0000}"/>
    <cellStyle name="Normal 3 2 3 3 3 2 2 4" xfId="16068" xr:uid="{00000000-0005-0000-0000-0000830A0000}"/>
    <cellStyle name="Normal 3 2 3 3 3 2 2 5" xfId="8812" xr:uid="{00000000-0005-0000-0000-0000840A0000}"/>
    <cellStyle name="Normal 3 2 3 3 3 2 3" xfId="2463" xr:uid="{00000000-0005-0000-0000-0000850A0000}"/>
    <cellStyle name="Normal 3 2 3 3 3 2 3 2" xfId="6091" xr:uid="{00000000-0005-0000-0000-0000860A0000}"/>
    <cellStyle name="Normal 3 2 3 3 3 2 3 2 2" xfId="20603" xr:uid="{00000000-0005-0000-0000-0000870A0000}"/>
    <cellStyle name="Normal 3 2 3 3 3 2 3 2 3" xfId="13347" xr:uid="{00000000-0005-0000-0000-0000880A0000}"/>
    <cellStyle name="Normal 3 2 3 3 3 2 3 3" xfId="16975" xr:uid="{00000000-0005-0000-0000-0000890A0000}"/>
    <cellStyle name="Normal 3 2 3 3 3 2 3 4" xfId="9719" xr:uid="{00000000-0005-0000-0000-00008A0A0000}"/>
    <cellStyle name="Normal 3 2 3 3 3 2 4" xfId="4277" xr:uid="{00000000-0005-0000-0000-00008B0A0000}"/>
    <cellStyle name="Normal 3 2 3 3 3 2 4 2" xfId="18789" xr:uid="{00000000-0005-0000-0000-00008C0A0000}"/>
    <cellStyle name="Normal 3 2 3 3 3 2 4 3" xfId="11533" xr:uid="{00000000-0005-0000-0000-00008D0A0000}"/>
    <cellStyle name="Normal 3 2 3 3 3 2 5" xfId="15161" xr:uid="{00000000-0005-0000-0000-00008E0A0000}"/>
    <cellStyle name="Normal 3 2 3 3 3 2 6" xfId="7905" xr:uid="{00000000-0005-0000-0000-00008F0A0000}"/>
    <cellStyle name="Normal 3 2 3 3 3 3" xfId="1210" xr:uid="{00000000-0005-0000-0000-0000900A0000}"/>
    <cellStyle name="Normal 3 2 3 3 3 3 2" xfId="3024" xr:uid="{00000000-0005-0000-0000-0000910A0000}"/>
    <cellStyle name="Normal 3 2 3 3 3 3 2 2" xfId="6652" xr:uid="{00000000-0005-0000-0000-0000920A0000}"/>
    <cellStyle name="Normal 3 2 3 3 3 3 2 2 2" xfId="21164" xr:uid="{00000000-0005-0000-0000-0000930A0000}"/>
    <cellStyle name="Normal 3 2 3 3 3 3 2 2 3" xfId="13908" xr:uid="{00000000-0005-0000-0000-0000940A0000}"/>
    <cellStyle name="Normal 3 2 3 3 3 3 2 3" xfId="17536" xr:uid="{00000000-0005-0000-0000-0000950A0000}"/>
    <cellStyle name="Normal 3 2 3 3 3 3 2 4" xfId="10280" xr:uid="{00000000-0005-0000-0000-0000960A0000}"/>
    <cellStyle name="Normal 3 2 3 3 3 3 3" xfId="4838" xr:uid="{00000000-0005-0000-0000-0000970A0000}"/>
    <cellStyle name="Normal 3 2 3 3 3 3 3 2" xfId="19350" xr:uid="{00000000-0005-0000-0000-0000980A0000}"/>
    <cellStyle name="Normal 3 2 3 3 3 3 3 3" xfId="12094" xr:uid="{00000000-0005-0000-0000-0000990A0000}"/>
    <cellStyle name="Normal 3 2 3 3 3 3 4" xfId="15722" xr:uid="{00000000-0005-0000-0000-00009A0A0000}"/>
    <cellStyle name="Normal 3 2 3 3 3 3 5" xfId="8466" xr:uid="{00000000-0005-0000-0000-00009B0A0000}"/>
    <cellStyle name="Normal 3 2 3 3 3 4" xfId="2117" xr:uid="{00000000-0005-0000-0000-00009C0A0000}"/>
    <cellStyle name="Normal 3 2 3 3 3 4 2" xfId="5745" xr:uid="{00000000-0005-0000-0000-00009D0A0000}"/>
    <cellStyle name="Normal 3 2 3 3 3 4 2 2" xfId="20257" xr:uid="{00000000-0005-0000-0000-00009E0A0000}"/>
    <cellStyle name="Normal 3 2 3 3 3 4 2 3" xfId="13001" xr:uid="{00000000-0005-0000-0000-00009F0A0000}"/>
    <cellStyle name="Normal 3 2 3 3 3 4 3" xfId="16629" xr:uid="{00000000-0005-0000-0000-0000A00A0000}"/>
    <cellStyle name="Normal 3 2 3 3 3 4 4" xfId="9373" xr:uid="{00000000-0005-0000-0000-0000A10A0000}"/>
    <cellStyle name="Normal 3 2 3 3 3 5" xfId="3931" xr:uid="{00000000-0005-0000-0000-0000A20A0000}"/>
    <cellStyle name="Normal 3 2 3 3 3 5 2" xfId="18443" xr:uid="{00000000-0005-0000-0000-0000A30A0000}"/>
    <cellStyle name="Normal 3 2 3 3 3 5 3" xfId="11187" xr:uid="{00000000-0005-0000-0000-0000A40A0000}"/>
    <cellStyle name="Normal 3 2 3 3 3 6" xfId="14815" xr:uid="{00000000-0005-0000-0000-0000A50A0000}"/>
    <cellStyle name="Normal 3 2 3 3 3 7" xfId="7559" xr:uid="{00000000-0005-0000-0000-0000A60A0000}"/>
    <cellStyle name="Normal 3 2 3 3 4" xfId="778" xr:uid="{00000000-0005-0000-0000-0000A70A0000}"/>
    <cellStyle name="Normal 3 2 3 3 4 2" xfId="1686" xr:uid="{00000000-0005-0000-0000-0000A80A0000}"/>
    <cellStyle name="Normal 3 2 3 3 4 2 2" xfId="3500" xr:uid="{00000000-0005-0000-0000-0000A90A0000}"/>
    <cellStyle name="Normal 3 2 3 3 4 2 2 2" xfId="7128" xr:uid="{00000000-0005-0000-0000-0000AA0A0000}"/>
    <cellStyle name="Normal 3 2 3 3 4 2 2 2 2" xfId="21640" xr:uid="{00000000-0005-0000-0000-0000AB0A0000}"/>
    <cellStyle name="Normal 3 2 3 3 4 2 2 2 3" xfId="14384" xr:uid="{00000000-0005-0000-0000-0000AC0A0000}"/>
    <cellStyle name="Normal 3 2 3 3 4 2 2 3" xfId="18012" xr:uid="{00000000-0005-0000-0000-0000AD0A0000}"/>
    <cellStyle name="Normal 3 2 3 3 4 2 2 4" xfId="10756" xr:uid="{00000000-0005-0000-0000-0000AE0A0000}"/>
    <cellStyle name="Normal 3 2 3 3 4 2 3" xfId="5314" xr:uid="{00000000-0005-0000-0000-0000AF0A0000}"/>
    <cellStyle name="Normal 3 2 3 3 4 2 3 2" xfId="19826" xr:uid="{00000000-0005-0000-0000-0000B00A0000}"/>
    <cellStyle name="Normal 3 2 3 3 4 2 3 3" xfId="12570" xr:uid="{00000000-0005-0000-0000-0000B10A0000}"/>
    <cellStyle name="Normal 3 2 3 3 4 2 4" xfId="16198" xr:uid="{00000000-0005-0000-0000-0000B20A0000}"/>
    <cellStyle name="Normal 3 2 3 3 4 2 5" xfId="8942" xr:uid="{00000000-0005-0000-0000-0000B30A0000}"/>
    <cellStyle name="Normal 3 2 3 3 4 3" xfId="2593" xr:uid="{00000000-0005-0000-0000-0000B40A0000}"/>
    <cellStyle name="Normal 3 2 3 3 4 3 2" xfId="6221" xr:uid="{00000000-0005-0000-0000-0000B50A0000}"/>
    <cellStyle name="Normal 3 2 3 3 4 3 2 2" xfId="20733" xr:uid="{00000000-0005-0000-0000-0000B60A0000}"/>
    <cellStyle name="Normal 3 2 3 3 4 3 2 3" xfId="13477" xr:uid="{00000000-0005-0000-0000-0000B70A0000}"/>
    <cellStyle name="Normal 3 2 3 3 4 3 3" xfId="17105" xr:uid="{00000000-0005-0000-0000-0000B80A0000}"/>
    <cellStyle name="Normal 3 2 3 3 4 3 4" xfId="9849" xr:uid="{00000000-0005-0000-0000-0000B90A0000}"/>
    <cellStyle name="Normal 3 2 3 3 4 4" xfId="4407" xr:uid="{00000000-0005-0000-0000-0000BA0A0000}"/>
    <cellStyle name="Normal 3 2 3 3 4 4 2" xfId="18919" xr:uid="{00000000-0005-0000-0000-0000BB0A0000}"/>
    <cellStyle name="Normal 3 2 3 3 4 4 3" xfId="11663" xr:uid="{00000000-0005-0000-0000-0000BC0A0000}"/>
    <cellStyle name="Normal 3 2 3 3 4 5" xfId="15291" xr:uid="{00000000-0005-0000-0000-0000BD0A0000}"/>
    <cellStyle name="Normal 3 2 3 3 4 6" xfId="8035" xr:uid="{00000000-0005-0000-0000-0000BE0A0000}"/>
    <cellStyle name="Normal 3 2 3 3 5" xfId="432" xr:uid="{00000000-0005-0000-0000-0000BF0A0000}"/>
    <cellStyle name="Normal 3 2 3 3 5 2" xfId="1340" xr:uid="{00000000-0005-0000-0000-0000C00A0000}"/>
    <cellStyle name="Normal 3 2 3 3 5 2 2" xfId="3154" xr:uid="{00000000-0005-0000-0000-0000C10A0000}"/>
    <cellStyle name="Normal 3 2 3 3 5 2 2 2" xfId="6782" xr:uid="{00000000-0005-0000-0000-0000C20A0000}"/>
    <cellStyle name="Normal 3 2 3 3 5 2 2 2 2" xfId="21294" xr:uid="{00000000-0005-0000-0000-0000C30A0000}"/>
    <cellStyle name="Normal 3 2 3 3 5 2 2 2 3" xfId="14038" xr:uid="{00000000-0005-0000-0000-0000C40A0000}"/>
    <cellStyle name="Normal 3 2 3 3 5 2 2 3" xfId="17666" xr:uid="{00000000-0005-0000-0000-0000C50A0000}"/>
    <cellStyle name="Normal 3 2 3 3 5 2 2 4" xfId="10410" xr:uid="{00000000-0005-0000-0000-0000C60A0000}"/>
    <cellStyle name="Normal 3 2 3 3 5 2 3" xfId="4968" xr:uid="{00000000-0005-0000-0000-0000C70A0000}"/>
    <cellStyle name="Normal 3 2 3 3 5 2 3 2" xfId="19480" xr:uid="{00000000-0005-0000-0000-0000C80A0000}"/>
    <cellStyle name="Normal 3 2 3 3 5 2 3 3" xfId="12224" xr:uid="{00000000-0005-0000-0000-0000C90A0000}"/>
    <cellStyle name="Normal 3 2 3 3 5 2 4" xfId="15852" xr:uid="{00000000-0005-0000-0000-0000CA0A0000}"/>
    <cellStyle name="Normal 3 2 3 3 5 2 5" xfId="8596" xr:uid="{00000000-0005-0000-0000-0000CB0A0000}"/>
    <cellStyle name="Normal 3 2 3 3 5 3" xfId="2247" xr:uid="{00000000-0005-0000-0000-0000CC0A0000}"/>
    <cellStyle name="Normal 3 2 3 3 5 3 2" xfId="5875" xr:uid="{00000000-0005-0000-0000-0000CD0A0000}"/>
    <cellStyle name="Normal 3 2 3 3 5 3 2 2" xfId="20387" xr:uid="{00000000-0005-0000-0000-0000CE0A0000}"/>
    <cellStyle name="Normal 3 2 3 3 5 3 2 3" xfId="13131" xr:uid="{00000000-0005-0000-0000-0000CF0A0000}"/>
    <cellStyle name="Normal 3 2 3 3 5 3 3" xfId="16759" xr:uid="{00000000-0005-0000-0000-0000D00A0000}"/>
    <cellStyle name="Normal 3 2 3 3 5 3 4" xfId="9503" xr:uid="{00000000-0005-0000-0000-0000D10A0000}"/>
    <cellStyle name="Normal 3 2 3 3 5 4" xfId="4061" xr:uid="{00000000-0005-0000-0000-0000D20A0000}"/>
    <cellStyle name="Normal 3 2 3 3 5 4 2" xfId="18573" xr:uid="{00000000-0005-0000-0000-0000D30A0000}"/>
    <cellStyle name="Normal 3 2 3 3 5 4 3" xfId="11317" xr:uid="{00000000-0005-0000-0000-0000D40A0000}"/>
    <cellStyle name="Normal 3 2 3 3 5 5" xfId="14945" xr:uid="{00000000-0005-0000-0000-0000D50A0000}"/>
    <cellStyle name="Normal 3 2 3 3 5 6" xfId="7689" xr:uid="{00000000-0005-0000-0000-0000D60A0000}"/>
    <cellStyle name="Normal 3 2 3 3 6" xfId="910" xr:uid="{00000000-0005-0000-0000-0000D70A0000}"/>
    <cellStyle name="Normal 3 2 3 3 6 2" xfId="1817" xr:uid="{00000000-0005-0000-0000-0000D80A0000}"/>
    <cellStyle name="Normal 3 2 3 3 6 2 2" xfId="3631" xr:uid="{00000000-0005-0000-0000-0000D90A0000}"/>
    <cellStyle name="Normal 3 2 3 3 6 2 2 2" xfId="7259" xr:uid="{00000000-0005-0000-0000-0000DA0A0000}"/>
    <cellStyle name="Normal 3 2 3 3 6 2 2 2 2" xfId="21771" xr:uid="{00000000-0005-0000-0000-0000DB0A0000}"/>
    <cellStyle name="Normal 3 2 3 3 6 2 2 2 3" xfId="14515" xr:uid="{00000000-0005-0000-0000-0000DC0A0000}"/>
    <cellStyle name="Normal 3 2 3 3 6 2 2 3" xfId="18143" xr:uid="{00000000-0005-0000-0000-0000DD0A0000}"/>
    <cellStyle name="Normal 3 2 3 3 6 2 2 4" xfId="10887" xr:uid="{00000000-0005-0000-0000-0000DE0A0000}"/>
    <cellStyle name="Normal 3 2 3 3 6 2 3" xfId="5445" xr:uid="{00000000-0005-0000-0000-0000DF0A0000}"/>
    <cellStyle name="Normal 3 2 3 3 6 2 3 2" xfId="19957" xr:uid="{00000000-0005-0000-0000-0000E00A0000}"/>
    <cellStyle name="Normal 3 2 3 3 6 2 3 3" xfId="12701" xr:uid="{00000000-0005-0000-0000-0000E10A0000}"/>
    <cellStyle name="Normal 3 2 3 3 6 2 4" xfId="16329" xr:uid="{00000000-0005-0000-0000-0000E20A0000}"/>
    <cellStyle name="Normal 3 2 3 3 6 2 5" xfId="9073" xr:uid="{00000000-0005-0000-0000-0000E30A0000}"/>
    <cellStyle name="Normal 3 2 3 3 6 3" xfId="2724" xr:uid="{00000000-0005-0000-0000-0000E40A0000}"/>
    <cellStyle name="Normal 3 2 3 3 6 3 2" xfId="6352" xr:uid="{00000000-0005-0000-0000-0000E50A0000}"/>
    <cellStyle name="Normal 3 2 3 3 6 3 2 2" xfId="20864" xr:uid="{00000000-0005-0000-0000-0000E60A0000}"/>
    <cellStyle name="Normal 3 2 3 3 6 3 2 3" xfId="13608" xr:uid="{00000000-0005-0000-0000-0000E70A0000}"/>
    <cellStyle name="Normal 3 2 3 3 6 3 3" xfId="17236" xr:uid="{00000000-0005-0000-0000-0000E80A0000}"/>
    <cellStyle name="Normal 3 2 3 3 6 3 4" xfId="9980" xr:uid="{00000000-0005-0000-0000-0000E90A0000}"/>
    <cellStyle name="Normal 3 2 3 3 6 4" xfId="4538" xr:uid="{00000000-0005-0000-0000-0000EA0A0000}"/>
    <cellStyle name="Normal 3 2 3 3 6 4 2" xfId="19050" xr:uid="{00000000-0005-0000-0000-0000EB0A0000}"/>
    <cellStyle name="Normal 3 2 3 3 6 4 3" xfId="11794" xr:uid="{00000000-0005-0000-0000-0000EC0A0000}"/>
    <cellStyle name="Normal 3 2 3 3 6 5" xfId="15422" xr:uid="{00000000-0005-0000-0000-0000ED0A0000}"/>
    <cellStyle name="Normal 3 2 3 3 6 6" xfId="8166" xr:uid="{00000000-0005-0000-0000-0000EE0A0000}"/>
    <cellStyle name="Normal 3 2 3 3 7" xfId="994" xr:uid="{00000000-0005-0000-0000-0000EF0A0000}"/>
    <cellStyle name="Normal 3 2 3 3 7 2" xfId="2808" xr:uid="{00000000-0005-0000-0000-0000F00A0000}"/>
    <cellStyle name="Normal 3 2 3 3 7 2 2" xfId="6436" xr:uid="{00000000-0005-0000-0000-0000F10A0000}"/>
    <cellStyle name="Normal 3 2 3 3 7 2 2 2" xfId="20948" xr:uid="{00000000-0005-0000-0000-0000F20A0000}"/>
    <cellStyle name="Normal 3 2 3 3 7 2 2 3" xfId="13692" xr:uid="{00000000-0005-0000-0000-0000F30A0000}"/>
    <cellStyle name="Normal 3 2 3 3 7 2 3" xfId="17320" xr:uid="{00000000-0005-0000-0000-0000F40A0000}"/>
    <cellStyle name="Normal 3 2 3 3 7 2 4" xfId="10064" xr:uid="{00000000-0005-0000-0000-0000F50A0000}"/>
    <cellStyle name="Normal 3 2 3 3 7 3" xfId="4622" xr:uid="{00000000-0005-0000-0000-0000F60A0000}"/>
    <cellStyle name="Normal 3 2 3 3 7 3 2" xfId="19134" xr:uid="{00000000-0005-0000-0000-0000F70A0000}"/>
    <cellStyle name="Normal 3 2 3 3 7 3 3" xfId="11878" xr:uid="{00000000-0005-0000-0000-0000F80A0000}"/>
    <cellStyle name="Normal 3 2 3 3 7 4" xfId="15506" xr:uid="{00000000-0005-0000-0000-0000F90A0000}"/>
    <cellStyle name="Normal 3 2 3 3 7 5" xfId="8250" xr:uid="{00000000-0005-0000-0000-0000FA0A0000}"/>
    <cellStyle name="Normal 3 2 3 3 8" xfId="1901" xr:uid="{00000000-0005-0000-0000-0000FB0A0000}"/>
    <cellStyle name="Normal 3 2 3 3 8 2" xfId="5529" xr:uid="{00000000-0005-0000-0000-0000FC0A0000}"/>
    <cellStyle name="Normal 3 2 3 3 8 2 2" xfId="20041" xr:uid="{00000000-0005-0000-0000-0000FD0A0000}"/>
    <cellStyle name="Normal 3 2 3 3 8 2 3" xfId="12785" xr:uid="{00000000-0005-0000-0000-0000FE0A0000}"/>
    <cellStyle name="Normal 3 2 3 3 8 3" xfId="16413" xr:uid="{00000000-0005-0000-0000-0000FF0A0000}"/>
    <cellStyle name="Normal 3 2 3 3 8 4" xfId="9157" xr:uid="{00000000-0005-0000-0000-0000000B0000}"/>
    <cellStyle name="Normal 3 2 3 3 9" xfId="3715" xr:uid="{00000000-0005-0000-0000-0000010B0000}"/>
    <cellStyle name="Normal 3 2 3 3 9 2" xfId="18227" xr:uid="{00000000-0005-0000-0000-0000020B0000}"/>
    <cellStyle name="Normal 3 2 3 3 9 3" xfId="10971" xr:uid="{00000000-0005-0000-0000-0000030B0000}"/>
    <cellStyle name="Normal 3 2 3 4" xfId="216" xr:uid="{00000000-0005-0000-0000-0000040B0000}"/>
    <cellStyle name="Normal 3 2 3 4 2" xfId="346" xr:uid="{00000000-0005-0000-0000-0000050B0000}"/>
    <cellStyle name="Normal 3 2 3 4 2 2" xfId="692" xr:uid="{00000000-0005-0000-0000-0000060B0000}"/>
    <cellStyle name="Normal 3 2 3 4 2 2 2" xfId="1600" xr:uid="{00000000-0005-0000-0000-0000070B0000}"/>
    <cellStyle name="Normal 3 2 3 4 2 2 2 2" xfId="3414" xr:uid="{00000000-0005-0000-0000-0000080B0000}"/>
    <cellStyle name="Normal 3 2 3 4 2 2 2 2 2" xfId="7042" xr:uid="{00000000-0005-0000-0000-0000090B0000}"/>
    <cellStyle name="Normal 3 2 3 4 2 2 2 2 2 2" xfId="21554" xr:uid="{00000000-0005-0000-0000-00000A0B0000}"/>
    <cellStyle name="Normal 3 2 3 4 2 2 2 2 2 3" xfId="14298" xr:uid="{00000000-0005-0000-0000-00000B0B0000}"/>
    <cellStyle name="Normal 3 2 3 4 2 2 2 2 3" xfId="17926" xr:uid="{00000000-0005-0000-0000-00000C0B0000}"/>
    <cellStyle name="Normal 3 2 3 4 2 2 2 2 4" xfId="10670" xr:uid="{00000000-0005-0000-0000-00000D0B0000}"/>
    <cellStyle name="Normal 3 2 3 4 2 2 2 3" xfId="5228" xr:uid="{00000000-0005-0000-0000-00000E0B0000}"/>
    <cellStyle name="Normal 3 2 3 4 2 2 2 3 2" xfId="19740" xr:uid="{00000000-0005-0000-0000-00000F0B0000}"/>
    <cellStyle name="Normal 3 2 3 4 2 2 2 3 3" xfId="12484" xr:uid="{00000000-0005-0000-0000-0000100B0000}"/>
    <cellStyle name="Normal 3 2 3 4 2 2 2 4" xfId="16112" xr:uid="{00000000-0005-0000-0000-0000110B0000}"/>
    <cellStyle name="Normal 3 2 3 4 2 2 2 5" xfId="8856" xr:uid="{00000000-0005-0000-0000-0000120B0000}"/>
    <cellStyle name="Normal 3 2 3 4 2 2 3" xfId="2507" xr:uid="{00000000-0005-0000-0000-0000130B0000}"/>
    <cellStyle name="Normal 3 2 3 4 2 2 3 2" xfId="6135" xr:uid="{00000000-0005-0000-0000-0000140B0000}"/>
    <cellStyle name="Normal 3 2 3 4 2 2 3 2 2" xfId="20647" xr:uid="{00000000-0005-0000-0000-0000150B0000}"/>
    <cellStyle name="Normal 3 2 3 4 2 2 3 2 3" xfId="13391" xr:uid="{00000000-0005-0000-0000-0000160B0000}"/>
    <cellStyle name="Normal 3 2 3 4 2 2 3 3" xfId="17019" xr:uid="{00000000-0005-0000-0000-0000170B0000}"/>
    <cellStyle name="Normal 3 2 3 4 2 2 3 4" xfId="9763" xr:uid="{00000000-0005-0000-0000-0000180B0000}"/>
    <cellStyle name="Normal 3 2 3 4 2 2 4" xfId="4321" xr:uid="{00000000-0005-0000-0000-0000190B0000}"/>
    <cellStyle name="Normal 3 2 3 4 2 2 4 2" xfId="18833" xr:uid="{00000000-0005-0000-0000-00001A0B0000}"/>
    <cellStyle name="Normal 3 2 3 4 2 2 4 3" xfId="11577" xr:uid="{00000000-0005-0000-0000-00001B0B0000}"/>
    <cellStyle name="Normal 3 2 3 4 2 2 5" xfId="15205" xr:uid="{00000000-0005-0000-0000-00001C0B0000}"/>
    <cellStyle name="Normal 3 2 3 4 2 2 6" xfId="7949" xr:uid="{00000000-0005-0000-0000-00001D0B0000}"/>
    <cellStyle name="Normal 3 2 3 4 2 3" xfId="1254" xr:uid="{00000000-0005-0000-0000-00001E0B0000}"/>
    <cellStyle name="Normal 3 2 3 4 2 3 2" xfId="3068" xr:uid="{00000000-0005-0000-0000-00001F0B0000}"/>
    <cellStyle name="Normal 3 2 3 4 2 3 2 2" xfId="6696" xr:uid="{00000000-0005-0000-0000-0000200B0000}"/>
    <cellStyle name="Normal 3 2 3 4 2 3 2 2 2" xfId="21208" xr:uid="{00000000-0005-0000-0000-0000210B0000}"/>
    <cellStyle name="Normal 3 2 3 4 2 3 2 2 3" xfId="13952" xr:uid="{00000000-0005-0000-0000-0000220B0000}"/>
    <cellStyle name="Normal 3 2 3 4 2 3 2 3" xfId="17580" xr:uid="{00000000-0005-0000-0000-0000230B0000}"/>
    <cellStyle name="Normal 3 2 3 4 2 3 2 4" xfId="10324" xr:uid="{00000000-0005-0000-0000-0000240B0000}"/>
    <cellStyle name="Normal 3 2 3 4 2 3 3" xfId="4882" xr:uid="{00000000-0005-0000-0000-0000250B0000}"/>
    <cellStyle name="Normal 3 2 3 4 2 3 3 2" xfId="19394" xr:uid="{00000000-0005-0000-0000-0000260B0000}"/>
    <cellStyle name="Normal 3 2 3 4 2 3 3 3" xfId="12138" xr:uid="{00000000-0005-0000-0000-0000270B0000}"/>
    <cellStyle name="Normal 3 2 3 4 2 3 4" xfId="15766" xr:uid="{00000000-0005-0000-0000-0000280B0000}"/>
    <cellStyle name="Normal 3 2 3 4 2 3 5" xfId="8510" xr:uid="{00000000-0005-0000-0000-0000290B0000}"/>
    <cellStyle name="Normal 3 2 3 4 2 4" xfId="2161" xr:uid="{00000000-0005-0000-0000-00002A0B0000}"/>
    <cellStyle name="Normal 3 2 3 4 2 4 2" xfId="5789" xr:uid="{00000000-0005-0000-0000-00002B0B0000}"/>
    <cellStyle name="Normal 3 2 3 4 2 4 2 2" xfId="20301" xr:uid="{00000000-0005-0000-0000-00002C0B0000}"/>
    <cellStyle name="Normal 3 2 3 4 2 4 2 3" xfId="13045" xr:uid="{00000000-0005-0000-0000-00002D0B0000}"/>
    <cellStyle name="Normal 3 2 3 4 2 4 3" xfId="16673" xr:uid="{00000000-0005-0000-0000-00002E0B0000}"/>
    <cellStyle name="Normal 3 2 3 4 2 4 4" xfId="9417" xr:uid="{00000000-0005-0000-0000-00002F0B0000}"/>
    <cellStyle name="Normal 3 2 3 4 2 5" xfId="3975" xr:uid="{00000000-0005-0000-0000-0000300B0000}"/>
    <cellStyle name="Normal 3 2 3 4 2 5 2" xfId="18487" xr:uid="{00000000-0005-0000-0000-0000310B0000}"/>
    <cellStyle name="Normal 3 2 3 4 2 5 3" xfId="11231" xr:uid="{00000000-0005-0000-0000-0000320B0000}"/>
    <cellStyle name="Normal 3 2 3 4 2 6" xfId="14859" xr:uid="{00000000-0005-0000-0000-0000330B0000}"/>
    <cellStyle name="Normal 3 2 3 4 2 7" xfId="7603" xr:uid="{00000000-0005-0000-0000-0000340B0000}"/>
    <cellStyle name="Normal 3 2 3 4 3" xfId="822" xr:uid="{00000000-0005-0000-0000-0000350B0000}"/>
    <cellStyle name="Normal 3 2 3 4 3 2" xfId="1730" xr:uid="{00000000-0005-0000-0000-0000360B0000}"/>
    <cellStyle name="Normal 3 2 3 4 3 2 2" xfId="3544" xr:uid="{00000000-0005-0000-0000-0000370B0000}"/>
    <cellStyle name="Normal 3 2 3 4 3 2 2 2" xfId="7172" xr:uid="{00000000-0005-0000-0000-0000380B0000}"/>
    <cellStyle name="Normal 3 2 3 4 3 2 2 2 2" xfId="21684" xr:uid="{00000000-0005-0000-0000-0000390B0000}"/>
    <cellStyle name="Normal 3 2 3 4 3 2 2 2 3" xfId="14428" xr:uid="{00000000-0005-0000-0000-00003A0B0000}"/>
    <cellStyle name="Normal 3 2 3 4 3 2 2 3" xfId="18056" xr:uid="{00000000-0005-0000-0000-00003B0B0000}"/>
    <cellStyle name="Normal 3 2 3 4 3 2 2 4" xfId="10800" xr:uid="{00000000-0005-0000-0000-00003C0B0000}"/>
    <cellStyle name="Normal 3 2 3 4 3 2 3" xfId="5358" xr:uid="{00000000-0005-0000-0000-00003D0B0000}"/>
    <cellStyle name="Normal 3 2 3 4 3 2 3 2" xfId="19870" xr:uid="{00000000-0005-0000-0000-00003E0B0000}"/>
    <cellStyle name="Normal 3 2 3 4 3 2 3 3" xfId="12614" xr:uid="{00000000-0005-0000-0000-00003F0B0000}"/>
    <cellStyle name="Normal 3 2 3 4 3 2 4" xfId="16242" xr:uid="{00000000-0005-0000-0000-0000400B0000}"/>
    <cellStyle name="Normal 3 2 3 4 3 2 5" xfId="8986" xr:uid="{00000000-0005-0000-0000-0000410B0000}"/>
    <cellStyle name="Normal 3 2 3 4 3 3" xfId="2637" xr:uid="{00000000-0005-0000-0000-0000420B0000}"/>
    <cellStyle name="Normal 3 2 3 4 3 3 2" xfId="6265" xr:uid="{00000000-0005-0000-0000-0000430B0000}"/>
    <cellStyle name="Normal 3 2 3 4 3 3 2 2" xfId="20777" xr:uid="{00000000-0005-0000-0000-0000440B0000}"/>
    <cellStyle name="Normal 3 2 3 4 3 3 2 3" xfId="13521" xr:uid="{00000000-0005-0000-0000-0000450B0000}"/>
    <cellStyle name="Normal 3 2 3 4 3 3 3" xfId="17149" xr:uid="{00000000-0005-0000-0000-0000460B0000}"/>
    <cellStyle name="Normal 3 2 3 4 3 3 4" xfId="9893" xr:uid="{00000000-0005-0000-0000-0000470B0000}"/>
    <cellStyle name="Normal 3 2 3 4 3 4" xfId="4451" xr:uid="{00000000-0005-0000-0000-0000480B0000}"/>
    <cellStyle name="Normal 3 2 3 4 3 4 2" xfId="18963" xr:uid="{00000000-0005-0000-0000-0000490B0000}"/>
    <cellStyle name="Normal 3 2 3 4 3 4 3" xfId="11707" xr:uid="{00000000-0005-0000-0000-00004A0B0000}"/>
    <cellStyle name="Normal 3 2 3 4 3 5" xfId="15335" xr:uid="{00000000-0005-0000-0000-00004B0B0000}"/>
    <cellStyle name="Normal 3 2 3 4 3 6" xfId="8079" xr:uid="{00000000-0005-0000-0000-00004C0B0000}"/>
    <cellStyle name="Normal 3 2 3 4 4" xfId="562" xr:uid="{00000000-0005-0000-0000-00004D0B0000}"/>
    <cellStyle name="Normal 3 2 3 4 4 2" xfId="1470" xr:uid="{00000000-0005-0000-0000-00004E0B0000}"/>
    <cellStyle name="Normal 3 2 3 4 4 2 2" xfId="3284" xr:uid="{00000000-0005-0000-0000-00004F0B0000}"/>
    <cellStyle name="Normal 3 2 3 4 4 2 2 2" xfId="6912" xr:uid="{00000000-0005-0000-0000-0000500B0000}"/>
    <cellStyle name="Normal 3 2 3 4 4 2 2 2 2" xfId="21424" xr:uid="{00000000-0005-0000-0000-0000510B0000}"/>
    <cellStyle name="Normal 3 2 3 4 4 2 2 2 3" xfId="14168" xr:uid="{00000000-0005-0000-0000-0000520B0000}"/>
    <cellStyle name="Normal 3 2 3 4 4 2 2 3" xfId="17796" xr:uid="{00000000-0005-0000-0000-0000530B0000}"/>
    <cellStyle name="Normal 3 2 3 4 4 2 2 4" xfId="10540" xr:uid="{00000000-0005-0000-0000-0000540B0000}"/>
    <cellStyle name="Normal 3 2 3 4 4 2 3" xfId="5098" xr:uid="{00000000-0005-0000-0000-0000550B0000}"/>
    <cellStyle name="Normal 3 2 3 4 4 2 3 2" xfId="19610" xr:uid="{00000000-0005-0000-0000-0000560B0000}"/>
    <cellStyle name="Normal 3 2 3 4 4 2 3 3" xfId="12354" xr:uid="{00000000-0005-0000-0000-0000570B0000}"/>
    <cellStyle name="Normal 3 2 3 4 4 2 4" xfId="15982" xr:uid="{00000000-0005-0000-0000-0000580B0000}"/>
    <cellStyle name="Normal 3 2 3 4 4 2 5" xfId="8726" xr:uid="{00000000-0005-0000-0000-0000590B0000}"/>
    <cellStyle name="Normal 3 2 3 4 4 3" xfId="2377" xr:uid="{00000000-0005-0000-0000-00005A0B0000}"/>
    <cellStyle name="Normal 3 2 3 4 4 3 2" xfId="6005" xr:uid="{00000000-0005-0000-0000-00005B0B0000}"/>
    <cellStyle name="Normal 3 2 3 4 4 3 2 2" xfId="20517" xr:uid="{00000000-0005-0000-0000-00005C0B0000}"/>
    <cellStyle name="Normal 3 2 3 4 4 3 2 3" xfId="13261" xr:uid="{00000000-0005-0000-0000-00005D0B0000}"/>
    <cellStyle name="Normal 3 2 3 4 4 3 3" xfId="16889" xr:uid="{00000000-0005-0000-0000-00005E0B0000}"/>
    <cellStyle name="Normal 3 2 3 4 4 3 4" xfId="9633" xr:uid="{00000000-0005-0000-0000-00005F0B0000}"/>
    <cellStyle name="Normal 3 2 3 4 4 4" xfId="4191" xr:uid="{00000000-0005-0000-0000-0000600B0000}"/>
    <cellStyle name="Normal 3 2 3 4 4 4 2" xfId="18703" xr:uid="{00000000-0005-0000-0000-0000610B0000}"/>
    <cellStyle name="Normal 3 2 3 4 4 4 3" xfId="11447" xr:uid="{00000000-0005-0000-0000-0000620B0000}"/>
    <cellStyle name="Normal 3 2 3 4 4 5" xfId="15075" xr:uid="{00000000-0005-0000-0000-0000630B0000}"/>
    <cellStyle name="Normal 3 2 3 4 4 6" xfId="7819" xr:uid="{00000000-0005-0000-0000-0000640B0000}"/>
    <cellStyle name="Normal 3 2 3 4 5" xfId="1124" xr:uid="{00000000-0005-0000-0000-0000650B0000}"/>
    <cellStyle name="Normal 3 2 3 4 5 2" xfId="2938" xr:uid="{00000000-0005-0000-0000-0000660B0000}"/>
    <cellStyle name="Normal 3 2 3 4 5 2 2" xfId="6566" xr:uid="{00000000-0005-0000-0000-0000670B0000}"/>
    <cellStyle name="Normal 3 2 3 4 5 2 2 2" xfId="21078" xr:uid="{00000000-0005-0000-0000-0000680B0000}"/>
    <cellStyle name="Normal 3 2 3 4 5 2 2 3" xfId="13822" xr:uid="{00000000-0005-0000-0000-0000690B0000}"/>
    <cellStyle name="Normal 3 2 3 4 5 2 3" xfId="17450" xr:uid="{00000000-0005-0000-0000-00006A0B0000}"/>
    <cellStyle name="Normal 3 2 3 4 5 2 4" xfId="10194" xr:uid="{00000000-0005-0000-0000-00006B0B0000}"/>
    <cellStyle name="Normal 3 2 3 4 5 3" xfId="4752" xr:uid="{00000000-0005-0000-0000-00006C0B0000}"/>
    <cellStyle name="Normal 3 2 3 4 5 3 2" xfId="19264" xr:uid="{00000000-0005-0000-0000-00006D0B0000}"/>
    <cellStyle name="Normal 3 2 3 4 5 3 3" xfId="12008" xr:uid="{00000000-0005-0000-0000-00006E0B0000}"/>
    <cellStyle name="Normal 3 2 3 4 5 4" xfId="15636" xr:uid="{00000000-0005-0000-0000-00006F0B0000}"/>
    <cellStyle name="Normal 3 2 3 4 5 5" xfId="8380" xr:uid="{00000000-0005-0000-0000-0000700B0000}"/>
    <cellStyle name="Normal 3 2 3 4 6" xfId="2031" xr:uid="{00000000-0005-0000-0000-0000710B0000}"/>
    <cellStyle name="Normal 3 2 3 4 6 2" xfId="5659" xr:uid="{00000000-0005-0000-0000-0000720B0000}"/>
    <cellStyle name="Normal 3 2 3 4 6 2 2" xfId="20171" xr:uid="{00000000-0005-0000-0000-0000730B0000}"/>
    <cellStyle name="Normal 3 2 3 4 6 2 3" xfId="12915" xr:uid="{00000000-0005-0000-0000-0000740B0000}"/>
    <cellStyle name="Normal 3 2 3 4 6 3" xfId="16543" xr:uid="{00000000-0005-0000-0000-0000750B0000}"/>
    <cellStyle name="Normal 3 2 3 4 6 4" xfId="9287" xr:uid="{00000000-0005-0000-0000-0000760B0000}"/>
    <cellStyle name="Normal 3 2 3 4 7" xfId="3845" xr:uid="{00000000-0005-0000-0000-0000770B0000}"/>
    <cellStyle name="Normal 3 2 3 4 7 2" xfId="18357" xr:uid="{00000000-0005-0000-0000-0000780B0000}"/>
    <cellStyle name="Normal 3 2 3 4 7 3" xfId="11101" xr:uid="{00000000-0005-0000-0000-0000790B0000}"/>
    <cellStyle name="Normal 3 2 3 4 8" xfId="14729" xr:uid="{00000000-0005-0000-0000-00007A0B0000}"/>
    <cellStyle name="Normal 3 2 3 4 9" xfId="7473" xr:uid="{00000000-0005-0000-0000-00007B0B0000}"/>
    <cellStyle name="Normal 3 2 3 5" xfId="130" xr:uid="{00000000-0005-0000-0000-00007C0B0000}"/>
    <cellStyle name="Normal 3 2 3 5 2" xfId="476" xr:uid="{00000000-0005-0000-0000-00007D0B0000}"/>
    <cellStyle name="Normal 3 2 3 5 2 2" xfId="1384" xr:uid="{00000000-0005-0000-0000-00007E0B0000}"/>
    <cellStyle name="Normal 3 2 3 5 2 2 2" xfId="3198" xr:uid="{00000000-0005-0000-0000-00007F0B0000}"/>
    <cellStyle name="Normal 3 2 3 5 2 2 2 2" xfId="6826" xr:uid="{00000000-0005-0000-0000-0000800B0000}"/>
    <cellStyle name="Normal 3 2 3 5 2 2 2 2 2" xfId="21338" xr:uid="{00000000-0005-0000-0000-0000810B0000}"/>
    <cellStyle name="Normal 3 2 3 5 2 2 2 2 3" xfId="14082" xr:uid="{00000000-0005-0000-0000-0000820B0000}"/>
    <cellStyle name="Normal 3 2 3 5 2 2 2 3" xfId="17710" xr:uid="{00000000-0005-0000-0000-0000830B0000}"/>
    <cellStyle name="Normal 3 2 3 5 2 2 2 4" xfId="10454" xr:uid="{00000000-0005-0000-0000-0000840B0000}"/>
    <cellStyle name="Normal 3 2 3 5 2 2 3" xfId="5012" xr:uid="{00000000-0005-0000-0000-0000850B0000}"/>
    <cellStyle name="Normal 3 2 3 5 2 2 3 2" xfId="19524" xr:uid="{00000000-0005-0000-0000-0000860B0000}"/>
    <cellStyle name="Normal 3 2 3 5 2 2 3 3" xfId="12268" xr:uid="{00000000-0005-0000-0000-0000870B0000}"/>
    <cellStyle name="Normal 3 2 3 5 2 2 4" xfId="15896" xr:uid="{00000000-0005-0000-0000-0000880B0000}"/>
    <cellStyle name="Normal 3 2 3 5 2 2 5" xfId="8640" xr:uid="{00000000-0005-0000-0000-0000890B0000}"/>
    <cellStyle name="Normal 3 2 3 5 2 3" xfId="2291" xr:uid="{00000000-0005-0000-0000-00008A0B0000}"/>
    <cellStyle name="Normal 3 2 3 5 2 3 2" xfId="5919" xr:uid="{00000000-0005-0000-0000-00008B0B0000}"/>
    <cellStyle name="Normal 3 2 3 5 2 3 2 2" xfId="20431" xr:uid="{00000000-0005-0000-0000-00008C0B0000}"/>
    <cellStyle name="Normal 3 2 3 5 2 3 2 3" xfId="13175" xr:uid="{00000000-0005-0000-0000-00008D0B0000}"/>
    <cellStyle name="Normal 3 2 3 5 2 3 3" xfId="16803" xr:uid="{00000000-0005-0000-0000-00008E0B0000}"/>
    <cellStyle name="Normal 3 2 3 5 2 3 4" xfId="9547" xr:uid="{00000000-0005-0000-0000-00008F0B0000}"/>
    <cellStyle name="Normal 3 2 3 5 2 4" xfId="4105" xr:uid="{00000000-0005-0000-0000-0000900B0000}"/>
    <cellStyle name="Normal 3 2 3 5 2 4 2" xfId="18617" xr:uid="{00000000-0005-0000-0000-0000910B0000}"/>
    <cellStyle name="Normal 3 2 3 5 2 4 3" xfId="11361" xr:uid="{00000000-0005-0000-0000-0000920B0000}"/>
    <cellStyle name="Normal 3 2 3 5 2 5" xfId="14989" xr:uid="{00000000-0005-0000-0000-0000930B0000}"/>
    <cellStyle name="Normal 3 2 3 5 2 6" xfId="7733" xr:uid="{00000000-0005-0000-0000-0000940B0000}"/>
    <cellStyle name="Normal 3 2 3 5 3" xfId="1038" xr:uid="{00000000-0005-0000-0000-0000950B0000}"/>
    <cellStyle name="Normal 3 2 3 5 3 2" xfId="2852" xr:uid="{00000000-0005-0000-0000-0000960B0000}"/>
    <cellStyle name="Normal 3 2 3 5 3 2 2" xfId="6480" xr:uid="{00000000-0005-0000-0000-0000970B0000}"/>
    <cellStyle name="Normal 3 2 3 5 3 2 2 2" xfId="20992" xr:uid="{00000000-0005-0000-0000-0000980B0000}"/>
    <cellStyle name="Normal 3 2 3 5 3 2 2 3" xfId="13736" xr:uid="{00000000-0005-0000-0000-0000990B0000}"/>
    <cellStyle name="Normal 3 2 3 5 3 2 3" xfId="17364" xr:uid="{00000000-0005-0000-0000-00009A0B0000}"/>
    <cellStyle name="Normal 3 2 3 5 3 2 4" xfId="10108" xr:uid="{00000000-0005-0000-0000-00009B0B0000}"/>
    <cellStyle name="Normal 3 2 3 5 3 3" xfId="4666" xr:uid="{00000000-0005-0000-0000-00009C0B0000}"/>
    <cellStyle name="Normal 3 2 3 5 3 3 2" xfId="19178" xr:uid="{00000000-0005-0000-0000-00009D0B0000}"/>
    <cellStyle name="Normal 3 2 3 5 3 3 3" xfId="11922" xr:uid="{00000000-0005-0000-0000-00009E0B0000}"/>
    <cellStyle name="Normal 3 2 3 5 3 4" xfId="15550" xr:uid="{00000000-0005-0000-0000-00009F0B0000}"/>
    <cellStyle name="Normal 3 2 3 5 3 5" xfId="8294" xr:uid="{00000000-0005-0000-0000-0000A00B0000}"/>
    <cellStyle name="Normal 3 2 3 5 4" xfId="1945" xr:uid="{00000000-0005-0000-0000-0000A10B0000}"/>
    <cellStyle name="Normal 3 2 3 5 4 2" xfId="5573" xr:uid="{00000000-0005-0000-0000-0000A20B0000}"/>
    <cellStyle name="Normal 3 2 3 5 4 2 2" xfId="20085" xr:uid="{00000000-0005-0000-0000-0000A30B0000}"/>
    <cellStyle name="Normal 3 2 3 5 4 2 3" xfId="12829" xr:uid="{00000000-0005-0000-0000-0000A40B0000}"/>
    <cellStyle name="Normal 3 2 3 5 4 3" xfId="16457" xr:uid="{00000000-0005-0000-0000-0000A50B0000}"/>
    <cellStyle name="Normal 3 2 3 5 4 4" xfId="9201" xr:uid="{00000000-0005-0000-0000-0000A60B0000}"/>
    <cellStyle name="Normal 3 2 3 5 5" xfId="3759" xr:uid="{00000000-0005-0000-0000-0000A70B0000}"/>
    <cellStyle name="Normal 3 2 3 5 5 2" xfId="18271" xr:uid="{00000000-0005-0000-0000-0000A80B0000}"/>
    <cellStyle name="Normal 3 2 3 5 5 3" xfId="11015" xr:uid="{00000000-0005-0000-0000-0000A90B0000}"/>
    <cellStyle name="Normal 3 2 3 5 6" xfId="14643" xr:uid="{00000000-0005-0000-0000-0000AA0B0000}"/>
    <cellStyle name="Normal 3 2 3 5 7" xfId="7387" xr:uid="{00000000-0005-0000-0000-0000AB0B0000}"/>
    <cellStyle name="Normal 3 2 3 6" xfId="260" xr:uid="{00000000-0005-0000-0000-0000AC0B0000}"/>
    <cellStyle name="Normal 3 2 3 6 2" xfId="606" xr:uid="{00000000-0005-0000-0000-0000AD0B0000}"/>
    <cellStyle name="Normal 3 2 3 6 2 2" xfId="1514" xr:uid="{00000000-0005-0000-0000-0000AE0B0000}"/>
    <cellStyle name="Normal 3 2 3 6 2 2 2" xfId="3328" xr:uid="{00000000-0005-0000-0000-0000AF0B0000}"/>
    <cellStyle name="Normal 3 2 3 6 2 2 2 2" xfId="6956" xr:uid="{00000000-0005-0000-0000-0000B00B0000}"/>
    <cellStyle name="Normal 3 2 3 6 2 2 2 2 2" xfId="21468" xr:uid="{00000000-0005-0000-0000-0000B10B0000}"/>
    <cellStyle name="Normal 3 2 3 6 2 2 2 2 3" xfId="14212" xr:uid="{00000000-0005-0000-0000-0000B20B0000}"/>
    <cellStyle name="Normal 3 2 3 6 2 2 2 3" xfId="17840" xr:uid="{00000000-0005-0000-0000-0000B30B0000}"/>
    <cellStyle name="Normal 3 2 3 6 2 2 2 4" xfId="10584" xr:uid="{00000000-0005-0000-0000-0000B40B0000}"/>
    <cellStyle name="Normal 3 2 3 6 2 2 3" xfId="5142" xr:uid="{00000000-0005-0000-0000-0000B50B0000}"/>
    <cellStyle name="Normal 3 2 3 6 2 2 3 2" xfId="19654" xr:uid="{00000000-0005-0000-0000-0000B60B0000}"/>
    <cellStyle name="Normal 3 2 3 6 2 2 3 3" xfId="12398" xr:uid="{00000000-0005-0000-0000-0000B70B0000}"/>
    <cellStyle name="Normal 3 2 3 6 2 2 4" xfId="16026" xr:uid="{00000000-0005-0000-0000-0000B80B0000}"/>
    <cellStyle name="Normal 3 2 3 6 2 2 5" xfId="8770" xr:uid="{00000000-0005-0000-0000-0000B90B0000}"/>
    <cellStyle name="Normal 3 2 3 6 2 3" xfId="2421" xr:uid="{00000000-0005-0000-0000-0000BA0B0000}"/>
    <cellStyle name="Normal 3 2 3 6 2 3 2" xfId="6049" xr:uid="{00000000-0005-0000-0000-0000BB0B0000}"/>
    <cellStyle name="Normal 3 2 3 6 2 3 2 2" xfId="20561" xr:uid="{00000000-0005-0000-0000-0000BC0B0000}"/>
    <cellStyle name="Normal 3 2 3 6 2 3 2 3" xfId="13305" xr:uid="{00000000-0005-0000-0000-0000BD0B0000}"/>
    <cellStyle name="Normal 3 2 3 6 2 3 3" xfId="16933" xr:uid="{00000000-0005-0000-0000-0000BE0B0000}"/>
    <cellStyle name="Normal 3 2 3 6 2 3 4" xfId="9677" xr:uid="{00000000-0005-0000-0000-0000BF0B0000}"/>
    <cellStyle name="Normal 3 2 3 6 2 4" xfId="4235" xr:uid="{00000000-0005-0000-0000-0000C00B0000}"/>
    <cellStyle name="Normal 3 2 3 6 2 4 2" xfId="18747" xr:uid="{00000000-0005-0000-0000-0000C10B0000}"/>
    <cellStyle name="Normal 3 2 3 6 2 4 3" xfId="11491" xr:uid="{00000000-0005-0000-0000-0000C20B0000}"/>
    <cellStyle name="Normal 3 2 3 6 2 5" xfId="15119" xr:uid="{00000000-0005-0000-0000-0000C30B0000}"/>
    <cellStyle name="Normal 3 2 3 6 2 6" xfId="7863" xr:uid="{00000000-0005-0000-0000-0000C40B0000}"/>
    <cellStyle name="Normal 3 2 3 6 3" xfId="1168" xr:uid="{00000000-0005-0000-0000-0000C50B0000}"/>
    <cellStyle name="Normal 3 2 3 6 3 2" xfId="2982" xr:uid="{00000000-0005-0000-0000-0000C60B0000}"/>
    <cellStyle name="Normal 3 2 3 6 3 2 2" xfId="6610" xr:uid="{00000000-0005-0000-0000-0000C70B0000}"/>
    <cellStyle name="Normal 3 2 3 6 3 2 2 2" xfId="21122" xr:uid="{00000000-0005-0000-0000-0000C80B0000}"/>
    <cellStyle name="Normal 3 2 3 6 3 2 2 3" xfId="13866" xr:uid="{00000000-0005-0000-0000-0000C90B0000}"/>
    <cellStyle name="Normal 3 2 3 6 3 2 3" xfId="17494" xr:uid="{00000000-0005-0000-0000-0000CA0B0000}"/>
    <cellStyle name="Normal 3 2 3 6 3 2 4" xfId="10238" xr:uid="{00000000-0005-0000-0000-0000CB0B0000}"/>
    <cellStyle name="Normal 3 2 3 6 3 3" xfId="4796" xr:uid="{00000000-0005-0000-0000-0000CC0B0000}"/>
    <cellStyle name="Normal 3 2 3 6 3 3 2" xfId="19308" xr:uid="{00000000-0005-0000-0000-0000CD0B0000}"/>
    <cellStyle name="Normal 3 2 3 6 3 3 3" xfId="12052" xr:uid="{00000000-0005-0000-0000-0000CE0B0000}"/>
    <cellStyle name="Normal 3 2 3 6 3 4" xfId="15680" xr:uid="{00000000-0005-0000-0000-0000CF0B0000}"/>
    <cellStyle name="Normal 3 2 3 6 3 5" xfId="8424" xr:uid="{00000000-0005-0000-0000-0000D00B0000}"/>
    <cellStyle name="Normal 3 2 3 6 4" xfId="2075" xr:uid="{00000000-0005-0000-0000-0000D10B0000}"/>
    <cellStyle name="Normal 3 2 3 6 4 2" xfId="5703" xr:uid="{00000000-0005-0000-0000-0000D20B0000}"/>
    <cellStyle name="Normal 3 2 3 6 4 2 2" xfId="20215" xr:uid="{00000000-0005-0000-0000-0000D30B0000}"/>
    <cellStyle name="Normal 3 2 3 6 4 2 3" xfId="12959" xr:uid="{00000000-0005-0000-0000-0000D40B0000}"/>
    <cellStyle name="Normal 3 2 3 6 4 3" xfId="16587" xr:uid="{00000000-0005-0000-0000-0000D50B0000}"/>
    <cellStyle name="Normal 3 2 3 6 4 4" xfId="9331" xr:uid="{00000000-0005-0000-0000-0000D60B0000}"/>
    <cellStyle name="Normal 3 2 3 6 5" xfId="3889" xr:uid="{00000000-0005-0000-0000-0000D70B0000}"/>
    <cellStyle name="Normal 3 2 3 6 5 2" xfId="18401" xr:uid="{00000000-0005-0000-0000-0000D80B0000}"/>
    <cellStyle name="Normal 3 2 3 6 5 3" xfId="11145" xr:uid="{00000000-0005-0000-0000-0000D90B0000}"/>
    <cellStyle name="Normal 3 2 3 6 6" xfId="14773" xr:uid="{00000000-0005-0000-0000-0000DA0B0000}"/>
    <cellStyle name="Normal 3 2 3 6 7" xfId="7517" xr:uid="{00000000-0005-0000-0000-0000DB0B0000}"/>
    <cellStyle name="Normal 3 2 3 7" xfId="736" xr:uid="{00000000-0005-0000-0000-0000DC0B0000}"/>
    <cellStyle name="Normal 3 2 3 7 2" xfId="1644" xr:uid="{00000000-0005-0000-0000-0000DD0B0000}"/>
    <cellStyle name="Normal 3 2 3 7 2 2" xfId="3458" xr:uid="{00000000-0005-0000-0000-0000DE0B0000}"/>
    <cellStyle name="Normal 3 2 3 7 2 2 2" xfId="7086" xr:uid="{00000000-0005-0000-0000-0000DF0B0000}"/>
    <cellStyle name="Normal 3 2 3 7 2 2 2 2" xfId="21598" xr:uid="{00000000-0005-0000-0000-0000E00B0000}"/>
    <cellStyle name="Normal 3 2 3 7 2 2 2 3" xfId="14342" xr:uid="{00000000-0005-0000-0000-0000E10B0000}"/>
    <cellStyle name="Normal 3 2 3 7 2 2 3" xfId="17970" xr:uid="{00000000-0005-0000-0000-0000E20B0000}"/>
    <cellStyle name="Normal 3 2 3 7 2 2 4" xfId="10714" xr:uid="{00000000-0005-0000-0000-0000E30B0000}"/>
    <cellStyle name="Normal 3 2 3 7 2 3" xfId="5272" xr:uid="{00000000-0005-0000-0000-0000E40B0000}"/>
    <cellStyle name="Normal 3 2 3 7 2 3 2" xfId="19784" xr:uid="{00000000-0005-0000-0000-0000E50B0000}"/>
    <cellStyle name="Normal 3 2 3 7 2 3 3" xfId="12528" xr:uid="{00000000-0005-0000-0000-0000E60B0000}"/>
    <cellStyle name="Normal 3 2 3 7 2 4" xfId="16156" xr:uid="{00000000-0005-0000-0000-0000E70B0000}"/>
    <cellStyle name="Normal 3 2 3 7 2 5" xfId="8900" xr:uid="{00000000-0005-0000-0000-0000E80B0000}"/>
    <cellStyle name="Normal 3 2 3 7 3" xfId="2551" xr:uid="{00000000-0005-0000-0000-0000E90B0000}"/>
    <cellStyle name="Normal 3 2 3 7 3 2" xfId="6179" xr:uid="{00000000-0005-0000-0000-0000EA0B0000}"/>
    <cellStyle name="Normal 3 2 3 7 3 2 2" xfId="20691" xr:uid="{00000000-0005-0000-0000-0000EB0B0000}"/>
    <cellStyle name="Normal 3 2 3 7 3 2 3" xfId="13435" xr:uid="{00000000-0005-0000-0000-0000EC0B0000}"/>
    <cellStyle name="Normal 3 2 3 7 3 3" xfId="17063" xr:uid="{00000000-0005-0000-0000-0000ED0B0000}"/>
    <cellStyle name="Normal 3 2 3 7 3 4" xfId="9807" xr:uid="{00000000-0005-0000-0000-0000EE0B0000}"/>
    <cellStyle name="Normal 3 2 3 7 4" xfId="4365" xr:uid="{00000000-0005-0000-0000-0000EF0B0000}"/>
    <cellStyle name="Normal 3 2 3 7 4 2" xfId="18877" xr:uid="{00000000-0005-0000-0000-0000F00B0000}"/>
    <cellStyle name="Normal 3 2 3 7 4 3" xfId="11621" xr:uid="{00000000-0005-0000-0000-0000F10B0000}"/>
    <cellStyle name="Normal 3 2 3 7 5" xfId="15249" xr:uid="{00000000-0005-0000-0000-0000F20B0000}"/>
    <cellStyle name="Normal 3 2 3 7 6" xfId="7993" xr:uid="{00000000-0005-0000-0000-0000F30B0000}"/>
    <cellStyle name="Normal 3 2 3 8" xfId="390" xr:uid="{00000000-0005-0000-0000-0000F40B0000}"/>
    <cellStyle name="Normal 3 2 3 8 2" xfId="1298" xr:uid="{00000000-0005-0000-0000-0000F50B0000}"/>
    <cellStyle name="Normal 3 2 3 8 2 2" xfId="3112" xr:uid="{00000000-0005-0000-0000-0000F60B0000}"/>
    <cellStyle name="Normal 3 2 3 8 2 2 2" xfId="6740" xr:uid="{00000000-0005-0000-0000-0000F70B0000}"/>
    <cellStyle name="Normal 3 2 3 8 2 2 2 2" xfId="21252" xr:uid="{00000000-0005-0000-0000-0000F80B0000}"/>
    <cellStyle name="Normal 3 2 3 8 2 2 2 3" xfId="13996" xr:uid="{00000000-0005-0000-0000-0000F90B0000}"/>
    <cellStyle name="Normal 3 2 3 8 2 2 3" xfId="17624" xr:uid="{00000000-0005-0000-0000-0000FA0B0000}"/>
    <cellStyle name="Normal 3 2 3 8 2 2 4" xfId="10368" xr:uid="{00000000-0005-0000-0000-0000FB0B0000}"/>
    <cellStyle name="Normal 3 2 3 8 2 3" xfId="4926" xr:uid="{00000000-0005-0000-0000-0000FC0B0000}"/>
    <cellStyle name="Normal 3 2 3 8 2 3 2" xfId="19438" xr:uid="{00000000-0005-0000-0000-0000FD0B0000}"/>
    <cellStyle name="Normal 3 2 3 8 2 3 3" xfId="12182" xr:uid="{00000000-0005-0000-0000-0000FE0B0000}"/>
    <cellStyle name="Normal 3 2 3 8 2 4" xfId="15810" xr:uid="{00000000-0005-0000-0000-0000FF0B0000}"/>
    <cellStyle name="Normal 3 2 3 8 2 5" xfId="8554" xr:uid="{00000000-0005-0000-0000-0000000C0000}"/>
    <cellStyle name="Normal 3 2 3 8 3" xfId="2205" xr:uid="{00000000-0005-0000-0000-0000010C0000}"/>
    <cellStyle name="Normal 3 2 3 8 3 2" xfId="5833" xr:uid="{00000000-0005-0000-0000-0000020C0000}"/>
    <cellStyle name="Normal 3 2 3 8 3 2 2" xfId="20345" xr:uid="{00000000-0005-0000-0000-0000030C0000}"/>
    <cellStyle name="Normal 3 2 3 8 3 2 3" xfId="13089" xr:uid="{00000000-0005-0000-0000-0000040C0000}"/>
    <cellStyle name="Normal 3 2 3 8 3 3" xfId="16717" xr:uid="{00000000-0005-0000-0000-0000050C0000}"/>
    <cellStyle name="Normal 3 2 3 8 3 4" xfId="9461" xr:uid="{00000000-0005-0000-0000-0000060C0000}"/>
    <cellStyle name="Normal 3 2 3 8 4" xfId="4019" xr:uid="{00000000-0005-0000-0000-0000070C0000}"/>
    <cellStyle name="Normal 3 2 3 8 4 2" xfId="18531" xr:uid="{00000000-0005-0000-0000-0000080C0000}"/>
    <cellStyle name="Normal 3 2 3 8 4 3" xfId="11275" xr:uid="{00000000-0005-0000-0000-0000090C0000}"/>
    <cellStyle name="Normal 3 2 3 8 5" xfId="14903" xr:uid="{00000000-0005-0000-0000-00000A0C0000}"/>
    <cellStyle name="Normal 3 2 3 8 6" xfId="7647" xr:uid="{00000000-0005-0000-0000-00000B0C0000}"/>
    <cellStyle name="Normal 3 2 3 9" xfId="866" xr:uid="{00000000-0005-0000-0000-00000C0C0000}"/>
    <cellStyle name="Normal 3 2 3 9 2" xfId="1774" xr:uid="{00000000-0005-0000-0000-00000D0C0000}"/>
    <cellStyle name="Normal 3 2 3 9 2 2" xfId="3588" xr:uid="{00000000-0005-0000-0000-00000E0C0000}"/>
    <cellStyle name="Normal 3 2 3 9 2 2 2" xfId="7216" xr:uid="{00000000-0005-0000-0000-00000F0C0000}"/>
    <cellStyle name="Normal 3 2 3 9 2 2 2 2" xfId="21728" xr:uid="{00000000-0005-0000-0000-0000100C0000}"/>
    <cellStyle name="Normal 3 2 3 9 2 2 2 3" xfId="14472" xr:uid="{00000000-0005-0000-0000-0000110C0000}"/>
    <cellStyle name="Normal 3 2 3 9 2 2 3" xfId="18100" xr:uid="{00000000-0005-0000-0000-0000120C0000}"/>
    <cellStyle name="Normal 3 2 3 9 2 2 4" xfId="10844" xr:uid="{00000000-0005-0000-0000-0000130C0000}"/>
    <cellStyle name="Normal 3 2 3 9 2 3" xfId="5402" xr:uid="{00000000-0005-0000-0000-0000140C0000}"/>
    <cellStyle name="Normal 3 2 3 9 2 3 2" xfId="19914" xr:uid="{00000000-0005-0000-0000-0000150C0000}"/>
    <cellStyle name="Normal 3 2 3 9 2 3 3" xfId="12658" xr:uid="{00000000-0005-0000-0000-0000160C0000}"/>
    <cellStyle name="Normal 3 2 3 9 2 4" xfId="16286" xr:uid="{00000000-0005-0000-0000-0000170C0000}"/>
    <cellStyle name="Normal 3 2 3 9 2 5" xfId="9030" xr:uid="{00000000-0005-0000-0000-0000180C0000}"/>
    <cellStyle name="Normal 3 2 3 9 3" xfId="2681" xr:uid="{00000000-0005-0000-0000-0000190C0000}"/>
    <cellStyle name="Normal 3 2 3 9 3 2" xfId="6309" xr:uid="{00000000-0005-0000-0000-00001A0C0000}"/>
    <cellStyle name="Normal 3 2 3 9 3 2 2" xfId="20821" xr:uid="{00000000-0005-0000-0000-00001B0C0000}"/>
    <cellStyle name="Normal 3 2 3 9 3 2 3" xfId="13565" xr:uid="{00000000-0005-0000-0000-00001C0C0000}"/>
    <cellStyle name="Normal 3 2 3 9 3 3" xfId="17193" xr:uid="{00000000-0005-0000-0000-00001D0C0000}"/>
    <cellStyle name="Normal 3 2 3 9 3 4" xfId="9937" xr:uid="{00000000-0005-0000-0000-00001E0C0000}"/>
    <cellStyle name="Normal 3 2 3 9 4" xfId="4495" xr:uid="{00000000-0005-0000-0000-00001F0C0000}"/>
    <cellStyle name="Normal 3 2 3 9 4 2" xfId="19007" xr:uid="{00000000-0005-0000-0000-0000200C0000}"/>
    <cellStyle name="Normal 3 2 3 9 4 3" xfId="11751" xr:uid="{00000000-0005-0000-0000-0000210C0000}"/>
    <cellStyle name="Normal 3 2 3 9 5" xfId="15379" xr:uid="{00000000-0005-0000-0000-0000220C0000}"/>
    <cellStyle name="Normal 3 2 3 9 6" xfId="8123" xr:uid="{00000000-0005-0000-0000-0000230C0000}"/>
    <cellStyle name="Normal 3 2 4" xfId="53" xr:uid="{00000000-0005-0000-0000-0000240C0000}"/>
    <cellStyle name="Normal 3 2 4 10" xfId="1870" xr:uid="{00000000-0005-0000-0000-0000250C0000}"/>
    <cellStyle name="Normal 3 2 4 10 2" xfId="5498" xr:uid="{00000000-0005-0000-0000-0000260C0000}"/>
    <cellStyle name="Normal 3 2 4 10 2 2" xfId="20010" xr:uid="{00000000-0005-0000-0000-0000270C0000}"/>
    <cellStyle name="Normal 3 2 4 10 2 3" xfId="12754" xr:uid="{00000000-0005-0000-0000-0000280C0000}"/>
    <cellStyle name="Normal 3 2 4 10 3" xfId="16382" xr:uid="{00000000-0005-0000-0000-0000290C0000}"/>
    <cellStyle name="Normal 3 2 4 10 4" xfId="9126" xr:uid="{00000000-0005-0000-0000-00002A0C0000}"/>
    <cellStyle name="Normal 3 2 4 11" xfId="3684" xr:uid="{00000000-0005-0000-0000-00002B0C0000}"/>
    <cellStyle name="Normal 3 2 4 11 2" xfId="18196" xr:uid="{00000000-0005-0000-0000-00002C0C0000}"/>
    <cellStyle name="Normal 3 2 4 11 3" xfId="10940" xr:uid="{00000000-0005-0000-0000-00002D0C0000}"/>
    <cellStyle name="Normal 3 2 4 12" xfId="14568" xr:uid="{00000000-0005-0000-0000-00002E0C0000}"/>
    <cellStyle name="Normal 3 2 4 13" xfId="7312" xr:uid="{00000000-0005-0000-0000-00002F0C0000}"/>
    <cellStyle name="Normal 3 2 4 2" xfId="95" xr:uid="{00000000-0005-0000-0000-0000300C0000}"/>
    <cellStyle name="Normal 3 2 4 2 10" xfId="14610" xr:uid="{00000000-0005-0000-0000-0000310C0000}"/>
    <cellStyle name="Normal 3 2 4 2 11" xfId="7354" xr:uid="{00000000-0005-0000-0000-0000320C0000}"/>
    <cellStyle name="Normal 3 2 4 2 2" xfId="183" xr:uid="{00000000-0005-0000-0000-0000330C0000}"/>
    <cellStyle name="Normal 3 2 4 2 2 2" xfId="529" xr:uid="{00000000-0005-0000-0000-0000340C0000}"/>
    <cellStyle name="Normal 3 2 4 2 2 2 2" xfId="1437" xr:uid="{00000000-0005-0000-0000-0000350C0000}"/>
    <cellStyle name="Normal 3 2 4 2 2 2 2 2" xfId="3251" xr:uid="{00000000-0005-0000-0000-0000360C0000}"/>
    <cellStyle name="Normal 3 2 4 2 2 2 2 2 2" xfId="6879" xr:uid="{00000000-0005-0000-0000-0000370C0000}"/>
    <cellStyle name="Normal 3 2 4 2 2 2 2 2 2 2" xfId="21391" xr:uid="{00000000-0005-0000-0000-0000380C0000}"/>
    <cellStyle name="Normal 3 2 4 2 2 2 2 2 2 3" xfId="14135" xr:uid="{00000000-0005-0000-0000-0000390C0000}"/>
    <cellStyle name="Normal 3 2 4 2 2 2 2 2 3" xfId="17763" xr:uid="{00000000-0005-0000-0000-00003A0C0000}"/>
    <cellStyle name="Normal 3 2 4 2 2 2 2 2 4" xfId="10507" xr:uid="{00000000-0005-0000-0000-00003B0C0000}"/>
    <cellStyle name="Normal 3 2 4 2 2 2 2 3" xfId="5065" xr:uid="{00000000-0005-0000-0000-00003C0C0000}"/>
    <cellStyle name="Normal 3 2 4 2 2 2 2 3 2" xfId="19577" xr:uid="{00000000-0005-0000-0000-00003D0C0000}"/>
    <cellStyle name="Normal 3 2 4 2 2 2 2 3 3" xfId="12321" xr:uid="{00000000-0005-0000-0000-00003E0C0000}"/>
    <cellStyle name="Normal 3 2 4 2 2 2 2 4" xfId="15949" xr:uid="{00000000-0005-0000-0000-00003F0C0000}"/>
    <cellStyle name="Normal 3 2 4 2 2 2 2 5" xfId="8693" xr:uid="{00000000-0005-0000-0000-0000400C0000}"/>
    <cellStyle name="Normal 3 2 4 2 2 2 3" xfId="2344" xr:uid="{00000000-0005-0000-0000-0000410C0000}"/>
    <cellStyle name="Normal 3 2 4 2 2 2 3 2" xfId="5972" xr:uid="{00000000-0005-0000-0000-0000420C0000}"/>
    <cellStyle name="Normal 3 2 4 2 2 2 3 2 2" xfId="20484" xr:uid="{00000000-0005-0000-0000-0000430C0000}"/>
    <cellStyle name="Normal 3 2 4 2 2 2 3 2 3" xfId="13228" xr:uid="{00000000-0005-0000-0000-0000440C0000}"/>
    <cellStyle name="Normal 3 2 4 2 2 2 3 3" xfId="16856" xr:uid="{00000000-0005-0000-0000-0000450C0000}"/>
    <cellStyle name="Normal 3 2 4 2 2 2 3 4" xfId="9600" xr:uid="{00000000-0005-0000-0000-0000460C0000}"/>
    <cellStyle name="Normal 3 2 4 2 2 2 4" xfId="4158" xr:uid="{00000000-0005-0000-0000-0000470C0000}"/>
    <cellStyle name="Normal 3 2 4 2 2 2 4 2" xfId="18670" xr:uid="{00000000-0005-0000-0000-0000480C0000}"/>
    <cellStyle name="Normal 3 2 4 2 2 2 4 3" xfId="11414" xr:uid="{00000000-0005-0000-0000-0000490C0000}"/>
    <cellStyle name="Normal 3 2 4 2 2 2 5" xfId="15042" xr:uid="{00000000-0005-0000-0000-00004A0C0000}"/>
    <cellStyle name="Normal 3 2 4 2 2 2 6" xfId="7786" xr:uid="{00000000-0005-0000-0000-00004B0C0000}"/>
    <cellStyle name="Normal 3 2 4 2 2 3" xfId="1091" xr:uid="{00000000-0005-0000-0000-00004C0C0000}"/>
    <cellStyle name="Normal 3 2 4 2 2 3 2" xfId="2905" xr:uid="{00000000-0005-0000-0000-00004D0C0000}"/>
    <cellStyle name="Normal 3 2 4 2 2 3 2 2" xfId="6533" xr:uid="{00000000-0005-0000-0000-00004E0C0000}"/>
    <cellStyle name="Normal 3 2 4 2 2 3 2 2 2" xfId="21045" xr:uid="{00000000-0005-0000-0000-00004F0C0000}"/>
    <cellStyle name="Normal 3 2 4 2 2 3 2 2 3" xfId="13789" xr:uid="{00000000-0005-0000-0000-0000500C0000}"/>
    <cellStyle name="Normal 3 2 4 2 2 3 2 3" xfId="17417" xr:uid="{00000000-0005-0000-0000-0000510C0000}"/>
    <cellStyle name="Normal 3 2 4 2 2 3 2 4" xfId="10161" xr:uid="{00000000-0005-0000-0000-0000520C0000}"/>
    <cellStyle name="Normal 3 2 4 2 2 3 3" xfId="4719" xr:uid="{00000000-0005-0000-0000-0000530C0000}"/>
    <cellStyle name="Normal 3 2 4 2 2 3 3 2" xfId="19231" xr:uid="{00000000-0005-0000-0000-0000540C0000}"/>
    <cellStyle name="Normal 3 2 4 2 2 3 3 3" xfId="11975" xr:uid="{00000000-0005-0000-0000-0000550C0000}"/>
    <cellStyle name="Normal 3 2 4 2 2 3 4" xfId="15603" xr:uid="{00000000-0005-0000-0000-0000560C0000}"/>
    <cellStyle name="Normal 3 2 4 2 2 3 5" xfId="8347" xr:uid="{00000000-0005-0000-0000-0000570C0000}"/>
    <cellStyle name="Normal 3 2 4 2 2 4" xfId="1998" xr:uid="{00000000-0005-0000-0000-0000580C0000}"/>
    <cellStyle name="Normal 3 2 4 2 2 4 2" xfId="5626" xr:uid="{00000000-0005-0000-0000-0000590C0000}"/>
    <cellStyle name="Normal 3 2 4 2 2 4 2 2" xfId="20138" xr:uid="{00000000-0005-0000-0000-00005A0C0000}"/>
    <cellStyle name="Normal 3 2 4 2 2 4 2 3" xfId="12882" xr:uid="{00000000-0005-0000-0000-00005B0C0000}"/>
    <cellStyle name="Normal 3 2 4 2 2 4 3" xfId="16510" xr:uid="{00000000-0005-0000-0000-00005C0C0000}"/>
    <cellStyle name="Normal 3 2 4 2 2 4 4" xfId="9254" xr:uid="{00000000-0005-0000-0000-00005D0C0000}"/>
    <cellStyle name="Normal 3 2 4 2 2 5" xfId="3812" xr:uid="{00000000-0005-0000-0000-00005E0C0000}"/>
    <cellStyle name="Normal 3 2 4 2 2 5 2" xfId="18324" xr:uid="{00000000-0005-0000-0000-00005F0C0000}"/>
    <cellStyle name="Normal 3 2 4 2 2 5 3" xfId="11068" xr:uid="{00000000-0005-0000-0000-0000600C0000}"/>
    <cellStyle name="Normal 3 2 4 2 2 6" xfId="14696" xr:uid="{00000000-0005-0000-0000-0000610C0000}"/>
    <cellStyle name="Normal 3 2 4 2 2 7" xfId="7440" xr:uid="{00000000-0005-0000-0000-0000620C0000}"/>
    <cellStyle name="Normal 3 2 4 2 3" xfId="313" xr:uid="{00000000-0005-0000-0000-0000630C0000}"/>
    <cellStyle name="Normal 3 2 4 2 3 2" xfId="659" xr:uid="{00000000-0005-0000-0000-0000640C0000}"/>
    <cellStyle name="Normal 3 2 4 2 3 2 2" xfId="1567" xr:uid="{00000000-0005-0000-0000-0000650C0000}"/>
    <cellStyle name="Normal 3 2 4 2 3 2 2 2" xfId="3381" xr:uid="{00000000-0005-0000-0000-0000660C0000}"/>
    <cellStyle name="Normal 3 2 4 2 3 2 2 2 2" xfId="7009" xr:uid="{00000000-0005-0000-0000-0000670C0000}"/>
    <cellStyle name="Normal 3 2 4 2 3 2 2 2 2 2" xfId="21521" xr:uid="{00000000-0005-0000-0000-0000680C0000}"/>
    <cellStyle name="Normal 3 2 4 2 3 2 2 2 2 3" xfId="14265" xr:uid="{00000000-0005-0000-0000-0000690C0000}"/>
    <cellStyle name="Normal 3 2 4 2 3 2 2 2 3" xfId="17893" xr:uid="{00000000-0005-0000-0000-00006A0C0000}"/>
    <cellStyle name="Normal 3 2 4 2 3 2 2 2 4" xfId="10637" xr:uid="{00000000-0005-0000-0000-00006B0C0000}"/>
    <cellStyle name="Normal 3 2 4 2 3 2 2 3" xfId="5195" xr:uid="{00000000-0005-0000-0000-00006C0C0000}"/>
    <cellStyle name="Normal 3 2 4 2 3 2 2 3 2" xfId="19707" xr:uid="{00000000-0005-0000-0000-00006D0C0000}"/>
    <cellStyle name="Normal 3 2 4 2 3 2 2 3 3" xfId="12451" xr:uid="{00000000-0005-0000-0000-00006E0C0000}"/>
    <cellStyle name="Normal 3 2 4 2 3 2 2 4" xfId="16079" xr:uid="{00000000-0005-0000-0000-00006F0C0000}"/>
    <cellStyle name="Normal 3 2 4 2 3 2 2 5" xfId="8823" xr:uid="{00000000-0005-0000-0000-0000700C0000}"/>
    <cellStyle name="Normal 3 2 4 2 3 2 3" xfId="2474" xr:uid="{00000000-0005-0000-0000-0000710C0000}"/>
    <cellStyle name="Normal 3 2 4 2 3 2 3 2" xfId="6102" xr:uid="{00000000-0005-0000-0000-0000720C0000}"/>
    <cellStyle name="Normal 3 2 4 2 3 2 3 2 2" xfId="20614" xr:uid="{00000000-0005-0000-0000-0000730C0000}"/>
    <cellStyle name="Normal 3 2 4 2 3 2 3 2 3" xfId="13358" xr:uid="{00000000-0005-0000-0000-0000740C0000}"/>
    <cellStyle name="Normal 3 2 4 2 3 2 3 3" xfId="16986" xr:uid="{00000000-0005-0000-0000-0000750C0000}"/>
    <cellStyle name="Normal 3 2 4 2 3 2 3 4" xfId="9730" xr:uid="{00000000-0005-0000-0000-0000760C0000}"/>
    <cellStyle name="Normal 3 2 4 2 3 2 4" xfId="4288" xr:uid="{00000000-0005-0000-0000-0000770C0000}"/>
    <cellStyle name="Normal 3 2 4 2 3 2 4 2" xfId="18800" xr:uid="{00000000-0005-0000-0000-0000780C0000}"/>
    <cellStyle name="Normal 3 2 4 2 3 2 4 3" xfId="11544" xr:uid="{00000000-0005-0000-0000-0000790C0000}"/>
    <cellStyle name="Normal 3 2 4 2 3 2 5" xfId="15172" xr:uid="{00000000-0005-0000-0000-00007A0C0000}"/>
    <cellStyle name="Normal 3 2 4 2 3 2 6" xfId="7916" xr:uid="{00000000-0005-0000-0000-00007B0C0000}"/>
    <cellStyle name="Normal 3 2 4 2 3 3" xfId="1221" xr:uid="{00000000-0005-0000-0000-00007C0C0000}"/>
    <cellStyle name="Normal 3 2 4 2 3 3 2" xfId="3035" xr:uid="{00000000-0005-0000-0000-00007D0C0000}"/>
    <cellStyle name="Normal 3 2 4 2 3 3 2 2" xfId="6663" xr:uid="{00000000-0005-0000-0000-00007E0C0000}"/>
    <cellStyle name="Normal 3 2 4 2 3 3 2 2 2" xfId="21175" xr:uid="{00000000-0005-0000-0000-00007F0C0000}"/>
    <cellStyle name="Normal 3 2 4 2 3 3 2 2 3" xfId="13919" xr:uid="{00000000-0005-0000-0000-0000800C0000}"/>
    <cellStyle name="Normal 3 2 4 2 3 3 2 3" xfId="17547" xr:uid="{00000000-0005-0000-0000-0000810C0000}"/>
    <cellStyle name="Normal 3 2 4 2 3 3 2 4" xfId="10291" xr:uid="{00000000-0005-0000-0000-0000820C0000}"/>
    <cellStyle name="Normal 3 2 4 2 3 3 3" xfId="4849" xr:uid="{00000000-0005-0000-0000-0000830C0000}"/>
    <cellStyle name="Normal 3 2 4 2 3 3 3 2" xfId="19361" xr:uid="{00000000-0005-0000-0000-0000840C0000}"/>
    <cellStyle name="Normal 3 2 4 2 3 3 3 3" xfId="12105" xr:uid="{00000000-0005-0000-0000-0000850C0000}"/>
    <cellStyle name="Normal 3 2 4 2 3 3 4" xfId="15733" xr:uid="{00000000-0005-0000-0000-0000860C0000}"/>
    <cellStyle name="Normal 3 2 4 2 3 3 5" xfId="8477" xr:uid="{00000000-0005-0000-0000-0000870C0000}"/>
    <cellStyle name="Normal 3 2 4 2 3 4" xfId="2128" xr:uid="{00000000-0005-0000-0000-0000880C0000}"/>
    <cellStyle name="Normal 3 2 4 2 3 4 2" xfId="5756" xr:uid="{00000000-0005-0000-0000-0000890C0000}"/>
    <cellStyle name="Normal 3 2 4 2 3 4 2 2" xfId="20268" xr:uid="{00000000-0005-0000-0000-00008A0C0000}"/>
    <cellStyle name="Normal 3 2 4 2 3 4 2 3" xfId="13012" xr:uid="{00000000-0005-0000-0000-00008B0C0000}"/>
    <cellStyle name="Normal 3 2 4 2 3 4 3" xfId="16640" xr:uid="{00000000-0005-0000-0000-00008C0C0000}"/>
    <cellStyle name="Normal 3 2 4 2 3 4 4" xfId="9384" xr:uid="{00000000-0005-0000-0000-00008D0C0000}"/>
    <cellStyle name="Normal 3 2 4 2 3 5" xfId="3942" xr:uid="{00000000-0005-0000-0000-00008E0C0000}"/>
    <cellStyle name="Normal 3 2 4 2 3 5 2" xfId="18454" xr:uid="{00000000-0005-0000-0000-00008F0C0000}"/>
    <cellStyle name="Normal 3 2 4 2 3 5 3" xfId="11198" xr:uid="{00000000-0005-0000-0000-0000900C0000}"/>
    <cellStyle name="Normal 3 2 4 2 3 6" xfId="14826" xr:uid="{00000000-0005-0000-0000-0000910C0000}"/>
    <cellStyle name="Normal 3 2 4 2 3 7" xfId="7570" xr:uid="{00000000-0005-0000-0000-0000920C0000}"/>
    <cellStyle name="Normal 3 2 4 2 4" xfId="789" xr:uid="{00000000-0005-0000-0000-0000930C0000}"/>
    <cellStyle name="Normal 3 2 4 2 4 2" xfId="1697" xr:uid="{00000000-0005-0000-0000-0000940C0000}"/>
    <cellStyle name="Normal 3 2 4 2 4 2 2" xfId="3511" xr:uid="{00000000-0005-0000-0000-0000950C0000}"/>
    <cellStyle name="Normal 3 2 4 2 4 2 2 2" xfId="7139" xr:uid="{00000000-0005-0000-0000-0000960C0000}"/>
    <cellStyle name="Normal 3 2 4 2 4 2 2 2 2" xfId="21651" xr:uid="{00000000-0005-0000-0000-0000970C0000}"/>
    <cellStyle name="Normal 3 2 4 2 4 2 2 2 3" xfId="14395" xr:uid="{00000000-0005-0000-0000-0000980C0000}"/>
    <cellStyle name="Normal 3 2 4 2 4 2 2 3" xfId="18023" xr:uid="{00000000-0005-0000-0000-0000990C0000}"/>
    <cellStyle name="Normal 3 2 4 2 4 2 2 4" xfId="10767" xr:uid="{00000000-0005-0000-0000-00009A0C0000}"/>
    <cellStyle name="Normal 3 2 4 2 4 2 3" xfId="5325" xr:uid="{00000000-0005-0000-0000-00009B0C0000}"/>
    <cellStyle name="Normal 3 2 4 2 4 2 3 2" xfId="19837" xr:uid="{00000000-0005-0000-0000-00009C0C0000}"/>
    <cellStyle name="Normal 3 2 4 2 4 2 3 3" xfId="12581" xr:uid="{00000000-0005-0000-0000-00009D0C0000}"/>
    <cellStyle name="Normal 3 2 4 2 4 2 4" xfId="16209" xr:uid="{00000000-0005-0000-0000-00009E0C0000}"/>
    <cellStyle name="Normal 3 2 4 2 4 2 5" xfId="8953" xr:uid="{00000000-0005-0000-0000-00009F0C0000}"/>
    <cellStyle name="Normal 3 2 4 2 4 3" xfId="2604" xr:uid="{00000000-0005-0000-0000-0000A00C0000}"/>
    <cellStyle name="Normal 3 2 4 2 4 3 2" xfId="6232" xr:uid="{00000000-0005-0000-0000-0000A10C0000}"/>
    <cellStyle name="Normal 3 2 4 2 4 3 2 2" xfId="20744" xr:uid="{00000000-0005-0000-0000-0000A20C0000}"/>
    <cellStyle name="Normal 3 2 4 2 4 3 2 3" xfId="13488" xr:uid="{00000000-0005-0000-0000-0000A30C0000}"/>
    <cellStyle name="Normal 3 2 4 2 4 3 3" xfId="17116" xr:uid="{00000000-0005-0000-0000-0000A40C0000}"/>
    <cellStyle name="Normal 3 2 4 2 4 3 4" xfId="9860" xr:uid="{00000000-0005-0000-0000-0000A50C0000}"/>
    <cellStyle name="Normal 3 2 4 2 4 4" xfId="4418" xr:uid="{00000000-0005-0000-0000-0000A60C0000}"/>
    <cellStyle name="Normal 3 2 4 2 4 4 2" xfId="18930" xr:uid="{00000000-0005-0000-0000-0000A70C0000}"/>
    <cellStyle name="Normal 3 2 4 2 4 4 3" xfId="11674" xr:uid="{00000000-0005-0000-0000-0000A80C0000}"/>
    <cellStyle name="Normal 3 2 4 2 4 5" xfId="15302" xr:uid="{00000000-0005-0000-0000-0000A90C0000}"/>
    <cellStyle name="Normal 3 2 4 2 4 6" xfId="8046" xr:uid="{00000000-0005-0000-0000-0000AA0C0000}"/>
    <cellStyle name="Normal 3 2 4 2 5" xfId="443" xr:uid="{00000000-0005-0000-0000-0000AB0C0000}"/>
    <cellStyle name="Normal 3 2 4 2 5 2" xfId="1351" xr:uid="{00000000-0005-0000-0000-0000AC0C0000}"/>
    <cellStyle name="Normal 3 2 4 2 5 2 2" xfId="3165" xr:uid="{00000000-0005-0000-0000-0000AD0C0000}"/>
    <cellStyle name="Normal 3 2 4 2 5 2 2 2" xfId="6793" xr:uid="{00000000-0005-0000-0000-0000AE0C0000}"/>
    <cellStyle name="Normal 3 2 4 2 5 2 2 2 2" xfId="21305" xr:uid="{00000000-0005-0000-0000-0000AF0C0000}"/>
    <cellStyle name="Normal 3 2 4 2 5 2 2 2 3" xfId="14049" xr:uid="{00000000-0005-0000-0000-0000B00C0000}"/>
    <cellStyle name="Normal 3 2 4 2 5 2 2 3" xfId="17677" xr:uid="{00000000-0005-0000-0000-0000B10C0000}"/>
    <cellStyle name="Normal 3 2 4 2 5 2 2 4" xfId="10421" xr:uid="{00000000-0005-0000-0000-0000B20C0000}"/>
    <cellStyle name="Normal 3 2 4 2 5 2 3" xfId="4979" xr:uid="{00000000-0005-0000-0000-0000B30C0000}"/>
    <cellStyle name="Normal 3 2 4 2 5 2 3 2" xfId="19491" xr:uid="{00000000-0005-0000-0000-0000B40C0000}"/>
    <cellStyle name="Normal 3 2 4 2 5 2 3 3" xfId="12235" xr:uid="{00000000-0005-0000-0000-0000B50C0000}"/>
    <cellStyle name="Normal 3 2 4 2 5 2 4" xfId="15863" xr:uid="{00000000-0005-0000-0000-0000B60C0000}"/>
    <cellStyle name="Normal 3 2 4 2 5 2 5" xfId="8607" xr:uid="{00000000-0005-0000-0000-0000B70C0000}"/>
    <cellStyle name="Normal 3 2 4 2 5 3" xfId="2258" xr:uid="{00000000-0005-0000-0000-0000B80C0000}"/>
    <cellStyle name="Normal 3 2 4 2 5 3 2" xfId="5886" xr:uid="{00000000-0005-0000-0000-0000B90C0000}"/>
    <cellStyle name="Normal 3 2 4 2 5 3 2 2" xfId="20398" xr:uid="{00000000-0005-0000-0000-0000BA0C0000}"/>
    <cellStyle name="Normal 3 2 4 2 5 3 2 3" xfId="13142" xr:uid="{00000000-0005-0000-0000-0000BB0C0000}"/>
    <cellStyle name="Normal 3 2 4 2 5 3 3" xfId="16770" xr:uid="{00000000-0005-0000-0000-0000BC0C0000}"/>
    <cellStyle name="Normal 3 2 4 2 5 3 4" xfId="9514" xr:uid="{00000000-0005-0000-0000-0000BD0C0000}"/>
    <cellStyle name="Normal 3 2 4 2 5 4" xfId="4072" xr:uid="{00000000-0005-0000-0000-0000BE0C0000}"/>
    <cellStyle name="Normal 3 2 4 2 5 4 2" xfId="18584" xr:uid="{00000000-0005-0000-0000-0000BF0C0000}"/>
    <cellStyle name="Normal 3 2 4 2 5 4 3" xfId="11328" xr:uid="{00000000-0005-0000-0000-0000C00C0000}"/>
    <cellStyle name="Normal 3 2 4 2 5 5" xfId="14956" xr:uid="{00000000-0005-0000-0000-0000C10C0000}"/>
    <cellStyle name="Normal 3 2 4 2 5 6" xfId="7700" xr:uid="{00000000-0005-0000-0000-0000C20C0000}"/>
    <cellStyle name="Normal 3 2 4 2 6" xfId="913" xr:uid="{00000000-0005-0000-0000-0000C30C0000}"/>
    <cellStyle name="Normal 3 2 4 2 6 2" xfId="1820" xr:uid="{00000000-0005-0000-0000-0000C40C0000}"/>
    <cellStyle name="Normal 3 2 4 2 6 2 2" xfId="3634" xr:uid="{00000000-0005-0000-0000-0000C50C0000}"/>
    <cellStyle name="Normal 3 2 4 2 6 2 2 2" xfId="7262" xr:uid="{00000000-0005-0000-0000-0000C60C0000}"/>
    <cellStyle name="Normal 3 2 4 2 6 2 2 2 2" xfId="21774" xr:uid="{00000000-0005-0000-0000-0000C70C0000}"/>
    <cellStyle name="Normal 3 2 4 2 6 2 2 2 3" xfId="14518" xr:uid="{00000000-0005-0000-0000-0000C80C0000}"/>
    <cellStyle name="Normal 3 2 4 2 6 2 2 3" xfId="18146" xr:uid="{00000000-0005-0000-0000-0000C90C0000}"/>
    <cellStyle name="Normal 3 2 4 2 6 2 2 4" xfId="10890" xr:uid="{00000000-0005-0000-0000-0000CA0C0000}"/>
    <cellStyle name="Normal 3 2 4 2 6 2 3" xfId="5448" xr:uid="{00000000-0005-0000-0000-0000CB0C0000}"/>
    <cellStyle name="Normal 3 2 4 2 6 2 3 2" xfId="19960" xr:uid="{00000000-0005-0000-0000-0000CC0C0000}"/>
    <cellStyle name="Normal 3 2 4 2 6 2 3 3" xfId="12704" xr:uid="{00000000-0005-0000-0000-0000CD0C0000}"/>
    <cellStyle name="Normal 3 2 4 2 6 2 4" xfId="16332" xr:uid="{00000000-0005-0000-0000-0000CE0C0000}"/>
    <cellStyle name="Normal 3 2 4 2 6 2 5" xfId="9076" xr:uid="{00000000-0005-0000-0000-0000CF0C0000}"/>
    <cellStyle name="Normal 3 2 4 2 6 3" xfId="2727" xr:uid="{00000000-0005-0000-0000-0000D00C0000}"/>
    <cellStyle name="Normal 3 2 4 2 6 3 2" xfId="6355" xr:uid="{00000000-0005-0000-0000-0000D10C0000}"/>
    <cellStyle name="Normal 3 2 4 2 6 3 2 2" xfId="20867" xr:uid="{00000000-0005-0000-0000-0000D20C0000}"/>
    <cellStyle name="Normal 3 2 4 2 6 3 2 3" xfId="13611" xr:uid="{00000000-0005-0000-0000-0000D30C0000}"/>
    <cellStyle name="Normal 3 2 4 2 6 3 3" xfId="17239" xr:uid="{00000000-0005-0000-0000-0000D40C0000}"/>
    <cellStyle name="Normal 3 2 4 2 6 3 4" xfId="9983" xr:uid="{00000000-0005-0000-0000-0000D50C0000}"/>
    <cellStyle name="Normal 3 2 4 2 6 4" xfId="4541" xr:uid="{00000000-0005-0000-0000-0000D60C0000}"/>
    <cellStyle name="Normal 3 2 4 2 6 4 2" xfId="19053" xr:uid="{00000000-0005-0000-0000-0000D70C0000}"/>
    <cellStyle name="Normal 3 2 4 2 6 4 3" xfId="11797" xr:uid="{00000000-0005-0000-0000-0000D80C0000}"/>
    <cellStyle name="Normal 3 2 4 2 6 5" xfId="15425" xr:uid="{00000000-0005-0000-0000-0000D90C0000}"/>
    <cellStyle name="Normal 3 2 4 2 6 6" xfId="8169" xr:uid="{00000000-0005-0000-0000-0000DA0C0000}"/>
    <cellStyle name="Normal 3 2 4 2 7" xfId="1005" xr:uid="{00000000-0005-0000-0000-0000DB0C0000}"/>
    <cellStyle name="Normal 3 2 4 2 7 2" xfId="2819" xr:uid="{00000000-0005-0000-0000-0000DC0C0000}"/>
    <cellStyle name="Normal 3 2 4 2 7 2 2" xfId="6447" xr:uid="{00000000-0005-0000-0000-0000DD0C0000}"/>
    <cellStyle name="Normal 3 2 4 2 7 2 2 2" xfId="20959" xr:uid="{00000000-0005-0000-0000-0000DE0C0000}"/>
    <cellStyle name="Normal 3 2 4 2 7 2 2 3" xfId="13703" xr:uid="{00000000-0005-0000-0000-0000DF0C0000}"/>
    <cellStyle name="Normal 3 2 4 2 7 2 3" xfId="17331" xr:uid="{00000000-0005-0000-0000-0000E00C0000}"/>
    <cellStyle name="Normal 3 2 4 2 7 2 4" xfId="10075" xr:uid="{00000000-0005-0000-0000-0000E10C0000}"/>
    <cellStyle name="Normal 3 2 4 2 7 3" xfId="4633" xr:uid="{00000000-0005-0000-0000-0000E20C0000}"/>
    <cellStyle name="Normal 3 2 4 2 7 3 2" xfId="19145" xr:uid="{00000000-0005-0000-0000-0000E30C0000}"/>
    <cellStyle name="Normal 3 2 4 2 7 3 3" xfId="11889" xr:uid="{00000000-0005-0000-0000-0000E40C0000}"/>
    <cellStyle name="Normal 3 2 4 2 7 4" xfId="15517" xr:uid="{00000000-0005-0000-0000-0000E50C0000}"/>
    <cellStyle name="Normal 3 2 4 2 7 5" xfId="8261" xr:uid="{00000000-0005-0000-0000-0000E60C0000}"/>
    <cellStyle name="Normal 3 2 4 2 8" xfId="1912" xr:uid="{00000000-0005-0000-0000-0000E70C0000}"/>
    <cellStyle name="Normal 3 2 4 2 8 2" xfId="5540" xr:uid="{00000000-0005-0000-0000-0000E80C0000}"/>
    <cellStyle name="Normal 3 2 4 2 8 2 2" xfId="20052" xr:uid="{00000000-0005-0000-0000-0000E90C0000}"/>
    <cellStyle name="Normal 3 2 4 2 8 2 3" xfId="12796" xr:uid="{00000000-0005-0000-0000-0000EA0C0000}"/>
    <cellStyle name="Normal 3 2 4 2 8 3" xfId="16424" xr:uid="{00000000-0005-0000-0000-0000EB0C0000}"/>
    <cellStyle name="Normal 3 2 4 2 8 4" xfId="9168" xr:uid="{00000000-0005-0000-0000-0000EC0C0000}"/>
    <cellStyle name="Normal 3 2 4 2 9" xfId="3726" xr:uid="{00000000-0005-0000-0000-0000ED0C0000}"/>
    <cellStyle name="Normal 3 2 4 2 9 2" xfId="18238" xr:uid="{00000000-0005-0000-0000-0000EE0C0000}"/>
    <cellStyle name="Normal 3 2 4 2 9 3" xfId="10982" xr:uid="{00000000-0005-0000-0000-0000EF0C0000}"/>
    <cellStyle name="Normal 3 2 4 3" xfId="227" xr:uid="{00000000-0005-0000-0000-0000F00C0000}"/>
    <cellStyle name="Normal 3 2 4 3 2" xfId="357" xr:uid="{00000000-0005-0000-0000-0000F10C0000}"/>
    <cellStyle name="Normal 3 2 4 3 2 2" xfId="703" xr:uid="{00000000-0005-0000-0000-0000F20C0000}"/>
    <cellStyle name="Normal 3 2 4 3 2 2 2" xfId="1611" xr:uid="{00000000-0005-0000-0000-0000F30C0000}"/>
    <cellStyle name="Normal 3 2 4 3 2 2 2 2" xfId="3425" xr:uid="{00000000-0005-0000-0000-0000F40C0000}"/>
    <cellStyle name="Normal 3 2 4 3 2 2 2 2 2" xfId="7053" xr:uid="{00000000-0005-0000-0000-0000F50C0000}"/>
    <cellStyle name="Normal 3 2 4 3 2 2 2 2 2 2" xfId="21565" xr:uid="{00000000-0005-0000-0000-0000F60C0000}"/>
    <cellStyle name="Normal 3 2 4 3 2 2 2 2 2 3" xfId="14309" xr:uid="{00000000-0005-0000-0000-0000F70C0000}"/>
    <cellStyle name="Normal 3 2 4 3 2 2 2 2 3" xfId="17937" xr:uid="{00000000-0005-0000-0000-0000F80C0000}"/>
    <cellStyle name="Normal 3 2 4 3 2 2 2 2 4" xfId="10681" xr:uid="{00000000-0005-0000-0000-0000F90C0000}"/>
    <cellStyle name="Normal 3 2 4 3 2 2 2 3" xfId="5239" xr:uid="{00000000-0005-0000-0000-0000FA0C0000}"/>
    <cellStyle name="Normal 3 2 4 3 2 2 2 3 2" xfId="19751" xr:uid="{00000000-0005-0000-0000-0000FB0C0000}"/>
    <cellStyle name="Normal 3 2 4 3 2 2 2 3 3" xfId="12495" xr:uid="{00000000-0005-0000-0000-0000FC0C0000}"/>
    <cellStyle name="Normal 3 2 4 3 2 2 2 4" xfId="16123" xr:uid="{00000000-0005-0000-0000-0000FD0C0000}"/>
    <cellStyle name="Normal 3 2 4 3 2 2 2 5" xfId="8867" xr:uid="{00000000-0005-0000-0000-0000FE0C0000}"/>
    <cellStyle name="Normal 3 2 4 3 2 2 3" xfId="2518" xr:uid="{00000000-0005-0000-0000-0000FF0C0000}"/>
    <cellStyle name="Normal 3 2 4 3 2 2 3 2" xfId="6146" xr:uid="{00000000-0005-0000-0000-0000000D0000}"/>
    <cellStyle name="Normal 3 2 4 3 2 2 3 2 2" xfId="20658" xr:uid="{00000000-0005-0000-0000-0000010D0000}"/>
    <cellStyle name="Normal 3 2 4 3 2 2 3 2 3" xfId="13402" xr:uid="{00000000-0005-0000-0000-0000020D0000}"/>
    <cellStyle name="Normal 3 2 4 3 2 2 3 3" xfId="17030" xr:uid="{00000000-0005-0000-0000-0000030D0000}"/>
    <cellStyle name="Normal 3 2 4 3 2 2 3 4" xfId="9774" xr:uid="{00000000-0005-0000-0000-0000040D0000}"/>
    <cellStyle name="Normal 3 2 4 3 2 2 4" xfId="4332" xr:uid="{00000000-0005-0000-0000-0000050D0000}"/>
    <cellStyle name="Normal 3 2 4 3 2 2 4 2" xfId="18844" xr:uid="{00000000-0005-0000-0000-0000060D0000}"/>
    <cellStyle name="Normal 3 2 4 3 2 2 4 3" xfId="11588" xr:uid="{00000000-0005-0000-0000-0000070D0000}"/>
    <cellStyle name="Normal 3 2 4 3 2 2 5" xfId="15216" xr:uid="{00000000-0005-0000-0000-0000080D0000}"/>
    <cellStyle name="Normal 3 2 4 3 2 2 6" xfId="7960" xr:uid="{00000000-0005-0000-0000-0000090D0000}"/>
    <cellStyle name="Normal 3 2 4 3 2 3" xfId="1265" xr:uid="{00000000-0005-0000-0000-00000A0D0000}"/>
    <cellStyle name="Normal 3 2 4 3 2 3 2" xfId="3079" xr:uid="{00000000-0005-0000-0000-00000B0D0000}"/>
    <cellStyle name="Normal 3 2 4 3 2 3 2 2" xfId="6707" xr:uid="{00000000-0005-0000-0000-00000C0D0000}"/>
    <cellStyle name="Normal 3 2 4 3 2 3 2 2 2" xfId="21219" xr:uid="{00000000-0005-0000-0000-00000D0D0000}"/>
    <cellStyle name="Normal 3 2 4 3 2 3 2 2 3" xfId="13963" xr:uid="{00000000-0005-0000-0000-00000E0D0000}"/>
    <cellStyle name="Normal 3 2 4 3 2 3 2 3" xfId="17591" xr:uid="{00000000-0005-0000-0000-00000F0D0000}"/>
    <cellStyle name="Normal 3 2 4 3 2 3 2 4" xfId="10335" xr:uid="{00000000-0005-0000-0000-0000100D0000}"/>
    <cellStyle name="Normal 3 2 4 3 2 3 3" xfId="4893" xr:uid="{00000000-0005-0000-0000-0000110D0000}"/>
    <cellStyle name="Normal 3 2 4 3 2 3 3 2" xfId="19405" xr:uid="{00000000-0005-0000-0000-0000120D0000}"/>
    <cellStyle name="Normal 3 2 4 3 2 3 3 3" xfId="12149" xr:uid="{00000000-0005-0000-0000-0000130D0000}"/>
    <cellStyle name="Normal 3 2 4 3 2 3 4" xfId="15777" xr:uid="{00000000-0005-0000-0000-0000140D0000}"/>
    <cellStyle name="Normal 3 2 4 3 2 3 5" xfId="8521" xr:uid="{00000000-0005-0000-0000-0000150D0000}"/>
    <cellStyle name="Normal 3 2 4 3 2 4" xfId="2172" xr:uid="{00000000-0005-0000-0000-0000160D0000}"/>
    <cellStyle name="Normal 3 2 4 3 2 4 2" xfId="5800" xr:uid="{00000000-0005-0000-0000-0000170D0000}"/>
    <cellStyle name="Normal 3 2 4 3 2 4 2 2" xfId="20312" xr:uid="{00000000-0005-0000-0000-0000180D0000}"/>
    <cellStyle name="Normal 3 2 4 3 2 4 2 3" xfId="13056" xr:uid="{00000000-0005-0000-0000-0000190D0000}"/>
    <cellStyle name="Normal 3 2 4 3 2 4 3" xfId="16684" xr:uid="{00000000-0005-0000-0000-00001A0D0000}"/>
    <cellStyle name="Normal 3 2 4 3 2 4 4" xfId="9428" xr:uid="{00000000-0005-0000-0000-00001B0D0000}"/>
    <cellStyle name="Normal 3 2 4 3 2 5" xfId="3986" xr:uid="{00000000-0005-0000-0000-00001C0D0000}"/>
    <cellStyle name="Normal 3 2 4 3 2 5 2" xfId="18498" xr:uid="{00000000-0005-0000-0000-00001D0D0000}"/>
    <cellStyle name="Normal 3 2 4 3 2 5 3" xfId="11242" xr:uid="{00000000-0005-0000-0000-00001E0D0000}"/>
    <cellStyle name="Normal 3 2 4 3 2 6" xfId="14870" xr:uid="{00000000-0005-0000-0000-00001F0D0000}"/>
    <cellStyle name="Normal 3 2 4 3 2 7" xfId="7614" xr:uid="{00000000-0005-0000-0000-0000200D0000}"/>
    <cellStyle name="Normal 3 2 4 3 3" xfId="833" xr:uid="{00000000-0005-0000-0000-0000210D0000}"/>
    <cellStyle name="Normal 3 2 4 3 3 2" xfId="1741" xr:uid="{00000000-0005-0000-0000-0000220D0000}"/>
    <cellStyle name="Normal 3 2 4 3 3 2 2" xfId="3555" xr:uid="{00000000-0005-0000-0000-0000230D0000}"/>
    <cellStyle name="Normal 3 2 4 3 3 2 2 2" xfId="7183" xr:uid="{00000000-0005-0000-0000-0000240D0000}"/>
    <cellStyle name="Normal 3 2 4 3 3 2 2 2 2" xfId="21695" xr:uid="{00000000-0005-0000-0000-0000250D0000}"/>
    <cellStyle name="Normal 3 2 4 3 3 2 2 2 3" xfId="14439" xr:uid="{00000000-0005-0000-0000-0000260D0000}"/>
    <cellStyle name="Normal 3 2 4 3 3 2 2 3" xfId="18067" xr:uid="{00000000-0005-0000-0000-0000270D0000}"/>
    <cellStyle name="Normal 3 2 4 3 3 2 2 4" xfId="10811" xr:uid="{00000000-0005-0000-0000-0000280D0000}"/>
    <cellStyle name="Normal 3 2 4 3 3 2 3" xfId="5369" xr:uid="{00000000-0005-0000-0000-0000290D0000}"/>
    <cellStyle name="Normal 3 2 4 3 3 2 3 2" xfId="19881" xr:uid="{00000000-0005-0000-0000-00002A0D0000}"/>
    <cellStyle name="Normal 3 2 4 3 3 2 3 3" xfId="12625" xr:uid="{00000000-0005-0000-0000-00002B0D0000}"/>
    <cellStyle name="Normal 3 2 4 3 3 2 4" xfId="16253" xr:uid="{00000000-0005-0000-0000-00002C0D0000}"/>
    <cellStyle name="Normal 3 2 4 3 3 2 5" xfId="8997" xr:uid="{00000000-0005-0000-0000-00002D0D0000}"/>
    <cellStyle name="Normal 3 2 4 3 3 3" xfId="2648" xr:uid="{00000000-0005-0000-0000-00002E0D0000}"/>
    <cellStyle name="Normal 3 2 4 3 3 3 2" xfId="6276" xr:uid="{00000000-0005-0000-0000-00002F0D0000}"/>
    <cellStyle name="Normal 3 2 4 3 3 3 2 2" xfId="20788" xr:uid="{00000000-0005-0000-0000-0000300D0000}"/>
    <cellStyle name="Normal 3 2 4 3 3 3 2 3" xfId="13532" xr:uid="{00000000-0005-0000-0000-0000310D0000}"/>
    <cellStyle name="Normal 3 2 4 3 3 3 3" xfId="17160" xr:uid="{00000000-0005-0000-0000-0000320D0000}"/>
    <cellStyle name="Normal 3 2 4 3 3 3 4" xfId="9904" xr:uid="{00000000-0005-0000-0000-0000330D0000}"/>
    <cellStyle name="Normal 3 2 4 3 3 4" xfId="4462" xr:uid="{00000000-0005-0000-0000-0000340D0000}"/>
    <cellStyle name="Normal 3 2 4 3 3 4 2" xfId="18974" xr:uid="{00000000-0005-0000-0000-0000350D0000}"/>
    <cellStyle name="Normal 3 2 4 3 3 4 3" xfId="11718" xr:uid="{00000000-0005-0000-0000-0000360D0000}"/>
    <cellStyle name="Normal 3 2 4 3 3 5" xfId="15346" xr:uid="{00000000-0005-0000-0000-0000370D0000}"/>
    <cellStyle name="Normal 3 2 4 3 3 6" xfId="8090" xr:uid="{00000000-0005-0000-0000-0000380D0000}"/>
    <cellStyle name="Normal 3 2 4 3 4" xfId="573" xr:uid="{00000000-0005-0000-0000-0000390D0000}"/>
    <cellStyle name="Normal 3 2 4 3 4 2" xfId="1481" xr:uid="{00000000-0005-0000-0000-00003A0D0000}"/>
    <cellStyle name="Normal 3 2 4 3 4 2 2" xfId="3295" xr:uid="{00000000-0005-0000-0000-00003B0D0000}"/>
    <cellStyle name="Normal 3 2 4 3 4 2 2 2" xfId="6923" xr:uid="{00000000-0005-0000-0000-00003C0D0000}"/>
    <cellStyle name="Normal 3 2 4 3 4 2 2 2 2" xfId="21435" xr:uid="{00000000-0005-0000-0000-00003D0D0000}"/>
    <cellStyle name="Normal 3 2 4 3 4 2 2 2 3" xfId="14179" xr:uid="{00000000-0005-0000-0000-00003E0D0000}"/>
    <cellStyle name="Normal 3 2 4 3 4 2 2 3" xfId="17807" xr:uid="{00000000-0005-0000-0000-00003F0D0000}"/>
    <cellStyle name="Normal 3 2 4 3 4 2 2 4" xfId="10551" xr:uid="{00000000-0005-0000-0000-0000400D0000}"/>
    <cellStyle name="Normal 3 2 4 3 4 2 3" xfId="5109" xr:uid="{00000000-0005-0000-0000-0000410D0000}"/>
    <cellStyle name="Normal 3 2 4 3 4 2 3 2" xfId="19621" xr:uid="{00000000-0005-0000-0000-0000420D0000}"/>
    <cellStyle name="Normal 3 2 4 3 4 2 3 3" xfId="12365" xr:uid="{00000000-0005-0000-0000-0000430D0000}"/>
    <cellStyle name="Normal 3 2 4 3 4 2 4" xfId="15993" xr:uid="{00000000-0005-0000-0000-0000440D0000}"/>
    <cellStyle name="Normal 3 2 4 3 4 2 5" xfId="8737" xr:uid="{00000000-0005-0000-0000-0000450D0000}"/>
    <cellStyle name="Normal 3 2 4 3 4 3" xfId="2388" xr:uid="{00000000-0005-0000-0000-0000460D0000}"/>
    <cellStyle name="Normal 3 2 4 3 4 3 2" xfId="6016" xr:uid="{00000000-0005-0000-0000-0000470D0000}"/>
    <cellStyle name="Normal 3 2 4 3 4 3 2 2" xfId="20528" xr:uid="{00000000-0005-0000-0000-0000480D0000}"/>
    <cellStyle name="Normal 3 2 4 3 4 3 2 3" xfId="13272" xr:uid="{00000000-0005-0000-0000-0000490D0000}"/>
    <cellStyle name="Normal 3 2 4 3 4 3 3" xfId="16900" xr:uid="{00000000-0005-0000-0000-00004A0D0000}"/>
    <cellStyle name="Normal 3 2 4 3 4 3 4" xfId="9644" xr:uid="{00000000-0005-0000-0000-00004B0D0000}"/>
    <cellStyle name="Normal 3 2 4 3 4 4" xfId="4202" xr:uid="{00000000-0005-0000-0000-00004C0D0000}"/>
    <cellStyle name="Normal 3 2 4 3 4 4 2" xfId="18714" xr:uid="{00000000-0005-0000-0000-00004D0D0000}"/>
    <cellStyle name="Normal 3 2 4 3 4 4 3" xfId="11458" xr:uid="{00000000-0005-0000-0000-00004E0D0000}"/>
    <cellStyle name="Normal 3 2 4 3 4 5" xfId="15086" xr:uid="{00000000-0005-0000-0000-00004F0D0000}"/>
    <cellStyle name="Normal 3 2 4 3 4 6" xfId="7830" xr:uid="{00000000-0005-0000-0000-0000500D0000}"/>
    <cellStyle name="Normal 3 2 4 3 5" xfId="1135" xr:uid="{00000000-0005-0000-0000-0000510D0000}"/>
    <cellStyle name="Normal 3 2 4 3 5 2" xfId="2949" xr:uid="{00000000-0005-0000-0000-0000520D0000}"/>
    <cellStyle name="Normal 3 2 4 3 5 2 2" xfId="6577" xr:uid="{00000000-0005-0000-0000-0000530D0000}"/>
    <cellStyle name="Normal 3 2 4 3 5 2 2 2" xfId="21089" xr:uid="{00000000-0005-0000-0000-0000540D0000}"/>
    <cellStyle name="Normal 3 2 4 3 5 2 2 3" xfId="13833" xr:uid="{00000000-0005-0000-0000-0000550D0000}"/>
    <cellStyle name="Normal 3 2 4 3 5 2 3" xfId="17461" xr:uid="{00000000-0005-0000-0000-0000560D0000}"/>
    <cellStyle name="Normal 3 2 4 3 5 2 4" xfId="10205" xr:uid="{00000000-0005-0000-0000-0000570D0000}"/>
    <cellStyle name="Normal 3 2 4 3 5 3" xfId="4763" xr:uid="{00000000-0005-0000-0000-0000580D0000}"/>
    <cellStyle name="Normal 3 2 4 3 5 3 2" xfId="19275" xr:uid="{00000000-0005-0000-0000-0000590D0000}"/>
    <cellStyle name="Normal 3 2 4 3 5 3 3" xfId="12019" xr:uid="{00000000-0005-0000-0000-00005A0D0000}"/>
    <cellStyle name="Normal 3 2 4 3 5 4" xfId="15647" xr:uid="{00000000-0005-0000-0000-00005B0D0000}"/>
    <cellStyle name="Normal 3 2 4 3 5 5" xfId="8391" xr:uid="{00000000-0005-0000-0000-00005C0D0000}"/>
    <cellStyle name="Normal 3 2 4 3 6" xfId="2042" xr:uid="{00000000-0005-0000-0000-00005D0D0000}"/>
    <cellStyle name="Normal 3 2 4 3 6 2" xfId="5670" xr:uid="{00000000-0005-0000-0000-00005E0D0000}"/>
    <cellStyle name="Normal 3 2 4 3 6 2 2" xfId="20182" xr:uid="{00000000-0005-0000-0000-00005F0D0000}"/>
    <cellStyle name="Normal 3 2 4 3 6 2 3" xfId="12926" xr:uid="{00000000-0005-0000-0000-0000600D0000}"/>
    <cellStyle name="Normal 3 2 4 3 6 3" xfId="16554" xr:uid="{00000000-0005-0000-0000-0000610D0000}"/>
    <cellStyle name="Normal 3 2 4 3 6 4" xfId="9298" xr:uid="{00000000-0005-0000-0000-0000620D0000}"/>
    <cellStyle name="Normal 3 2 4 3 7" xfId="3856" xr:uid="{00000000-0005-0000-0000-0000630D0000}"/>
    <cellStyle name="Normal 3 2 4 3 7 2" xfId="18368" xr:uid="{00000000-0005-0000-0000-0000640D0000}"/>
    <cellStyle name="Normal 3 2 4 3 7 3" xfId="11112" xr:uid="{00000000-0005-0000-0000-0000650D0000}"/>
    <cellStyle name="Normal 3 2 4 3 8" xfId="14740" xr:uid="{00000000-0005-0000-0000-0000660D0000}"/>
    <cellStyle name="Normal 3 2 4 3 9" xfId="7484" xr:uid="{00000000-0005-0000-0000-0000670D0000}"/>
    <cellStyle name="Normal 3 2 4 4" xfId="141" xr:uid="{00000000-0005-0000-0000-0000680D0000}"/>
    <cellStyle name="Normal 3 2 4 4 2" xfId="487" xr:uid="{00000000-0005-0000-0000-0000690D0000}"/>
    <cellStyle name="Normal 3 2 4 4 2 2" xfId="1395" xr:uid="{00000000-0005-0000-0000-00006A0D0000}"/>
    <cellStyle name="Normal 3 2 4 4 2 2 2" xfId="3209" xr:uid="{00000000-0005-0000-0000-00006B0D0000}"/>
    <cellStyle name="Normal 3 2 4 4 2 2 2 2" xfId="6837" xr:uid="{00000000-0005-0000-0000-00006C0D0000}"/>
    <cellStyle name="Normal 3 2 4 4 2 2 2 2 2" xfId="21349" xr:uid="{00000000-0005-0000-0000-00006D0D0000}"/>
    <cellStyle name="Normal 3 2 4 4 2 2 2 2 3" xfId="14093" xr:uid="{00000000-0005-0000-0000-00006E0D0000}"/>
    <cellStyle name="Normal 3 2 4 4 2 2 2 3" xfId="17721" xr:uid="{00000000-0005-0000-0000-00006F0D0000}"/>
    <cellStyle name="Normal 3 2 4 4 2 2 2 4" xfId="10465" xr:uid="{00000000-0005-0000-0000-0000700D0000}"/>
    <cellStyle name="Normal 3 2 4 4 2 2 3" xfId="5023" xr:uid="{00000000-0005-0000-0000-0000710D0000}"/>
    <cellStyle name="Normal 3 2 4 4 2 2 3 2" xfId="19535" xr:uid="{00000000-0005-0000-0000-0000720D0000}"/>
    <cellStyle name="Normal 3 2 4 4 2 2 3 3" xfId="12279" xr:uid="{00000000-0005-0000-0000-0000730D0000}"/>
    <cellStyle name="Normal 3 2 4 4 2 2 4" xfId="15907" xr:uid="{00000000-0005-0000-0000-0000740D0000}"/>
    <cellStyle name="Normal 3 2 4 4 2 2 5" xfId="8651" xr:uid="{00000000-0005-0000-0000-0000750D0000}"/>
    <cellStyle name="Normal 3 2 4 4 2 3" xfId="2302" xr:uid="{00000000-0005-0000-0000-0000760D0000}"/>
    <cellStyle name="Normal 3 2 4 4 2 3 2" xfId="5930" xr:uid="{00000000-0005-0000-0000-0000770D0000}"/>
    <cellStyle name="Normal 3 2 4 4 2 3 2 2" xfId="20442" xr:uid="{00000000-0005-0000-0000-0000780D0000}"/>
    <cellStyle name="Normal 3 2 4 4 2 3 2 3" xfId="13186" xr:uid="{00000000-0005-0000-0000-0000790D0000}"/>
    <cellStyle name="Normal 3 2 4 4 2 3 3" xfId="16814" xr:uid="{00000000-0005-0000-0000-00007A0D0000}"/>
    <cellStyle name="Normal 3 2 4 4 2 3 4" xfId="9558" xr:uid="{00000000-0005-0000-0000-00007B0D0000}"/>
    <cellStyle name="Normal 3 2 4 4 2 4" xfId="4116" xr:uid="{00000000-0005-0000-0000-00007C0D0000}"/>
    <cellStyle name="Normal 3 2 4 4 2 4 2" xfId="18628" xr:uid="{00000000-0005-0000-0000-00007D0D0000}"/>
    <cellStyle name="Normal 3 2 4 4 2 4 3" xfId="11372" xr:uid="{00000000-0005-0000-0000-00007E0D0000}"/>
    <cellStyle name="Normal 3 2 4 4 2 5" xfId="15000" xr:uid="{00000000-0005-0000-0000-00007F0D0000}"/>
    <cellStyle name="Normal 3 2 4 4 2 6" xfId="7744" xr:uid="{00000000-0005-0000-0000-0000800D0000}"/>
    <cellStyle name="Normal 3 2 4 4 3" xfId="1049" xr:uid="{00000000-0005-0000-0000-0000810D0000}"/>
    <cellStyle name="Normal 3 2 4 4 3 2" xfId="2863" xr:uid="{00000000-0005-0000-0000-0000820D0000}"/>
    <cellStyle name="Normal 3 2 4 4 3 2 2" xfId="6491" xr:uid="{00000000-0005-0000-0000-0000830D0000}"/>
    <cellStyle name="Normal 3 2 4 4 3 2 2 2" xfId="21003" xr:uid="{00000000-0005-0000-0000-0000840D0000}"/>
    <cellStyle name="Normal 3 2 4 4 3 2 2 3" xfId="13747" xr:uid="{00000000-0005-0000-0000-0000850D0000}"/>
    <cellStyle name="Normal 3 2 4 4 3 2 3" xfId="17375" xr:uid="{00000000-0005-0000-0000-0000860D0000}"/>
    <cellStyle name="Normal 3 2 4 4 3 2 4" xfId="10119" xr:uid="{00000000-0005-0000-0000-0000870D0000}"/>
    <cellStyle name="Normal 3 2 4 4 3 3" xfId="4677" xr:uid="{00000000-0005-0000-0000-0000880D0000}"/>
    <cellStyle name="Normal 3 2 4 4 3 3 2" xfId="19189" xr:uid="{00000000-0005-0000-0000-0000890D0000}"/>
    <cellStyle name="Normal 3 2 4 4 3 3 3" xfId="11933" xr:uid="{00000000-0005-0000-0000-00008A0D0000}"/>
    <cellStyle name="Normal 3 2 4 4 3 4" xfId="15561" xr:uid="{00000000-0005-0000-0000-00008B0D0000}"/>
    <cellStyle name="Normal 3 2 4 4 3 5" xfId="8305" xr:uid="{00000000-0005-0000-0000-00008C0D0000}"/>
    <cellStyle name="Normal 3 2 4 4 4" xfId="1956" xr:uid="{00000000-0005-0000-0000-00008D0D0000}"/>
    <cellStyle name="Normal 3 2 4 4 4 2" xfId="5584" xr:uid="{00000000-0005-0000-0000-00008E0D0000}"/>
    <cellStyle name="Normal 3 2 4 4 4 2 2" xfId="20096" xr:uid="{00000000-0005-0000-0000-00008F0D0000}"/>
    <cellStyle name="Normal 3 2 4 4 4 2 3" xfId="12840" xr:uid="{00000000-0005-0000-0000-0000900D0000}"/>
    <cellStyle name="Normal 3 2 4 4 4 3" xfId="16468" xr:uid="{00000000-0005-0000-0000-0000910D0000}"/>
    <cellStyle name="Normal 3 2 4 4 4 4" xfId="9212" xr:uid="{00000000-0005-0000-0000-0000920D0000}"/>
    <cellStyle name="Normal 3 2 4 4 5" xfId="3770" xr:uid="{00000000-0005-0000-0000-0000930D0000}"/>
    <cellStyle name="Normal 3 2 4 4 5 2" xfId="18282" xr:uid="{00000000-0005-0000-0000-0000940D0000}"/>
    <cellStyle name="Normal 3 2 4 4 5 3" xfId="11026" xr:uid="{00000000-0005-0000-0000-0000950D0000}"/>
    <cellStyle name="Normal 3 2 4 4 6" xfId="14654" xr:uid="{00000000-0005-0000-0000-0000960D0000}"/>
    <cellStyle name="Normal 3 2 4 4 7" xfId="7398" xr:uid="{00000000-0005-0000-0000-0000970D0000}"/>
    <cellStyle name="Normal 3 2 4 5" xfId="271" xr:uid="{00000000-0005-0000-0000-0000980D0000}"/>
    <cellStyle name="Normal 3 2 4 5 2" xfId="617" xr:uid="{00000000-0005-0000-0000-0000990D0000}"/>
    <cellStyle name="Normal 3 2 4 5 2 2" xfId="1525" xr:uid="{00000000-0005-0000-0000-00009A0D0000}"/>
    <cellStyle name="Normal 3 2 4 5 2 2 2" xfId="3339" xr:uid="{00000000-0005-0000-0000-00009B0D0000}"/>
    <cellStyle name="Normal 3 2 4 5 2 2 2 2" xfId="6967" xr:uid="{00000000-0005-0000-0000-00009C0D0000}"/>
    <cellStyle name="Normal 3 2 4 5 2 2 2 2 2" xfId="21479" xr:uid="{00000000-0005-0000-0000-00009D0D0000}"/>
    <cellStyle name="Normal 3 2 4 5 2 2 2 2 3" xfId="14223" xr:uid="{00000000-0005-0000-0000-00009E0D0000}"/>
    <cellStyle name="Normal 3 2 4 5 2 2 2 3" xfId="17851" xr:uid="{00000000-0005-0000-0000-00009F0D0000}"/>
    <cellStyle name="Normal 3 2 4 5 2 2 2 4" xfId="10595" xr:uid="{00000000-0005-0000-0000-0000A00D0000}"/>
    <cellStyle name="Normal 3 2 4 5 2 2 3" xfId="5153" xr:uid="{00000000-0005-0000-0000-0000A10D0000}"/>
    <cellStyle name="Normal 3 2 4 5 2 2 3 2" xfId="19665" xr:uid="{00000000-0005-0000-0000-0000A20D0000}"/>
    <cellStyle name="Normal 3 2 4 5 2 2 3 3" xfId="12409" xr:uid="{00000000-0005-0000-0000-0000A30D0000}"/>
    <cellStyle name="Normal 3 2 4 5 2 2 4" xfId="16037" xr:uid="{00000000-0005-0000-0000-0000A40D0000}"/>
    <cellStyle name="Normal 3 2 4 5 2 2 5" xfId="8781" xr:uid="{00000000-0005-0000-0000-0000A50D0000}"/>
    <cellStyle name="Normal 3 2 4 5 2 3" xfId="2432" xr:uid="{00000000-0005-0000-0000-0000A60D0000}"/>
    <cellStyle name="Normal 3 2 4 5 2 3 2" xfId="6060" xr:uid="{00000000-0005-0000-0000-0000A70D0000}"/>
    <cellStyle name="Normal 3 2 4 5 2 3 2 2" xfId="20572" xr:uid="{00000000-0005-0000-0000-0000A80D0000}"/>
    <cellStyle name="Normal 3 2 4 5 2 3 2 3" xfId="13316" xr:uid="{00000000-0005-0000-0000-0000A90D0000}"/>
    <cellStyle name="Normal 3 2 4 5 2 3 3" xfId="16944" xr:uid="{00000000-0005-0000-0000-0000AA0D0000}"/>
    <cellStyle name="Normal 3 2 4 5 2 3 4" xfId="9688" xr:uid="{00000000-0005-0000-0000-0000AB0D0000}"/>
    <cellStyle name="Normal 3 2 4 5 2 4" xfId="4246" xr:uid="{00000000-0005-0000-0000-0000AC0D0000}"/>
    <cellStyle name="Normal 3 2 4 5 2 4 2" xfId="18758" xr:uid="{00000000-0005-0000-0000-0000AD0D0000}"/>
    <cellStyle name="Normal 3 2 4 5 2 4 3" xfId="11502" xr:uid="{00000000-0005-0000-0000-0000AE0D0000}"/>
    <cellStyle name="Normal 3 2 4 5 2 5" xfId="15130" xr:uid="{00000000-0005-0000-0000-0000AF0D0000}"/>
    <cellStyle name="Normal 3 2 4 5 2 6" xfId="7874" xr:uid="{00000000-0005-0000-0000-0000B00D0000}"/>
    <cellStyle name="Normal 3 2 4 5 3" xfId="1179" xr:uid="{00000000-0005-0000-0000-0000B10D0000}"/>
    <cellStyle name="Normal 3 2 4 5 3 2" xfId="2993" xr:uid="{00000000-0005-0000-0000-0000B20D0000}"/>
    <cellStyle name="Normal 3 2 4 5 3 2 2" xfId="6621" xr:uid="{00000000-0005-0000-0000-0000B30D0000}"/>
    <cellStyle name="Normal 3 2 4 5 3 2 2 2" xfId="21133" xr:uid="{00000000-0005-0000-0000-0000B40D0000}"/>
    <cellStyle name="Normal 3 2 4 5 3 2 2 3" xfId="13877" xr:uid="{00000000-0005-0000-0000-0000B50D0000}"/>
    <cellStyle name="Normal 3 2 4 5 3 2 3" xfId="17505" xr:uid="{00000000-0005-0000-0000-0000B60D0000}"/>
    <cellStyle name="Normal 3 2 4 5 3 2 4" xfId="10249" xr:uid="{00000000-0005-0000-0000-0000B70D0000}"/>
    <cellStyle name="Normal 3 2 4 5 3 3" xfId="4807" xr:uid="{00000000-0005-0000-0000-0000B80D0000}"/>
    <cellStyle name="Normal 3 2 4 5 3 3 2" xfId="19319" xr:uid="{00000000-0005-0000-0000-0000B90D0000}"/>
    <cellStyle name="Normal 3 2 4 5 3 3 3" xfId="12063" xr:uid="{00000000-0005-0000-0000-0000BA0D0000}"/>
    <cellStyle name="Normal 3 2 4 5 3 4" xfId="15691" xr:uid="{00000000-0005-0000-0000-0000BB0D0000}"/>
    <cellStyle name="Normal 3 2 4 5 3 5" xfId="8435" xr:uid="{00000000-0005-0000-0000-0000BC0D0000}"/>
    <cellStyle name="Normal 3 2 4 5 4" xfId="2086" xr:uid="{00000000-0005-0000-0000-0000BD0D0000}"/>
    <cellStyle name="Normal 3 2 4 5 4 2" xfId="5714" xr:uid="{00000000-0005-0000-0000-0000BE0D0000}"/>
    <cellStyle name="Normal 3 2 4 5 4 2 2" xfId="20226" xr:uid="{00000000-0005-0000-0000-0000BF0D0000}"/>
    <cellStyle name="Normal 3 2 4 5 4 2 3" xfId="12970" xr:uid="{00000000-0005-0000-0000-0000C00D0000}"/>
    <cellStyle name="Normal 3 2 4 5 4 3" xfId="16598" xr:uid="{00000000-0005-0000-0000-0000C10D0000}"/>
    <cellStyle name="Normal 3 2 4 5 4 4" xfId="9342" xr:uid="{00000000-0005-0000-0000-0000C20D0000}"/>
    <cellStyle name="Normal 3 2 4 5 5" xfId="3900" xr:uid="{00000000-0005-0000-0000-0000C30D0000}"/>
    <cellStyle name="Normal 3 2 4 5 5 2" xfId="18412" xr:uid="{00000000-0005-0000-0000-0000C40D0000}"/>
    <cellStyle name="Normal 3 2 4 5 5 3" xfId="11156" xr:uid="{00000000-0005-0000-0000-0000C50D0000}"/>
    <cellStyle name="Normal 3 2 4 5 6" xfId="14784" xr:uid="{00000000-0005-0000-0000-0000C60D0000}"/>
    <cellStyle name="Normal 3 2 4 5 7" xfId="7528" xr:uid="{00000000-0005-0000-0000-0000C70D0000}"/>
    <cellStyle name="Normal 3 2 4 6" xfId="747" xr:uid="{00000000-0005-0000-0000-0000C80D0000}"/>
    <cellStyle name="Normal 3 2 4 6 2" xfId="1655" xr:uid="{00000000-0005-0000-0000-0000C90D0000}"/>
    <cellStyle name="Normal 3 2 4 6 2 2" xfId="3469" xr:uid="{00000000-0005-0000-0000-0000CA0D0000}"/>
    <cellStyle name="Normal 3 2 4 6 2 2 2" xfId="7097" xr:uid="{00000000-0005-0000-0000-0000CB0D0000}"/>
    <cellStyle name="Normal 3 2 4 6 2 2 2 2" xfId="21609" xr:uid="{00000000-0005-0000-0000-0000CC0D0000}"/>
    <cellStyle name="Normal 3 2 4 6 2 2 2 3" xfId="14353" xr:uid="{00000000-0005-0000-0000-0000CD0D0000}"/>
    <cellStyle name="Normal 3 2 4 6 2 2 3" xfId="17981" xr:uid="{00000000-0005-0000-0000-0000CE0D0000}"/>
    <cellStyle name="Normal 3 2 4 6 2 2 4" xfId="10725" xr:uid="{00000000-0005-0000-0000-0000CF0D0000}"/>
    <cellStyle name="Normal 3 2 4 6 2 3" xfId="5283" xr:uid="{00000000-0005-0000-0000-0000D00D0000}"/>
    <cellStyle name="Normal 3 2 4 6 2 3 2" xfId="19795" xr:uid="{00000000-0005-0000-0000-0000D10D0000}"/>
    <cellStyle name="Normal 3 2 4 6 2 3 3" xfId="12539" xr:uid="{00000000-0005-0000-0000-0000D20D0000}"/>
    <cellStyle name="Normal 3 2 4 6 2 4" xfId="16167" xr:uid="{00000000-0005-0000-0000-0000D30D0000}"/>
    <cellStyle name="Normal 3 2 4 6 2 5" xfId="8911" xr:uid="{00000000-0005-0000-0000-0000D40D0000}"/>
    <cellStyle name="Normal 3 2 4 6 3" xfId="2562" xr:uid="{00000000-0005-0000-0000-0000D50D0000}"/>
    <cellStyle name="Normal 3 2 4 6 3 2" xfId="6190" xr:uid="{00000000-0005-0000-0000-0000D60D0000}"/>
    <cellStyle name="Normal 3 2 4 6 3 2 2" xfId="20702" xr:uid="{00000000-0005-0000-0000-0000D70D0000}"/>
    <cellStyle name="Normal 3 2 4 6 3 2 3" xfId="13446" xr:uid="{00000000-0005-0000-0000-0000D80D0000}"/>
    <cellStyle name="Normal 3 2 4 6 3 3" xfId="17074" xr:uid="{00000000-0005-0000-0000-0000D90D0000}"/>
    <cellStyle name="Normal 3 2 4 6 3 4" xfId="9818" xr:uid="{00000000-0005-0000-0000-0000DA0D0000}"/>
    <cellStyle name="Normal 3 2 4 6 4" xfId="4376" xr:uid="{00000000-0005-0000-0000-0000DB0D0000}"/>
    <cellStyle name="Normal 3 2 4 6 4 2" xfId="18888" xr:uid="{00000000-0005-0000-0000-0000DC0D0000}"/>
    <cellStyle name="Normal 3 2 4 6 4 3" xfId="11632" xr:uid="{00000000-0005-0000-0000-0000DD0D0000}"/>
    <cellStyle name="Normal 3 2 4 6 5" xfId="15260" xr:uid="{00000000-0005-0000-0000-0000DE0D0000}"/>
    <cellStyle name="Normal 3 2 4 6 6" xfId="8004" xr:uid="{00000000-0005-0000-0000-0000DF0D0000}"/>
    <cellStyle name="Normal 3 2 4 7" xfId="401" xr:uid="{00000000-0005-0000-0000-0000E00D0000}"/>
    <cellStyle name="Normal 3 2 4 7 2" xfId="1309" xr:uid="{00000000-0005-0000-0000-0000E10D0000}"/>
    <cellStyle name="Normal 3 2 4 7 2 2" xfId="3123" xr:uid="{00000000-0005-0000-0000-0000E20D0000}"/>
    <cellStyle name="Normal 3 2 4 7 2 2 2" xfId="6751" xr:uid="{00000000-0005-0000-0000-0000E30D0000}"/>
    <cellStyle name="Normal 3 2 4 7 2 2 2 2" xfId="21263" xr:uid="{00000000-0005-0000-0000-0000E40D0000}"/>
    <cellStyle name="Normal 3 2 4 7 2 2 2 3" xfId="14007" xr:uid="{00000000-0005-0000-0000-0000E50D0000}"/>
    <cellStyle name="Normal 3 2 4 7 2 2 3" xfId="17635" xr:uid="{00000000-0005-0000-0000-0000E60D0000}"/>
    <cellStyle name="Normal 3 2 4 7 2 2 4" xfId="10379" xr:uid="{00000000-0005-0000-0000-0000E70D0000}"/>
    <cellStyle name="Normal 3 2 4 7 2 3" xfId="4937" xr:uid="{00000000-0005-0000-0000-0000E80D0000}"/>
    <cellStyle name="Normal 3 2 4 7 2 3 2" xfId="19449" xr:uid="{00000000-0005-0000-0000-0000E90D0000}"/>
    <cellStyle name="Normal 3 2 4 7 2 3 3" xfId="12193" xr:uid="{00000000-0005-0000-0000-0000EA0D0000}"/>
    <cellStyle name="Normal 3 2 4 7 2 4" xfId="15821" xr:uid="{00000000-0005-0000-0000-0000EB0D0000}"/>
    <cellStyle name="Normal 3 2 4 7 2 5" xfId="8565" xr:uid="{00000000-0005-0000-0000-0000EC0D0000}"/>
    <cellStyle name="Normal 3 2 4 7 3" xfId="2216" xr:uid="{00000000-0005-0000-0000-0000ED0D0000}"/>
    <cellStyle name="Normal 3 2 4 7 3 2" xfId="5844" xr:uid="{00000000-0005-0000-0000-0000EE0D0000}"/>
    <cellStyle name="Normal 3 2 4 7 3 2 2" xfId="20356" xr:uid="{00000000-0005-0000-0000-0000EF0D0000}"/>
    <cellStyle name="Normal 3 2 4 7 3 2 3" xfId="13100" xr:uid="{00000000-0005-0000-0000-0000F00D0000}"/>
    <cellStyle name="Normal 3 2 4 7 3 3" xfId="16728" xr:uid="{00000000-0005-0000-0000-0000F10D0000}"/>
    <cellStyle name="Normal 3 2 4 7 3 4" xfId="9472" xr:uid="{00000000-0005-0000-0000-0000F20D0000}"/>
    <cellStyle name="Normal 3 2 4 7 4" xfId="4030" xr:uid="{00000000-0005-0000-0000-0000F30D0000}"/>
    <cellStyle name="Normal 3 2 4 7 4 2" xfId="18542" xr:uid="{00000000-0005-0000-0000-0000F40D0000}"/>
    <cellStyle name="Normal 3 2 4 7 4 3" xfId="11286" xr:uid="{00000000-0005-0000-0000-0000F50D0000}"/>
    <cellStyle name="Normal 3 2 4 7 5" xfId="14914" xr:uid="{00000000-0005-0000-0000-0000F60D0000}"/>
    <cellStyle name="Normal 3 2 4 7 6" xfId="7658" xr:uid="{00000000-0005-0000-0000-0000F70D0000}"/>
    <cellStyle name="Normal 3 2 4 8" xfId="869" xr:uid="{00000000-0005-0000-0000-0000F80D0000}"/>
    <cellStyle name="Normal 3 2 4 8 2" xfId="1777" xr:uid="{00000000-0005-0000-0000-0000F90D0000}"/>
    <cellStyle name="Normal 3 2 4 8 2 2" xfId="3591" xr:uid="{00000000-0005-0000-0000-0000FA0D0000}"/>
    <cellStyle name="Normal 3 2 4 8 2 2 2" xfId="7219" xr:uid="{00000000-0005-0000-0000-0000FB0D0000}"/>
    <cellStyle name="Normal 3 2 4 8 2 2 2 2" xfId="21731" xr:uid="{00000000-0005-0000-0000-0000FC0D0000}"/>
    <cellStyle name="Normal 3 2 4 8 2 2 2 3" xfId="14475" xr:uid="{00000000-0005-0000-0000-0000FD0D0000}"/>
    <cellStyle name="Normal 3 2 4 8 2 2 3" xfId="18103" xr:uid="{00000000-0005-0000-0000-0000FE0D0000}"/>
    <cellStyle name="Normal 3 2 4 8 2 2 4" xfId="10847" xr:uid="{00000000-0005-0000-0000-0000FF0D0000}"/>
    <cellStyle name="Normal 3 2 4 8 2 3" xfId="5405" xr:uid="{00000000-0005-0000-0000-0000000E0000}"/>
    <cellStyle name="Normal 3 2 4 8 2 3 2" xfId="19917" xr:uid="{00000000-0005-0000-0000-0000010E0000}"/>
    <cellStyle name="Normal 3 2 4 8 2 3 3" xfId="12661" xr:uid="{00000000-0005-0000-0000-0000020E0000}"/>
    <cellStyle name="Normal 3 2 4 8 2 4" xfId="16289" xr:uid="{00000000-0005-0000-0000-0000030E0000}"/>
    <cellStyle name="Normal 3 2 4 8 2 5" xfId="9033" xr:uid="{00000000-0005-0000-0000-0000040E0000}"/>
    <cellStyle name="Normal 3 2 4 8 3" xfId="2684" xr:uid="{00000000-0005-0000-0000-0000050E0000}"/>
    <cellStyle name="Normal 3 2 4 8 3 2" xfId="6312" xr:uid="{00000000-0005-0000-0000-0000060E0000}"/>
    <cellStyle name="Normal 3 2 4 8 3 2 2" xfId="20824" xr:uid="{00000000-0005-0000-0000-0000070E0000}"/>
    <cellStyle name="Normal 3 2 4 8 3 2 3" xfId="13568" xr:uid="{00000000-0005-0000-0000-0000080E0000}"/>
    <cellStyle name="Normal 3 2 4 8 3 3" xfId="17196" xr:uid="{00000000-0005-0000-0000-0000090E0000}"/>
    <cellStyle name="Normal 3 2 4 8 3 4" xfId="9940" xr:uid="{00000000-0005-0000-0000-00000A0E0000}"/>
    <cellStyle name="Normal 3 2 4 8 4" xfId="4498" xr:uid="{00000000-0005-0000-0000-00000B0E0000}"/>
    <cellStyle name="Normal 3 2 4 8 4 2" xfId="19010" xr:uid="{00000000-0005-0000-0000-00000C0E0000}"/>
    <cellStyle name="Normal 3 2 4 8 4 3" xfId="11754" xr:uid="{00000000-0005-0000-0000-00000D0E0000}"/>
    <cellStyle name="Normal 3 2 4 8 5" xfId="15382" xr:uid="{00000000-0005-0000-0000-00000E0E0000}"/>
    <cellStyle name="Normal 3 2 4 8 6" xfId="8126" xr:uid="{00000000-0005-0000-0000-00000F0E0000}"/>
    <cellStyle name="Normal 3 2 4 9" xfId="963" xr:uid="{00000000-0005-0000-0000-0000100E0000}"/>
    <cellStyle name="Normal 3 2 4 9 2" xfId="2777" xr:uid="{00000000-0005-0000-0000-0000110E0000}"/>
    <cellStyle name="Normal 3 2 4 9 2 2" xfId="6405" xr:uid="{00000000-0005-0000-0000-0000120E0000}"/>
    <cellStyle name="Normal 3 2 4 9 2 2 2" xfId="20917" xr:uid="{00000000-0005-0000-0000-0000130E0000}"/>
    <cellStyle name="Normal 3 2 4 9 2 2 3" xfId="13661" xr:uid="{00000000-0005-0000-0000-0000140E0000}"/>
    <cellStyle name="Normal 3 2 4 9 2 3" xfId="17289" xr:uid="{00000000-0005-0000-0000-0000150E0000}"/>
    <cellStyle name="Normal 3 2 4 9 2 4" xfId="10033" xr:uid="{00000000-0005-0000-0000-0000160E0000}"/>
    <cellStyle name="Normal 3 2 4 9 3" xfId="4591" xr:uid="{00000000-0005-0000-0000-0000170E0000}"/>
    <cellStyle name="Normal 3 2 4 9 3 2" xfId="19103" xr:uid="{00000000-0005-0000-0000-0000180E0000}"/>
    <cellStyle name="Normal 3 2 4 9 3 3" xfId="11847" xr:uid="{00000000-0005-0000-0000-0000190E0000}"/>
    <cellStyle name="Normal 3 2 4 9 4" xfId="15475" xr:uid="{00000000-0005-0000-0000-00001A0E0000}"/>
    <cellStyle name="Normal 3 2 4 9 5" xfId="8219" xr:uid="{00000000-0005-0000-0000-00001B0E0000}"/>
    <cellStyle name="Normal 3 2 5" xfId="74" xr:uid="{00000000-0005-0000-0000-00001C0E0000}"/>
    <cellStyle name="Normal 3 2 5 10" xfId="14589" xr:uid="{00000000-0005-0000-0000-00001D0E0000}"/>
    <cellStyle name="Normal 3 2 5 11" xfId="7333" xr:uid="{00000000-0005-0000-0000-00001E0E0000}"/>
    <cellStyle name="Normal 3 2 5 2" xfId="162" xr:uid="{00000000-0005-0000-0000-00001F0E0000}"/>
    <cellStyle name="Normal 3 2 5 2 2" xfId="508" xr:uid="{00000000-0005-0000-0000-0000200E0000}"/>
    <cellStyle name="Normal 3 2 5 2 2 2" xfId="1416" xr:uid="{00000000-0005-0000-0000-0000210E0000}"/>
    <cellStyle name="Normal 3 2 5 2 2 2 2" xfId="3230" xr:uid="{00000000-0005-0000-0000-0000220E0000}"/>
    <cellStyle name="Normal 3 2 5 2 2 2 2 2" xfId="6858" xr:uid="{00000000-0005-0000-0000-0000230E0000}"/>
    <cellStyle name="Normal 3 2 5 2 2 2 2 2 2" xfId="21370" xr:uid="{00000000-0005-0000-0000-0000240E0000}"/>
    <cellStyle name="Normal 3 2 5 2 2 2 2 2 3" xfId="14114" xr:uid="{00000000-0005-0000-0000-0000250E0000}"/>
    <cellStyle name="Normal 3 2 5 2 2 2 2 3" xfId="17742" xr:uid="{00000000-0005-0000-0000-0000260E0000}"/>
    <cellStyle name="Normal 3 2 5 2 2 2 2 4" xfId="10486" xr:uid="{00000000-0005-0000-0000-0000270E0000}"/>
    <cellStyle name="Normal 3 2 5 2 2 2 3" xfId="5044" xr:uid="{00000000-0005-0000-0000-0000280E0000}"/>
    <cellStyle name="Normal 3 2 5 2 2 2 3 2" xfId="19556" xr:uid="{00000000-0005-0000-0000-0000290E0000}"/>
    <cellStyle name="Normal 3 2 5 2 2 2 3 3" xfId="12300" xr:uid="{00000000-0005-0000-0000-00002A0E0000}"/>
    <cellStyle name="Normal 3 2 5 2 2 2 4" xfId="15928" xr:uid="{00000000-0005-0000-0000-00002B0E0000}"/>
    <cellStyle name="Normal 3 2 5 2 2 2 5" xfId="8672" xr:uid="{00000000-0005-0000-0000-00002C0E0000}"/>
    <cellStyle name="Normal 3 2 5 2 2 3" xfId="2323" xr:uid="{00000000-0005-0000-0000-00002D0E0000}"/>
    <cellStyle name="Normal 3 2 5 2 2 3 2" xfId="5951" xr:uid="{00000000-0005-0000-0000-00002E0E0000}"/>
    <cellStyle name="Normal 3 2 5 2 2 3 2 2" xfId="20463" xr:uid="{00000000-0005-0000-0000-00002F0E0000}"/>
    <cellStyle name="Normal 3 2 5 2 2 3 2 3" xfId="13207" xr:uid="{00000000-0005-0000-0000-0000300E0000}"/>
    <cellStyle name="Normal 3 2 5 2 2 3 3" xfId="16835" xr:uid="{00000000-0005-0000-0000-0000310E0000}"/>
    <cellStyle name="Normal 3 2 5 2 2 3 4" xfId="9579" xr:uid="{00000000-0005-0000-0000-0000320E0000}"/>
    <cellStyle name="Normal 3 2 5 2 2 4" xfId="4137" xr:uid="{00000000-0005-0000-0000-0000330E0000}"/>
    <cellStyle name="Normal 3 2 5 2 2 4 2" xfId="18649" xr:uid="{00000000-0005-0000-0000-0000340E0000}"/>
    <cellStyle name="Normal 3 2 5 2 2 4 3" xfId="11393" xr:uid="{00000000-0005-0000-0000-0000350E0000}"/>
    <cellStyle name="Normal 3 2 5 2 2 5" xfId="15021" xr:uid="{00000000-0005-0000-0000-0000360E0000}"/>
    <cellStyle name="Normal 3 2 5 2 2 6" xfId="7765" xr:uid="{00000000-0005-0000-0000-0000370E0000}"/>
    <cellStyle name="Normal 3 2 5 2 3" xfId="1070" xr:uid="{00000000-0005-0000-0000-0000380E0000}"/>
    <cellStyle name="Normal 3 2 5 2 3 2" xfId="2884" xr:uid="{00000000-0005-0000-0000-0000390E0000}"/>
    <cellStyle name="Normal 3 2 5 2 3 2 2" xfId="6512" xr:uid="{00000000-0005-0000-0000-00003A0E0000}"/>
    <cellStyle name="Normal 3 2 5 2 3 2 2 2" xfId="21024" xr:uid="{00000000-0005-0000-0000-00003B0E0000}"/>
    <cellStyle name="Normal 3 2 5 2 3 2 2 3" xfId="13768" xr:uid="{00000000-0005-0000-0000-00003C0E0000}"/>
    <cellStyle name="Normal 3 2 5 2 3 2 3" xfId="17396" xr:uid="{00000000-0005-0000-0000-00003D0E0000}"/>
    <cellStyle name="Normal 3 2 5 2 3 2 4" xfId="10140" xr:uid="{00000000-0005-0000-0000-00003E0E0000}"/>
    <cellStyle name="Normal 3 2 5 2 3 3" xfId="4698" xr:uid="{00000000-0005-0000-0000-00003F0E0000}"/>
    <cellStyle name="Normal 3 2 5 2 3 3 2" xfId="19210" xr:uid="{00000000-0005-0000-0000-0000400E0000}"/>
    <cellStyle name="Normal 3 2 5 2 3 3 3" xfId="11954" xr:uid="{00000000-0005-0000-0000-0000410E0000}"/>
    <cellStyle name="Normal 3 2 5 2 3 4" xfId="15582" xr:uid="{00000000-0005-0000-0000-0000420E0000}"/>
    <cellStyle name="Normal 3 2 5 2 3 5" xfId="8326" xr:uid="{00000000-0005-0000-0000-0000430E0000}"/>
    <cellStyle name="Normal 3 2 5 2 4" xfId="1977" xr:uid="{00000000-0005-0000-0000-0000440E0000}"/>
    <cellStyle name="Normal 3 2 5 2 4 2" xfId="5605" xr:uid="{00000000-0005-0000-0000-0000450E0000}"/>
    <cellStyle name="Normal 3 2 5 2 4 2 2" xfId="20117" xr:uid="{00000000-0005-0000-0000-0000460E0000}"/>
    <cellStyle name="Normal 3 2 5 2 4 2 3" xfId="12861" xr:uid="{00000000-0005-0000-0000-0000470E0000}"/>
    <cellStyle name="Normal 3 2 5 2 4 3" xfId="16489" xr:uid="{00000000-0005-0000-0000-0000480E0000}"/>
    <cellStyle name="Normal 3 2 5 2 4 4" xfId="9233" xr:uid="{00000000-0005-0000-0000-0000490E0000}"/>
    <cellStyle name="Normal 3 2 5 2 5" xfId="3791" xr:uid="{00000000-0005-0000-0000-00004A0E0000}"/>
    <cellStyle name="Normal 3 2 5 2 5 2" xfId="18303" xr:uid="{00000000-0005-0000-0000-00004B0E0000}"/>
    <cellStyle name="Normal 3 2 5 2 5 3" xfId="11047" xr:uid="{00000000-0005-0000-0000-00004C0E0000}"/>
    <cellStyle name="Normal 3 2 5 2 6" xfId="14675" xr:uid="{00000000-0005-0000-0000-00004D0E0000}"/>
    <cellStyle name="Normal 3 2 5 2 7" xfId="7419" xr:uid="{00000000-0005-0000-0000-00004E0E0000}"/>
    <cellStyle name="Normal 3 2 5 3" xfId="292" xr:uid="{00000000-0005-0000-0000-00004F0E0000}"/>
    <cellStyle name="Normal 3 2 5 3 2" xfId="638" xr:uid="{00000000-0005-0000-0000-0000500E0000}"/>
    <cellStyle name="Normal 3 2 5 3 2 2" xfId="1546" xr:uid="{00000000-0005-0000-0000-0000510E0000}"/>
    <cellStyle name="Normal 3 2 5 3 2 2 2" xfId="3360" xr:uid="{00000000-0005-0000-0000-0000520E0000}"/>
    <cellStyle name="Normal 3 2 5 3 2 2 2 2" xfId="6988" xr:uid="{00000000-0005-0000-0000-0000530E0000}"/>
    <cellStyle name="Normal 3 2 5 3 2 2 2 2 2" xfId="21500" xr:uid="{00000000-0005-0000-0000-0000540E0000}"/>
    <cellStyle name="Normal 3 2 5 3 2 2 2 2 3" xfId="14244" xr:uid="{00000000-0005-0000-0000-0000550E0000}"/>
    <cellStyle name="Normal 3 2 5 3 2 2 2 3" xfId="17872" xr:uid="{00000000-0005-0000-0000-0000560E0000}"/>
    <cellStyle name="Normal 3 2 5 3 2 2 2 4" xfId="10616" xr:uid="{00000000-0005-0000-0000-0000570E0000}"/>
    <cellStyle name="Normal 3 2 5 3 2 2 3" xfId="5174" xr:uid="{00000000-0005-0000-0000-0000580E0000}"/>
    <cellStyle name="Normal 3 2 5 3 2 2 3 2" xfId="19686" xr:uid="{00000000-0005-0000-0000-0000590E0000}"/>
    <cellStyle name="Normal 3 2 5 3 2 2 3 3" xfId="12430" xr:uid="{00000000-0005-0000-0000-00005A0E0000}"/>
    <cellStyle name="Normal 3 2 5 3 2 2 4" xfId="16058" xr:uid="{00000000-0005-0000-0000-00005B0E0000}"/>
    <cellStyle name="Normal 3 2 5 3 2 2 5" xfId="8802" xr:uid="{00000000-0005-0000-0000-00005C0E0000}"/>
    <cellStyle name="Normal 3 2 5 3 2 3" xfId="2453" xr:uid="{00000000-0005-0000-0000-00005D0E0000}"/>
    <cellStyle name="Normal 3 2 5 3 2 3 2" xfId="6081" xr:uid="{00000000-0005-0000-0000-00005E0E0000}"/>
    <cellStyle name="Normal 3 2 5 3 2 3 2 2" xfId="20593" xr:uid="{00000000-0005-0000-0000-00005F0E0000}"/>
    <cellStyle name="Normal 3 2 5 3 2 3 2 3" xfId="13337" xr:uid="{00000000-0005-0000-0000-0000600E0000}"/>
    <cellStyle name="Normal 3 2 5 3 2 3 3" xfId="16965" xr:uid="{00000000-0005-0000-0000-0000610E0000}"/>
    <cellStyle name="Normal 3 2 5 3 2 3 4" xfId="9709" xr:uid="{00000000-0005-0000-0000-0000620E0000}"/>
    <cellStyle name="Normal 3 2 5 3 2 4" xfId="4267" xr:uid="{00000000-0005-0000-0000-0000630E0000}"/>
    <cellStyle name="Normal 3 2 5 3 2 4 2" xfId="18779" xr:uid="{00000000-0005-0000-0000-0000640E0000}"/>
    <cellStyle name="Normal 3 2 5 3 2 4 3" xfId="11523" xr:uid="{00000000-0005-0000-0000-0000650E0000}"/>
    <cellStyle name="Normal 3 2 5 3 2 5" xfId="15151" xr:uid="{00000000-0005-0000-0000-0000660E0000}"/>
    <cellStyle name="Normal 3 2 5 3 2 6" xfId="7895" xr:uid="{00000000-0005-0000-0000-0000670E0000}"/>
    <cellStyle name="Normal 3 2 5 3 3" xfId="1200" xr:uid="{00000000-0005-0000-0000-0000680E0000}"/>
    <cellStyle name="Normal 3 2 5 3 3 2" xfId="3014" xr:uid="{00000000-0005-0000-0000-0000690E0000}"/>
    <cellStyle name="Normal 3 2 5 3 3 2 2" xfId="6642" xr:uid="{00000000-0005-0000-0000-00006A0E0000}"/>
    <cellStyle name="Normal 3 2 5 3 3 2 2 2" xfId="21154" xr:uid="{00000000-0005-0000-0000-00006B0E0000}"/>
    <cellStyle name="Normal 3 2 5 3 3 2 2 3" xfId="13898" xr:uid="{00000000-0005-0000-0000-00006C0E0000}"/>
    <cellStyle name="Normal 3 2 5 3 3 2 3" xfId="17526" xr:uid="{00000000-0005-0000-0000-00006D0E0000}"/>
    <cellStyle name="Normal 3 2 5 3 3 2 4" xfId="10270" xr:uid="{00000000-0005-0000-0000-00006E0E0000}"/>
    <cellStyle name="Normal 3 2 5 3 3 3" xfId="4828" xr:uid="{00000000-0005-0000-0000-00006F0E0000}"/>
    <cellStyle name="Normal 3 2 5 3 3 3 2" xfId="19340" xr:uid="{00000000-0005-0000-0000-0000700E0000}"/>
    <cellStyle name="Normal 3 2 5 3 3 3 3" xfId="12084" xr:uid="{00000000-0005-0000-0000-0000710E0000}"/>
    <cellStyle name="Normal 3 2 5 3 3 4" xfId="15712" xr:uid="{00000000-0005-0000-0000-0000720E0000}"/>
    <cellStyle name="Normal 3 2 5 3 3 5" xfId="8456" xr:uid="{00000000-0005-0000-0000-0000730E0000}"/>
    <cellStyle name="Normal 3 2 5 3 4" xfId="2107" xr:uid="{00000000-0005-0000-0000-0000740E0000}"/>
    <cellStyle name="Normal 3 2 5 3 4 2" xfId="5735" xr:uid="{00000000-0005-0000-0000-0000750E0000}"/>
    <cellStyle name="Normal 3 2 5 3 4 2 2" xfId="20247" xr:uid="{00000000-0005-0000-0000-0000760E0000}"/>
    <cellStyle name="Normal 3 2 5 3 4 2 3" xfId="12991" xr:uid="{00000000-0005-0000-0000-0000770E0000}"/>
    <cellStyle name="Normal 3 2 5 3 4 3" xfId="16619" xr:uid="{00000000-0005-0000-0000-0000780E0000}"/>
    <cellStyle name="Normal 3 2 5 3 4 4" xfId="9363" xr:uid="{00000000-0005-0000-0000-0000790E0000}"/>
    <cellStyle name="Normal 3 2 5 3 5" xfId="3921" xr:uid="{00000000-0005-0000-0000-00007A0E0000}"/>
    <cellStyle name="Normal 3 2 5 3 5 2" xfId="18433" xr:uid="{00000000-0005-0000-0000-00007B0E0000}"/>
    <cellStyle name="Normal 3 2 5 3 5 3" xfId="11177" xr:uid="{00000000-0005-0000-0000-00007C0E0000}"/>
    <cellStyle name="Normal 3 2 5 3 6" xfId="14805" xr:uid="{00000000-0005-0000-0000-00007D0E0000}"/>
    <cellStyle name="Normal 3 2 5 3 7" xfId="7549" xr:uid="{00000000-0005-0000-0000-00007E0E0000}"/>
    <cellStyle name="Normal 3 2 5 4" xfId="768" xr:uid="{00000000-0005-0000-0000-00007F0E0000}"/>
    <cellStyle name="Normal 3 2 5 4 2" xfId="1676" xr:uid="{00000000-0005-0000-0000-0000800E0000}"/>
    <cellStyle name="Normal 3 2 5 4 2 2" xfId="3490" xr:uid="{00000000-0005-0000-0000-0000810E0000}"/>
    <cellStyle name="Normal 3 2 5 4 2 2 2" xfId="7118" xr:uid="{00000000-0005-0000-0000-0000820E0000}"/>
    <cellStyle name="Normal 3 2 5 4 2 2 2 2" xfId="21630" xr:uid="{00000000-0005-0000-0000-0000830E0000}"/>
    <cellStyle name="Normal 3 2 5 4 2 2 2 3" xfId="14374" xr:uid="{00000000-0005-0000-0000-0000840E0000}"/>
    <cellStyle name="Normal 3 2 5 4 2 2 3" xfId="18002" xr:uid="{00000000-0005-0000-0000-0000850E0000}"/>
    <cellStyle name="Normal 3 2 5 4 2 2 4" xfId="10746" xr:uid="{00000000-0005-0000-0000-0000860E0000}"/>
    <cellStyle name="Normal 3 2 5 4 2 3" xfId="5304" xr:uid="{00000000-0005-0000-0000-0000870E0000}"/>
    <cellStyle name="Normal 3 2 5 4 2 3 2" xfId="19816" xr:uid="{00000000-0005-0000-0000-0000880E0000}"/>
    <cellStyle name="Normal 3 2 5 4 2 3 3" xfId="12560" xr:uid="{00000000-0005-0000-0000-0000890E0000}"/>
    <cellStyle name="Normal 3 2 5 4 2 4" xfId="16188" xr:uid="{00000000-0005-0000-0000-00008A0E0000}"/>
    <cellStyle name="Normal 3 2 5 4 2 5" xfId="8932" xr:uid="{00000000-0005-0000-0000-00008B0E0000}"/>
    <cellStyle name="Normal 3 2 5 4 3" xfId="2583" xr:uid="{00000000-0005-0000-0000-00008C0E0000}"/>
    <cellStyle name="Normal 3 2 5 4 3 2" xfId="6211" xr:uid="{00000000-0005-0000-0000-00008D0E0000}"/>
    <cellStyle name="Normal 3 2 5 4 3 2 2" xfId="20723" xr:uid="{00000000-0005-0000-0000-00008E0E0000}"/>
    <cellStyle name="Normal 3 2 5 4 3 2 3" xfId="13467" xr:uid="{00000000-0005-0000-0000-00008F0E0000}"/>
    <cellStyle name="Normal 3 2 5 4 3 3" xfId="17095" xr:uid="{00000000-0005-0000-0000-0000900E0000}"/>
    <cellStyle name="Normal 3 2 5 4 3 4" xfId="9839" xr:uid="{00000000-0005-0000-0000-0000910E0000}"/>
    <cellStyle name="Normal 3 2 5 4 4" xfId="4397" xr:uid="{00000000-0005-0000-0000-0000920E0000}"/>
    <cellStyle name="Normal 3 2 5 4 4 2" xfId="18909" xr:uid="{00000000-0005-0000-0000-0000930E0000}"/>
    <cellStyle name="Normal 3 2 5 4 4 3" xfId="11653" xr:uid="{00000000-0005-0000-0000-0000940E0000}"/>
    <cellStyle name="Normal 3 2 5 4 5" xfId="15281" xr:uid="{00000000-0005-0000-0000-0000950E0000}"/>
    <cellStyle name="Normal 3 2 5 4 6" xfId="8025" xr:uid="{00000000-0005-0000-0000-0000960E0000}"/>
    <cellStyle name="Normal 3 2 5 5" xfId="422" xr:uid="{00000000-0005-0000-0000-0000970E0000}"/>
    <cellStyle name="Normal 3 2 5 5 2" xfId="1330" xr:uid="{00000000-0005-0000-0000-0000980E0000}"/>
    <cellStyle name="Normal 3 2 5 5 2 2" xfId="3144" xr:uid="{00000000-0005-0000-0000-0000990E0000}"/>
    <cellStyle name="Normal 3 2 5 5 2 2 2" xfId="6772" xr:uid="{00000000-0005-0000-0000-00009A0E0000}"/>
    <cellStyle name="Normal 3 2 5 5 2 2 2 2" xfId="21284" xr:uid="{00000000-0005-0000-0000-00009B0E0000}"/>
    <cellStyle name="Normal 3 2 5 5 2 2 2 3" xfId="14028" xr:uid="{00000000-0005-0000-0000-00009C0E0000}"/>
    <cellStyle name="Normal 3 2 5 5 2 2 3" xfId="17656" xr:uid="{00000000-0005-0000-0000-00009D0E0000}"/>
    <cellStyle name="Normal 3 2 5 5 2 2 4" xfId="10400" xr:uid="{00000000-0005-0000-0000-00009E0E0000}"/>
    <cellStyle name="Normal 3 2 5 5 2 3" xfId="4958" xr:uid="{00000000-0005-0000-0000-00009F0E0000}"/>
    <cellStyle name="Normal 3 2 5 5 2 3 2" xfId="19470" xr:uid="{00000000-0005-0000-0000-0000A00E0000}"/>
    <cellStyle name="Normal 3 2 5 5 2 3 3" xfId="12214" xr:uid="{00000000-0005-0000-0000-0000A10E0000}"/>
    <cellStyle name="Normal 3 2 5 5 2 4" xfId="15842" xr:uid="{00000000-0005-0000-0000-0000A20E0000}"/>
    <cellStyle name="Normal 3 2 5 5 2 5" xfId="8586" xr:uid="{00000000-0005-0000-0000-0000A30E0000}"/>
    <cellStyle name="Normal 3 2 5 5 3" xfId="2237" xr:uid="{00000000-0005-0000-0000-0000A40E0000}"/>
    <cellStyle name="Normal 3 2 5 5 3 2" xfId="5865" xr:uid="{00000000-0005-0000-0000-0000A50E0000}"/>
    <cellStyle name="Normal 3 2 5 5 3 2 2" xfId="20377" xr:uid="{00000000-0005-0000-0000-0000A60E0000}"/>
    <cellStyle name="Normal 3 2 5 5 3 2 3" xfId="13121" xr:uid="{00000000-0005-0000-0000-0000A70E0000}"/>
    <cellStyle name="Normal 3 2 5 5 3 3" xfId="16749" xr:uid="{00000000-0005-0000-0000-0000A80E0000}"/>
    <cellStyle name="Normal 3 2 5 5 3 4" xfId="9493" xr:uid="{00000000-0005-0000-0000-0000A90E0000}"/>
    <cellStyle name="Normal 3 2 5 5 4" xfId="4051" xr:uid="{00000000-0005-0000-0000-0000AA0E0000}"/>
    <cellStyle name="Normal 3 2 5 5 4 2" xfId="18563" xr:uid="{00000000-0005-0000-0000-0000AB0E0000}"/>
    <cellStyle name="Normal 3 2 5 5 4 3" xfId="11307" xr:uid="{00000000-0005-0000-0000-0000AC0E0000}"/>
    <cellStyle name="Normal 3 2 5 5 5" xfId="14935" xr:uid="{00000000-0005-0000-0000-0000AD0E0000}"/>
    <cellStyle name="Normal 3 2 5 5 6" xfId="7679" xr:uid="{00000000-0005-0000-0000-0000AE0E0000}"/>
    <cellStyle name="Normal 3 2 5 6" xfId="899" xr:uid="{00000000-0005-0000-0000-0000AF0E0000}"/>
    <cellStyle name="Normal 3 2 5 6 2" xfId="1807" xr:uid="{00000000-0005-0000-0000-0000B00E0000}"/>
    <cellStyle name="Normal 3 2 5 6 2 2" xfId="3621" xr:uid="{00000000-0005-0000-0000-0000B10E0000}"/>
    <cellStyle name="Normal 3 2 5 6 2 2 2" xfId="7249" xr:uid="{00000000-0005-0000-0000-0000B20E0000}"/>
    <cellStyle name="Normal 3 2 5 6 2 2 2 2" xfId="21761" xr:uid="{00000000-0005-0000-0000-0000B30E0000}"/>
    <cellStyle name="Normal 3 2 5 6 2 2 2 3" xfId="14505" xr:uid="{00000000-0005-0000-0000-0000B40E0000}"/>
    <cellStyle name="Normal 3 2 5 6 2 2 3" xfId="18133" xr:uid="{00000000-0005-0000-0000-0000B50E0000}"/>
    <cellStyle name="Normal 3 2 5 6 2 2 4" xfId="10877" xr:uid="{00000000-0005-0000-0000-0000B60E0000}"/>
    <cellStyle name="Normal 3 2 5 6 2 3" xfId="5435" xr:uid="{00000000-0005-0000-0000-0000B70E0000}"/>
    <cellStyle name="Normal 3 2 5 6 2 3 2" xfId="19947" xr:uid="{00000000-0005-0000-0000-0000B80E0000}"/>
    <cellStyle name="Normal 3 2 5 6 2 3 3" xfId="12691" xr:uid="{00000000-0005-0000-0000-0000B90E0000}"/>
    <cellStyle name="Normal 3 2 5 6 2 4" xfId="16319" xr:uid="{00000000-0005-0000-0000-0000BA0E0000}"/>
    <cellStyle name="Normal 3 2 5 6 2 5" xfId="9063" xr:uid="{00000000-0005-0000-0000-0000BB0E0000}"/>
    <cellStyle name="Normal 3 2 5 6 3" xfId="2714" xr:uid="{00000000-0005-0000-0000-0000BC0E0000}"/>
    <cellStyle name="Normal 3 2 5 6 3 2" xfId="6342" xr:uid="{00000000-0005-0000-0000-0000BD0E0000}"/>
    <cellStyle name="Normal 3 2 5 6 3 2 2" xfId="20854" xr:uid="{00000000-0005-0000-0000-0000BE0E0000}"/>
    <cellStyle name="Normal 3 2 5 6 3 2 3" xfId="13598" xr:uid="{00000000-0005-0000-0000-0000BF0E0000}"/>
    <cellStyle name="Normal 3 2 5 6 3 3" xfId="17226" xr:uid="{00000000-0005-0000-0000-0000C00E0000}"/>
    <cellStyle name="Normal 3 2 5 6 3 4" xfId="9970" xr:uid="{00000000-0005-0000-0000-0000C10E0000}"/>
    <cellStyle name="Normal 3 2 5 6 4" xfId="4528" xr:uid="{00000000-0005-0000-0000-0000C20E0000}"/>
    <cellStyle name="Normal 3 2 5 6 4 2" xfId="19040" xr:uid="{00000000-0005-0000-0000-0000C30E0000}"/>
    <cellStyle name="Normal 3 2 5 6 4 3" xfId="11784" xr:uid="{00000000-0005-0000-0000-0000C40E0000}"/>
    <cellStyle name="Normal 3 2 5 6 5" xfId="15412" xr:uid="{00000000-0005-0000-0000-0000C50E0000}"/>
    <cellStyle name="Normal 3 2 5 6 6" xfId="8156" xr:uid="{00000000-0005-0000-0000-0000C60E0000}"/>
    <cellStyle name="Normal 3 2 5 7" xfId="984" xr:uid="{00000000-0005-0000-0000-0000C70E0000}"/>
    <cellStyle name="Normal 3 2 5 7 2" xfId="2798" xr:uid="{00000000-0005-0000-0000-0000C80E0000}"/>
    <cellStyle name="Normal 3 2 5 7 2 2" xfId="6426" xr:uid="{00000000-0005-0000-0000-0000C90E0000}"/>
    <cellStyle name="Normal 3 2 5 7 2 2 2" xfId="20938" xr:uid="{00000000-0005-0000-0000-0000CA0E0000}"/>
    <cellStyle name="Normal 3 2 5 7 2 2 3" xfId="13682" xr:uid="{00000000-0005-0000-0000-0000CB0E0000}"/>
    <cellStyle name="Normal 3 2 5 7 2 3" xfId="17310" xr:uid="{00000000-0005-0000-0000-0000CC0E0000}"/>
    <cellStyle name="Normal 3 2 5 7 2 4" xfId="10054" xr:uid="{00000000-0005-0000-0000-0000CD0E0000}"/>
    <cellStyle name="Normal 3 2 5 7 3" xfId="4612" xr:uid="{00000000-0005-0000-0000-0000CE0E0000}"/>
    <cellStyle name="Normal 3 2 5 7 3 2" xfId="19124" xr:uid="{00000000-0005-0000-0000-0000CF0E0000}"/>
    <cellStyle name="Normal 3 2 5 7 3 3" xfId="11868" xr:uid="{00000000-0005-0000-0000-0000D00E0000}"/>
    <cellStyle name="Normal 3 2 5 7 4" xfId="15496" xr:uid="{00000000-0005-0000-0000-0000D10E0000}"/>
    <cellStyle name="Normal 3 2 5 7 5" xfId="8240" xr:uid="{00000000-0005-0000-0000-0000D20E0000}"/>
    <cellStyle name="Normal 3 2 5 8" xfId="1891" xr:uid="{00000000-0005-0000-0000-0000D30E0000}"/>
    <cellStyle name="Normal 3 2 5 8 2" xfId="5519" xr:uid="{00000000-0005-0000-0000-0000D40E0000}"/>
    <cellStyle name="Normal 3 2 5 8 2 2" xfId="20031" xr:uid="{00000000-0005-0000-0000-0000D50E0000}"/>
    <cellStyle name="Normal 3 2 5 8 2 3" xfId="12775" xr:uid="{00000000-0005-0000-0000-0000D60E0000}"/>
    <cellStyle name="Normal 3 2 5 8 3" xfId="16403" xr:uid="{00000000-0005-0000-0000-0000D70E0000}"/>
    <cellStyle name="Normal 3 2 5 8 4" xfId="9147" xr:uid="{00000000-0005-0000-0000-0000D80E0000}"/>
    <cellStyle name="Normal 3 2 5 9" xfId="3705" xr:uid="{00000000-0005-0000-0000-0000D90E0000}"/>
    <cellStyle name="Normal 3 2 5 9 2" xfId="18217" xr:uid="{00000000-0005-0000-0000-0000DA0E0000}"/>
    <cellStyle name="Normal 3 2 5 9 3" xfId="10961" xr:uid="{00000000-0005-0000-0000-0000DB0E0000}"/>
    <cellStyle name="Normal 3 2 6" xfId="206" xr:uid="{00000000-0005-0000-0000-0000DC0E0000}"/>
    <cellStyle name="Normal 3 2 6 2" xfId="336" xr:uid="{00000000-0005-0000-0000-0000DD0E0000}"/>
    <cellStyle name="Normal 3 2 6 2 2" xfId="682" xr:uid="{00000000-0005-0000-0000-0000DE0E0000}"/>
    <cellStyle name="Normal 3 2 6 2 2 2" xfId="1590" xr:uid="{00000000-0005-0000-0000-0000DF0E0000}"/>
    <cellStyle name="Normal 3 2 6 2 2 2 2" xfId="3404" xr:uid="{00000000-0005-0000-0000-0000E00E0000}"/>
    <cellStyle name="Normal 3 2 6 2 2 2 2 2" xfId="7032" xr:uid="{00000000-0005-0000-0000-0000E10E0000}"/>
    <cellStyle name="Normal 3 2 6 2 2 2 2 2 2" xfId="21544" xr:uid="{00000000-0005-0000-0000-0000E20E0000}"/>
    <cellStyle name="Normal 3 2 6 2 2 2 2 2 3" xfId="14288" xr:uid="{00000000-0005-0000-0000-0000E30E0000}"/>
    <cellStyle name="Normal 3 2 6 2 2 2 2 3" xfId="17916" xr:uid="{00000000-0005-0000-0000-0000E40E0000}"/>
    <cellStyle name="Normal 3 2 6 2 2 2 2 4" xfId="10660" xr:uid="{00000000-0005-0000-0000-0000E50E0000}"/>
    <cellStyle name="Normal 3 2 6 2 2 2 3" xfId="5218" xr:uid="{00000000-0005-0000-0000-0000E60E0000}"/>
    <cellStyle name="Normal 3 2 6 2 2 2 3 2" xfId="19730" xr:uid="{00000000-0005-0000-0000-0000E70E0000}"/>
    <cellStyle name="Normal 3 2 6 2 2 2 3 3" xfId="12474" xr:uid="{00000000-0005-0000-0000-0000E80E0000}"/>
    <cellStyle name="Normal 3 2 6 2 2 2 4" xfId="16102" xr:uid="{00000000-0005-0000-0000-0000E90E0000}"/>
    <cellStyle name="Normal 3 2 6 2 2 2 5" xfId="8846" xr:uid="{00000000-0005-0000-0000-0000EA0E0000}"/>
    <cellStyle name="Normal 3 2 6 2 2 3" xfId="2497" xr:uid="{00000000-0005-0000-0000-0000EB0E0000}"/>
    <cellStyle name="Normal 3 2 6 2 2 3 2" xfId="6125" xr:uid="{00000000-0005-0000-0000-0000EC0E0000}"/>
    <cellStyle name="Normal 3 2 6 2 2 3 2 2" xfId="20637" xr:uid="{00000000-0005-0000-0000-0000ED0E0000}"/>
    <cellStyle name="Normal 3 2 6 2 2 3 2 3" xfId="13381" xr:uid="{00000000-0005-0000-0000-0000EE0E0000}"/>
    <cellStyle name="Normal 3 2 6 2 2 3 3" xfId="17009" xr:uid="{00000000-0005-0000-0000-0000EF0E0000}"/>
    <cellStyle name="Normal 3 2 6 2 2 3 4" xfId="9753" xr:uid="{00000000-0005-0000-0000-0000F00E0000}"/>
    <cellStyle name="Normal 3 2 6 2 2 4" xfId="4311" xr:uid="{00000000-0005-0000-0000-0000F10E0000}"/>
    <cellStyle name="Normal 3 2 6 2 2 4 2" xfId="18823" xr:uid="{00000000-0005-0000-0000-0000F20E0000}"/>
    <cellStyle name="Normal 3 2 6 2 2 4 3" xfId="11567" xr:uid="{00000000-0005-0000-0000-0000F30E0000}"/>
    <cellStyle name="Normal 3 2 6 2 2 5" xfId="15195" xr:uid="{00000000-0005-0000-0000-0000F40E0000}"/>
    <cellStyle name="Normal 3 2 6 2 2 6" xfId="7939" xr:uid="{00000000-0005-0000-0000-0000F50E0000}"/>
    <cellStyle name="Normal 3 2 6 2 3" xfId="1244" xr:uid="{00000000-0005-0000-0000-0000F60E0000}"/>
    <cellStyle name="Normal 3 2 6 2 3 2" xfId="3058" xr:uid="{00000000-0005-0000-0000-0000F70E0000}"/>
    <cellStyle name="Normal 3 2 6 2 3 2 2" xfId="6686" xr:uid="{00000000-0005-0000-0000-0000F80E0000}"/>
    <cellStyle name="Normal 3 2 6 2 3 2 2 2" xfId="21198" xr:uid="{00000000-0005-0000-0000-0000F90E0000}"/>
    <cellStyle name="Normal 3 2 6 2 3 2 2 3" xfId="13942" xr:uid="{00000000-0005-0000-0000-0000FA0E0000}"/>
    <cellStyle name="Normal 3 2 6 2 3 2 3" xfId="17570" xr:uid="{00000000-0005-0000-0000-0000FB0E0000}"/>
    <cellStyle name="Normal 3 2 6 2 3 2 4" xfId="10314" xr:uid="{00000000-0005-0000-0000-0000FC0E0000}"/>
    <cellStyle name="Normal 3 2 6 2 3 3" xfId="4872" xr:uid="{00000000-0005-0000-0000-0000FD0E0000}"/>
    <cellStyle name="Normal 3 2 6 2 3 3 2" xfId="19384" xr:uid="{00000000-0005-0000-0000-0000FE0E0000}"/>
    <cellStyle name="Normal 3 2 6 2 3 3 3" xfId="12128" xr:uid="{00000000-0005-0000-0000-0000FF0E0000}"/>
    <cellStyle name="Normal 3 2 6 2 3 4" xfId="15756" xr:uid="{00000000-0005-0000-0000-0000000F0000}"/>
    <cellStyle name="Normal 3 2 6 2 3 5" xfId="8500" xr:uid="{00000000-0005-0000-0000-0000010F0000}"/>
    <cellStyle name="Normal 3 2 6 2 4" xfId="2151" xr:uid="{00000000-0005-0000-0000-0000020F0000}"/>
    <cellStyle name="Normal 3 2 6 2 4 2" xfId="5779" xr:uid="{00000000-0005-0000-0000-0000030F0000}"/>
    <cellStyle name="Normal 3 2 6 2 4 2 2" xfId="20291" xr:uid="{00000000-0005-0000-0000-0000040F0000}"/>
    <cellStyle name="Normal 3 2 6 2 4 2 3" xfId="13035" xr:uid="{00000000-0005-0000-0000-0000050F0000}"/>
    <cellStyle name="Normal 3 2 6 2 4 3" xfId="16663" xr:uid="{00000000-0005-0000-0000-0000060F0000}"/>
    <cellStyle name="Normal 3 2 6 2 4 4" xfId="9407" xr:uid="{00000000-0005-0000-0000-0000070F0000}"/>
    <cellStyle name="Normal 3 2 6 2 5" xfId="3965" xr:uid="{00000000-0005-0000-0000-0000080F0000}"/>
    <cellStyle name="Normal 3 2 6 2 5 2" xfId="18477" xr:uid="{00000000-0005-0000-0000-0000090F0000}"/>
    <cellStyle name="Normal 3 2 6 2 5 3" xfId="11221" xr:uid="{00000000-0005-0000-0000-00000A0F0000}"/>
    <cellStyle name="Normal 3 2 6 2 6" xfId="14849" xr:uid="{00000000-0005-0000-0000-00000B0F0000}"/>
    <cellStyle name="Normal 3 2 6 2 7" xfId="7593" xr:uid="{00000000-0005-0000-0000-00000C0F0000}"/>
    <cellStyle name="Normal 3 2 6 3" xfId="812" xr:uid="{00000000-0005-0000-0000-00000D0F0000}"/>
    <cellStyle name="Normal 3 2 6 3 2" xfId="1720" xr:uid="{00000000-0005-0000-0000-00000E0F0000}"/>
    <cellStyle name="Normal 3 2 6 3 2 2" xfId="3534" xr:uid="{00000000-0005-0000-0000-00000F0F0000}"/>
    <cellStyle name="Normal 3 2 6 3 2 2 2" xfId="7162" xr:uid="{00000000-0005-0000-0000-0000100F0000}"/>
    <cellStyle name="Normal 3 2 6 3 2 2 2 2" xfId="21674" xr:uid="{00000000-0005-0000-0000-0000110F0000}"/>
    <cellStyle name="Normal 3 2 6 3 2 2 2 3" xfId="14418" xr:uid="{00000000-0005-0000-0000-0000120F0000}"/>
    <cellStyle name="Normal 3 2 6 3 2 2 3" xfId="18046" xr:uid="{00000000-0005-0000-0000-0000130F0000}"/>
    <cellStyle name="Normal 3 2 6 3 2 2 4" xfId="10790" xr:uid="{00000000-0005-0000-0000-0000140F0000}"/>
    <cellStyle name="Normal 3 2 6 3 2 3" xfId="5348" xr:uid="{00000000-0005-0000-0000-0000150F0000}"/>
    <cellStyle name="Normal 3 2 6 3 2 3 2" xfId="19860" xr:uid="{00000000-0005-0000-0000-0000160F0000}"/>
    <cellStyle name="Normal 3 2 6 3 2 3 3" xfId="12604" xr:uid="{00000000-0005-0000-0000-0000170F0000}"/>
    <cellStyle name="Normal 3 2 6 3 2 4" xfId="16232" xr:uid="{00000000-0005-0000-0000-0000180F0000}"/>
    <cellStyle name="Normal 3 2 6 3 2 5" xfId="8976" xr:uid="{00000000-0005-0000-0000-0000190F0000}"/>
    <cellStyle name="Normal 3 2 6 3 3" xfId="2627" xr:uid="{00000000-0005-0000-0000-00001A0F0000}"/>
    <cellStyle name="Normal 3 2 6 3 3 2" xfId="6255" xr:uid="{00000000-0005-0000-0000-00001B0F0000}"/>
    <cellStyle name="Normal 3 2 6 3 3 2 2" xfId="20767" xr:uid="{00000000-0005-0000-0000-00001C0F0000}"/>
    <cellStyle name="Normal 3 2 6 3 3 2 3" xfId="13511" xr:uid="{00000000-0005-0000-0000-00001D0F0000}"/>
    <cellStyle name="Normal 3 2 6 3 3 3" xfId="17139" xr:uid="{00000000-0005-0000-0000-00001E0F0000}"/>
    <cellStyle name="Normal 3 2 6 3 3 4" xfId="9883" xr:uid="{00000000-0005-0000-0000-00001F0F0000}"/>
    <cellStyle name="Normal 3 2 6 3 4" xfId="4441" xr:uid="{00000000-0005-0000-0000-0000200F0000}"/>
    <cellStyle name="Normal 3 2 6 3 4 2" xfId="18953" xr:uid="{00000000-0005-0000-0000-0000210F0000}"/>
    <cellStyle name="Normal 3 2 6 3 4 3" xfId="11697" xr:uid="{00000000-0005-0000-0000-0000220F0000}"/>
    <cellStyle name="Normal 3 2 6 3 5" xfId="15325" xr:uid="{00000000-0005-0000-0000-0000230F0000}"/>
    <cellStyle name="Normal 3 2 6 3 6" xfId="8069" xr:uid="{00000000-0005-0000-0000-0000240F0000}"/>
    <cellStyle name="Normal 3 2 6 4" xfId="552" xr:uid="{00000000-0005-0000-0000-0000250F0000}"/>
    <cellStyle name="Normal 3 2 6 4 2" xfId="1460" xr:uid="{00000000-0005-0000-0000-0000260F0000}"/>
    <cellStyle name="Normal 3 2 6 4 2 2" xfId="3274" xr:uid="{00000000-0005-0000-0000-0000270F0000}"/>
    <cellStyle name="Normal 3 2 6 4 2 2 2" xfId="6902" xr:uid="{00000000-0005-0000-0000-0000280F0000}"/>
    <cellStyle name="Normal 3 2 6 4 2 2 2 2" xfId="21414" xr:uid="{00000000-0005-0000-0000-0000290F0000}"/>
    <cellStyle name="Normal 3 2 6 4 2 2 2 3" xfId="14158" xr:uid="{00000000-0005-0000-0000-00002A0F0000}"/>
    <cellStyle name="Normal 3 2 6 4 2 2 3" xfId="17786" xr:uid="{00000000-0005-0000-0000-00002B0F0000}"/>
    <cellStyle name="Normal 3 2 6 4 2 2 4" xfId="10530" xr:uid="{00000000-0005-0000-0000-00002C0F0000}"/>
    <cellStyle name="Normal 3 2 6 4 2 3" xfId="5088" xr:uid="{00000000-0005-0000-0000-00002D0F0000}"/>
    <cellStyle name="Normal 3 2 6 4 2 3 2" xfId="19600" xr:uid="{00000000-0005-0000-0000-00002E0F0000}"/>
    <cellStyle name="Normal 3 2 6 4 2 3 3" xfId="12344" xr:uid="{00000000-0005-0000-0000-00002F0F0000}"/>
    <cellStyle name="Normal 3 2 6 4 2 4" xfId="15972" xr:uid="{00000000-0005-0000-0000-0000300F0000}"/>
    <cellStyle name="Normal 3 2 6 4 2 5" xfId="8716" xr:uid="{00000000-0005-0000-0000-0000310F0000}"/>
    <cellStyle name="Normal 3 2 6 4 3" xfId="2367" xr:uid="{00000000-0005-0000-0000-0000320F0000}"/>
    <cellStyle name="Normal 3 2 6 4 3 2" xfId="5995" xr:uid="{00000000-0005-0000-0000-0000330F0000}"/>
    <cellStyle name="Normal 3 2 6 4 3 2 2" xfId="20507" xr:uid="{00000000-0005-0000-0000-0000340F0000}"/>
    <cellStyle name="Normal 3 2 6 4 3 2 3" xfId="13251" xr:uid="{00000000-0005-0000-0000-0000350F0000}"/>
    <cellStyle name="Normal 3 2 6 4 3 3" xfId="16879" xr:uid="{00000000-0005-0000-0000-0000360F0000}"/>
    <cellStyle name="Normal 3 2 6 4 3 4" xfId="9623" xr:uid="{00000000-0005-0000-0000-0000370F0000}"/>
    <cellStyle name="Normal 3 2 6 4 4" xfId="4181" xr:uid="{00000000-0005-0000-0000-0000380F0000}"/>
    <cellStyle name="Normal 3 2 6 4 4 2" xfId="18693" xr:uid="{00000000-0005-0000-0000-0000390F0000}"/>
    <cellStyle name="Normal 3 2 6 4 4 3" xfId="11437" xr:uid="{00000000-0005-0000-0000-00003A0F0000}"/>
    <cellStyle name="Normal 3 2 6 4 5" xfId="15065" xr:uid="{00000000-0005-0000-0000-00003B0F0000}"/>
    <cellStyle name="Normal 3 2 6 4 6" xfId="7809" xr:uid="{00000000-0005-0000-0000-00003C0F0000}"/>
    <cellStyle name="Normal 3 2 6 5" xfId="1114" xr:uid="{00000000-0005-0000-0000-00003D0F0000}"/>
    <cellStyle name="Normal 3 2 6 5 2" xfId="2928" xr:uid="{00000000-0005-0000-0000-00003E0F0000}"/>
    <cellStyle name="Normal 3 2 6 5 2 2" xfId="6556" xr:uid="{00000000-0005-0000-0000-00003F0F0000}"/>
    <cellStyle name="Normal 3 2 6 5 2 2 2" xfId="21068" xr:uid="{00000000-0005-0000-0000-0000400F0000}"/>
    <cellStyle name="Normal 3 2 6 5 2 2 3" xfId="13812" xr:uid="{00000000-0005-0000-0000-0000410F0000}"/>
    <cellStyle name="Normal 3 2 6 5 2 3" xfId="17440" xr:uid="{00000000-0005-0000-0000-0000420F0000}"/>
    <cellStyle name="Normal 3 2 6 5 2 4" xfId="10184" xr:uid="{00000000-0005-0000-0000-0000430F0000}"/>
    <cellStyle name="Normal 3 2 6 5 3" xfId="4742" xr:uid="{00000000-0005-0000-0000-0000440F0000}"/>
    <cellStyle name="Normal 3 2 6 5 3 2" xfId="19254" xr:uid="{00000000-0005-0000-0000-0000450F0000}"/>
    <cellStyle name="Normal 3 2 6 5 3 3" xfId="11998" xr:uid="{00000000-0005-0000-0000-0000460F0000}"/>
    <cellStyle name="Normal 3 2 6 5 4" xfId="15626" xr:uid="{00000000-0005-0000-0000-0000470F0000}"/>
    <cellStyle name="Normal 3 2 6 5 5" xfId="8370" xr:uid="{00000000-0005-0000-0000-0000480F0000}"/>
    <cellStyle name="Normal 3 2 6 6" xfId="2021" xr:uid="{00000000-0005-0000-0000-0000490F0000}"/>
    <cellStyle name="Normal 3 2 6 6 2" xfId="5649" xr:uid="{00000000-0005-0000-0000-00004A0F0000}"/>
    <cellStyle name="Normal 3 2 6 6 2 2" xfId="20161" xr:uid="{00000000-0005-0000-0000-00004B0F0000}"/>
    <cellStyle name="Normal 3 2 6 6 2 3" xfId="12905" xr:uid="{00000000-0005-0000-0000-00004C0F0000}"/>
    <cellStyle name="Normal 3 2 6 6 3" xfId="16533" xr:uid="{00000000-0005-0000-0000-00004D0F0000}"/>
    <cellStyle name="Normal 3 2 6 6 4" xfId="9277" xr:uid="{00000000-0005-0000-0000-00004E0F0000}"/>
    <cellStyle name="Normal 3 2 6 7" xfId="3835" xr:uid="{00000000-0005-0000-0000-00004F0F0000}"/>
    <cellStyle name="Normal 3 2 6 7 2" xfId="18347" xr:uid="{00000000-0005-0000-0000-0000500F0000}"/>
    <cellStyle name="Normal 3 2 6 7 3" xfId="11091" xr:uid="{00000000-0005-0000-0000-0000510F0000}"/>
    <cellStyle name="Normal 3 2 6 8" xfId="14719" xr:uid="{00000000-0005-0000-0000-0000520F0000}"/>
    <cellStyle name="Normal 3 2 6 9" xfId="7463" xr:uid="{00000000-0005-0000-0000-0000530F0000}"/>
    <cellStyle name="Normal 3 2 7" xfId="120" xr:uid="{00000000-0005-0000-0000-0000540F0000}"/>
    <cellStyle name="Normal 3 2 7 2" xfId="466" xr:uid="{00000000-0005-0000-0000-0000550F0000}"/>
    <cellStyle name="Normal 3 2 7 2 2" xfId="1374" xr:uid="{00000000-0005-0000-0000-0000560F0000}"/>
    <cellStyle name="Normal 3 2 7 2 2 2" xfId="3188" xr:uid="{00000000-0005-0000-0000-0000570F0000}"/>
    <cellStyle name="Normal 3 2 7 2 2 2 2" xfId="6816" xr:uid="{00000000-0005-0000-0000-0000580F0000}"/>
    <cellStyle name="Normal 3 2 7 2 2 2 2 2" xfId="21328" xr:uid="{00000000-0005-0000-0000-0000590F0000}"/>
    <cellStyle name="Normal 3 2 7 2 2 2 2 3" xfId="14072" xr:uid="{00000000-0005-0000-0000-00005A0F0000}"/>
    <cellStyle name="Normal 3 2 7 2 2 2 3" xfId="17700" xr:uid="{00000000-0005-0000-0000-00005B0F0000}"/>
    <cellStyle name="Normal 3 2 7 2 2 2 4" xfId="10444" xr:uid="{00000000-0005-0000-0000-00005C0F0000}"/>
    <cellStyle name="Normal 3 2 7 2 2 3" xfId="5002" xr:uid="{00000000-0005-0000-0000-00005D0F0000}"/>
    <cellStyle name="Normal 3 2 7 2 2 3 2" xfId="19514" xr:uid="{00000000-0005-0000-0000-00005E0F0000}"/>
    <cellStyle name="Normal 3 2 7 2 2 3 3" xfId="12258" xr:uid="{00000000-0005-0000-0000-00005F0F0000}"/>
    <cellStyle name="Normal 3 2 7 2 2 4" xfId="15886" xr:uid="{00000000-0005-0000-0000-0000600F0000}"/>
    <cellStyle name="Normal 3 2 7 2 2 5" xfId="8630" xr:uid="{00000000-0005-0000-0000-0000610F0000}"/>
    <cellStyle name="Normal 3 2 7 2 3" xfId="2281" xr:uid="{00000000-0005-0000-0000-0000620F0000}"/>
    <cellStyle name="Normal 3 2 7 2 3 2" xfId="5909" xr:uid="{00000000-0005-0000-0000-0000630F0000}"/>
    <cellStyle name="Normal 3 2 7 2 3 2 2" xfId="20421" xr:uid="{00000000-0005-0000-0000-0000640F0000}"/>
    <cellStyle name="Normal 3 2 7 2 3 2 3" xfId="13165" xr:uid="{00000000-0005-0000-0000-0000650F0000}"/>
    <cellStyle name="Normal 3 2 7 2 3 3" xfId="16793" xr:uid="{00000000-0005-0000-0000-0000660F0000}"/>
    <cellStyle name="Normal 3 2 7 2 3 4" xfId="9537" xr:uid="{00000000-0005-0000-0000-0000670F0000}"/>
    <cellStyle name="Normal 3 2 7 2 4" xfId="4095" xr:uid="{00000000-0005-0000-0000-0000680F0000}"/>
    <cellStyle name="Normal 3 2 7 2 4 2" xfId="18607" xr:uid="{00000000-0005-0000-0000-0000690F0000}"/>
    <cellStyle name="Normal 3 2 7 2 4 3" xfId="11351" xr:uid="{00000000-0005-0000-0000-00006A0F0000}"/>
    <cellStyle name="Normal 3 2 7 2 5" xfId="14979" xr:uid="{00000000-0005-0000-0000-00006B0F0000}"/>
    <cellStyle name="Normal 3 2 7 2 6" xfId="7723" xr:uid="{00000000-0005-0000-0000-00006C0F0000}"/>
    <cellStyle name="Normal 3 2 7 3" xfId="1028" xr:uid="{00000000-0005-0000-0000-00006D0F0000}"/>
    <cellStyle name="Normal 3 2 7 3 2" xfId="2842" xr:uid="{00000000-0005-0000-0000-00006E0F0000}"/>
    <cellStyle name="Normal 3 2 7 3 2 2" xfId="6470" xr:uid="{00000000-0005-0000-0000-00006F0F0000}"/>
    <cellStyle name="Normal 3 2 7 3 2 2 2" xfId="20982" xr:uid="{00000000-0005-0000-0000-0000700F0000}"/>
    <cellStyle name="Normal 3 2 7 3 2 2 3" xfId="13726" xr:uid="{00000000-0005-0000-0000-0000710F0000}"/>
    <cellStyle name="Normal 3 2 7 3 2 3" xfId="17354" xr:uid="{00000000-0005-0000-0000-0000720F0000}"/>
    <cellStyle name="Normal 3 2 7 3 2 4" xfId="10098" xr:uid="{00000000-0005-0000-0000-0000730F0000}"/>
    <cellStyle name="Normal 3 2 7 3 3" xfId="4656" xr:uid="{00000000-0005-0000-0000-0000740F0000}"/>
    <cellStyle name="Normal 3 2 7 3 3 2" xfId="19168" xr:uid="{00000000-0005-0000-0000-0000750F0000}"/>
    <cellStyle name="Normal 3 2 7 3 3 3" xfId="11912" xr:uid="{00000000-0005-0000-0000-0000760F0000}"/>
    <cellStyle name="Normal 3 2 7 3 4" xfId="15540" xr:uid="{00000000-0005-0000-0000-0000770F0000}"/>
    <cellStyle name="Normal 3 2 7 3 5" xfId="8284" xr:uid="{00000000-0005-0000-0000-0000780F0000}"/>
    <cellStyle name="Normal 3 2 7 4" xfId="1935" xr:uid="{00000000-0005-0000-0000-0000790F0000}"/>
    <cellStyle name="Normal 3 2 7 4 2" xfId="5563" xr:uid="{00000000-0005-0000-0000-00007A0F0000}"/>
    <cellStyle name="Normal 3 2 7 4 2 2" xfId="20075" xr:uid="{00000000-0005-0000-0000-00007B0F0000}"/>
    <cellStyle name="Normal 3 2 7 4 2 3" xfId="12819" xr:uid="{00000000-0005-0000-0000-00007C0F0000}"/>
    <cellStyle name="Normal 3 2 7 4 3" xfId="16447" xr:uid="{00000000-0005-0000-0000-00007D0F0000}"/>
    <cellStyle name="Normal 3 2 7 4 4" xfId="9191" xr:uid="{00000000-0005-0000-0000-00007E0F0000}"/>
    <cellStyle name="Normal 3 2 7 5" xfId="3749" xr:uid="{00000000-0005-0000-0000-00007F0F0000}"/>
    <cellStyle name="Normal 3 2 7 5 2" xfId="18261" xr:uid="{00000000-0005-0000-0000-0000800F0000}"/>
    <cellStyle name="Normal 3 2 7 5 3" xfId="11005" xr:uid="{00000000-0005-0000-0000-0000810F0000}"/>
    <cellStyle name="Normal 3 2 7 6" xfId="14633" xr:uid="{00000000-0005-0000-0000-0000820F0000}"/>
    <cellStyle name="Normal 3 2 7 7" xfId="7377" xr:uid="{00000000-0005-0000-0000-0000830F0000}"/>
    <cellStyle name="Normal 3 2 8" xfId="250" xr:uid="{00000000-0005-0000-0000-0000840F0000}"/>
    <cellStyle name="Normal 3 2 8 2" xfId="596" xr:uid="{00000000-0005-0000-0000-0000850F0000}"/>
    <cellStyle name="Normal 3 2 8 2 2" xfId="1504" xr:uid="{00000000-0005-0000-0000-0000860F0000}"/>
    <cellStyle name="Normal 3 2 8 2 2 2" xfId="3318" xr:uid="{00000000-0005-0000-0000-0000870F0000}"/>
    <cellStyle name="Normal 3 2 8 2 2 2 2" xfId="6946" xr:uid="{00000000-0005-0000-0000-0000880F0000}"/>
    <cellStyle name="Normal 3 2 8 2 2 2 2 2" xfId="21458" xr:uid="{00000000-0005-0000-0000-0000890F0000}"/>
    <cellStyle name="Normal 3 2 8 2 2 2 2 3" xfId="14202" xr:uid="{00000000-0005-0000-0000-00008A0F0000}"/>
    <cellStyle name="Normal 3 2 8 2 2 2 3" xfId="17830" xr:uid="{00000000-0005-0000-0000-00008B0F0000}"/>
    <cellStyle name="Normal 3 2 8 2 2 2 4" xfId="10574" xr:uid="{00000000-0005-0000-0000-00008C0F0000}"/>
    <cellStyle name="Normal 3 2 8 2 2 3" xfId="5132" xr:uid="{00000000-0005-0000-0000-00008D0F0000}"/>
    <cellStyle name="Normal 3 2 8 2 2 3 2" xfId="19644" xr:uid="{00000000-0005-0000-0000-00008E0F0000}"/>
    <cellStyle name="Normal 3 2 8 2 2 3 3" xfId="12388" xr:uid="{00000000-0005-0000-0000-00008F0F0000}"/>
    <cellStyle name="Normal 3 2 8 2 2 4" xfId="16016" xr:uid="{00000000-0005-0000-0000-0000900F0000}"/>
    <cellStyle name="Normal 3 2 8 2 2 5" xfId="8760" xr:uid="{00000000-0005-0000-0000-0000910F0000}"/>
    <cellStyle name="Normal 3 2 8 2 3" xfId="2411" xr:uid="{00000000-0005-0000-0000-0000920F0000}"/>
    <cellStyle name="Normal 3 2 8 2 3 2" xfId="6039" xr:uid="{00000000-0005-0000-0000-0000930F0000}"/>
    <cellStyle name="Normal 3 2 8 2 3 2 2" xfId="20551" xr:uid="{00000000-0005-0000-0000-0000940F0000}"/>
    <cellStyle name="Normal 3 2 8 2 3 2 3" xfId="13295" xr:uid="{00000000-0005-0000-0000-0000950F0000}"/>
    <cellStyle name="Normal 3 2 8 2 3 3" xfId="16923" xr:uid="{00000000-0005-0000-0000-0000960F0000}"/>
    <cellStyle name="Normal 3 2 8 2 3 4" xfId="9667" xr:uid="{00000000-0005-0000-0000-0000970F0000}"/>
    <cellStyle name="Normal 3 2 8 2 4" xfId="4225" xr:uid="{00000000-0005-0000-0000-0000980F0000}"/>
    <cellStyle name="Normal 3 2 8 2 4 2" xfId="18737" xr:uid="{00000000-0005-0000-0000-0000990F0000}"/>
    <cellStyle name="Normal 3 2 8 2 4 3" xfId="11481" xr:uid="{00000000-0005-0000-0000-00009A0F0000}"/>
    <cellStyle name="Normal 3 2 8 2 5" xfId="15109" xr:uid="{00000000-0005-0000-0000-00009B0F0000}"/>
    <cellStyle name="Normal 3 2 8 2 6" xfId="7853" xr:uid="{00000000-0005-0000-0000-00009C0F0000}"/>
    <cellStyle name="Normal 3 2 8 3" xfId="1158" xr:uid="{00000000-0005-0000-0000-00009D0F0000}"/>
    <cellStyle name="Normal 3 2 8 3 2" xfId="2972" xr:uid="{00000000-0005-0000-0000-00009E0F0000}"/>
    <cellStyle name="Normal 3 2 8 3 2 2" xfId="6600" xr:uid="{00000000-0005-0000-0000-00009F0F0000}"/>
    <cellStyle name="Normal 3 2 8 3 2 2 2" xfId="21112" xr:uid="{00000000-0005-0000-0000-0000A00F0000}"/>
    <cellStyle name="Normal 3 2 8 3 2 2 3" xfId="13856" xr:uid="{00000000-0005-0000-0000-0000A10F0000}"/>
    <cellStyle name="Normal 3 2 8 3 2 3" xfId="17484" xr:uid="{00000000-0005-0000-0000-0000A20F0000}"/>
    <cellStyle name="Normal 3 2 8 3 2 4" xfId="10228" xr:uid="{00000000-0005-0000-0000-0000A30F0000}"/>
    <cellStyle name="Normal 3 2 8 3 3" xfId="4786" xr:uid="{00000000-0005-0000-0000-0000A40F0000}"/>
    <cellStyle name="Normal 3 2 8 3 3 2" xfId="19298" xr:uid="{00000000-0005-0000-0000-0000A50F0000}"/>
    <cellStyle name="Normal 3 2 8 3 3 3" xfId="12042" xr:uid="{00000000-0005-0000-0000-0000A60F0000}"/>
    <cellStyle name="Normal 3 2 8 3 4" xfId="15670" xr:uid="{00000000-0005-0000-0000-0000A70F0000}"/>
    <cellStyle name="Normal 3 2 8 3 5" xfId="8414" xr:uid="{00000000-0005-0000-0000-0000A80F0000}"/>
    <cellStyle name="Normal 3 2 8 4" xfId="2065" xr:uid="{00000000-0005-0000-0000-0000A90F0000}"/>
    <cellStyle name="Normal 3 2 8 4 2" xfId="5693" xr:uid="{00000000-0005-0000-0000-0000AA0F0000}"/>
    <cellStyle name="Normal 3 2 8 4 2 2" xfId="20205" xr:uid="{00000000-0005-0000-0000-0000AB0F0000}"/>
    <cellStyle name="Normal 3 2 8 4 2 3" xfId="12949" xr:uid="{00000000-0005-0000-0000-0000AC0F0000}"/>
    <cellStyle name="Normal 3 2 8 4 3" xfId="16577" xr:uid="{00000000-0005-0000-0000-0000AD0F0000}"/>
    <cellStyle name="Normal 3 2 8 4 4" xfId="9321" xr:uid="{00000000-0005-0000-0000-0000AE0F0000}"/>
    <cellStyle name="Normal 3 2 8 5" xfId="3879" xr:uid="{00000000-0005-0000-0000-0000AF0F0000}"/>
    <cellStyle name="Normal 3 2 8 5 2" xfId="18391" xr:uid="{00000000-0005-0000-0000-0000B00F0000}"/>
    <cellStyle name="Normal 3 2 8 5 3" xfId="11135" xr:uid="{00000000-0005-0000-0000-0000B10F0000}"/>
    <cellStyle name="Normal 3 2 8 6" xfId="14763" xr:uid="{00000000-0005-0000-0000-0000B20F0000}"/>
    <cellStyle name="Normal 3 2 8 7" xfId="7507" xr:uid="{00000000-0005-0000-0000-0000B30F0000}"/>
    <cellStyle name="Normal 3 2 9" xfId="726" xr:uid="{00000000-0005-0000-0000-0000B40F0000}"/>
    <cellStyle name="Normal 3 2 9 2" xfId="1634" xr:uid="{00000000-0005-0000-0000-0000B50F0000}"/>
    <cellStyle name="Normal 3 2 9 2 2" xfId="3448" xr:uid="{00000000-0005-0000-0000-0000B60F0000}"/>
    <cellStyle name="Normal 3 2 9 2 2 2" xfId="7076" xr:uid="{00000000-0005-0000-0000-0000B70F0000}"/>
    <cellStyle name="Normal 3 2 9 2 2 2 2" xfId="21588" xr:uid="{00000000-0005-0000-0000-0000B80F0000}"/>
    <cellStyle name="Normal 3 2 9 2 2 2 3" xfId="14332" xr:uid="{00000000-0005-0000-0000-0000B90F0000}"/>
    <cellStyle name="Normal 3 2 9 2 2 3" xfId="17960" xr:uid="{00000000-0005-0000-0000-0000BA0F0000}"/>
    <cellStyle name="Normal 3 2 9 2 2 4" xfId="10704" xr:uid="{00000000-0005-0000-0000-0000BB0F0000}"/>
    <cellStyle name="Normal 3 2 9 2 3" xfId="5262" xr:uid="{00000000-0005-0000-0000-0000BC0F0000}"/>
    <cellStyle name="Normal 3 2 9 2 3 2" xfId="19774" xr:uid="{00000000-0005-0000-0000-0000BD0F0000}"/>
    <cellStyle name="Normal 3 2 9 2 3 3" xfId="12518" xr:uid="{00000000-0005-0000-0000-0000BE0F0000}"/>
    <cellStyle name="Normal 3 2 9 2 4" xfId="16146" xr:uid="{00000000-0005-0000-0000-0000BF0F0000}"/>
    <cellStyle name="Normal 3 2 9 2 5" xfId="8890" xr:uid="{00000000-0005-0000-0000-0000C00F0000}"/>
    <cellStyle name="Normal 3 2 9 3" xfId="2541" xr:uid="{00000000-0005-0000-0000-0000C10F0000}"/>
    <cellStyle name="Normal 3 2 9 3 2" xfId="6169" xr:uid="{00000000-0005-0000-0000-0000C20F0000}"/>
    <cellStyle name="Normal 3 2 9 3 2 2" xfId="20681" xr:uid="{00000000-0005-0000-0000-0000C30F0000}"/>
    <cellStyle name="Normal 3 2 9 3 2 3" xfId="13425" xr:uid="{00000000-0005-0000-0000-0000C40F0000}"/>
    <cellStyle name="Normal 3 2 9 3 3" xfId="17053" xr:uid="{00000000-0005-0000-0000-0000C50F0000}"/>
    <cellStyle name="Normal 3 2 9 3 4" xfId="9797" xr:uid="{00000000-0005-0000-0000-0000C60F0000}"/>
    <cellStyle name="Normal 3 2 9 4" xfId="4355" xr:uid="{00000000-0005-0000-0000-0000C70F0000}"/>
    <cellStyle name="Normal 3 2 9 4 2" xfId="18867" xr:uid="{00000000-0005-0000-0000-0000C80F0000}"/>
    <cellStyle name="Normal 3 2 9 4 3" xfId="11611" xr:uid="{00000000-0005-0000-0000-0000C90F0000}"/>
    <cellStyle name="Normal 3 2 9 5" xfId="15239" xr:uid="{00000000-0005-0000-0000-0000CA0F0000}"/>
    <cellStyle name="Normal 3 2 9 6" xfId="7983" xr:uid="{00000000-0005-0000-0000-0000CB0F0000}"/>
    <cellStyle name="Normal 3 3" xfId="31" xr:uid="{00000000-0005-0000-0000-0000CC0F0000}"/>
    <cellStyle name="Normal 3 4" xfId="27" xr:uid="{00000000-0005-0000-0000-0000CD0F0000}"/>
    <cellStyle name="Normal 3 4 10" xfId="855" xr:uid="{00000000-0005-0000-0000-0000CE0F0000}"/>
    <cellStyle name="Normal 3 4 10 2" xfId="1763" xr:uid="{00000000-0005-0000-0000-0000CF0F0000}"/>
    <cellStyle name="Normal 3 4 10 2 2" xfId="3577" xr:uid="{00000000-0005-0000-0000-0000D00F0000}"/>
    <cellStyle name="Normal 3 4 10 2 2 2" xfId="7205" xr:uid="{00000000-0005-0000-0000-0000D10F0000}"/>
    <cellStyle name="Normal 3 4 10 2 2 2 2" xfId="21717" xr:uid="{00000000-0005-0000-0000-0000D20F0000}"/>
    <cellStyle name="Normal 3 4 10 2 2 2 3" xfId="14461" xr:uid="{00000000-0005-0000-0000-0000D30F0000}"/>
    <cellStyle name="Normal 3 4 10 2 2 3" xfId="18089" xr:uid="{00000000-0005-0000-0000-0000D40F0000}"/>
    <cellStyle name="Normal 3 4 10 2 2 4" xfId="10833" xr:uid="{00000000-0005-0000-0000-0000D50F0000}"/>
    <cellStyle name="Normal 3 4 10 2 3" xfId="5391" xr:uid="{00000000-0005-0000-0000-0000D60F0000}"/>
    <cellStyle name="Normal 3 4 10 2 3 2" xfId="19903" xr:uid="{00000000-0005-0000-0000-0000D70F0000}"/>
    <cellStyle name="Normal 3 4 10 2 3 3" xfId="12647" xr:uid="{00000000-0005-0000-0000-0000D80F0000}"/>
    <cellStyle name="Normal 3 4 10 2 4" xfId="16275" xr:uid="{00000000-0005-0000-0000-0000D90F0000}"/>
    <cellStyle name="Normal 3 4 10 2 5" xfId="9019" xr:uid="{00000000-0005-0000-0000-0000DA0F0000}"/>
    <cellStyle name="Normal 3 4 10 3" xfId="2670" xr:uid="{00000000-0005-0000-0000-0000DB0F0000}"/>
    <cellStyle name="Normal 3 4 10 3 2" xfId="6298" xr:uid="{00000000-0005-0000-0000-0000DC0F0000}"/>
    <cellStyle name="Normal 3 4 10 3 2 2" xfId="20810" xr:uid="{00000000-0005-0000-0000-0000DD0F0000}"/>
    <cellStyle name="Normal 3 4 10 3 2 3" xfId="13554" xr:uid="{00000000-0005-0000-0000-0000DE0F0000}"/>
    <cellStyle name="Normal 3 4 10 3 3" xfId="17182" xr:uid="{00000000-0005-0000-0000-0000DF0F0000}"/>
    <cellStyle name="Normal 3 4 10 3 4" xfId="9926" xr:uid="{00000000-0005-0000-0000-0000E00F0000}"/>
    <cellStyle name="Normal 3 4 10 4" xfId="4484" xr:uid="{00000000-0005-0000-0000-0000E10F0000}"/>
    <cellStyle name="Normal 3 4 10 4 2" xfId="18996" xr:uid="{00000000-0005-0000-0000-0000E20F0000}"/>
    <cellStyle name="Normal 3 4 10 4 3" xfId="11740" xr:uid="{00000000-0005-0000-0000-0000E30F0000}"/>
    <cellStyle name="Normal 3 4 10 5" xfId="15368" xr:uid="{00000000-0005-0000-0000-0000E40F0000}"/>
    <cellStyle name="Normal 3 4 10 6" xfId="8112" xr:uid="{00000000-0005-0000-0000-0000E50F0000}"/>
    <cellStyle name="Normal 3 4 11" xfId="941" xr:uid="{00000000-0005-0000-0000-0000E60F0000}"/>
    <cellStyle name="Normal 3 4 11 2" xfId="2755" xr:uid="{00000000-0005-0000-0000-0000E70F0000}"/>
    <cellStyle name="Normal 3 4 11 2 2" xfId="6383" xr:uid="{00000000-0005-0000-0000-0000E80F0000}"/>
    <cellStyle name="Normal 3 4 11 2 2 2" xfId="20895" xr:uid="{00000000-0005-0000-0000-0000E90F0000}"/>
    <cellStyle name="Normal 3 4 11 2 2 3" xfId="13639" xr:uid="{00000000-0005-0000-0000-0000EA0F0000}"/>
    <cellStyle name="Normal 3 4 11 2 3" xfId="17267" xr:uid="{00000000-0005-0000-0000-0000EB0F0000}"/>
    <cellStyle name="Normal 3 4 11 2 4" xfId="10011" xr:uid="{00000000-0005-0000-0000-0000EC0F0000}"/>
    <cellStyle name="Normal 3 4 11 3" xfId="4569" xr:uid="{00000000-0005-0000-0000-0000ED0F0000}"/>
    <cellStyle name="Normal 3 4 11 3 2" xfId="19081" xr:uid="{00000000-0005-0000-0000-0000EE0F0000}"/>
    <cellStyle name="Normal 3 4 11 3 3" xfId="11825" xr:uid="{00000000-0005-0000-0000-0000EF0F0000}"/>
    <cellStyle name="Normal 3 4 11 4" xfId="15453" xr:uid="{00000000-0005-0000-0000-0000F00F0000}"/>
    <cellStyle name="Normal 3 4 11 5" xfId="8197" xr:uid="{00000000-0005-0000-0000-0000F10F0000}"/>
    <cellStyle name="Normal 3 4 12" xfId="1848" xr:uid="{00000000-0005-0000-0000-0000F20F0000}"/>
    <cellStyle name="Normal 3 4 12 2" xfId="5476" xr:uid="{00000000-0005-0000-0000-0000F30F0000}"/>
    <cellStyle name="Normal 3 4 12 2 2" xfId="19988" xr:uid="{00000000-0005-0000-0000-0000F40F0000}"/>
    <cellStyle name="Normal 3 4 12 2 3" xfId="12732" xr:uid="{00000000-0005-0000-0000-0000F50F0000}"/>
    <cellStyle name="Normal 3 4 12 3" xfId="16360" xr:uid="{00000000-0005-0000-0000-0000F60F0000}"/>
    <cellStyle name="Normal 3 4 12 4" xfId="9104" xr:uid="{00000000-0005-0000-0000-0000F70F0000}"/>
    <cellStyle name="Normal 3 4 13" xfId="3662" xr:uid="{00000000-0005-0000-0000-0000F80F0000}"/>
    <cellStyle name="Normal 3 4 13 2" xfId="18174" xr:uid="{00000000-0005-0000-0000-0000F90F0000}"/>
    <cellStyle name="Normal 3 4 13 3" xfId="10918" xr:uid="{00000000-0005-0000-0000-0000FA0F0000}"/>
    <cellStyle name="Normal 3 4 14" xfId="14546" xr:uid="{00000000-0005-0000-0000-0000FB0F0000}"/>
    <cellStyle name="Normal 3 4 15" xfId="7290" xr:uid="{00000000-0005-0000-0000-0000FC0F0000}"/>
    <cellStyle name="Normal 3 4 2" xfId="40" xr:uid="{00000000-0005-0000-0000-0000FD0F0000}"/>
    <cellStyle name="Normal 3 4 2 10" xfId="951" xr:uid="{00000000-0005-0000-0000-0000FE0F0000}"/>
    <cellStyle name="Normal 3 4 2 10 2" xfId="2765" xr:uid="{00000000-0005-0000-0000-0000FF0F0000}"/>
    <cellStyle name="Normal 3 4 2 10 2 2" xfId="6393" xr:uid="{00000000-0005-0000-0000-000000100000}"/>
    <cellStyle name="Normal 3 4 2 10 2 2 2" xfId="20905" xr:uid="{00000000-0005-0000-0000-000001100000}"/>
    <cellStyle name="Normal 3 4 2 10 2 2 3" xfId="13649" xr:uid="{00000000-0005-0000-0000-000002100000}"/>
    <cellStyle name="Normal 3 4 2 10 2 3" xfId="17277" xr:uid="{00000000-0005-0000-0000-000003100000}"/>
    <cellStyle name="Normal 3 4 2 10 2 4" xfId="10021" xr:uid="{00000000-0005-0000-0000-000004100000}"/>
    <cellStyle name="Normal 3 4 2 10 3" xfId="4579" xr:uid="{00000000-0005-0000-0000-000005100000}"/>
    <cellStyle name="Normal 3 4 2 10 3 2" xfId="19091" xr:uid="{00000000-0005-0000-0000-000006100000}"/>
    <cellStyle name="Normal 3 4 2 10 3 3" xfId="11835" xr:uid="{00000000-0005-0000-0000-000007100000}"/>
    <cellStyle name="Normal 3 4 2 10 4" xfId="15463" xr:uid="{00000000-0005-0000-0000-000008100000}"/>
    <cellStyle name="Normal 3 4 2 10 5" xfId="8207" xr:uid="{00000000-0005-0000-0000-000009100000}"/>
    <cellStyle name="Normal 3 4 2 11" xfId="1858" xr:uid="{00000000-0005-0000-0000-00000A100000}"/>
    <cellStyle name="Normal 3 4 2 11 2" xfId="5486" xr:uid="{00000000-0005-0000-0000-00000B100000}"/>
    <cellStyle name="Normal 3 4 2 11 2 2" xfId="19998" xr:uid="{00000000-0005-0000-0000-00000C100000}"/>
    <cellStyle name="Normal 3 4 2 11 2 3" xfId="12742" xr:uid="{00000000-0005-0000-0000-00000D100000}"/>
    <cellStyle name="Normal 3 4 2 11 3" xfId="16370" xr:uid="{00000000-0005-0000-0000-00000E100000}"/>
    <cellStyle name="Normal 3 4 2 11 4" xfId="9114" xr:uid="{00000000-0005-0000-0000-00000F100000}"/>
    <cellStyle name="Normal 3 4 2 12" xfId="3672" xr:uid="{00000000-0005-0000-0000-000010100000}"/>
    <cellStyle name="Normal 3 4 2 12 2" xfId="18184" xr:uid="{00000000-0005-0000-0000-000011100000}"/>
    <cellStyle name="Normal 3 4 2 12 3" xfId="10928" xr:uid="{00000000-0005-0000-0000-000012100000}"/>
    <cellStyle name="Normal 3 4 2 13" xfId="14556" xr:uid="{00000000-0005-0000-0000-000013100000}"/>
    <cellStyle name="Normal 3 4 2 14" xfId="7300" xr:uid="{00000000-0005-0000-0000-000014100000}"/>
    <cellStyle name="Normal 3 4 2 2" xfId="62" xr:uid="{00000000-0005-0000-0000-000015100000}"/>
    <cellStyle name="Normal 3 4 2 2 10" xfId="1879" xr:uid="{00000000-0005-0000-0000-000016100000}"/>
    <cellStyle name="Normal 3 4 2 2 10 2" xfId="5507" xr:uid="{00000000-0005-0000-0000-000017100000}"/>
    <cellStyle name="Normal 3 4 2 2 10 2 2" xfId="20019" xr:uid="{00000000-0005-0000-0000-000018100000}"/>
    <cellStyle name="Normal 3 4 2 2 10 2 3" xfId="12763" xr:uid="{00000000-0005-0000-0000-000019100000}"/>
    <cellStyle name="Normal 3 4 2 2 10 3" xfId="16391" xr:uid="{00000000-0005-0000-0000-00001A100000}"/>
    <cellStyle name="Normal 3 4 2 2 10 4" xfId="9135" xr:uid="{00000000-0005-0000-0000-00001B100000}"/>
    <cellStyle name="Normal 3 4 2 2 11" xfId="3693" xr:uid="{00000000-0005-0000-0000-00001C100000}"/>
    <cellStyle name="Normal 3 4 2 2 11 2" xfId="18205" xr:uid="{00000000-0005-0000-0000-00001D100000}"/>
    <cellStyle name="Normal 3 4 2 2 11 3" xfId="10949" xr:uid="{00000000-0005-0000-0000-00001E100000}"/>
    <cellStyle name="Normal 3 4 2 2 12" xfId="14577" xr:uid="{00000000-0005-0000-0000-00001F100000}"/>
    <cellStyle name="Normal 3 4 2 2 13" xfId="7321" xr:uid="{00000000-0005-0000-0000-000020100000}"/>
    <cellStyle name="Normal 3 4 2 2 2" xfId="104" xr:uid="{00000000-0005-0000-0000-000021100000}"/>
    <cellStyle name="Normal 3 4 2 2 2 10" xfId="14619" xr:uid="{00000000-0005-0000-0000-000022100000}"/>
    <cellStyle name="Normal 3 4 2 2 2 11" xfId="7363" xr:uid="{00000000-0005-0000-0000-000023100000}"/>
    <cellStyle name="Normal 3 4 2 2 2 2" xfId="192" xr:uid="{00000000-0005-0000-0000-000024100000}"/>
    <cellStyle name="Normal 3 4 2 2 2 2 2" xfId="538" xr:uid="{00000000-0005-0000-0000-000025100000}"/>
    <cellStyle name="Normal 3 4 2 2 2 2 2 2" xfId="1446" xr:uid="{00000000-0005-0000-0000-000026100000}"/>
    <cellStyle name="Normal 3 4 2 2 2 2 2 2 2" xfId="3260" xr:uid="{00000000-0005-0000-0000-000027100000}"/>
    <cellStyle name="Normal 3 4 2 2 2 2 2 2 2 2" xfId="6888" xr:uid="{00000000-0005-0000-0000-000028100000}"/>
    <cellStyle name="Normal 3 4 2 2 2 2 2 2 2 2 2" xfId="21400" xr:uid="{00000000-0005-0000-0000-000029100000}"/>
    <cellStyle name="Normal 3 4 2 2 2 2 2 2 2 2 3" xfId="14144" xr:uid="{00000000-0005-0000-0000-00002A100000}"/>
    <cellStyle name="Normal 3 4 2 2 2 2 2 2 2 3" xfId="17772" xr:uid="{00000000-0005-0000-0000-00002B100000}"/>
    <cellStyle name="Normal 3 4 2 2 2 2 2 2 2 4" xfId="10516" xr:uid="{00000000-0005-0000-0000-00002C100000}"/>
    <cellStyle name="Normal 3 4 2 2 2 2 2 2 3" xfId="5074" xr:uid="{00000000-0005-0000-0000-00002D100000}"/>
    <cellStyle name="Normal 3 4 2 2 2 2 2 2 3 2" xfId="19586" xr:uid="{00000000-0005-0000-0000-00002E100000}"/>
    <cellStyle name="Normal 3 4 2 2 2 2 2 2 3 3" xfId="12330" xr:uid="{00000000-0005-0000-0000-00002F100000}"/>
    <cellStyle name="Normal 3 4 2 2 2 2 2 2 4" xfId="15958" xr:uid="{00000000-0005-0000-0000-000030100000}"/>
    <cellStyle name="Normal 3 4 2 2 2 2 2 2 5" xfId="8702" xr:uid="{00000000-0005-0000-0000-000031100000}"/>
    <cellStyle name="Normal 3 4 2 2 2 2 2 3" xfId="2353" xr:uid="{00000000-0005-0000-0000-000032100000}"/>
    <cellStyle name="Normal 3 4 2 2 2 2 2 3 2" xfId="5981" xr:uid="{00000000-0005-0000-0000-000033100000}"/>
    <cellStyle name="Normal 3 4 2 2 2 2 2 3 2 2" xfId="20493" xr:uid="{00000000-0005-0000-0000-000034100000}"/>
    <cellStyle name="Normal 3 4 2 2 2 2 2 3 2 3" xfId="13237" xr:uid="{00000000-0005-0000-0000-000035100000}"/>
    <cellStyle name="Normal 3 4 2 2 2 2 2 3 3" xfId="16865" xr:uid="{00000000-0005-0000-0000-000036100000}"/>
    <cellStyle name="Normal 3 4 2 2 2 2 2 3 4" xfId="9609" xr:uid="{00000000-0005-0000-0000-000037100000}"/>
    <cellStyle name="Normal 3 4 2 2 2 2 2 4" xfId="4167" xr:uid="{00000000-0005-0000-0000-000038100000}"/>
    <cellStyle name="Normal 3 4 2 2 2 2 2 4 2" xfId="18679" xr:uid="{00000000-0005-0000-0000-000039100000}"/>
    <cellStyle name="Normal 3 4 2 2 2 2 2 4 3" xfId="11423" xr:uid="{00000000-0005-0000-0000-00003A100000}"/>
    <cellStyle name="Normal 3 4 2 2 2 2 2 5" xfId="15051" xr:uid="{00000000-0005-0000-0000-00003B100000}"/>
    <cellStyle name="Normal 3 4 2 2 2 2 2 6" xfId="7795" xr:uid="{00000000-0005-0000-0000-00003C100000}"/>
    <cellStyle name="Normal 3 4 2 2 2 2 3" xfId="1100" xr:uid="{00000000-0005-0000-0000-00003D100000}"/>
    <cellStyle name="Normal 3 4 2 2 2 2 3 2" xfId="2914" xr:uid="{00000000-0005-0000-0000-00003E100000}"/>
    <cellStyle name="Normal 3 4 2 2 2 2 3 2 2" xfId="6542" xr:uid="{00000000-0005-0000-0000-00003F100000}"/>
    <cellStyle name="Normal 3 4 2 2 2 2 3 2 2 2" xfId="21054" xr:uid="{00000000-0005-0000-0000-000040100000}"/>
    <cellStyle name="Normal 3 4 2 2 2 2 3 2 2 3" xfId="13798" xr:uid="{00000000-0005-0000-0000-000041100000}"/>
    <cellStyle name="Normal 3 4 2 2 2 2 3 2 3" xfId="17426" xr:uid="{00000000-0005-0000-0000-000042100000}"/>
    <cellStyle name="Normal 3 4 2 2 2 2 3 2 4" xfId="10170" xr:uid="{00000000-0005-0000-0000-000043100000}"/>
    <cellStyle name="Normal 3 4 2 2 2 2 3 3" xfId="4728" xr:uid="{00000000-0005-0000-0000-000044100000}"/>
    <cellStyle name="Normal 3 4 2 2 2 2 3 3 2" xfId="19240" xr:uid="{00000000-0005-0000-0000-000045100000}"/>
    <cellStyle name="Normal 3 4 2 2 2 2 3 3 3" xfId="11984" xr:uid="{00000000-0005-0000-0000-000046100000}"/>
    <cellStyle name="Normal 3 4 2 2 2 2 3 4" xfId="15612" xr:uid="{00000000-0005-0000-0000-000047100000}"/>
    <cellStyle name="Normal 3 4 2 2 2 2 3 5" xfId="8356" xr:uid="{00000000-0005-0000-0000-000048100000}"/>
    <cellStyle name="Normal 3 4 2 2 2 2 4" xfId="2007" xr:uid="{00000000-0005-0000-0000-000049100000}"/>
    <cellStyle name="Normal 3 4 2 2 2 2 4 2" xfId="5635" xr:uid="{00000000-0005-0000-0000-00004A100000}"/>
    <cellStyle name="Normal 3 4 2 2 2 2 4 2 2" xfId="20147" xr:uid="{00000000-0005-0000-0000-00004B100000}"/>
    <cellStyle name="Normal 3 4 2 2 2 2 4 2 3" xfId="12891" xr:uid="{00000000-0005-0000-0000-00004C100000}"/>
    <cellStyle name="Normal 3 4 2 2 2 2 4 3" xfId="16519" xr:uid="{00000000-0005-0000-0000-00004D100000}"/>
    <cellStyle name="Normal 3 4 2 2 2 2 4 4" xfId="9263" xr:uid="{00000000-0005-0000-0000-00004E100000}"/>
    <cellStyle name="Normal 3 4 2 2 2 2 5" xfId="3821" xr:uid="{00000000-0005-0000-0000-00004F100000}"/>
    <cellStyle name="Normal 3 4 2 2 2 2 5 2" xfId="18333" xr:uid="{00000000-0005-0000-0000-000050100000}"/>
    <cellStyle name="Normal 3 4 2 2 2 2 5 3" xfId="11077" xr:uid="{00000000-0005-0000-0000-000051100000}"/>
    <cellStyle name="Normal 3 4 2 2 2 2 6" xfId="14705" xr:uid="{00000000-0005-0000-0000-000052100000}"/>
    <cellStyle name="Normal 3 4 2 2 2 2 7" xfId="7449" xr:uid="{00000000-0005-0000-0000-000053100000}"/>
    <cellStyle name="Normal 3 4 2 2 2 3" xfId="322" xr:uid="{00000000-0005-0000-0000-000054100000}"/>
    <cellStyle name="Normal 3 4 2 2 2 3 2" xfId="668" xr:uid="{00000000-0005-0000-0000-000055100000}"/>
    <cellStyle name="Normal 3 4 2 2 2 3 2 2" xfId="1576" xr:uid="{00000000-0005-0000-0000-000056100000}"/>
    <cellStyle name="Normal 3 4 2 2 2 3 2 2 2" xfId="3390" xr:uid="{00000000-0005-0000-0000-000057100000}"/>
    <cellStyle name="Normal 3 4 2 2 2 3 2 2 2 2" xfId="7018" xr:uid="{00000000-0005-0000-0000-000058100000}"/>
    <cellStyle name="Normal 3 4 2 2 2 3 2 2 2 2 2" xfId="21530" xr:uid="{00000000-0005-0000-0000-000059100000}"/>
    <cellStyle name="Normal 3 4 2 2 2 3 2 2 2 2 3" xfId="14274" xr:uid="{00000000-0005-0000-0000-00005A100000}"/>
    <cellStyle name="Normal 3 4 2 2 2 3 2 2 2 3" xfId="17902" xr:uid="{00000000-0005-0000-0000-00005B100000}"/>
    <cellStyle name="Normal 3 4 2 2 2 3 2 2 2 4" xfId="10646" xr:uid="{00000000-0005-0000-0000-00005C100000}"/>
    <cellStyle name="Normal 3 4 2 2 2 3 2 2 3" xfId="5204" xr:uid="{00000000-0005-0000-0000-00005D100000}"/>
    <cellStyle name="Normal 3 4 2 2 2 3 2 2 3 2" xfId="19716" xr:uid="{00000000-0005-0000-0000-00005E100000}"/>
    <cellStyle name="Normal 3 4 2 2 2 3 2 2 3 3" xfId="12460" xr:uid="{00000000-0005-0000-0000-00005F100000}"/>
    <cellStyle name="Normal 3 4 2 2 2 3 2 2 4" xfId="16088" xr:uid="{00000000-0005-0000-0000-000060100000}"/>
    <cellStyle name="Normal 3 4 2 2 2 3 2 2 5" xfId="8832" xr:uid="{00000000-0005-0000-0000-000061100000}"/>
    <cellStyle name="Normal 3 4 2 2 2 3 2 3" xfId="2483" xr:uid="{00000000-0005-0000-0000-000062100000}"/>
    <cellStyle name="Normal 3 4 2 2 2 3 2 3 2" xfId="6111" xr:uid="{00000000-0005-0000-0000-000063100000}"/>
    <cellStyle name="Normal 3 4 2 2 2 3 2 3 2 2" xfId="20623" xr:uid="{00000000-0005-0000-0000-000064100000}"/>
    <cellStyle name="Normal 3 4 2 2 2 3 2 3 2 3" xfId="13367" xr:uid="{00000000-0005-0000-0000-000065100000}"/>
    <cellStyle name="Normal 3 4 2 2 2 3 2 3 3" xfId="16995" xr:uid="{00000000-0005-0000-0000-000066100000}"/>
    <cellStyle name="Normal 3 4 2 2 2 3 2 3 4" xfId="9739" xr:uid="{00000000-0005-0000-0000-000067100000}"/>
    <cellStyle name="Normal 3 4 2 2 2 3 2 4" xfId="4297" xr:uid="{00000000-0005-0000-0000-000068100000}"/>
    <cellStyle name="Normal 3 4 2 2 2 3 2 4 2" xfId="18809" xr:uid="{00000000-0005-0000-0000-000069100000}"/>
    <cellStyle name="Normal 3 4 2 2 2 3 2 4 3" xfId="11553" xr:uid="{00000000-0005-0000-0000-00006A100000}"/>
    <cellStyle name="Normal 3 4 2 2 2 3 2 5" xfId="15181" xr:uid="{00000000-0005-0000-0000-00006B100000}"/>
    <cellStyle name="Normal 3 4 2 2 2 3 2 6" xfId="7925" xr:uid="{00000000-0005-0000-0000-00006C100000}"/>
    <cellStyle name="Normal 3 4 2 2 2 3 3" xfId="1230" xr:uid="{00000000-0005-0000-0000-00006D100000}"/>
    <cellStyle name="Normal 3 4 2 2 2 3 3 2" xfId="3044" xr:uid="{00000000-0005-0000-0000-00006E100000}"/>
    <cellStyle name="Normal 3 4 2 2 2 3 3 2 2" xfId="6672" xr:uid="{00000000-0005-0000-0000-00006F100000}"/>
    <cellStyle name="Normal 3 4 2 2 2 3 3 2 2 2" xfId="21184" xr:uid="{00000000-0005-0000-0000-000070100000}"/>
    <cellStyle name="Normal 3 4 2 2 2 3 3 2 2 3" xfId="13928" xr:uid="{00000000-0005-0000-0000-000071100000}"/>
    <cellStyle name="Normal 3 4 2 2 2 3 3 2 3" xfId="17556" xr:uid="{00000000-0005-0000-0000-000072100000}"/>
    <cellStyle name="Normal 3 4 2 2 2 3 3 2 4" xfId="10300" xr:uid="{00000000-0005-0000-0000-000073100000}"/>
    <cellStyle name="Normal 3 4 2 2 2 3 3 3" xfId="4858" xr:uid="{00000000-0005-0000-0000-000074100000}"/>
    <cellStyle name="Normal 3 4 2 2 2 3 3 3 2" xfId="19370" xr:uid="{00000000-0005-0000-0000-000075100000}"/>
    <cellStyle name="Normal 3 4 2 2 2 3 3 3 3" xfId="12114" xr:uid="{00000000-0005-0000-0000-000076100000}"/>
    <cellStyle name="Normal 3 4 2 2 2 3 3 4" xfId="15742" xr:uid="{00000000-0005-0000-0000-000077100000}"/>
    <cellStyle name="Normal 3 4 2 2 2 3 3 5" xfId="8486" xr:uid="{00000000-0005-0000-0000-000078100000}"/>
    <cellStyle name="Normal 3 4 2 2 2 3 4" xfId="2137" xr:uid="{00000000-0005-0000-0000-000079100000}"/>
    <cellStyle name="Normal 3 4 2 2 2 3 4 2" xfId="5765" xr:uid="{00000000-0005-0000-0000-00007A100000}"/>
    <cellStyle name="Normal 3 4 2 2 2 3 4 2 2" xfId="20277" xr:uid="{00000000-0005-0000-0000-00007B100000}"/>
    <cellStyle name="Normal 3 4 2 2 2 3 4 2 3" xfId="13021" xr:uid="{00000000-0005-0000-0000-00007C100000}"/>
    <cellStyle name="Normal 3 4 2 2 2 3 4 3" xfId="16649" xr:uid="{00000000-0005-0000-0000-00007D100000}"/>
    <cellStyle name="Normal 3 4 2 2 2 3 4 4" xfId="9393" xr:uid="{00000000-0005-0000-0000-00007E100000}"/>
    <cellStyle name="Normal 3 4 2 2 2 3 5" xfId="3951" xr:uid="{00000000-0005-0000-0000-00007F100000}"/>
    <cellStyle name="Normal 3 4 2 2 2 3 5 2" xfId="18463" xr:uid="{00000000-0005-0000-0000-000080100000}"/>
    <cellStyle name="Normal 3 4 2 2 2 3 5 3" xfId="11207" xr:uid="{00000000-0005-0000-0000-000081100000}"/>
    <cellStyle name="Normal 3 4 2 2 2 3 6" xfId="14835" xr:uid="{00000000-0005-0000-0000-000082100000}"/>
    <cellStyle name="Normal 3 4 2 2 2 3 7" xfId="7579" xr:uid="{00000000-0005-0000-0000-000083100000}"/>
    <cellStyle name="Normal 3 4 2 2 2 4" xfId="798" xr:uid="{00000000-0005-0000-0000-000084100000}"/>
    <cellStyle name="Normal 3 4 2 2 2 4 2" xfId="1706" xr:uid="{00000000-0005-0000-0000-000085100000}"/>
    <cellStyle name="Normal 3 4 2 2 2 4 2 2" xfId="3520" xr:uid="{00000000-0005-0000-0000-000086100000}"/>
    <cellStyle name="Normal 3 4 2 2 2 4 2 2 2" xfId="7148" xr:uid="{00000000-0005-0000-0000-000087100000}"/>
    <cellStyle name="Normal 3 4 2 2 2 4 2 2 2 2" xfId="21660" xr:uid="{00000000-0005-0000-0000-000088100000}"/>
    <cellStyle name="Normal 3 4 2 2 2 4 2 2 2 3" xfId="14404" xr:uid="{00000000-0005-0000-0000-000089100000}"/>
    <cellStyle name="Normal 3 4 2 2 2 4 2 2 3" xfId="18032" xr:uid="{00000000-0005-0000-0000-00008A100000}"/>
    <cellStyle name="Normal 3 4 2 2 2 4 2 2 4" xfId="10776" xr:uid="{00000000-0005-0000-0000-00008B100000}"/>
    <cellStyle name="Normal 3 4 2 2 2 4 2 3" xfId="5334" xr:uid="{00000000-0005-0000-0000-00008C100000}"/>
    <cellStyle name="Normal 3 4 2 2 2 4 2 3 2" xfId="19846" xr:uid="{00000000-0005-0000-0000-00008D100000}"/>
    <cellStyle name="Normal 3 4 2 2 2 4 2 3 3" xfId="12590" xr:uid="{00000000-0005-0000-0000-00008E100000}"/>
    <cellStyle name="Normal 3 4 2 2 2 4 2 4" xfId="16218" xr:uid="{00000000-0005-0000-0000-00008F100000}"/>
    <cellStyle name="Normal 3 4 2 2 2 4 2 5" xfId="8962" xr:uid="{00000000-0005-0000-0000-000090100000}"/>
    <cellStyle name="Normal 3 4 2 2 2 4 3" xfId="2613" xr:uid="{00000000-0005-0000-0000-000091100000}"/>
    <cellStyle name="Normal 3 4 2 2 2 4 3 2" xfId="6241" xr:uid="{00000000-0005-0000-0000-000092100000}"/>
    <cellStyle name="Normal 3 4 2 2 2 4 3 2 2" xfId="20753" xr:uid="{00000000-0005-0000-0000-000093100000}"/>
    <cellStyle name="Normal 3 4 2 2 2 4 3 2 3" xfId="13497" xr:uid="{00000000-0005-0000-0000-000094100000}"/>
    <cellStyle name="Normal 3 4 2 2 2 4 3 3" xfId="17125" xr:uid="{00000000-0005-0000-0000-000095100000}"/>
    <cellStyle name="Normal 3 4 2 2 2 4 3 4" xfId="9869" xr:uid="{00000000-0005-0000-0000-000096100000}"/>
    <cellStyle name="Normal 3 4 2 2 2 4 4" xfId="4427" xr:uid="{00000000-0005-0000-0000-000097100000}"/>
    <cellStyle name="Normal 3 4 2 2 2 4 4 2" xfId="18939" xr:uid="{00000000-0005-0000-0000-000098100000}"/>
    <cellStyle name="Normal 3 4 2 2 2 4 4 3" xfId="11683" xr:uid="{00000000-0005-0000-0000-000099100000}"/>
    <cellStyle name="Normal 3 4 2 2 2 4 5" xfId="15311" xr:uid="{00000000-0005-0000-0000-00009A100000}"/>
    <cellStyle name="Normal 3 4 2 2 2 4 6" xfId="8055" xr:uid="{00000000-0005-0000-0000-00009B100000}"/>
    <cellStyle name="Normal 3 4 2 2 2 5" xfId="452" xr:uid="{00000000-0005-0000-0000-00009C100000}"/>
    <cellStyle name="Normal 3 4 2 2 2 5 2" xfId="1360" xr:uid="{00000000-0005-0000-0000-00009D100000}"/>
    <cellStyle name="Normal 3 4 2 2 2 5 2 2" xfId="3174" xr:uid="{00000000-0005-0000-0000-00009E100000}"/>
    <cellStyle name="Normal 3 4 2 2 2 5 2 2 2" xfId="6802" xr:uid="{00000000-0005-0000-0000-00009F100000}"/>
    <cellStyle name="Normal 3 4 2 2 2 5 2 2 2 2" xfId="21314" xr:uid="{00000000-0005-0000-0000-0000A0100000}"/>
    <cellStyle name="Normal 3 4 2 2 2 5 2 2 2 3" xfId="14058" xr:uid="{00000000-0005-0000-0000-0000A1100000}"/>
    <cellStyle name="Normal 3 4 2 2 2 5 2 2 3" xfId="17686" xr:uid="{00000000-0005-0000-0000-0000A2100000}"/>
    <cellStyle name="Normal 3 4 2 2 2 5 2 2 4" xfId="10430" xr:uid="{00000000-0005-0000-0000-0000A3100000}"/>
    <cellStyle name="Normal 3 4 2 2 2 5 2 3" xfId="4988" xr:uid="{00000000-0005-0000-0000-0000A4100000}"/>
    <cellStyle name="Normal 3 4 2 2 2 5 2 3 2" xfId="19500" xr:uid="{00000000-0005-0000-0000-0000A5100000}"/>
    <cellStyle name="Normal 3 4 2 2 2 5 2 3 3" xfId="12244" xr:uid="{00000000-0005-0000-0000-0000A6100000}"/>
    <cellStyle name="Normal 3 4 2 2 2 5 2 4" xfId="15872" xr:uid="{00000000-0005-0000-0000-0000A7100000}"/>
    <cellStyle name="Normal 3 4 2 2 2 5 2 5" xfId="8616" xr:uid="{00000000-0005-0000-0000-0000A8100000}"/>
    <cellStyle name="Normal 3 4 2 2 2 5 3" xfId="2267" xr:uid="{00000000-0005-0000-0000-0000A9100000}"/>
    <cellStyle name="Normal 3 4 2 2 2 5 3 2" xfId="5895" xr:uid="{00000000-0005-0000-0000-0000AA100000}"/>
    <cellStyle name="Normal 3 4 2 2 2 5 3 2 2" xfId="20407" xr:uid="{00000000-0005-0000-0000-0000AB100000}"/>
    <cellStyle name="Normal 3 4 2 2 2 5 3 2 3" xfId="13151" xr:uid="{00000000-0005-0000-0000-0000AC100000}"/>
    <cellStyle name="Normal 3 4 2 2 2 5 3 3" xfId="16779" xr:uid="{00000000-0005-0000-0000-0000AD100000}"/>
    <cellStyle name="Normal 3 4 2 2 2 5 3 4" xfId="9523" xr:uid="{00000000-0005-0000-0000-0000AE100000}"/>
    <cellStyle name="Normal 3 4 2 2 2 5 4" xfId="4081" xr:uid="{00000000-0005-0000-0000-0000AF100000}"/>
    <cellStyle name="Normal 3 4 2 2 2 5 4 2" xfId="18593" xr:uid="{00000000-0005-0000-0000-0000B0100000}"/>
    <cellStyle name="Normal 3 4 2 2 2 5 4 3" xfId="11337" xr:uid="{00000000-0005-0000-0000-0000B1100000}"/>
    <cellStyle name="Normal 3 4 2 2 2 5 5" xfId="14965" xr:uid="{00000000-0005-0000-0000-0000B2100000}"/>
    <cellStyle name="Normal 3 4 2 2 2 5 6" xfId="7709" xr:uid="{00000000-0005-0000-0000-0000B3100000}"/>
    <cellStyle name="Normal 3 4 2 2 2 6" xfId="918" xr:uid="{00000000-0005-0000-0000-0000B4100000}"/>
    <cellStyle name="Normal 3 4 2 2 2 6 2" xfId="1825" xr:uid="{00000000-0005-0000-0000-0000B5100000}"/>
    <cellStyle name="Normal 3 4 2 2 2 6 2 2" xfId="3639" xr:uid="{00000000-0005-0000-0000-0000B6100000}"/>
    <cellStyle name="Normal 3 4 2 2 2 6 2 2 2" xfId="7267" xr:uid="{00000000-0005-0000-0000-0000B7100000}"/>
    <cellStyle name="Normal 3 4 2 2 2 6 2 2 2 2" xfId="21779" xr:uid="{00000000-0005-0000-0000-0000B8100000}"/>
    <cellStyle name="Normal 3 4 2 2 2 6 2 2 2 3" xfId="14523" xr:uid="{00000000-0005-0000-0000-0000B9100000}"/>
    <cellStyle name="Normal 3 4 2 2 2 6 2 2 3" xfId="18151" xr:uid="{00000000-0005-0000-0000-0000BA100000}"/>
    <cellStyle name="Normal 3 4 2 2 2 6 2 2 4" xfId="10895" xr:uid="{00000000-0005-0000-0000-0000BB100000}"/>
    <cellStyle name="Normal 3 4 2 2 2 6 2 3" xfId="5453" xr:uid="{00000000-0005-0000-0000-0000BC100000}"/>
    <cellStyle name="Normal 3 4 2 2 2 6 2 3 2" xfId="19965" xr:uid="{00000000-0005-0000-0000-0000BD100000}"/>
    <cellStyle name="Normal 3 4 2 2 2 6 2 3 3" xfId="12709" xr:uid="{00000000-0005-0000-0000-0000BE100000}"/>
    <cellStyle name="Normal 3 4 2 2 2 6 2 4" xfId="16337" xr:uid="{00000000-0005-0000-0000-0000BF100000}"/>
    <cellStyle name="Normal 3 4 2 2 2 6 2 5" xfId="9081" xr:uid="{00000000-0005-0000-0000-0000C0100000}"/>
    <cellStyle name="Normal 3 4 2 2 2 6 3" xfId="2732" xr:uid="{00000000-0005-0000-0000-0000C1100000}"/>
    <cellStyle name="Normal 3 4 2 2 2 6 3 2" xfId="6360" xr:uid="{00000000-0005-0000-0000-0000C2100000}"/>
    <cellStyle name="Normal 3 4 2 2 2 6 3 2 2" xfId="20872" xr:uid="{00000000-0005-0000-0000-0000C3100000}"/>
    <cellStyle name="Normal 3 4 2 2 2 6 3 2 3" xfId="13616" xr:uid="{00000000-0005-0000-0000-0000C4100000}"/>
    <cellStyle name="Normal 3 4 2 2 2 6 3 3" xfId="17244" xr:uid="{00000000-0005-0000-0000-0000C5100000}"/>
    <cellStyle name="Normal 3 4 2 2 2 6 3 4" xfId="9988" xr:uid="{00000000-0005-0000-0000-0000C6100000}"/>
    <cellStyle name="Normal 3 4 2 2 2 6 4" xfId="4546" xr:uid="{00000000-0005-0000-0000-0000C7100000}"/>
    <cellStyle name="Normal 3 4 2 2 2 6 4 2" xfId="19058" xr:uid="{00000000-0005-0000-0000-0000C8100000}"/>
    <cellStyle name="Normal 3 4 2 2 2 6 4 3" xfId="11802" xr:uid="{00000000-0005-0000-0000-0000C9100000}"/>
    <cellStyle name="Normal 3 4 2 2 2 6 5" xfId="15430" xr:uid="{00000000-0005-0000-0000-0000CA100000}"/>
    <cellStyle name="Normal 3 4 2 2 2 6 6" xfId="8174" xr:uid="{00000000-0005-0000-0000-0000CB100000}"/>
    <cellStyle name="Normal 3 4 2 2 2 7" xfId="1014" xr:uid="{00000000-0005-0000-0000-0000CC100000}"/>
    <cellStyle name="Normal 3 4 2 2 2 7 2" xfId="2828" xr:uid="{00000000-0005-0000-0000-0000CD100000}"/>
    <cellStyle name="Normal 3 4 2 2 2 7 2 2" xfId="6456" xr:uid="{00000000-0005-0000-0000-0000CE100000}"/>
    <cellStyle name="Normal 3 4 2 2 2 7 2 2 2" xfId="20968" xr:uid="{00000000-0005-0000-0000-0000CF100000}"/>
    <cellStyle name="Normal 3 4 2 2 2 7 2 2 3" xfId="13712" xr:uid="{00000000-0005-0000-0000-0000D0100000}"/>
    <cellStyle name="Normal 3 4 2 2 2 7 2 3" xfId="17340" xr:uid="{00000000-0005-0000-0000-0000D1100000}"/>
    <cellStyle name="Normal 3 4 2 2 2 7 2 4" xfId="10084" xr:uid="{00000000-0005-0000-0000-0000D2100000}"/>
    <cellStyle name="Normal 3 4 2 2 2 7 3" xfId="4642" xr:uid="{00000000-0005-0000-0000-0000D3100000}"/>
    <cellStyle name="Normal 3 4 2 2 2 7 3 2" xfId="19154" xr:uid="{00000000-0005-0000-0000-0000D4100000}"/>
    <cellStyle name="Normal 3 4 2 2 2 7 3 3" xfId="11898" xr:uid="{00000000-0005-0000-0000-0000D5100000}"/>
    <cellStyle name="Normal 3 4 2 2 2 7 4" xfId="15526" xr:uid="{00000000-0005-0000-0000-0000D6100000}"/>
    <cellStyle name="Normal 3 4 2 2 2 7 5" xfId="8270" xr:uid="{00000000-0005-0000-0000-0000D7100000}"/>
    <cellStyle name="Normal 3 4 2 2 2 8" xfId="1921" xr:uid="{00000000-0005-0000-0000-0000D8100000}"/>
    <cellStyle name="Normal 3 4 2 2 2 8 2" xfId="5549" xr:uid="{00000000-0005-0000-0000-0000D9100000}"/>
    <cellStyle name="Normal 3 4 2 2 2 8 2 2" xfId="20061" xr:uid="{00000000-0005-0000-0000-0000DA100000}"/>
    <cellStyle name="Normal 3 4 2 2 2 8 2 3" xfId="12805" xr:uid="{00000000-0005-0000-0000-0000DB100000}"/>
    <cellStyle name="Normal 3 4 2 2 2 8 3" xfId="16433" xr:uid="{00000000-0005-0000-0000-0000DC100000}"/>
    <cellStyle name="Normal 3 4 2 2 2 8 4" xfId="9177" xr:uid="{00000000-0005-0000-0000-0000DD100000}"/>
    <cellStyle name="Normal 3 4 2 2 2 9" xfId="3735" xr:uid="{00000000-0005-0000-0000-0000DE100000}"/>
    <cellStyle name="Normal 3 4 2 2 2 9 2" xfId="18247" xr:uid="{00000000-0005-0000-0000-0000DF100000}"/>
    <cellStyle name="Normal 3 4 2 2 2 9 3" xfId="10991" xr:uid="{00000000-0005-0000-0000-0000E0100000}"/>
    <cellStyle name="Normal 3 4 2 2 3" xfId="236" xr:uid="{00000000-0005-0000-0000-0000E1100000}"/>
    <cellStyle name="Normal 3 4 2 2 3 2" xfId="366" xr:uid="{00000000-0005-0000-0000-0000E2100000}"/>
    <cellStyle name="Normal 3 4 2 2 3 2 2" xfId="712" xr:uid="{00000000-0005-0000-0000-0000E3100000}"/>
    <cellStyle name="Normal 3 4 2 2 3 2 2 2" xfId="1620" xr:uid="{00000000-0005-0000-0000-0000E4100000}"/>
    <cellStyle name="Normal 3 4 2 2 3 2 2 2 2" xfId="3434" xr:uid="{00000000-0005-0000-0000-0000E5100000}"/>
    <cellStyle name="Normal 3 4 2 2 3 2 2 2 2 2" xfId="7062" xr:uid="{00000000-0005-0000-0000-0000E6100000}"/>
    <cellStyle name="Normal 3 4 2 2 3 2 2 2 2 2 2" xfId="21574" xr:uid="{00000000-0005-0000-0000-0000E7100000}"/>
    <cellStyle name="Normal 3 4 2 2 3 2 2 2 2 2 3" xfId="14318" xr:uid="{00000000-0005-0000-0000-0000E8100000}"/>
    <cellStyle name="Normal 3 4 2 2 3 2 2 2 2 3" xfId="17946" xr:uid="{00000000-0005-0000-0000-0000E9100000}"/>
    <cellStyle name="Normal 3 4 2 2 3 2 2 2 2 4" xfId="10690" xr:uid="{00000000-0005-0000-0000-0000EA100000}"/>
    <cellStyle name="Normal 3 4 2 2 3 2 2 2 3" xfId="5248" xr:uid="{00000000-0005-0000-0000-0000EB100000}"/>
    <cellStyle name="Normal 3 4 2 2 3 2 2 2 3 2" xfId="19760" xr:uid="{00000000-0005-0000-0000-0000EC100000}"/>
    <cellStyle name="Normal 3 4 2 2 3 2 2 2 3 3" xfId="12504" xr:uid="{00000000-0005-0000-0000-0000ED100000}"/>
    <cellStyle name="Normal 3 4 2 2 3 2 2 2 4" xfId="16132" xr:uid="{00000000-0005-0000-0000-0000EE100000}"/>
    <cellStyle name="Normal 3 4 2 2 3 2 2 2 5" xfId="8876" xr:uid="{00000000-0005-0000-0000-0000EF100000}"/>
    <cellStyle name="Normal 3 4 2 2 3 2 2 3" xfId="2527" xr:uid="{00000000-0005-0000-0000-0000F0100000}"/>
    <cellStyle name="Normal 3 4 2 2 3 2 2 3 2" xfId="6155" xr:uid="{00000000-0005-0000-0000-0000F1100000}"/>
    <cellStyle name="Normal 3 4 2 2 3 2 2 3 2 2" xfId="20667" xr:uid="{00000000-0005-0000-0000-0000F2100000}"/>
    <cellStyle name="Normal 3 4 2 2 3 2 2 3 2 3" xfId="13411" xr:uid="{00000000-0005-0000-0000-0000F3100000}"/>
    <cellStyle name="Normal 3 4 2 2 3 2 2 3 3" xfId="17039" xr:uid="{00000000-0005-0000-0000-0000F4100000}"/>
    <cellStyle name="Normal 3 4 2 2 3 2 2 3 4" xfId="9783" xr:uid="{00000000-0005-0000-0000-0000F5100000}"/>
    <cellStyle name="Normal 3 4 2 2 3 2 2 4" xfId="4341" xr:uid="{00000000-0005-0000-0000-0000F6100000}"/>
    <cellStyle name="Normal 3 4 2 2 3 2 2 4 2" xfId="18853" xr:uid="{00000000-0005-0000-0000-0000F7100000}"/>
    <cellStyle name="Normal 3 4 2 2 3 2 2 4 3" xfId="11597" xr:uid="{00000000-0005-0000-0000-0000F8100000}"/>
    <cellStyle name="Normal 3 4 2 2 3 2 2 5" xfId="15225" xr:uid="{00000000-0005-0000-0000-0000F9100000}"/>
    <cellStyle name="Normal 3 4 2 2 3 2 2 6" xfId="7969" xr:uid="{00000000-0005-0000-0000-0000FA100000}"/>
    <cellStyle name="Normal 3 4 2 2 3 2 3" xfId="1274" xr:uid="{00000000-0005-0000-0000-0000FB100000}"/>
    <cellStyle name="Normal 3 4 2 2 3 2 3 2" xfId="3088" xr:uid="{00000000-0005-0000-0000-0000FC100000}"/>
    <cellStyle name="Normal 3 4 2 2 3 2 3 2 2" xfId="6716" xr:uid="{00000000-0005-0000-0000-0000FD100000}"/>
    <cellStyle name="Normal 3 4 2 2 3 2 3 2 2 2" xfId="21228" xr:uid="{00000000-0005-0000-0000-0000FE100000}"/>
    <cellStyle name="Normal 3 4 2 2 3 2 3 2 2 3" xfId="13972" xr:uid="{00000000-0005-0000-0000-0000FF100000}"/>
    <cellStyle name="Normal 3 4 2 2 3 2 3 2 3" xfId="17600" xr:uid="{00000000-0005-0000-0000-000000110000}"/>
    <cellStyle name="Normal 3 4 2 2 3 2 3 2 4" xfId="10344" xr:uid="{00000000-0005-0000-0000-000001110000}"/>
    <cellStyle name="Normal 3 4 2 2 3 2 3 3" xfId="4902" xr:uid="{00000000-0005-0000-0000-000002110000}"/>
    <cellStyle name="Normal 3 4 2 2 3 2 3 3 2" xfId="19414" xr:uid="{00000000-0005-0000-0000-000003110000}"/>
    <cellStyle name="Normal 3 4 2 2 3 2 3 3 3" xfId="12158" xr:uid="{00000000-0005-0000-0000-000004110000}"/>
    <cellStyle name="Normal 3 4 2 2 3 2 3 4" xfId="15786" xr:uid="{00000000-0005-0000-0000-000005110000}"/>
    <cellStyle name="Normal 3 4 2 2 3 2 3 5" xfId="8530" xr:uid="{00000000-0005-0000-0000-000006110000}"/>
    <cellStyle name="Normal 3 4 2 2 3 2 4" xfId="2181" xr:uid="{00000000-0005-0000-0000-000007110000}"/>
    <cellStyle name="Normal 3 4 2 2 3 2 4 2" xfId="5809" xr:uid="{00000000-0005-0000-0000-000008110000}"/>
    <cellStyle name="Normal 3 4 2 2 3 2 4 2 2" xfId="20321" xr:uid="{00000000-0005-0000-0000-000009110000}"/>
    <cellStyle name="Normal 3 4 2 2 3 2 4 2 3" xfId="13065" xr:uid="{00000000-0005-0000-0000-00000A110000}"/>
    <cellStyle name="Normal 3 4 2 2 3 2 4 3" xfId="16693" xr:uid="{00000000-0005-0000-0000-00000B110000}"/>
    <cellStyle name="Normal 3 4 2 2 3 2 4 4" xfId="9437" xr:uid="{00000000-0005-0000-0000-00000C110000}"/>
    <cellStyle name="Normal 3 4 2 2 3 2 5" xfId="3995" xr:uid="{00000000-0005-0000-0000-00000D110000}"/>
    <cellStyle name="Normal 3 4 2 2 3 2 5 2" xfId="18507" xr:uid="{00000000-0005-0000-0000-00000E110000}"/>
    <cellStyle name="Normal 3 4 2 2 3 2 5 3" xfId="11251" xr:uid="{00000000-0005-0000-0000-00000F110000}"/>
    <cellStyle name="Normal 3 4 2 2 3 2 6" xfId="14879" xr:uid="{00000000-0005-0000-0000-000010110000}"/>
    <cellStyle name="Normal 3 4 2 2 3 2 7" xfId="7623" xr:uid="{00000000-0005-0000-0000-000011110000}"/>
    <cellStyle name="Normal 3 4 2 2 3 3" xfId="842" xr:uid="{00000000-0005-0000-0000-000012110000}"/>
    <cellStyle name="Normal 3 4 2 2 3 3 2" xfId="1750" xr:uid="{00000000-0005-0000-0000-000013110000}"/>
    <cellStyle name="Normal 3 4 2 2 3 3 2 2" xfId="3564" xr:uid="{00000000-0005-0000-0000-000014110000}"/>
    <cellStyle name="Normal 3 4 2 2 3 3 2 2 2" xfId="7192" xr:uid="{00000000-0005-0000-0000-000015110000}"/>
    <cellStyle name="Normal 3 4 2 2 3 3 2 2 2 2" xfId="21704" xr:uid="{00000000-0005-0000-0000-000016110000}"/>
    <cellStyle name="Normal 3 4 2 2 3 3 2 2 2 3" xfId="14448" xr:uid="{00000000-0005-0000-0000-000017110000}"/>
    <cellStyle name="Normal 3 4 2 2 3 3 2 2 3" xfId="18076" xr:uid="{00000000-0005-0000-0000-000018110000}"/>
    <cellStyle name="Normal 3 4 2 2 3 3 2 2 4" xfId="10820" xr:uid="{00000000-0005-0000-0000-000019110000}"/>
    <cellStyle name="Normal 3 4 2 2 3 3 2 3" xfId="5378" xr:uid="{00000000-0005-0000-0000-00001A110000}"/>
    <cellStyle name="Normal 3 4 2 2 3 3 2 3 2" xfId="19890" xr:uid="{00000000-0005-0000-0000-00001B110000}"/>
    <cellStyle name="Normal 3 4 2 2 3 3 2 3 3" xfId="12634" xr:uid="{00000000-0005-0000-0000-00001C110000}"/>
    <cellStyle name="Normal 3 4 2 2 3 3 2 4" xfId="16262" xr:uid="{00000000-0005-0000-0000-00001D110000}"/>
    <cellStyle name="Normal 3 4 2 2 3 3 2 5" xfId="9006" xr:uid="{00000000-0005-0000-0000-00001E110000}"/>
    <cellStyle name="Normal 3 4 2 2 3 3 3" xfId="2657" xr:uid="{00000000-0005-0000-0000-00001F110000}"/>
    <cellStyle name="Normal 3 4 2 2 3 3 3 2" xfId="6285" xr:uid="{00000000-0005-0000-0000-000020110000}"/>
    <cellStyle name="Normal 3 4 2 2 3 3 3 2 2" xfId="20797" xr:uid="{00000000-0005-0000-0000-000021110000}"/>
    <cellStyle name="Normal 3 4 2 2 3 3 3 2 3" xfId="13541" xr:uid="{00000000-0005-0000-0000-000022110000}"/>
    <cellStyle name="Normal 3 4 2 2 3 3 3 3" xfId="17169" xr:uid="{00000000-0005-0000-0000-000023110000}"/>
    <cellStyle name="Normal 3 4 2 2 3 3 3 4" xfId="9913" xr:uid="{00000000-0005-0000-0000-000024110000}"/>
    <cellStyle name="Normal 3 4 2 2 3 3 4" xfId="4471" xr:uid="{00000000-0005-0000-0000-000025110000}"/>
    <cellStyle name="Normal 3 4 2 2 3 3 4 2" xfId="18983" xr:uid="{00000000-0005-0000-0000-000026110000}"/>
    <cellStyle name="Normal 3 4 2 2 3 3 4 3" xfId="11727" xr:uid="{00000000-0005-0000-0000-000027110000}"/>
    <cellStyle name="Normal 3 4 2 2 3 3 5" xfId="15355" xr:uid="{00000000-0005-0000-0000-000028110000}"/>
    <cellStyle name="Normal 3 4 2 2 3 3 6" xfId="8099" xr:uid="{00000000-0005-0000-0000-000029110000}"/>
    <cellStyle name="Normal 3 4 2 2 3 4" xfId="582" xr:uid="{00000000-0005-0000-0000-00002A110000}"/>
    <cellStyle name="Normal 3 4 2 2 3 4 2" xfId="1490" xr:uid="{00000000-0005-0000-0000-00002B110000}"/>
    <cellStyle name="Normal 3 4 2 2 3 4 2 2" xfId="3304" xr:uid="{00000000-0005-0000-0000-00002C110000}"/>
    <cellStyle name="Normal 3 4 2 2 3 4 2 2 2" xfId="6932" xr:uid="{00000000-0005-0000-0000-00002D110000}"/>
    <cellStyle name="Normal 3 4 2 2 3 4 2 2 2 2" xfId="21444" xr:uid="{00000000-0005-0000-0000-00002E110000}"/>
    <cellStyle name="Normal 3 4 2 2 3 4 2 2 2 3" xfId="14188" xr:uid="{00000000-0005-0000-0000-00002F110000}"/>
    <cellStyle name="Normal 3 4 2 2 3 4 2 2 3" xfId="17816" xr:uid="{00000000-0005-0000-0000-000030110000}"/>
    <cellStyle name="Normal 3 4 2 2 3 4 2 2 4" xfId="10560" xr:uid="{00000000-0005-0000-0000-000031110000}"/>
    <cellStyle name="Normal 3 4 2 2 3 4 2 3" xfId="5118" xr:uid="{00000000-0005-0000-0000-000032110000}"/>
    <cellStyle name="Normal 3 4 2 2 3 4 2 3 2" xfId="19630" xr:uid="{00000000-0005-0000-0000-000033110000}"/>
    <cellStyle name="Normal 3 4 2 2 3 4 2 3 3" xfId="12374" xr:uid="{00000000-0005-0000-0000-000034110000}"/>
    <cellStyle name="Normal 3 4 2 2 3 4 2 4" xfId="16002" xr:uid="{00000000-0005-0000-0000-000035110000}"/>
    <cellStyle name="Normal 3 4 2 2 3 4 2 5" xfId="8746" xr:uid="{00000000-0005-0000-0000-000036110000}"/>
    <cellStyle name="Normal 3 4 2 2 3 4 3" xfId="2397" xr:uid="{00000000-0005-0000-0000-000037110000}"/>
    <cellStyle name="Normal 3 4 2 2 3 4 3 2" xfId="6025" xr:uid="{00000000-0005-0000-0000-000038110000}"/>
    <cellStyle name="Normal 3 4 2 2 3 4 3 2 2" xfId="20537" xr:uid="{00000000-0005-0000-0000-000039110000}"/>
    <cellStyle name="Normal 3 4 2 2 3 4 3 2 3" xfId="13281" xr:uid="{00000000-0005-0000-0000-00003A110000}"/>
    <cellStyle name="Normal 3 4 2 2 3 4 3 3" xfId="16909" xr:uid="{00000000-0005-0000-0000-00003B110000}"/>
    <cellStyle name="Normal 3 4 2 2 3 4 3 4" xfId="9653" xr:uid="{00000000-0005-0000-0000-00003C110000}"/>
    <cellStyle name="Normal 3 4 2 2 3 4 4" xfId="4211" xr:uid="{00000000-0005-0000-0000-00003D110000}"/>
    <cellStyle name="Normal 3 4 2 2 3 4 4 2" xfId="18723" xr:uid="{00000000-0005-0000-0000-00003E110000}"/>
    <cellStyle name="Normal 3 4 2 2 3 4 4 3" xfId="11467" xr:uid="{00000000-0005-0000-0000-00003F110000}"/>
    <cellStyle name="Normal 3 4 2 2 3 4 5" xfId="15095" xr:uid="{00000000-0005-0000-0000-000040110000}"/>
    <cellStyle name="Normal 3 4 2 2 3 4 6" xfId="7839" xr:uid="{00000000-0005-0000-0000-000041110000}"/>
    <cellStyle name="Normal 3 4 2 2 3 5" xfId="1144" xr:uid="{00000000-0005-0000-0000-000042110000}"/>
    <cellStyle name="Normal 3 4 2 2 3 5 2" xfId="2958" xr:uid="{00000000-0005-0000-0000-000043110000}"/>
    <cellStyle name="Normal 3 4 2 2 3 5 2 2" xfId="6586" xr:uid="{00000000-0005-0000-0000-000044110000}"/>
    <cellStyle name="Normal 3 4 2 2 3 5 2 2 2" xfId="21098" xr:uid="{00000000-0005-0000-0000-000045110000}"/>
    <cellStyle name="Normal 3 4 2 2 3 5 2 2 3" xfId="13842" xr:uid="{00000000-0005-0000-0000-000046110000}"/>
    <cellStyle name="Normal 3 4 2 2 3 5 2 3" xfId="17470" xr:uid="{00000000-0005-0000-0000-000047110000}"/>
    <cellStyle name="Normal 3 4 2 2 3 5 2 4" xfId="10214" xr:uid="{00000000-0005-0000-0000-000048110000}"/>
    <cellStyle name="Normal 3 4 2 2 3 5 3" xfId="4772" xr:uid="{00000000-0005-0000-0000-000049110000}"/>
    <cellStyle name="Normal 3 4 2 2 3 5 3 2" xfId="19284" xr:uid="{00000000-0005-0000-0000-00004A110000}"/>
    <cellStyle name="Normal 3 4 2 2 3 5 3 3" xfId="12028" xr:uid="{00000000-0005-0000-0000-00004B110000}"/>
    <cellStyle name="Normal 3 4 2 2 3 5 4" xfId="15656" xr:uid="{00000000-0005-0000-0000-00004C110000}"/>
    <cellStyle name="Normal 3 4 2 2 3 5 5" xfId="8400" xr:uid="{00000000-0005-0000-0000-00004D110000}"/>
    <cellStyle name="Normal 3 4 2 2 3 6" xfId="2051" xr:uid="{00000000-0005-0000-0000-00004E110000}"/>
    <cellStyle name="Normal 3 4 2 2 3 6 2" xfId="5679" xr:uid="{00000000-0005-0000-0000-00004F110000}"/>
    <cellStyle name="Normal 3 4 2 2 3 6 2 2" xfId="20191" xr:uid="{00000000-0005-0000-0000-000050110000}"/>
    <cellStyle name="Normal 3 4 2 2 3 6 2 3" xfId="12935" xr:uid="{00000000-0005-0000-0000-000051110000}"/>
    <cellStyle name="Normal 3 4 2 2 3 6 3" xfId="16563" xr:uid="{00000000-0005-0000-0000-000052110000}"/>
    <cellStyle name="Normal 3 4 2 2 3 6 4" xfId="9307" xr:uid="{00000000-0005-0000-0000-000053110000}"/>
    <cellStyle name="Normal 3 4 2 2 3 7" xfId="3865" xr:uid="{00000000-0005-0000-0000-000054110000}"/>
    <cellStyle name="Normal 3 4 2 2 3 7 2" xfId="18377" xr:uid="{00000000-0005-0000-0000-000055110000}"/>
    <cellStyle name="Normal 3 4 2 2 3 7 3" xfId="11121" xr:uid="{00000000-0005-0000-0000-000056110000}"/>
    <cellStyle name="Normal 3 4 2 2 3 8" xfId="14749" xr:uid="{00000000-0005-0000-0000-000057110000}"/>
    <cellStyle name="Normal 3 4 2 2 3 9" xfId="7493" xr:uid="{00000000-0005-0000-0000-000058110000}"/>
    <cellStyle name="Normal 3 4 2 2 4" xfId="150" xr:uid="{00000000-0005-0000-0000-000059110000}"/>
    <cellStyle name="Normal 3 4 2 2 4 2" xfId="496" xr:uid="{00000000-0005-0000-0000-00005A110000}"/>
    <cellStyle name="Normal 3 4 2 2 4 2 2" xfId="1404" xr:uid="{00000000-0005-0000-0000-00005B110000}"/>
    <cellStyle name="Normal 3 4 2 2 4 2 2 2" xfId="3218" xr:uid="{00000000-0005-0000-0000-00005C110000}"/>
    <cellStyle name="Normal 3 4 2 2 4 2 2 2 2" xfId="6846" xr:uid="{00000000-0005-0000-0000-00005D110000}"/>
    <cellStyle name="Normal 3 4 2 2 4 2 2 2 2 2" xfId="21358" xr:uid="{00000000-0005-0000-0000-00005E110000}"/>
    <cellStyle name="Normal 3 4 2 2 4 2 2 2 2 3" xfId="14102" xr:uid="{00000000-0005-0000-0000-00005F110000}"/>
    <cellStyle name="Normal 3 4 2 2 4 2 2 2 3" xfId="17730" xr:uid="{00000000-0005-0000-0000-000060110000}"/>
    <cellStyle name="Normal 3 4 2 2 4 2 2 2 4" xfId="10474" xr:uid="{00000000-0005-0000-0000-000061110000}"/>
    <cellStyle name="Normal 3 4 2 2 4 2 2 3" xfId="5032" xr:uid="{00000000-0005-0000-0000-000062110000}"/>
    <cellStyle name="Normal 3 4 2 2 4 2 2 3 2" xfId="19544" xr:uid="{00000000-0005-0000-0000-000063110000}"/>
    <cellStyle name="Normal 3 4 2 2 4 2 2 3 3" xfId="12288" xr:uid="{00000000-0005-0000-0000-000064110000}"/>
    <cellStyle name="Normal 3 4 2 2 4 2 2 4" xfId="15916" xr:uid="{00000000-0005-0000-0000-000065110000}"/>
    <cellStyle name="Normal 3 4 2 2 4 2 2 5" xfId="8660" xr:uid="{00000000-0005-0000-0000-000066110000}"/>
    <cellStyle name="Normal 3 4 2 2 4 2 3" xfId="2311" xr:uid="{00000000-0005-0000-0000-000067110000}"/>
    <cellStyle name="Normal 3 4 2 2 4 2 3 2" xfId="5939" xr:uid="{00000000-0005-0000-0000-000068110000}"/>
    <cellStyle name="Normal 3 4 2 2 4 2 3 2 2" xfId="20451" xr:uid="{00000000-0005-0000-0000-000069110000}"/>
    <cellStyle name="Normal 3 4 2 2 4 2 3 2 3" xfId="13195" xr:uid="{00000000-0005-0000-0000-00006A110000}"/>
    <cellStyle name="Normal 3 4 2 2 4 2 3 3" xfId="16823" xr:uid="{00000000-0005-0000-0000-00006B110000}"/>
    <cellStyle name="Normal 3 4 2 2 4 2 3 4" xfId="9567" xr:uid="{00000000-0005-0000-0000-00006C110000}"/>
    <cellStyle name="Normal 3 4 2 2 4 2 4" xfId="4125" xr:uid="{00000000-0005-0000-0000-00006D110000}"/>
    <cellStyle name="Normal 3 4 2 2 4 2 4 2" xfId="18637" xr:uid="{00000000-0005-0000-0000-00006E110000}"/>
    <cellStyle name="Normal 3 4 2 2 4 2 4 3" xfId="11381" xr:uid="{00000000-0005-0000-0000-00006F110000}"/>
    <cellStyle name="Normal 3 4 2 2 4 2 5" xfId="15009" xr:uid="{00000000-0005-0000-0000-000070110000}"/>
    <cellStyle name="Normal 3 4 2 2 4 2 6" xfId="7753" xr:uid="{00000000-0005-0000-0000-000071110000}"/>
    <cellStyle name="Normal 3 4 2 2 4 3" xfId="1058" xr:uid="{00000000-0005-0000-0000-000072110000}"/>
    <cellStyle name="Normal 3 4 2 2 4 3 2" xfId="2872" xr:uid="{00000000-0005-0000-0000-000073110000}"/>
    <cellStyle name="Normal 3 4 2 2 4 3 2 2" xfId="6500" xr:uid="{00000000-0005-0000-0000-000074110000}"/>
    <cellStyle name="Normal 3 4 2 2 4 3 2 2 2" xfId="21012" xr:uid="{00000000-0005-0000-0000-000075110000}"/>
    <cellStyle name="Normal 3 4 2 2 4 3 2 2 3" xfId="13756" xr:uid="{00000000-0005-0000-0000-000076110000}"/>
    <cellStyle name="Normal 3 4 2 2 4 3 2 3" xfId="17384" xr:uid="{00000000-0005-0000-0000-000077110000}"/>
    <cellStyle name="Normal 3 4 2 2 4 3 2 4" xfId="10128" xr:uid="{00000000-0005-0000-0000-000078110000}"/>
    <cellStyle name="Normal 3 4 2 2 4 3 3" xfId="4686" xr:uid="{00000000-0005-0000-0000-000079110000}"/>
    <cellStyle name="Normal 3 4 2 2 4 3 3 2" xfId="19198" xr:uid="{00000000-0005-0000-0000-00007A110000}"/>
    <cellStyle name="Normal 3 4 2 2 4 3 3 3" xfId="11942" xr:uid="{00000000-0005-0000-0000-00007B110000}"/>
    <cellStyle name="Normal 3 4 2 2 4 3 4" xfId="15570" xr:uid="{00000000-0005-0000-0000-00007C110000}"/>
    <cellStyle name="Normal 3 4 2 2 4 3 5" xfId="8314" xr:uid="{00000000-0005-0000-0000-00007D110000}"/>
    <cellStyle name="Normal 3 4 2 2 4 4" xfId="1965" xr:uid="{00000000-0005-0000-0000-00007E110000}"/>
    <cellStyle name="Normal 3 4 2 2 4 4 2" xfId="5593" xr:uid="{00000000-0005-0000-0000-00007F110000}"/>
    <cellStyle name="Normal 3 4 2 2 4 4 2 2" xfId="20105" xr:uid="{00000000-0005-0000-0000-000080110000}"/>
    <cellStyle name="Normal 3 4 2 2 4 4 2 3" xfId="12849" xr:uid="{00000000-0005-0000-0000-000081110000}"/>
    <cellStyle name="Normal 3 4 2 2 4 4 3" xfId="16477" xr:uid="{00000000-0005-0000-0000-000082110000}"/>
    <cellStyle name="Normal 3 4 2 2 4 4 4" xfId="9221" xr:uid="{00000000-0005-0000-0000-000083110000}"/>
    <cellStyle name="Normal 3 4 2 2 4 5" xfId="3779" xr:uid="{00000000-0005-0000-0000-000084110000}"/>
    <cellStyle name="Normal 3 4 2 2 4 5 2" xfId="18291" xr:uid="{00000000-0005-0000-0000-000085110000}"/>
    <cellStyle name="Normal 3 4 2 2 4 5 3" xfId="11035" xr:uid="{00000000-0005-0000-0000-000086110000}"/>
    <cellStyle name="Normal 3 4 2 2 4 6" xfId="14663" xr:uid="{00000000-0005-0000-0000-000087110000}"/>
    <cellStyle name="Normal 3 4 2 2 4 7" xfId="7407" xr:uid="{00000000-0005-0000-0000-000088110000}"/>
    <cellStyle name="Normal 3 4 2 2 5" xfId="280" xr:uid="{00000000-0005-0000-0000-000089110000}"/>
    <cellStyle name="Normal 3 4 2 2 5 2" xfId="626" xr:uid="{00000000-0005-0000-0000-00008A110000}"/>
    <cellStyle name="Normal 3 4 2 2 5 2 2" xfId="1534" xr:uid="{00000000-0005-0000-0000-00008B110000}"/>
    <cellStyle name="Normal 3 4 2 2 5 2 2 2" xfId="3348" xr:uid="{00000000-0005-0000-0000-00008C110000}"/>
    <cellStyle name="Normal 3 4 2 2 5 2 2 2 2" xfId="6976" xr:uid="{00000000-0005-0000-0000-00008D110000}"/>
    <cellStyle name="Normal 3 4 2 2 5 2 2 2 2 2" xfId="21488" xr:uid="{00000000-0005-0000-0000-00008E110000}"/>
    <cellStyle name="Normal 3 4 2 2 5 2 2 2 2 3" xfId="14232" xr:uid="{00000000-0005-0000-0000-00008F110000}"/>
    <cellStyle name="Normal 3 4 2 2 5 2 2 2 3" xfId="17860" xr:uid="{00000000-0005-0000-0000-000090110000}"/>
    <cellStyle name="Normal 3 4 2 2 5 2 2 2 4" xfId="10604" xr:uid="{00000000-0005-0000-0000-000091110000}"/>
    <cellStyle name="Normal 3 4 2 2 5 2 2 3" xfId="5162" xr:uid="{00000000-0005-0000-0000-000092110000}"/>
    <cellStyle name="Normal 3 4 2 2 5 2 2 3 2" xfId="19674" xr:uid="{00000000-0005-0000-0000-000093110000}"/>
    <cellStyle name="Normal 3 4 2 2 5 2 2 3 3" xfId="12418" xr:uid="{00000000-0005-0000-0000-000094110000}"/>
    <cellStyle name="Normal 3 4 2 2 5 2 2 4" xfId="16046" xr:uid="{00000000-0005-0000-0000-000095110000}"/>
    <cellStyle name="Normal 3 4 2 2 5 2 2 5" xfId="8790" xr:uid="{00000000-0005-0000-0000-000096110000}"/>
    <cellStyle name="Normal 3 4 2 2 5 2 3" xfId="2441" xr:uid="{00000000-0005-0000-0000-000097110000}"/>
    <cellStyle name="Normal 3 4 2 2 5 2 3 2" xfId="6069" xr:uid="{00000000-0005-0000-0000-000098110000}"/>
    <cellStyle name="Normal 3 4 2 2 5 2 3 2 2" xfId="20581" xr:uid="{00000000-0005-0000-0000-000099110000}"/>
    <cellStyle name="Normal 3 4 2 2 5 2 3 2 3" xfId="13325" xr:uid="{00000000-0005-0000-0000-00009A110000}"/>
    <cellStyle name="Normal 3 4 2 2 5 2 3 3" xfId="16953" xr:uid="{00000000-0005-0000-0000-00009B110000}"/>
    <cellStyle name="Normal 3 4 2 2 5 2 3 4" xfId="9697" xr:uid="{00000000-0005-0000-0000-00009C110000}"/>
    <cellStyle name="Normal 3 4 2 2 5 2 4" xfId="4255" xr:uid="{00000000-0005-0000-0000-00009D110000}"/>
    <cellStyle name="Normal 3 4 2 2 5 2 4 2" xfId="18767" xr:uid="{00000000-0005-0000-0000-00009E110000}"/>
    <cellStyle name="Normal 3 4 2 2 5 2 4 3" xfId="11511" xr:uid="{00000000-0005-0000-0000-00009F110000}"/>
    <cellStyle name="Normal 3 4 2 2 5 2 5" xfId="15139" xr:uid="{00000000-0005-0000-0000-0000A0110000}"/>
    <cellStyle name="Normal 3 4 2 2 5 2 6" xfId="7883" xr:uid="{00000000-0005-0000-0000-0000A1110000}"/>
    <cellStyle name="Normal 3 4 2 2 5 3" xfId="1188" xr:uid="{00000000-0005-0000-0000-0000A2110000}"/>
    <cellStyle name="Normal 3 4 2 2 5 3 2" xfId="3002" xr:uid="{00000000-0005-0000-0000-0000A3110000}"/>
    <cellStyle name="Normal 3 4 2 2 5 3 2 2" xfId="6630" xr:uid="{00000000-0005-0000-0000-0000A4110000}"/>
    <cellStyle name="Normal 3 4 2 2 5 3 2 2 2" xfId="21142" xr:uid="{00000000-0005-0000-0000-0000A5110000}"/>
    <cellStyle name="Normal 3 4 2 2 5 3 2 2 3" xfId="13886" xr:uid="{00000000-0005-0000-0000-0000A6110000}"/>
    <cellStyle name="Normal 3 4 2 2 5 3 2 3" xfId="17514" xr:uid="{00000000-0005-0000-0000-0000A7110000}"/>
    <cellStyle name="Normal 3 4 2 2 5 3 2 4" xfId="10258" xr:uid="{00000000-0005-0000-0000-0000A8110000}"/>
    <cellStyle name="Normal 3 4 2 2 5 3 3" xfId="4816" xr:uid="{00000000-0005-0000-0000-0000A9110000}"/>
    <cellStyle name="Normal 3 4 2 2 5 3 3 2" xfId="19328" xr:uid="{00000000-0005-0000-0000-0000AA110000}"/>
    <cellStyle name="Normal 3 4 2 2 5 3 3 3" xfId="12072" xr:uid="{00000000-0005-0000-0000-0000AB110000}"/>
    <cellStyle name="Normal 3 4 2 2 5 3 4" xfId="15700" xr:uid="{00000000-0005-0000-0000-0000AC110000}"/>
    <cellStyle name="Normal 3 4 2 2 5 3 5" xfId="8444" xr:uid="{00000000-0005-0000-0000-0000AD110000}"/>
    <cellStyle name="Normal 3 4 2 2 5 4" xfId="2095" xr:uid="{00000000-0005-0000-0000-0000AE110000}"/>
    <cellStyle name="Normal 3 4 2 2 5 4 2" xfId="5723" xr:uid="{00000000-0005-0000-0000-0000AF110000}"/>
    <cellStyle name="Normal 3 4 2 2 5 4 2 2" xfId="20235" xr:uid="{00000000-0005-0000-0000-0000B0110000}"/>
    <cellStyle name="Normal 3 4 2 2 5 4 2 3" xfId="12979" xr:uid="{00000000-0005-0000-0000-0000B1110000}"/>
    <cellStyle name="Normal 3 4 2 2 5 4 3" xfId="16607" xr:uid="{00000000-0005-0000-0000-0000B2110000}"/>
    <cellStyle name="Normal 3 4 2 2 5 4 4" xfId="9351" xr:uid="{00000000-0005-0000-0000-0000B3110000}"/>
    <cellStyle name="Normal 3 4 2 2 5 5" xfId="3909" xr:uid="{00000000-0005-0000-0000-0000B4110000}"/>
    <cellStyle name="Normal 3 4 2 2 5 5 2" xfId="18421" xr:uid="{00000000-0005-0000-0000-0000B5110000}"/>
    <cellStyle name="Normal 3 4 2 2 5 5 3" xfId="11165" xr:uid="{00000000-0005-0000-0000-0000B6110000}"/>
    <cellStyle name="Normal 3 4 2 2 5 6" xfId="14793" xr:uid="{00000000-0005-0000-0000-0000B7110000}"/>
    <cellStyle name="Normal 3 4 2 2 5 7" xfId="7537" xr:uid="{00000000-0005-0000-0000-0000B8110000}"/>
    <cellStyle name="Normal 3 4 2 2 6" xfId="756" xr:uid="{00000000-0005-0000-0000-0000B9110000}"/>
    <cellStyle name="Normal 3 4 2 2 6 2" xfId="1664" xr:uid="{00000000-0005-0000-0000-0000BA110000}"/>
    <cellStyle name="Normal 3 4 2 2 6 2 2" xfId="3478" xr:uid="{00000000-0005-0000-0000-0000BB110000}"/>
    <cellStyle name="Normal 3 4 2 2 6 2 2 2" xfId="7106" xr:uid="{00000000-0005-0000-0000-0000BC110000}"/>
    <cellStyle name="Normal 3 4 2 2 6 2 2 2 2" xfId="21618" xr:uid="{00000000-0005-0000-0000-0000BD110000}"/>
    <cellStyle name="Normal 3 4 2 2 6 2 2 2 3" xfId="14362" xr:uid="{00000000-0005-0000-0000-0000BE110000}"/>
    <cellStyle name="Normal 3 4 2 2 6 2 2 3" xfId="17990" xr:uid="{00000000-0005-0000-0000-0000BF110000}"/>
    <cellStyle name="Normal 3 4 2 2 6 2 2 4" xfId="10734" xr:uid="{00000000-0005-0000-0000-0000C0110000}"/>
    <cellStyle name="Normal 3 4 2 2 6 2 3" xfId="5292" xr:uid="{00000000-0005-0000-0000-0000C1110000}"/>
    <cellStyle name="Normal 3 4 2 2 6 2 3 2" xfId="19804" xr:uid="{00000000-0005-0000-0000-0000C2110000}"/>
    <cellStyle name="Normal 3 4 2 2 6 2 3 3" xfId="12548" xr:uid="{00000000-0005-0000-0000-0000C3110000}"/>
    <cellStyle name="Normal 3 4 2 2 6 2 4" xfId="16176" xr:uid="{00000000-0005-0000-0000-0000C4110000}"/>
    <cellStyle name="Normal 3 4 2 2 6 2 5" xfId="8920" xr:uid="{00000000-0005-0000-0000-0000C5110000}"/>
    <cellStyle name="Normal 3 4 2 2 6 3" xfId="2571" xr:uid="{00000000-0005-0000-0000-0000C6110000}"/>
    <cellStyle name="Normal 3 4 2 2 6 3 2" xfId="6199" xr:uid="{00000000-0005-0000-0000-0000C7110000}"/>
    <cellStyle name="Normal 3 4 2 2 6 3 2 2" xfId="20711" xr:uid="{00000000-0005-0000-0000-0000C8110000}"/>
    <cellStyle name="Normal 3 4 2 2 6 3 2 3" xfId="13455" xr:uid="{00000000-0005-0000-0000-0000C9110000}"/>
    <cellStyle name="Normal 3 4 2 2 6 3 3" xfId="17083" xr:uid="{00000000-0005-0000-0000-0000CA110000}"/>
    <cellStyle name="Normal 3 4 2 2 6 3 4" xfId="9827" xr:uid="{00000000-0005-0000-0000-0000CB110000}"/>
    <cellStyle name="Normal 3 4 2 2 6 4" xfId="4385" xr:uid="{00000000-0005-0000-0000-0000CC110000}"/>
    <cellStyle name="Normal 3 4 2 2 6 4 2" xfId="18897" xr:uid="{00000000-0005-0000-0000-0000CD110000}"/>
    <cellStyle name="Normal 3 4 2 2 6 4 3" xfId="11641" xr:uid="{00000000-0005-0000-0000-0000CE110000}"/>
    <cellStyle name="Normal 3 4 2 2 6 5" xfId="15269" xr:uid="{00000000-0005-0000-0000-0000CF110000}"/>
    <cellStyle name="Normal 3 4 2 2 6 6" xfId="8013" xr:uid="{00000000-0005-0000-0000-0000D0110000}"/>
    <cellStyle name="Normal 3 4 2 2 7" xfId="410" xr:uid="{00000000-0005-0000-0000-0000D1110000}"/>
    <cellStyle name="Normal 3 4 2 2 7 2" xfId="1318" xr:uid="{00000000-0005-0000-0000-0000D2110000}"/>
    <cellStyle name="Normal 3 4 2 2 7 2 2" xfId="3132" xr:uid="{00000000-0005-0000-0000-0000D3110000}"/>
    <cellStyle name="Normal 3 4 2 2 7 2 2 2" xfId="6760" xr:uid="{00000000-0005-0000-0000-0000D4110000}"/>
    <cellStyle name="Normal 3 4 2 2 7 2 2 2 2" xfId="21272" xr:uid="{00000000-0005-0000-0000-0000D5110000}"/>
    <cellStyle name="Normal 3 4 2 2 7 2 2 2 3" xfId="14016" xr:uid="{00000000-0005-0000-0000-0000D6110000}"/>
    <cellStyle name="Normal 3 4 2 2 7 2 2 3" xfId="17644" xr:uid="{00000000-0005-0000-0000-0000D7110000}"/>
    <cellStyle name="Normal 3 4 2 2 7 2 2 4" xfId="10388" xr:uid="{00000000-0005-0000-0000-0000D8110000}"/>
    <cellStyle name="Normal 3 4 2 2 7 2 3" xfId="4946" xr:uid="{00000000-0005-0000-0000-0000D9110000}"/>
    <cellStyle name="Normal 3 4 2 2 7 2 3 2" xfId="19458" xr:uid="{00000000-0005-0000-0000-0000DA110000}"/>
    <cellStyle name="Normal 3 4 2 2 7 2 3 3" xfId="12202" xr:uid="{00000000-0005-0000-0000-0000DB110000}"/>
    <cellStyle name="Normal 3 4 2 2 7 2 4" xfId="15830" xr:uid="{00000000-0005-0000-0000-0000DC110000}"/>
    <cellStyle name="Normal 3 4 2 2 7 2 5" xfId="8574" xr:uid="{00000000-0005-0000-0000-0000DD110000}"/>
    <cellStyle name="Normal 3 4 2 2 7 3" xfId="2225" xr:uid="{00000000-0005-0000-0000-0000DE110000}"/>
    <cellStyle name="Normal 3 4 2 2 7 3 2" xfId="5853" xr:uid="{00000000-0005-0000-0000-0000DF110000}"/>
    <cellStyle name="Normal 3 4 2 2 7 3 2 2" xfId="20365" xr:uid="{00000000-0005-0000-0000-0000E0110000}"/>
    <cellStyle name="Normal 3 4 2 2 7 3 2 3" xfId="13109" xr:uid="{00000000-0005-0000-0000-0000E1110000}"/>
    <cellStyle name="Normal 3 4 2 2 7 3 3" xfId="16737" xr:uid="{00000000-0005-0000-0000-0000E2110000}"/>
    <cellStyle name="Normal 3 4 2 2 7 3 4" xfId="9481" xr:uid="{00000000-0005-0000-0000-0000E3110000}"/>
    <cellStyle name="Normal 3 4 2 2 7 4" xfId="4039" xr:uid="{00000000-0005-0000-0000-0000E4110000}"/>
    <cellStyle name="Normal 3 4 2 2 7 4 2" xfId="18551" xr:uid="{00000000-0005-0000-0000-0000E5110000}"/>
    <cellStyle name="Normal 3 4 2 2 7 4 3" xfId="11295" xr:uid="{00000000-0005-0000-0000-0000E6110000}"/>
    <cellStyle name="Normal 3 4 2 2 7 5" xfId="14923" xr:uid="{00000000-0005-0000-0000-0000E7110000}"/>
    <cellStyle name="Normal 3 4 2 2 7 6" xfId="7667" xr:uid="{00000000-0005-0000-0000-0000E8110000}"/>
    <cellStyle name="Normal 3 4 2 2 8" xfId="874" xr:uid="{00000000-0005-0000-0000-0000E9110000}"/>
    <cellStyle name="Normal 3 4 2 2 8 2" xfId="1782" xr:uid="{00000000-0005-0000-0000-0000EA110000}"/>
    <cellStyle name="Normal 3 4 2 2 8 2 2" xfId="3596" xr:uid="{00000000-0005-0000-0000-0000EB110000}"/>
    <cellStyle name="Normal 3 4 2 2 8 2 2 2" xfId="7224" xr:uid="{00000000-0005-0000-0000-0000EC110000}"/>
    <cellStyle name="Normal 3 4 2 2 8 2 2 2 2" xfId="21736" xr:uid="{00000000-0005-0000-0000-0000ED110000}"/>
    <cellStyle name="Normal 3 4 2 2 8 2 2 2 3" xfId="14480" xr:uid="{00000000-0005-0000-0000-0000EE110000}"/>
    <cellStyle name="Normal 3 4 2 2 8 2 2 3" xfId="18108" xr:uid="{00000000-0005-0000-0000-0000EF110000}"/>
    <cellStyle name="Normal 3 4 2 2 8 2 2 4" xfId="10852" xr:uid="{00000000-0005-0000-0000-0000F0110000}"/>
    <cellStyle name="Normal 3 4 2 2 8 2 3" xfId="5410" xr:uid="{00000000-0005-0000-0000-0000F1110000}"/>
    <cellStyle name="Normal 3 4 2 2 8 2 3 2" xfId="19922" xr:uid="{00000000-0005-0000-0000-0000F2110000}"/>
    <cellStyle name="Normal 3 4 2 2 8 2 3 3" xfId="12666" xr:uid="{00000000-0005-0000-0000-0000F3110000}"/>
    <cellStyle name="Normal 3 4 2 2 8 2 4" xfId="16294" xr:uid="{00000000-0005-0000-0000-0000F4110000}"/>
    <cellStyle name="Normal 3 4 2 2 8 2 5" xfId="9038" xr:uid="{00000000-0005-0000-0000-0000F5110000}"/>
    <cellStyle name="Normal 3 4 2 2 8 3" xfId="2689" xr:uid="{00000000-0005-0000-0000-0000F6110000}"/>
    <cellStyle name="Normal 3 4 2 2 8 3 2" xfId="6317" xr:uid="{00000000-0005-0000-0000-0000F7110000}"/>
    <cellStyle name="Normal 3 4 2 2 8 3 2 2" xfId="20829" xr:uid="{00000000-0005-0000-0000-0000F8110000}"/>
    <cellStyle name="Normal 3 4 2 2 8 3 2 3" xfId="13573" xr:uid="{00000000-0005-0000-0000-0000F9110000}"/>
    <cellStyle name="Normal 3 4 2 2 8 3 3" xfId="17201" xr:uid="{00000000-0005-0000-0000-0000FA110000}"/>
    <cellStyle name="Normal 3 4 2 2 8 3 4" xfId="9945" xr:uid="{00000000-0005-0000-0000-0000FB110000}"/>
    <cellStyle name="Normal 3 4 2 2 8 4" xfId="4503" xr:uid="{00000000-0005-0000-0000-0000FC110000}"/>
    <cellStyle name="Normal 3 4 2 2 8 4 2" xfId="19015" xr:uid="{00000000-0005-0000-0000-0000FD110000}"/>
    <cellStyle name="Normal 3 4 2 2 8 4 3" xfId="11759" xr:uid="{00000000-0005-0000-0000-0000FE110000}"/>
    <cellStyle name="Normal 3 4 2 2 8 5" xfId="15387" xr:uid="{00000000-0005-0000-0000-0000FF110000}"/>
    <cellStyle name="Normal 3 4 2 2 8 6" xfId="8131" xr:uid="{00000000-0005-0000-0000-000000120000}"/>
    <cellStyle name="Normal 3 4 2 2 9" xfId="972" xr:uid="{00000000-0005-0000-0000-000001120000}"/>
    <cellStyle name="Normal 3 4 2 2 9 2" xfId="2786" xr:uid="{00000000-0005-0000-0000-000002120000}"/>
    <cellStyle name="Normal 3 4 2 2 9 2 2" xfId="6414" xr:uid="{00000000-0005-0000-0000-000003120000}"/>
    <cellStyle name="Normal 3 4 2 2 9 2 2 2" xfId="20926" xr:uid="{00000000-0005-0000-0000-000004120000}"/>
    <cellStyle name="Normal 3 4 2 2 9 2 2 3" xfId="13670" xr:uid="{00000000-0005-0000-0000-000005120000}"/>
    <cellStyle name="Normal 3 4 2 2 9 2 3" xfId="17298" xr:uid="{00000000-0005-0000-0000-000006120000}"/>
    <cellStyle name="Normal 3 4 2 2 9 2 4" xfId="10042" xr:uid="{00000000-0005-0000-0000-000007120000}"/>
    <cellStyle name="Normal 3 4 2 2 9 3" xfId="4600" xr:uid="{00000000-0005-0000-0000-000008120000}"/>
    <cellStyle name="Normal 3 4 2 2 9 3 2" xfId="19112" xr:uid="{00000000-0005-0000-0000-000009120000}"/>
    <cellStyle name="Normal 3 4 2 2 9 3 3" xfId="11856" xr:uid="{00000000-0005-0000-0000-00000A120000}"/>
    <cellStyle name="Normal 3 4 2 2 9 4" xfId="15484" xr:uid="{00000000-0005-0000-0000-00000B120000}"/>
    <cellStyle name="Normal 3 4 2 2 9 5" xfId="8228" xr:uid="{00000000-0005-0000-0000-00000C120000}"/>
    <cellStyle name="Normal 3 4 2 3" xfId="83" xr:uid="{00000000-0005-0000-0000-00000D120000}"/>
    <cellStyle name="Normal 3 4 2 3 10" xfId="14598" xr:uid="{00000000-0005-0000-0000-00000E120000}"/>
    <cellStyle name="Normal 3 4 2 3 11" xfId="7342" xr:uid="{00000000-0005-0000-0000-00000F120000}"/>
    <cellStyle name="Normal 3 4 2 3 2" xfId="171" xr:uid="{00000000-0005-0000-0000-000010120000}"/>
    <cellStyle name="Normal 3 4 2 3 2 2" xfId="517" xr:uid="{00000000-0005-0000-0000-000011120000}"/>
    <cellStyle name="Normal 3 4 2 3 2 2 2" xfId="1425" xr:uid="{00000000-0005-0000-0000-000012120000}"/>
    <cellStyle name="Normal 3 4 2 3 2 2 2 2" xfId="3239" xr:uid="{00000000-0005-0000-0000-000013120000}"/>
    <cellStyle name="Normal 3 4 2 3 2 2 2 2 2" xfId="6867" xr:uid="{00000000-0005-0000-0000-000014120000}"/>
    <cellStyle name="Normal 3 4 2 3 2 2 2 2 2 2" xfId="21379" xr:uid="{00000000-0005-0000-0000-000015120000}"/>
    <cellStyle name="Normal 3 4 2 3 2 2 2 2 2 3" xfId="14123" xr:uid="{00000000-0005-0000-0000-000016120000}"/>
    <cellStyle name="Normal 3 4 2 3 2 2 2 2 3" xfId="17751" xr:uid="{00000000-0005-0000-0000-000017120000}"/>
    <cellStyle name="Normal 3 4 2 3 2 2 2 2 4" xfId="10495" xr:uid="{00000000-0005-0000-0000-000018120000}"/>
    <cellStyle name="Normal 3 4 2 3 2 2 2 3" xfId="5053" xr:uid="{00000000-0005-0000-0000-000019120000}"/>
    <cellStyle name="Normal 3 4 2 3 2 2 2 3 2" xfId="19565" xr:uid="{00000000-0005-0000-0000-00001A120000}"/>
    <cellStyle name="Normal 3 4 2 3 2 2 2 3 3" xfId="12309" xr:uid="{00000000-0005-0000-0000-00001B120000}"/>
    <cellStyle name="Normal 3 4 2 3 2 2 2 4" xfId="15937" xr:uid="{00000000-0005-0000-0000-00001C120000}"/>
    <cellStyle name="Normal 3 4 2 3 2 2 2 5" xfId="8681" xr:uid="{00000000-0005-0000-0000-00001D120000}"/>
    <cellStyle name="Normal 3 4 2 3 2 2 3" xfId="2332" xr:uid="{00000000-0005-0000-0000-00001E120000}"/>
    <cellStyle name="Normal 3 4 2 3 2 2 3 2" xfId="5960" xr:uid="{00000000-0005-0000-0000-00001F120000}"/>
    <cellStyle name="Normal 3 4 2 3 2 2 3 2 2" xfId="20472" xr:uid="{00000000-0005-0000-0000-000020120000}"/>
    <cellStyle name="Normal 3 4 2 3 2 2 3 2 3" xfId="13216" xr:uid="{00000000-0005-0000-0000-000021120000}"/>
    <cellStyle name="Normal 3 4 2 3 2 2 3 3" xfId="16844" xr:uid="{00000000-0005-0000-0000-000022120000}"/>
    <cellStyle name="Normal 3 4 2 3 2 2 3 4" xfId="9588" xr:uid="{00000000-0005-0000-0000-000023120000}"/>
    <cellStyle name="Normal 3 4 2 3 2 2 4" xfId="4146" xr:uid="{00000000-0005-0000-0000-000024120000}"/>
    <cellStyle name="Normal 3 4 2 3 2 2 4 2" xfId="18658" xr:uid="{00000000-0005-0000-0000-000025120000}"/>
    <cellStyle name="Normal 3 4 2 3 2 2 4 3" xfId="11402" xr:uid="{00000000-0005-0000-0000-000026120000}"/>
    <cellStyle name="Normal 3 4 2 3 2 2 5" xfId="15030" xr:uid="{00000000-0005-0000-0000-000027120000}"/>
    <cellStyle name="Normal 3 4 2 3 2 2 6" xfId="7774" xr:uid="{00000000-0005-0000-0000-000028120000}"/>
    <cellStyle name="Normal 3 4 2 3 2 3" xfId="1079" xr:uid="{00000000-0005-0000-0000-000029120000}"/>
    <cellStyle name="Normal 3 4 2 3 2 3 2" xfId="2893" xr:uid="{00000000-0005-0000-0000-00002A120000}"/>
    <cellStyle name="Normal 3 4 2 3 2 3 2 2" xfId="6521" xr:uid="{00000000-0005-0000-0000-00002B120000}"/>
    <cellStyle name="Normal 3 4 2 3 2 3 2 2 2" xfId="21033" xr:uid="{00000000-0005-0000-0000-00002C120000}"/>
    <cellStyle name="Normal 3 4 2 3 2 3 2 2 3" xfId="13777" xr:uid="{00000000-0005-0000-0000-00002D120000}"/>
    <cellStyle name="Normal 3 4 2 3 2 3 2 3" xfId="17405" xr:uid="{00000000-0005-0000-0000-00002E120000}"/>
    <cellStyle name="Normal 3 4 2 3 2 3 2 4" xfId="10149" xr:uid="{00000000-0005-0000-0000-00002F120000}"/>
    <cellStyle name="Normal 3 4 2 3 2 3 3" xfId="4707" xr:uid="{00000000-0005-0000-0000-000030120000}"/>
    <cellStyle name="Normal 3 4 2 3 2 3 3 2" xfId="19219" xr:uid="{00000000-0005-0000-0000-000031120000}"/>
    <cellStyle name="Normal 3 4 2 3 2 3 3 3" xfId="11963" xr:uid="{00000000-0005-0000-0000-000032120000}"/>
    <cellStyle name="Normal 3 4 2 3 2 3 4" xfId="15591" xr:uid="{00000000-0005-0000-0000-000033120000}"/>
    <cellStyle name="Normal 3 4 2 3 2 3 5" xfId="8335" xr:uid="{00000000-0005-0000-0000-000034120000}"/>
    <cellStyle name="Normal 3 4 2 3 2 4" xfId="1986" xr:uid="{00000000-0005-0000-0000-000035120000}"/>
    <cellStyle name="Normal 3 4 2 3 2 4 2" xfId="5614" xr:uid="{00000000-0005-0000-0000-000036120000}"/>
    <cellStyle name="Normal 3 4 2 3 2 4 2 2" xfId="20126" xr:uid="{00000000-0005-0000-0000-000037120000}"/>
    <cellStyle name="Normal 3 4 2 3 2 4 2 3" xfId="12870" xr:uid="{00000000-0005-0000-0000-000038120000}"/>
    <cellStyle name="Normal 3 4 2 3 2 4 3" xfId="16498" xr:uid="{00000000-0005-0000-0000-000039120000}"/>
    <cellStyle name="Normal 3 4 2 3 2 4 4" xfId="9242" xr:uid="{00000000-0005-0000-0000-00003A120000}"/>
    <cellStyle name="Normal 3 4 2 3 2 5" xfId="3800" xr:uid="{00000000-0005-0000-0000-00003B120000}"/>
    <cellStyle name="Normal 3 4 2 3 2 5 2" xfId="18312" xr:uid="{00000000-0005-0000-0000-00003C120000}"/>
    <cellStyle name="Normal 3 4 2 3 2 5 3" xfId="11056" xr:uid="{00000000-0005-0000-0000-00003D120000}"/>
    <cellStyle name="Normal 3 4 2 3 2 6" xfId="14684" xr:uid="{00000000-0005-0000-0000-00003E120000}"/>
    <cellStyle name="Normal 3 4 2 3 2 7" xfId="7428" xr:uid="{00000000-0005-0000-0000-00003F120000}"/>
    <cellStyle name="Normal 3 4 2 3 3" xfId="301" xr:uid="{00000000-0005-0000-0000-000040120000}"/>
    <cellStyle name="Normal 3 4 2 3 3 2" xfId="647" xr:uid="{00000000-0005-0000-0000-000041120000}"/>
    <cellStyle name="Normal 3 4 2 3 3 2 2" xfId="1555" xr:uid="{00000000-0005-0000-0000-000042120000}"/>
    <cellStyle name="Normal 3 4 2 3 3 2 2 2" xfId="3369" xr:uid="{00000000-0005-0000-0000-000043120000}"/>
    <cellStyle name="Normal 3 4 2 3 3 2 2 2 2" xfId="6997" xr:uid="{00000000-0005-0000-0000-000044120000}"/>
    <cellStyle name="Normal 3 4 2 3 3 2 2 2 2 2" xfId="21509" xr:uid="{00000000-0005-0000-0000-000045120000}"/>
    <cellStyle name="Normal 3 4 2 3 3 2 2 2 2 3" xfId="14253" xr:uid="{00000000-0005-0000-0000-000046120000}"/>
    <cellStyle name="Normal 3 4 2 3 3 2 2 2 3" xfId="17881" xr:uid="{00000000-0005-0000-0000-000047120000}"/>
    <cellStyle name="Normal 3 4 2 3 3 2 2 2 4" xfId="10625" xr:uid="{00000000-0005-0000-0000-000048120000}"/>
    <cellStyle name="Normal 3 4 2 3 3 2 2 3" xfId="5183" xr:uid="{00000000-0005-0000-0000-000049120000}"/>
    <cellStyle name="Normal 3 4 2 3 3 2 2 3 2" xfId="19695" xr:uid="{00000000-0005-0000-0000-00004A120000}"/>
    <cellStyle name="Normal 3 4 2 3 3 2 2 3 3" xfId="12439" xr:uid="{00000000-0005-0000-0000-00004B120000}"/>
    <cellStyle name="Normal 3 4 2 3 3 2 2 4" xfId="16067" xr:uid="{00000000-0005-0000-0000-00004C120000}"/>
    <cellStyle name="Normal 3 4 2 3 3 2 2 5" xfId="8811" xr:uid="{00000000-0005-0000-0000-00004D120000}"/>
    <cellStyle name="Normal 3 4 2 3 3 2 3" xfId="2462" xr:uid="{00000000-0005-0000-0000-00004E120000}"/>
    <cellStyle name="Normal 3 4 2 3 3 2 3 2" xfId="6090" xr:uid="{00000000-0005-0000-0000-00004F120000}"/>
    <cellStyle name="Normal 3 4 2 3 3 2 3 2 2" xfId="20602" xr:uid="{00000000-0005-0000-0000-000050120000}"/>
    <cellStyle name="Normal 3 4 2 3 3 2 3 2 3" xfId="13346" xr:uid="{00000000-0005-0000-0000-000051120000}"/>
    <cellStyle name="Normal 3 4 2 3 3 2 3 3" xfId="16974" xr:uid="{00000000-0005-0000-0000-000052120000}"/>
    <cellStyle name="Normal 3 4 2 3 3 2 3 4" xfId="9718" xr:uid="{00000000-0005-0000-0000-000053120000}"/>
    <cellStyle name="Normal 3 4 2 3 3 2 4" xfId="4276" xr:uid="{00000000-0005-0000-0000-000054120000}"/>
    <cellStyle name="Normal 3 4 2 3 3 2 4 2" xfId="18788" xr:uid="{00000000-0005-0000-0000-000055120000}"/>
    <cellStyle name="Normal 3 4 2 3 3 2 4 3" xfId="11532" xr:uid="{00000000-0005-0000-0000-000056120000}"/>
    <cellStyle name="Normal 3 4 2 3 3 2 5" xfId="15160" xr:uid="{00000000-0005-0000-0000-000057120000}"/>
    <cellStyle name="Normal 3 4 2 3 3 2 6" xfId="7904" xr:uid="{00000000-0005-0000-0000-000058120000}"/>
    <cellStyle name="Normal 3 4 2 3 3 3" xfId="1209" xr:uid="{00000000-0005-0000-0000-000059120000}"/>
    <cellStyle name="Normal 3 4 2 3 3 3 2" xfId="3023" xr:uid="{00000000-0005-0000-0000-00005A120000}"/>
    <cellStyle name="Normal 3 4 2 3 3 3 2 2" xfId="6651" xr:uid="{00000000-0005-0000-0000-00005B120000}"/>
    <cellStyle name="Normal 3 4 2 3 3 3 2 2 2" xfId="21163" xr:uid="{00000000-0005-0000-0000-00005C120000}"/>
    <cellStyle name="Normal 3 4 2 3 3 3 2 2 3" xfId="13907" xr:uid="{00000000-0005-0000-0000-00005D120000}"/>
    <cellStyle name="Normal 3 4 2 3 3 3 2 3" xfId="17535" xr:uid="{00000000-0005-0000-0000-00005E120000}"/>
    <cellStyle name="Normal 3 4 2 3 3 3 2 4" xfId="10279" xr:uid="{00000000-0005-0000-0000-00005F120000}"/>
    <cellStyle name="Normal 3 4 2 3 3 3 3" xfId="4837" xr:uid="{00000000-0005-0000-0000-000060120000}"/>
    <cellStyle name="Normal 3 4 2 3 3 3 3 2" xfId="19349" xr:uid="{00000000-0005-0000-0000-000061120000}"/>
    <cellStyle name="Normal 3 4 2 3 3 3 3 3" xfId="12093" xr:uid="{00000000-0005-0000-0000-000062120000}"/>
    <cellStyle name="Normal 3 4 2 3 3 3 4" xfId="15721" xr:uid="{00000000-0005-0000-0000-000063120000}"/>
    <cellStyle name="Normal 3 4 2 3 3 3 5" xfId="8465" xr:uid="{00000000-0005-0000-0000-000064120000}"/>
    <cellStyle name="Normal 3 4 2 3 3 4" xfId="2116" xr:uid="{00000000-0005-0000-0000-000065120000}"/>
    <cellStyle name="Normal 3 4 2 3 3 4 2" xfId="5744" xr:uid="{00000000-0005-0000-0000-000066120000}"/>
    <cellStyle name="Normal 3 4 2 3 3 4 2 2" xfId="20256" xr:uid="{00000000-0005-0000-0000-000067120000}"/>
    <cellStyle name="Normal 3 4 2 3 3 4 2 3" xfId="13000" xr:uid="{00000000-0005-0000-0000-000068120000}"/>
    <cellStyle name="Normal 3 4 2 3 3 4 3" xfId="16628" xr:uid="{00000000-0005-0000-0000-000069120000}"/>
    <cellStyle name="Normal 3 4 2 3 3 4 4" xfId="9372" xr:uid="{00000000-0005-0000-0000-00006A120000}"/>
    <cellStyle name="Normal 3 4 2 3 3 5" xfId="3930" xr:uid="{00000000-0005-0000-0000-00006B120000}"/>
    <cellStyle name="Normal 3 4 2 3 3 5 2" xfId="18442" xr:uid="{00000000-0005-0000-0000-00006C120000}"/>
    <cellStyle name="Normal 3 4 2 3 3 5 3" xfId="11186" xr:uid="{00000000-0005-0000-0000-00006D120000}"/>
    <cellStyle name="Normal 3 4 2 3 3 6" xfId="14814" xr:uid="{00000000-0005-0000-0000-00006E120000}"/>
    <cellStyle name="Normal 3 4 2 3 3 7" xfId="7558" xr:uid="{00000000-0005-0000-0000-00006F120000}"/>
    <cellStyle name="Normal 3 4 2 3 4" xfId="777" xr:uid="{00000000-0005-0000-0000-000070120000}"/>
    <cellStyle name="Normal 3 4 2 3 4 2" xfId="1685" xr:uid="{00000000-0005-0000-0000-000071120000}"/>
    <cellStyle name="Normal 3 4 2 3 4 2 2" xfId="3499" xr:uid="{00000000-0005-0000-0000-000072120000}"/>
    <cellStyle name="Normal 3 4 2 3 4 2 2 2" xfId="7127" xr:uid="{00000000-0005-0000-0000-000073120000}"/>
    <cellStyle name="Normal 3 4 2 3 4 2 2 2 2" xfId="21639" xr:uid="{00000000-0005-0000-0000-000074120000}"/>
    <cellStyle name="Normal 3 4 2 3 4 2 2 2 3" xfId="14383" xr:uid="{00000000-0005-0000-0000-000075120000}"/>
    <cellStyle name="Normal 3 4 2 3 4 2 2 3" xfId="18011" xr:uid="{00000000-0005-0000-0000-000076120000}"/>
    <cellStyle name="Normal 3 4 2 3 4 2 2 4" xfId="10755" xr:uid="{00000000-0005-0000-0000-000077120000}"/>
    <cellStyle name="Normal 3 4 2 3 4 2 3" xfId="5313" xr:uid="{00000000-0005-0000-0000-000078120000}"/>
    <cellStyle name="Normal 3 4 2 3 4 2 3 2" xfId="19825" xr:uid="{00000000-0005-0000-0000-000079120000}"/>
    <cellStyle name="Normal 3 4 2 3 4 2 3 3" xfId="12569" xr:uid="{00000000-0005-0000-0000-00007A120000}"/>
    <cellStyle name="Normal 3 4 2 3 4 2 4" xfId="16197" xr:uid="{00000000-0005-0000-0000-00007B120000}"/>
    <cellStyle name="Normal 3 4 2 3 4 2 5" xfId="8941" xr:uid="{00000000-0005-0000-0000-00007C120000}"/>
    <cellStyle name="Normal 3 4 2 3 4 3" xfId="2592" xr:uid="{00000000-0005-0000-0000-00007D120000}"/>
    <cellStyle name="Normal 3 4 2 3 4 3 2" xfId="6220" xr:uid="{00000000-0005-0000-0000-00007E120000}"/>
    <cellStyle name="Normal 3 4 2 3 4 3 2 2" xfId="20732" xr:uid="{00000000-0005-0000-0000-00007F120000}"/>
    <cellStyle name="Normal 3 4 2 3 4 3 2 3" xfId="13476" xr:uid="{00000000-0005-0000-0000-000080120000}"/>
    <cellStyle name="Normal 3 4 2 3 4 3 3" xfId="17104" xr:uid="{00000000-0005-0000-0000-000081120000}"/>
    <cellStyle name="Normal 3 4 2 3 4 3 4" xfId="9848" xr:uid="{00000000-0005-0000-0000-000082120000}"/>
    <cellStyle name="Normal 3 4 2 3 4 4" xfId="4406" xr:uid="{00000000-0005-0000-0000-000083120000}"/>
    <cellStyle name="Normal 3 4 2 3 4 4 2" xfId="18918" xr:uid="{00000000-0005-0000-0000-000084120000}"/>
    <cellStyle name="Normal 3 4 2 3 4 4 3" xfId="11662" xr:uid="{00000000-0005-0000-0000-000085120000}"/>
    <cellStyle name="Normal 3 4 2 3 4 5" xfId="15290" xr:uid="{00000000-0005-0000-0000-000086120000}"/>
    <cellStyle name="Normal 3 4 2 3 4 6" xfId="8034" xr:uid="{00000000-0005-0000-0000-000087120000}"/>
    <cellStyle name="Normal 3 4 2 3 5" xfId="431" xr:uid="{00000000-0005-0000-0000-000088120000}"/>
    <cellStyle name="Normal 3 4 2 3 5 2" xfId="1339" xr:uid="{00000000-0005-0000-0000-000089120000}"/>
    <cellStyle name="Normal 3 4 2 3 5 2 2" xfId="3153" xr:uid="{00000000-0005-0000-0000-00008A120000}"/>
    <cellStyle name="Normal 3 4 2 3 5 2 2 2" xfId="6781" xr:uid="{00000000-0005-0000-0000-00008B120000}"/>
    <cellStyle name="Normal 3 4 2 3 5 2 2 2 2" xfId="21293" xr:uid="{00000000-0005-0000-0000-00008C120000}"/>
    <cellStyle name="Normal 3 4 2 3 5 2 2 2 3" xfId="14037" xr:uid="{00000000-0005-0000-0000-00008D120000}"/>
    <cellStyle name="Normal 3 4 2 3 5 2 2 3" xfId="17665" xr:uid="{00000000-0005-0000-0000-00008E120000}"/>
    <cellStyle name="Normal 3 4 2 3 5 2 2 4" xfId="10409" xr:uid="{00000000-0005-0000-0000-00008F120000}"/>
    <cellStyle name="Normal 3 4 2 3 5 2 3" xfId="4967" xr:uid="{00000000-0005-0000-0000-000090120000}"/>
    <cellStyle name="Normal 3 4 2 3 5 2 3 2" xfId="19479" xr:uid="{00000000-0005-0000-0000-000091120000}"/>
    <cellStyle name="Normal 3 4 2 3 5 2 3 3" xfId="12223" xr:uid="{00000000-0005-0000-0000-000092120000}"/>
    <cellStyle name="Normal 3 4 2 3 5 2 4" xfId="15851" xr:uid="{00000000-0005-0000-0000-000093120000}"/>
    <cellStyle name="Normal 3 4 2 3 5 2 5" xfId="8595" xr:uid="{00000000-0005-0000-0000-000094120000}"/>
    <cellStyle name="Normal 3 4 2 3 5 3" xfId="2246" xr:uid="{00000000-0005-0000-0000-000095120000}"/>
    <cellStyle name="Normal 3 4 2 3 5 3 2" xfId="5874" xr:uid="{00000000-0005-0000-0000-000096120000}"/>
    <cellStyle name="Normal 3 4 2 3 5 3 2 2" xfId="20386" xr:uid="{00000000-0005-0000-0000-000097120000}"/>
    <cellStyle name="Normal 3 4 2 3 5 3 2 3" xfId="13130" xr:uid="{00000000-0005-0000-0000-000098120000}"/>
    <cellStyle name="Normal 3 4 2 3 5 3 3" xfId="16758" xr:uid="{00000000-0005-0000-0000-000099120000}"/>
    <cellStyle name="Normal 3 4 2 3 5 3 4" xfId="9502" xr:uid="{00000000-0005-0000-0000-00009A120000}"/>
    <cellStyle name="Normal 3 4 2 3 5 4" xfId="4060" xr:uid="{00000000-0005-0000-0000-00009B120000}"/>
    <cellStyle name="Normal 3 4 2 3 5 4 2" xfId="18572" xr:uid="{00000000-0005-0000-0000-00009C120000}"/>
    <cellStyle name="Normal 3 4 2 3 5 4 3" xfId="11316" xr:uid="{00000000-0005-0000-0000-00009D120000}"/>
    <cellStyle name="Normal 3 4 2 3 5 5" xfId="14944" xr:uid="{00000000-0005-0000-0000-00009E120000}"/>
    <cellStyle name="Normal 3 4 2 3 5 6" xfId="7688" xr:uid="{00000000-0005-0000-0000-00009F120000}"/>
    <cellStyle name="Normal 3 4 2 3 6" xfId="909" xr:uid="{00000000-0005-0000-0000-0000A0120000}"/>
    <cellStyle name="Normal 3 4 2 3 6 2" xfId="1816" xr:uid="{00000000-0005-0000-0000-0000A1120000}"/>
    <cellStyle name="Normal 3 4 2 3 6 2 2" xfId="3630" xr:uid="{00000000-0005-0000-0000-0000A2120000}"/>
    <cellStyle name="Normal 3 4 2 3 6 2 2 2" xfId="7258" xr:uid="{00000000-0005-0000-0000-0000A3120000}"/>
    <cellStyle name="Normal 3 4 2 3 6 2 2 2 2" xfId="21770" xr:uid="{00000000-0005-0000-0000-0000A4120000}"/>
    <cellStyle name="Normal 3 4 2 3 6 2 2 2 3" xfId="14514" xr:uid="{00000000-0005-0000-0000-0000A5120000}"/>
    <cellStyle name="Normal 3 4 2 3 6 2 2 3" xfId="18142" xr:uid="{00000000-0005-0000-0000-0000A6120000}"/>
    <cellStyle name="Normal 3 4 2 3 6 2 2 4" xfId="10886" xr:uid="{00000000-0005-0000-0000-0000A7120000}"/>
    <cellStyle name="Normal 3 4 2 3 6 2 3" xfId="5444" xr:uid="{00000000-0005-0000-0000-0000A8120000}"/>
    <cellStyle name="Normal 3 4 2 3 6 2 3 2" xfId="19956" xr:uid="{00000000-0005-0000-0000-0000A9120000}"/>
    <cellStyle name="Normal 3 4 2 3 6 2 3 3" xfId="12700" xr:uid="{00000000-0005-0000-0000-0000AA120000}"/>
    <cellStyle name="Normal 3 4 2 3 6 2 4" xfId="16328" xr:uid="{00000000-0005-0000-0000-0000AB120000}"/>
    <cellStyle name="Normal 3 4 2 3 6 2 5" xfId="9072" xr:uid="{00000000-0005-0000-0000-0000AC120000}"/>
    <cellStyle name="Normal 3 4 2 3 6 3" xfId="2723" xr:uid="{00000000-0005-0000-0000-0000AD120000}"/>
    <cellStyle name="Normal 3 4 2 3 6 3 2" xfId="6351" xr:uid="{00000000-0005-0000-0000-0000AE120000}"/>
    <cellStyle name="Normal 3 4 2 3 6 3 2 2" xfId="20863" xr:uid="{00000000-0005-0000-0000-0000AF120000}"/>
    <cellStyle name="Normal 3 4 2 3 6 3 2 3" xfId="13607" xr:uid="{00000000-0005-0000-0000-0000B0120000}"/>
    <cellStyle name="Normal 3 4 2 3 6 3 3" xfId="17235" xr:uid="{00000000-0005-0000-0000-0000B1120000}"/>
    <cellStyle name="Normal 3 4 2 3 6 3 4" xfId="9979" xr:uid="{00000000-0005-0000-0000-0000B2120000}"/>
    <cellStyle name="Normal 3 4 2 3 6 4" xfId="4537" xr:uid="{00000000-0005-0000-0000-0000B3120000}"/>
    <cellStyle name="Normal 3 4 2 3 6 4 2" xfId="19049" xr:uid="{00000000-0005-0000-0000-0000B4120000}"/>
    <cellStyle name="Normal 3 4 2 3 6 4 3" xfId="11793" xr:uid="{00000000-0005-0000-0000-0000B5120000}"/>
    <cellStyle name="Normal 3 4 2 3 6 5" xfId="15421" xr:uid="{00000000-0005-0000-0000-0000B6120000}"/>
    <cellStyle name="Normal 3 4 2 3 6 6" xfId="8165" xr:uid="{00000000-0005-0000-0000-0000B7120000}"/>
    <cellStyle name="Normal 3 4 2 3 7" xfId="993" xr:uid="{00000000-0005-0000-0000-0000B8120000}"/>
    <cellStyle name="Normal 3 4 2 3 7 2" xfId="2807" xr:uid="{00000000-0005-0000-0000-0000B9120000}"/>
    <cellStyle name="Normal 3 4 2 3 7 2 2" xfId="6435" xr:uid="{00000000-0005-0000-0000-0000BA120000}"/>
    <cellStyle name="Normal 3 4 2 3 7 2 2 2" xfId="20947" xr:uid="{00000000-0005-0000-0000-0000BB120000}"/>
    <cellStyle name="Normal 3 4 2 3 7 2 2 3" xfId="13691" xr:uid="{00000000-0005-0000-0000-0000BC120000}"/>
    <cellStyle name="Normal 3 4 2 3 7 2 3" xfId="17319" xr:uid="{00000000-0005-0000-0000-0000BD120000}"/>
    <cellStyle name="Normal 3 4 2 3 7 2 4" xfId="10063" xr:uid="{00000000-0005-0000-0000-0000BE120000}"/>
    <cellStyle name="Normal 3 4 2 3 7 3" xfId="4621" xr:uid="{00000000-0005-0000-0000-0000BF120000}"/>
    <cellStyle name="Normal 3 4 2 3 7 3 2" xfId="19133" xr:uid="{00000000-0005-0000-0000-0000C0120000}"/>
    <cellStyle name="Normal 3 4 2 3 7 3 3" xfId="11877" xr:uid="{00000000-0005-0000-0000-0000C1120000}"/>
    <cellStyle name="Normal 3 4 2 3 7 4" xfId="15505" xr:uid="{00000000-0005-0000-0000-0000C2120000}"/>
    <cellStyle name="Normal 3 4 2 3 7 5" xfId="8249" xr:uid="{00000000-0005-0000-0000-0000C3120000}"/>
    <cellStyle name="Normal 3 4 2 3 8" xfId="1900" xr:uid="{00000000-0005-0000-0000-0000C4120000}"/>
    <cellStyle name="Normal 3 4 2 3 8 2" xfId="5528" xr:uid="{00000000-0005-0000-0000-0000C5120000}"/>
    <cellStyle name="Normal 3 4 2 3 8 2 2" xfId="20040" xr:uid="{00000000-0005-0000-0000-0000C6120000}"/>
    <cellStyle name="Normal 3 4 2 3 8 2 3" xfId="12784" xr:uid="{00000000-0005-0000-0000-0000C7120000}"/>
    <cellStyle name="Normal 3 4 2 3 8 3" xfId="16412" xr:uid="{00000000-0005-0000-0000-0000C8120000}"/>
    <cellStyle name="Normal 3 4 2 3 8 4" xfId="9156" xr:uid="{00000000-0005-0000-0000-0000C9120000}"/>
    <cellStyle name="Normal 3 4 2 3 9" xfId="3714" xr:uid="{00000000-0005-0000-0000-0000CA120000}"/>
    <cellStyle name="Normal 3 4 2 3 9 2" xfId="18226" xr:uid="{00000000-0005-0000-0000-0000CB120000}"/>
    <cellStyle name="Normal 3 4 2 3 9 3" xfId="10970" xr:uid="{00000000-0005-0000-0000-0000CC120000}"/>
    <cellStyle name="Normal 3 4 2 4" xfId="215" xr:uid="{00000000-0005-0000-0000-0000CD120000}"/>
    <cellStyle name="Normal 3 4 2 4 2" xfId="345" xr:uid="{00000000-0005-0000-0000-0000CE120000}"/>
    <cellStyle name="Normal 3 4 2 4 2 2" xfId="691" xr:uid="{00000000-0005-0000-0000-0000CF120000}"/>
    <cellStyle name="Normal 3 4 2 4 2 2 2" xfId="1599" xr:uid="{00000000-0005-0000-0000-0000D0120000}"/>
    <cellStyle name="Normal 3 4 2 4 2 2 2 2" xfId="3413" xr:uid="{00000000-0005-0000-0000-0000D1120000}"/>
    <cellStyle name="Normal 3 4 2 4 2 2 2 2 2" xfId="7041" xr:uid="{00000000-0005-0000-0000-0000D2120000}"/>
    <cellStyle name="Normal 3 4 2 4 2 2 2 2 2 2" xfId="21553" xr:uid="{00000000-0005-0000-0000-0000D3120000}"/>
    <cellStyle name="Normal 3 4 2 4 2 2 2 2 2 3" xfId="14297" xr:uid="{00000000-0005-0000-0000-0000D4120000}"/>
    <cellStyle name="Normal 3 4 2 4 2 2 2 2 3" xfId="17925" xr:uid="{00000000-0005-0000-0000-0000D5120000}"/>
    <cellStyle name="Normal 3 4 2 4 2 2 2 2 4" xfId="10669" xr:uid="{00000000-0005-0000-0000-0000D6120000}"/>
    <cellStyle name="Normal 3 4 2 4 2 2 2 3" xfId="5227" xr:uid="{00000000-0005-0000-0000-0000D7120000}"/>
    <cellStyle name="Normal 3 4 2 4 2 2 2 3 2" xfId="19739" xr:uid="{00000000-0005-0000-0000-0000D8120000}"/>
    <cellStyle name="Normal 3 4 2 4 2 2 2 3 3" xfId="12483" xr:uid="{00000000-0005-0000-0000-0000D9120000}"/>
    <cellStyle name="Normal 3 4 2 4 2 2 2 4" xfId="16111" xr:uid="{00000000-0005-0000-0000-0000DA120000}"/>
    <cellStyle name="Normal 3 4 2 4 2 2 2 5" xfId="8855" xr:uid="{00000000-0005-0000-0000-0000DB120000}"/>
    <cellStyle name="Normal 3 4 2 4 2 2 3" xfId="2506" xr:uid="{00000000-0005-0000-0000-0000DC120000}"/>
    <cellStyle name="Normal 3 4 2 4 2 2 3 2" xfId="6134" xr:uid="{00000000-0005-0000-0000-0000DD120000}"/>
    <cellStyle name="Normal 3 4 2 4 2 2 3 2 2" xfId="20646" xr:uid="{00000000-0005-0000-0000-0000DE120000}"/>
    <cellStyle name="Normal 3 4 2 4 2 2 3 2 3" xfId="13390" xr:uid="{00000000-0005-0000-0000-0000DF120000}"/>
    <cellStyle name="Normal 3 4 2 4 2 2 3 3" xfId="17018" xr:uid="{00000000-0005-0000-0000-0000E0120000}"/>
    <cellStyle name="Normal 3 4 2 4 2 2 3 4" xfId="9762" xr:uid="{00000000-0005-0000-0000-0000E1120000}"/>
    <cellStyle name="Normal 3 4 2 4 2 2 4" xfId="4320" xr:uid="{00000000-0005-0000-0000-0000E2120000}"/>
    <cellStyle name="Normal 3 4 2 4 2 2 4 2" xfId="18832" xr:uid="{00000000-0005-0000-0000-0000E3120000}"/>
    <cellStyle name="Normal 3 4 2 4 2 2 4 3" xfId="11576" xr:uid="{00000000-0005-0000-0000-0000E4120000}"/>
    <cellStyle name="Normal 3 4 2 4 2 2 5" xfId="15204" xr:uid="{00000000-0005-0000-0000-0000E5120000}"/>
    <cellStyle name="Normal 3 4 2 4 2 2 6" xfId="7948" xr:uid="{00000000-0005-0000-0000-0000E6120000}"/>
    <cellStyle name="Normal 3 4 2 4 2 3" xfId="1253" xr:uid="{00000000-0005-0000-0000-0000E7120000}"/>
    <cellStyle name="Normal 3 4 2 4 2 3 2" xfId="3067" xr:uid="{00000000-0005-0000-0000-0000E8120000}"/>
    <cellStyle name="Normal 3 4 2 4 2 3 2 2" xfId="6695" xr:uid="{00000000-0005-0000-0000-0000E9120000}"/>
    <cellStyle name="Normal 3 4 2 4 2 3 2 2 2" xfId="21207" xr:uid="{00000000-0005-0000-0000-0000EA120000}"/>
    <cellStyle name="Normal 3 4 2 4 2 3 2 2 3" xfId="13951" xr:uid="{00000000-0005-0000-0000-0000EB120000}"/>
    <cellStyle name="Normal 3 4 2 4 2 3 2 3" xfId="17579" xr:uid="{00000000-0005-0000-0000-0000EC120000}"/>
    <cellStyle name="Normal 3 4 2 4 2 3 2 4" xfId="10323" xr:uid="{00000000-0005-0000-0000-0000ED120000}"/>
    <cellStyle name="Normal 3 4 2 4 2 3 3" xfId="4881" xr:uid="{00000000-0005-0000-0000-0000EE120000}"/>
    <cellStyle name="Normal 3 4 2 4 2 3 3 2" xfId="19393" xr:uid="{00000000-0005-0000-0000-0000EF120000}"/>
    <cellStyle name="Normal 3 4 2 4 2 3 3 3" xfId="12137" xr:uid="{00000000-0005-0000-0000-0000F0120000}"/>
    <cellStyle name="Normal 3 4 2 4 2 3 4" xfId="15765" xr:uid="{00000000-0005-0000-0000-0000F1120000}"/>
    <cellStyle name="Normal 3 4 2 4 2 3 5" xfId="8509" xr:uid="{00000000-0005-0000-0000-0000F2120000}"/>
    <cellStyle name="Normal 3 4 2 4 2 4" xfId="2160" xr:uid="{00000000-0005-0000-0000-0000F3120000}"/>
    <cellStyle name="Normal 3 4 2 4 2 4 2" xfId="5788" xr:uid="{00000000-0005-0000-0000-0000F4120000}"/>
    <cellStyle name="Normal 3 4 2 4 2 4 2 2" xfId="20300" xr:uid="{00000000-0005-0000-0000-0000F5120000}"/>
    <cellStyle name="Normal 3 4 2 4 2 4 2 3" xfId="13044" xr:uid="{00000000-0005-0000-0000-0000F6120000}"/>
    <cellStyle name="Normal 3 4 2 4 2 4 3" xfId="16672" xr:uid="{00000000-0005-0000-0000-0000F7120000}"/>
    <cellStyle name="Normal 3 4 2 4 2 4 4" xfId="9416" xr:uid="{00000000-0005-0000-0000-0000F8120000}"/>
    <cellStyle name="Normal 3 4 2 4 2 5" xfId="3974" xr:uid="{00000000-0005-0000-0000-0000F9120000}"/>
    <cellStyle name="Normal 3 4 2 4 2 5 2" xfId="18486" xr:uid="{00000000-0005-0000-0000-0000FA120000}"/>
    <cellStyle name="Normal 3 4 2 4 2 5 3" xfId="11230" xr:uid="{00000000-0005-0000-0000-0000FB120000}"/>
    <cellStyle name="Normal 3 4 2 4 2 6" xfId="14858" xr:uid="{00000000-0005-0000-0000-0000FC120000}"/>
    <cellStyle name="Normal 3 4 2 4 2 7" xfId="7602" xr:uid="{00000000-0005-0000-0000-0000FD120000}"/>
    <cellStyle name="Normal 3 4 2 4 3" xfId="821" xr:uid="{00000000-0005-0000-0000-0000FE120000}"/>
    <cellStyle name="Normal 3 4 2 4 3 2" xfId="1729" xr:uid="{00000000-0005-0000-0000-0000FF120000}"/>
    <cellStyle name="Normal 3 4 2 4 3 2 2" xfId="3543" xr:uid="{00000000-0005-0000-0000-000000130000}"/>
    <cellStyle name="Normal 3 4 2 4 3 2 2 2" xfId="7171" xr:uid="{00000000-0005-0000-0000-000001130000}"/>
    <cellStyle name="Normal 3 4 2 4 3 2 2 2 2" xfId="21683" xr:uid="{00000000-0005-0000-0000-000002130000}"/>
    <cellStyle name="Normal 3 4 2 4 3 2 2 2 3" xfId="14427" xr:uid="{00000000-0005-0000-0000-000003130000}"/>
    <cellStyle name="Normal 3 4 2 4 3 2 2 3" xfId="18055" xr:uid="{00000000-0005-0000-0000-000004130000}"/>
    <cellStyle name="Normal 3 4 2 4 3 2 2 4" xfId="10799" xr:uid="{00000000-0005-0000-0000-000005130000}"/>
    <cellStyle name="Normal 3 4 2 4 3 2 3" xfId="5357" xr:uid="{00000000-0005-0000-0000-000006130000}"/>
    <cellStyle name="Normal 3 4 2 4 3 2 3 2" xfId="19869" xr:uid="{00000000-0005-0000-0000-000007130000}"/>
    <cellStyle name="Normal 3 4 2 4 3 2 3 3" xfId="12613" xr:uid="{00000000-0005-0000-0000-000008130000}"/>
    <cellStyle name="Normal 3 4 2 4 3 2 4" xfId="16241" xr:uid="{00000000-0005-0000-0000-000009130000}"/>
    <cellStyle name="Normal 3 4 2 4 3 2 5" xfId="8985" xr:uid="{00000000-0005-0000-0000-00000A130000}"/>
    <cellStyle name="Normal 3 4 2 4 3 3" xfId="2636" xr:uid="{00000000-0005-0000-0000-00000B130000}"/>
    <cellStyle name="Normal 3 4 2 4 3 3 2" xfId="6264" xr:uid="{00000000-0005-0000-0000-00000C130000}"/>
    <cellStyle name="Normal 3 4 2 4 3 3 2 2" xfId="20776" xr:uid="{00000000-0005-0000-0000-00000D130000}"/>
    <cellStyle name="Normal 3 4 2 4 3 3 2 3" xfId="13520" xr:uid="{00000000-0005-0000-0000-00000E130000}"/>
    <cellStyle name="Normal 3 4 2 4 3 3 3" xfId="17148" xr:uid="{00000000-0005-0000-0000-00000F130000}"/>
    <cellStyle name="Normal 3 4 2 4 3 3 4" xfId="9892" xr:uid="{00000000-0005-0000-0000-000010130000}"/>
    <cellStyle name="Normal 3 4 2 4 3 4" xfId="4450" xr:uid="{00000000-0005-0000-0000-000011130000}"/>
    <cellStyle name="Normal 3 4 2 4 3 4 2" xfId="18962" xr:uid="{00000000-0005-0000-0000-000012130000}"/>
    <cellStyle name="Normal 3 4 2 4 3 4 3" xfId="11706" xr:uid="{00000000-0005-0000-0000-000013130000}"/>
    <cellStyle name="Normal 3 4 2 4 3 5" xfId="15334" xr:uid="{00000000-0005-0000-0000-000014130000}"/>
    <cellStyle name="Normal 3 4 2 4 3 6" xfId="8078" xr:uid="{00000000-0005-0000-0000-000015130000}"/>
    <cellStyle name="Normal 3 4 2 4 4" xfId="561" xr:uid="{00000000-0005-0000-0000-000016130000}"/>
    <cellStyle name="Normal 3 4 2 4 4 2" xfId="1469" xr:uid="{00000000-0005-0000-0000-000017130000}"/>
    <cellStyle name="Normal 3 4 2 4 4 2 2" xfId="3283" xr:uid="{00000000-0005-0000-0000-000018130000}"/>
    <cellStyle name="Normal 3 4 2 4 4 2 2 2" xfId="6911" xr:uid="{00000000-0005-0000-0000-000019130000}"/>
    <cellStyle name="Normal 3 4 2 4 4 2 2 2 2" xfId="21423" xr:uid="{00000000-0005-0000-0000-00001A130000}"/>
    <cellStyle name="Normal 3 4 2 4 4 2 2 2 3" xfId="14167" xr:uid="{00000000-0005-0000-0000-00001B130000}"/>
    <cellStyle name="Normal 3 4 2 4 4 2 2 3" xfId="17795" xr:uid="{00000000-0005-0000-0000-00001C130000}"/>
    <cellStyle name="Normal 3 4 2 4 4 2 2 4" xfId="10539" xr:uid="{00000000-0005-0000-0000-00001D130000}"/>
    <cellStyle name="Normal 3 4 2 4 4 2 3" xfId="5097" xr:uid="{00000000-0005-0000-0000-00001E130000}"/>
    <cellStyle name="Normal 3 4 2 4 4 2 3 2" xfId="19609" xr:uid="{00000000-0005-0000-0000-00001F130000}"/>
    <cellStyle name="Normal 3 4 2 4 4 2 3 3" xfId="12353" xr:uid="{00000000-0005-0000-0000-000020130000}"/>
    <cellStyle name="Normal 3 4 2 4 4 2 4" xfId="15981" xr:uid="{00000000-0005-0000-0000-000021130000}"/>
    <cellStyle name="Normal 3 4 2 4 4 2 5" xfId="8725" xr:uid="{00000000-0005-0000-0000-000022130000}"/>
    <cellStyle name="Normal 3 4 2 4 4 3" xfId="2376" xr:uid="{00000000-0005-0000-0000-000023130000}"/>
    <cellStyle name="Normal 3 4 2 4 4 3 2" xfId="6004" xr:uid="{00000000-0005-0000-0000-000024130000}"/>
    <cellStyle name="Normal 3 4 2 4 4 3 2 2" xfId="20516" xr:uid="{00000000-0005-0000-0000-000025130000}"/>
    <cellStyle name="Normal 3 4 2 4 4 3 2 3" xfId="13260" xr:uid="{00000000-0005-0000-0000-000026130000}"/>
    <cellStyle name="Normal 3 4 2 4 4 3 3" xfId="16888" xr:uid="{00000000-0005-0000-0000-000027130000}"/>
    <cellStyle name="Normal 3 4 2 4 4 3 4" xfId="9632" xr:uid="{00000000-0005-0000-0000-000028130000}"/>
    <cellStyle name="Normal 3 4 2 4 4 4" xfId="4190" xr:uid="{00000000-0005-0000-0000-000029130000}"/>
    <cellStyle name="Normal 3 4 2 4 4 4 2" xfId="18702" xr:uid="{00000000-0005-0000-0000-00002A130000}"/>
    <cellStyle name="Normal 3 4 2 4 4 4 3" xfId="11446" xr:uid="{00000000-0005-0000-0000-00002B130000}"/>
    <cellStyle name="Normal 3 4 2 4 4 5" xfId="15074" xr:uid="{00000000-0005-0000-0000-00002C130000}"/>
    <cellStyle name="Normal 3 4 2 4 4 6" xfId="7818" xr:uid="{00000000-0005-0000-0000-00002D130000}"/>
    <cellStyle name="Normal 3 4 2 4 5" xfId="1123" xr:uid="{00000000-0005-0000-0000-00002E130000}"/>
    <cellStyle name="Normal 3 4 2 4 5 2" xfId="2937" xr:uid="{00000000-0005-0000-0000-00002F130000}"/>
    <cellStyle name="Normal 3 4 2 4 5 2 2" xfId="6565" xr:uid="{00000000-0005-0000-0000-000030130000}"/>
    <cellStyle name="Normal 3 4 2 4 5 2 2 2" xfId="21077" xr:uid="{00000000-0005-0000-0000-000031130000}"/>
    <cellStyle name="Normal 3 4 2 4 5 2 2 3" xfId="13821" xr:uid="{00000000-0005-0000-0000-000032130000}"/>
    <cellStyle name="Normal 3 4 2 4 5 2 3" xfId="17449" xr:uid="{00000000-0005-0000-0000-000033130000}"/>
    <cellStyle name="Normal 3 4 2 4 5 2 4" xfId="10193" xr:uid="{00000000-0005-0000-0000-000034130000}"/>
    <cellStyle name="Normal 3 4 2 4 5 3" xfId="4751" xr:uid="{00000000-0005-0000-0000-000035130000}"/>
    <cellStyle name="Normal 3 4 2 4 5 3 2" xfId="19263" xr:uid="{00000000-0005-0000-0000-000036130000}"/>
    <cellStyle name="Normal 3 4 2 4 5 3 3" xfId="12007" xr:uid="{00000000-0005-0000-0000-000037130000}"/>
    <cellStyle name="Normal 3 4 2 4 5 4" xfId="15635" xr:uid="{00000000-0005-0000-0000-000038130000}"/>
    <cellStyle name="Normal 3 4 2 4 5 5" xfId="8379" xr:uid="{00000000-0005-0000-0000-000039130000}"/>
    <cellStyle name="Normal 3 4 2 4 6" xfId="2030" xr:uid="{00000000-0005-0000-0000-00003A130000}"/>
    <cellStyle name="Normal 3 4 2 4 6 2" xfId="5658" xr:uid="{00000000-0005-0000-0000-00003B130000}"/>
    <cellStyle name="Normal 3 4 2 4 6 2 2" xfId="20170" xr:uid="{00000000-0005-0000-0000-00003C130000}"/>
    <cellStyle name="Normal 3 4 2 4 6 2 3" xfId="12914" xr:uid="{00000000-0005-0000-0000-00003D130000}"/>
    <cellStyle name="Normal 3 4 2 4 6 3" xfId="16542" xr:uid="{00000000-0005-0000-0000-00003E130000}"/>
    <cellStyle name="Normal 3 4 2 4 6 4" xfId="9286" xr:uid="{00000000-0005-0000-0000-00003F130000}"/>
    <cellStyle name="Normal 3 4 2 4 7" xfId="3844" xr:uid="{00000000-0005-0000-0000-000040130000}"/>
    <cellStyle name="Normal 3 4 2 4 7 2" xfId="18356" xr:uid="{00000000-0005-0000-0000-000041130000}"/>
    <cellStyle name="Normal 3 4 2 4 7 3" xfId="11100" xr:uid="{00000000-0005-0000-0000-000042130000}"/>
    <cellStyle name="Normal 3 4 2 4 8" xfId="14728" xr:uid="{00000000-0005-0000-0000-000043130000}"/>
    <cellStyle name="Normal 3 4 2 4 9" xfId="7472" xr:uid="{00000000-0005-0000-0000-000044130000}"/>
    <cellStyle name="Normal 3 4 2 5" xfId="129" xr:uid="{00000000-0005-0000-0000-000045130000}"/>
    <cellStyle name="Normal 3 4 2 5 2" xfId="475" xr:uid="{00000000-0005-0000-0000-000046130000}"/>
    <cellStyle name="Normal 3 4 2 5 2 2" xfId="1383" xr:uid="{00000000-0005-0000-0000-000047130000}"/>
    <cellStyle name="Normal 3 4 2 5 2 2 2" xfId="3197" xr:uid="{00000000-0005-0000-0000-000048130000}"/>
    <cellStyle name="Normal 3 4 2 5 2 2 2 2" xfId="6825" xr:uid="{00000000-0005-0000-0000-000049130000}"/>
    <cellStyle name="Normal 3 4 2 5 2 2 2 2 2" xfId="21337" xr:uid="{00000000-0005-0000-0000-00004A130000}"/>
    <cellStyle name="Normal 3 4 2 5 2 2 2 2 3" xfId="14081" xr:uid="{00000000-0005-0000-0000-00004B130000}"/>
    <cellStyle name="Normal 3 4 2 5 2 2 2 3" xfId="17709" xr:uid="{00000000-0005-0000-0000-00004C130000}"/>
    <cellStyle name="Normal 3 4 2 5 2 2 2 4" xfId="10453" xr:uid="{00000000-0005-0000-0000-00004D130000}"/>
    <cellStyle name="Normal 3 4 2 5 2 2 3" xfId="5011" xr:uid="{00000000-0005-0000-0000-00004E130000}"/>
    <cellStyle name="Normal 3 4 2 5 2 2 3 2" xfId="19523" xr:uid="{00000000-0005-0000-0000-00004F130000}"/>
    <cellStyle name="Normal 3 4 2 5 2 2 3 3" xfId="12267" xr:uid="{00000000-0005-0000-0000-000050130000}"/>
    <cellStyle name="Normal 3 4 2 5 2 2 4" xfId="15895" xr:uid="{00000000-0005-0000-0000-000051130000}"/>
    <cellStyle name="Normal 3 4 2 5 2 2 5" xfId="8639" xr:uid="{00000000-0005-0000-0000-000052130000}"/>
    <cellStyle name="Normal 3 4 2 5 2 3" xfId="2290" xr:uid="{00000000-0005-0000-0000-000053130000}"/>
    <cellStyle name="Normal 3 4 2 5 2 3 2" xfId="5918" xr:uid="{00000000-0005-0000-0000-000054130000}"/>
    <cellStyle name="Normal 3 4 2 5 2 3 2 2" xfId="20430" xr:uid="{00000000-0005-0000-0000-000055130000}"/>
    <cellStyle name="Normal 3 4 2 5 2 3 2 3" xfId="13174" xr:uid="{00000000-0005-0000-0000-000056130000}"/>
    <cellStyle name="Normal 3 4 2 5 2 3 3" xfId="16802" xr:uid="{00000000-0005-0000-0000-000057130000}"/>
    <cellStyle name="Normal 3 4 2 5 2 3 4" xfId="9546" xr:uid="{00000000-0005-0000-0000-000058130000}"/>
    <cellStyle name="Normal 3 4 2 5 2 4" xfId="4104" xr:uid="{00000000-0005-0000-0000-000059130000}"/>
    <cellStyle name="Normal 3 4 2 5 2 4 2" xfId="18616" xr:uid="{00000000-0005-0000-0000-00005A130000}"/>
    <cellStyle name="Normal 3 4 2 5 2 4 3" xfId="11360" xr:uid="{00000000-0005-0000-0000-00005B130000}"/>
    <cellStyle name="Normal 3 4 2 5 2 5" xfId="14988" xr:uid="{00000000-0005-0000-0000-00005C130000}"/>
    <cellStyle name="Normal 3 4 2 5 2 6" xfId="7732" xr:uid="{00000000-0005-0000-0000-00005D130000}"/>
    <cellStyle name="Normal 3 4 2 5 3" xfId="1037" xr:uid="{00000000-0005-0000-0000-00005E130000}"/>
    <cellStyle name="Normal 3 4 2 5 3 2" xfId="2851" xr:uid="{00000000-0005-0000-0000-00005F130000}"/>
    <cellStyle name="Normal 3 4 2 5 3 2 2" xfId="6479" xr:uid="{00000000-0005-0000-0000-000060130000}"/>
    <cellStyle name="Normal 3 4 2 5 3 2 2 2" xfId="20991" xr:uid="{00000000-0005-0000-0000-000061130000}"/>
    <cellStyle name="Normal 3 4 2 5 3 2 2 3" xfId="13735" xr:uid="{00000000-0005-0000-0000-000062130000}"/>
    <cellStyle name="Normal 3 4 2 5 3 2 3" xfId="17363" xr:uid="{00000000-0005-0000-0000-000063130000}"/>
    <cellStyle name="Normal 3 4 2 5 3 2 4" xfId="10107" xr:uid="{00000000-0005-0000-0000-000064130000}"/>
    <cellStyle name="Normal 3 4 2 5 3 3" xfId="4665" xr:uid="{00000000-0005-0000-0000-000065130000}"/>
    <cellStyle name="Normal 3 4 2 5 3 3 2" xfId="19177" xr:uid="{00000000-0005-0000-0000-000066130000}"/>
    <cellStyle name="Normal 3 4 2 5 3 3 3" xfId="11921" xr:uid="{00000000-0005-0000-0000-000067130000}"/>
    <cellStyle name="Normal 3 4 2 5 3 4" xfId="15549" xr:uid="{00000000-0005-0000-0000-000068130000}"/>
    <cellStyle name="Normal 3 4 2 5 3 5" xfId="8293" xr:uid="{00000000-0005-0000-0000-000069130000}"/>
    <cellStyle name="Normal 3 4 2 5 4" xfId="1944" xr:uid="{00000000-0005-0000-0000-00006A130000}"/>
    <cellStyle name="Normal 3 4 2 5 4 2" xfId="5572" xr:uid="{00000000-0005-0000-0000-00006B130000}"/>
    <cellStyle name="Normal 3 4 2 5 4 2 2" xfId="20084" xr:uid="{00000000-0005-0000-0000-00006C130000}"/>
    <cellStyle name="Normal 3 4 2 5 4 2 3" xfId="12828" xr:uid="{00000000-0005-0000-0000-00006D130000}"/>
    <cellStyle name="Normal 3 4 2 5 4 3" xfId="16456" xr:uid="{00000000-0005-0000-0000-00006E130000}"/>
    <cellStyle name="Normal 3 4 2 5 4 4" xfId="9200" xr:uid="{00000000-0005-0000-0000-00006F130000}"/>
    <cellStyle name="Normal 3 4 2 5 5" xfId="3758" xr:uid="{00000000-0005-0000-0000-000070130000}"/>
    <cellStyle name="Normal 3 4 2 5 5 2" xfId="18270" xr:uid="{00000000-0005-0000-0000-000071130000}"/>
    <cellStyle name="Normal 3 4 2 5 5 3" xfId="11014" xr:uid="{00000000-0005-0000-0000-000072130000}"/>
    <cellStyle name="Normal 3 4 2 5 6" xfId="14642" xr:uid="{00000000-0005-0000-0000-000073130000}"/>
    <cellStyle name="Normal 3 4 2 5 7" xfId="7386" xr:uid="{00000000-0005-0000-0000-000074130000}"/>
    <cellStyle name="Normal 3 4 2 6" xfId="259" xr:uid="{00000000-0005-0000-0000-000075130000}"/>
    <cellStyle name="Normal 3 4 2 6 2" xfId="605" xr:uid="{00000000-0005-0000-0000-000076130000}"/>
    <cellStyle name="Normal 3 4 2 6 2 2" xfId="1513" xr:uid="{00000000-0005-0000-0000-000077130000}"/>
    <cellStyle name="Normal 3 4 2 6 2 2 2" xfId="3327" xr:uid="{00000000-0005-0000-0000-000078130000}"/>
    <cellStyle name="Normal 3 4 2 6 2 2 2 2" xfId="6955" xr:uid="{00000000-0005-0000-0000-000079130000}"/>
    <cellStyle name="Normal 3 4 2 6 2 2 2 2 2" xfId="21467" xr:uid="{00000000-0005-0000-0000-00007A130000}"/>
    <cellStyle name="Normal 3 4 2 6 2 2 2 2 3" xfId="14211" xr:uid="{00000000-0005-0000-0000-00007B130000}"/>
    <cellStyle name="Normal 3 4 2 6 2 2 2 3" xfId="17839" xr:uid="{00000000-0005-0000-0000-00007C130000}"/>
    <cellStyle name="Normal 3 4 2 6 2 2 2 4" xfId="10583" xr:uid="{00000000-0005-0000-0000-00007D130000}"/>
    <cellStyle name="Normal 3 4 2 6 2 2 3" xfId="5141" xr:uid="{00000000-0005-0000-0000-00007E130000}"/>
    <cellStyle name="Normal 3 4 2 6 2 2 3 2" xfId="19653" xr:uid="{00000000-0005-0000-0000-00007F130000}"/>
    <cellStyle name="Normal 3 4 2 6 2 2 3 3" xfId="12397" xr:uid="{00000000-0005-0000-0000-000080130000}"/>
    <cellStyle name="Normal 3 4 2 6 2 2 4" xfId="16025" xr:uid="{00000000-0005-0000-0000-000081130000}"/>
    <cellStyle name="Normal 3 4 2 6 2 2 5" xfId="8769" xr:uid="{00000000-0005-0000-0000-000082130000}"/>
    <cellStyle name="Normal 3 4 2 6 2 3" xfId="2420" xr:uid="{00000000-0005-0000-0000-000083130000}"/>
    <cellStyle name="Normal 3 4 2 6 2 3 2" xfId="6048" xr:uid="{00000000-0005-0000-0000-000084130000}"/>
    <cellStyle name="Normal 3 4 2 6 2 3 2 2" xfId="20560" xr:uid="{00000000-0005-0000-0000-000085130000}"/>
    <cellStyle name="Normal 3 4 2 6 2 3 2 3" xfId="13304" xr:uid="{00000000-0005-0000-0000-000086130000}"/>
    <cellStyle name="Normal 3 4 2 6 2 3 3" xfId="16932" xr:uid="{00000000-0005-0000-0000-000087130000}"/>
    <cellStyle name="Normal 3 4 2 6 2 3 4" xfId="9676" xr:uid="{00000000-0005-0000-0000-000088130000}"/>
    <cellStyle name="Normal 3 4 2 6 2 4" xfId="4234" xr:uid="{00000000-0005-0000-0000-000089130000}"/>
    <cellStyle name="Normal 3 4 2 6 2 4 2" xfId="18746" xr:uid="{00000000-0005-0000-0000-00008A130000}"/>
    <cellStyle name="Normal 3 4 2 6 2 4 3" xfId="11490" xr:uid="{00000000-0005-0000-0000-00008B130000}"/>
    <cellStyle name="Normal 3 4 2 6 2 5" xfId="15118" xr:uid="{00000000-0005-0000-0000-00008C130000}"/>
    <cellStyle name="Normal 3 4 2 6 2 6" xfId="7862" xr:uid="{00000000-0005-0000-0000-00008D130000}"/>
    <cellStyle name="Normal 3 4 2 6 3" xfId="1167" xr:uid="{00000000-0005-0000-0000-00008E130000}"/>
    <cellStyle name="Normal 3 4 2 6 3 2" xfId="2981" xr:uid="{00000000-0005-0000-0000-00008F130000}"/>
    <cellStyle name="Normal 3 4 2 6 3 2 2" xfId="6609" xr:uid="{00000000-0005-0000-0000-000090130000}"/>
    <cellStyle name="Normal 3 4 2 6 3 2 2 2" xfId="21121" xr:uid="{00000000-0005-0000-0000-000091130000}"/>
    <cellStyle name="Normal 3 4 2 6 3 2 2 3" xfId="13865" xr:uid="{00000000-0005-0000-0000-000092130000}"/>
    <cellStyle name="Normal 3 4 2 6 3 2 3" xfId="17493" xr:uid="{00000000-0005-0000-0000-000093130000}"/>
    <cellStyle name="Normal 3 4 2 6 3 2 4" xfId="10237" xr:uid="{00000000-0005-0000-0000-000094130000}"/>
    <cellStyle name="Normal 3 4 2 6 3 3" xfId="4795" xr:uid="{00000000-0005-0000-0000-000095130000}"/>
    <cellStyle name="Normal 3 4 2 6 3 3 2" xfId="19307" xr:uid="{00000000-0005-0000-0000-000096130000}"/>
    <cellStyle name="Normal 3 4 2 6 3 3 3" xfId="12051" xr:uid="{00000000-0005-0000-0000-000097130000}"/>
    <cellStyle name="Normal 3 4 2 6 3 4" xfId="15679" xr:uid="{00000000-0005-0000-0000-000098130000}"/>
    <cellStyle name="Normal 3 4 2 6 3 5" xfId="8423" xr:uid="{00000000-0005-0000-0000-000099130000}"/>
    <cellStyle name="Normal 3 4 2 6 4" xfId="2074" xr:uid="{00000000-0005-0000-0000-00009A130000}"/>
    <cellStyle name="Normal 3 4 2 6 4 2" xfId="5702" xr:uid="{00000000-0005-0000-0000-00009B130000}"/>
    <cellStyle name="Normal 3 4 2 6 4 2 2" xfId="20214" xr:uid="{00000000-0005-0000-0000-00009C130000}"/>
    <cellStyle name="Normal 3 4 2 6 4 2 3" xfId="12958" xr:uid="{00000000-0005-0000-0000-00009D130000}"/>
    <cellStyle name="Normal 3 4 2 6 4 3" xfId="16586" xr:uid="{00000000-0005-0000-0000-00009E130000}"/>
    <cellStyle name="Normal 3 4 2 6 4 4" xfId="9330" xr:uid="{00000000-0005-0000-0000-00009F130000}"/>
    <cellStyle name="Normal 3 4 2 6 5" xfId="3888" xr:uid="{00000000-0005-0000-0000-0000A0130000}"/>
    <cellStyle name="Normal 3 4 2 6 5 2" xfId="18400" xr:uid="{00000000-0005-0000-0000-0000A1130000}"/>
    <cellStyle name="Normal 3 4 2 6 5 3" xfId="11144" xr:uid="{00000000-0005-0000-0000-0000A2130000}"/>
    <cellStyle name="Normal 3 4 2 6 6" xfId="14772" xr:uid="{00000000-0005-0000-0000-0000A3130000}"/>
    <cellStyle name="Normal 3 4 2 6 7" xfId="7516" xr:uid="{00000000-0005-0000-0000-0000A4130000}"/>
    <cellStyle name="Normal 3 4 2 7" xfId="735" xr:uid="{00000000-0005-0000-0000-0000A5130000}"/>
    <cellStyle name="Normal 3 4 2 7 2" xfId="1643" xr:uid="{00000000-0005-0000-0000-0000A6130000}"/>
    <cellStyle name="Normal 3 4 2 7 2 2" xfId="3457" xr:uid="{00000000-0005-0000-0000-0000A7130000}"/>
    <cellStyle name="Normal 3 4 2 7 2 2 2" xfId="7085" xr:uid="{00000000-0005-0000-0000-0000A8130000}"/>
    <cellStyle name="Normal 3 4 2 7 2 2 2 2" xfId="21597" xr:uid="{00000000-0005-0000-0000-0000A9130000}"/>
    <cellStyle name="Normal 3 4 2 7 2 2 2 3" xfId="14341" xr:uid="{00000000-0005-0000-0000-0000AA130000}"/>
    <cellStyle name="Normal 3 4 2 7 2 2 3" xfId="17969" xr:uid="{00000000-0005-0000-0000-0000AB130000}"/>
    <cellStyle name="Normal 3 4 2 7 2 2 4" xfId="10713" xr:uid="{00000000-0005-0000-0000-0000AC130000}"/>
    <cellStyle name="Normal 3 4 2 7 2 3" xfId="5271" xr:uid="{00000000-0005-0000-0000-0000AD130000}"/>
    <cellStyle name="Normal 3 4 2 7 2 3 2" xfId="19783" xr:uid="{00000000-0005-0000-0000-0000AE130000}"/>
    <cellStyle name="Normal 3 4 2 7 2 3 3" xfId="12527" xr:uid="{00000000-0005-0000-0000-0000AF130000}"/>
    <cellStyle name="Normal 3 4 2 7 2 4" xfId="16155" xr:uid="{00000000-0005-0000-0000-0000B0130000}"/>
    <cellStyle name="Normal 3 4 2 7 2 5" xfId="8899" xr:uid="{00000000-0005-0000-0000-0000B1130000}"/>
    <cellStyle name="Normal 3 4 2 7 3" xfId="2550" xr:uid="{00000000-0005-0000-0000-0000B2130000}"/>
    <cellStyle name="Normal 3 4 2 7 3 2" xfId="6178" xr:uid="{00000000-0005-0000-0000-0000B3130000}"/>
    <cellStyle name="Normal 3 4 2 7 3 2 2" xfId="20690" xr:uid="{00000000-0005-0000-0000-0000B4130000}"/>
    <cellStyle name="Normal 3 4 2 7 3 2 3" xfId="13434" xr:uid="{00000000-0005-0000-0000-0000B5130000}"/>
    <cellStyle name="Normal 3 4 2 7 3 3" xfId="17062" xr:uid="{00000000-0005-0000-0000-0000B6130000}"/>
    <cellStyle name="Normal 3 4 2 7 3 4" xfId="9806" xr:uid="{00000000-0005-0000-0000-0000B7130000}"/>
    <cellStyle name="Normal 3 4 2 7 4" xfId="4364" xr:uid="{00000000-0005-0000-0000-0000B8130000}"/>
    <cellStyle name="Normal 3 4 2 7 4 2" xfId="18876" xr:uid="{00000000-0005-0000-0000-0000B9130000}"/>
    <cellStyle name="Normal 3 4 2 7 4 3" xfId="11620" xr:uid="{00000000-0005-0000-0000-0000BA130000}"/>
    <cellStyle name="Normal 3 4 2 7 5" xfId="15248" xr:uid="{00000000-0005-0000-0000-0000BB130000}"/>
    <cellStyle name="Normal 3 4 2 7 6" xfId="7992" xr:uid="{00000000-0005-0000-0000-0000BC130000}"/>
    <cellStyle name="Normal 3 4 2 8" xfId="389" xr:uid="{00000000-0005-0000-0000-0000BD130000}"/>
    <cellStyle name="Normal 3 4 2 8 2" xfId="1297" xr:uid="{00000000-0005-0000-0000-0000BE130000}"/>
    <cellStyle name="Normal 3 4 2 8 2 2" xfId="3111" xr:uid="{00000000-0005-0000-0000-0000BF130000}"/>
    <cellStyle name="Normal 3 4 2 8 2 2 2" xfId="6739" xr:uid="{00000000-0005-0000-0000-0000C0130000}"/>
    <cellStyle name="Normal 3 4 2 8 2 2 2 2" xfId="21251" xr:uid="{00000000-0005-0000-0000-0000C1130000}"/>
    <cellStyle name="Normal 3 4 2 8 2 2 2 3" xfId="13995" xr:uid="{00000000-0005-0000-0000-0000C2130000}"/>
    <cellStyle name="Normal 3 4 2 8 2 2 3" xfId="17623" xr:uid="{00000000-0005-0000-0000-0000C3130000}"/>
    <cellStyle name="Normal 3 4 2 8 2 2 4" xfId="10367" xr:uid="{00000000-0005-0000-0000-0000C4130000}"/>
    <cellStyle name="Normal 3 4 2 8 2 3" xfId="4925" xr:uid="{00000000-0005-0000-0000-0000C5130000}"/>
    <cellStyle name="Normal 3 4 2 8 2 3 2" xfId="19437" xr:uid="{00000000-0005-0000-0000-0000C6130000}"/>
    <cellStyle name="Normal 3 4 2 8 2 3 3" xfId="12181" xr:uid="{00000000-0005-0000-0000-0000C7130000}"/>
    <cellStyle name="Normal 3 4 2 8 2 4" xfId="15809" xr:uid="{00000000-0005-0000-0000-0000C8130000}"/>
    <cellStyle name="Normal 3 4 2 8 2 5" xfId="8553" xr:uid="{00000000-0005-0000-0000-0000C9130000}"/>
    <cellStyle name="Normal 3 4 2 8 3" xfId="2204" xr:uid="{00000000-0005-0000-0000-0000CA130000}"/>
    <cellStyle name="Normal 3 4 2 8 3 2" xfId="5832" xr:uid="{00000000-0005-0000-0000-0000CB130000}"/>
    <cellStyle name="Normal 3 4 2 8 3 2 2" xfId="20344" xr:uid="{00000000-0005-0000-0000-0000CC130000}"/>
    <cellStyle name="Normal 3 4 2 8 3 2 3" xfId="13088" xr:uid="{00000000-0005-0000-0000-0000CD130000}"/>
    <cellStyle name="Normal 3 4 2 8 3 3" xfId="16716" xr:uid="{00000000-0005-0000-0000-0000CE130000}"/>
    <cellStyle name="Normal 3 4 2 8 3 4" xfId="9460" xr:uid="{00000000-0005-0000-0000-0000CF130000}"/>
    <cellStyle name="Normal 3 4 2 8 4" xfId="4018" xr:uid="{00000000-0005-0000-0000-0000D0130000}"/>
    <cellStyle name="Normal 3 4 2 8 4 2" xfId="18530" xr:uid="{00000000-0005-0000-0000-0000D1130000}"/>
    <cellStyle name="Normal 3 4 2 8 4 3" xfId="11274" xr:uid="{00000000-0005-0000-0000-0000D2130000}"/>
    <cellStyle name="Normal 3 4 2 8 5" xfId="14902" xr:uid="{00000000-0005-0000-0000-0000D3130000}"/>
    <cellStyle name="Normal 3 4 2 8 6" xfId="7646" xr:uid="{00000000-0005-0000-0000-0000D4130000}"/>
    <cellStyle name="Normal 3 4 2 9" xfId="865" xr:uid="{00000000-0005-0000-0000-0000D5130000}"/>
    <cellStyle name="Normal 3 4 2 9 2" xfId="1773" xr:uid="{00000000-0005-0000-0000-0000D6130000}"/>
    <cellStyle name="Normal 3 4 2 9 2 2" xfId="3587" xr:uid="{00000000-0005-0000-0000-0000D7130000}"/>
    <cellStyle name="Normal 3 4 2 9 2 2 2" xfId="7215" xr:uid="{00000000-0005-0000-0000-0000D8130000}"/>
    <cellStyle name="Normal 3 4 2 9 2 2 2 2" xfId="21727" xr:uid="{00000000-0005-0000-0000-0000D9130000}"/>
    <cellStyle name="Normal 3 4 2 9 2 2 2 3" xfId="14471" xr:uid="{00000000-0005-0000-0000-0000DA130000}"/>
    <cellStyle name="Normal 3 4 2 9 2 2 3" xfId="18099" xr:uid="{00000000-0005-0000-0000-0000DB130000}"/>
    <cellStyle name="Normal 3 4 2 9 2 2 4" xfId="10843" xr:uid="{00000000-0005-0000-0000-0000DC130000}"/>
    <cellStyle name="Normal 3 4 2 9 2 3" xfId="5401" xr:uid="{00000000-0005-0000-0000-0000DD130000}"/>
    <cellStyle name="Normal 3 4 2 9 2 3 2" xfId="19913" xr:uid="{00000000-0005-0000-0000-0000DE130000}"/>
    <cellStyle name="Normal 3 4 2 9 2 3 3" xfId="12657" xr:uid="{00000000-0005-0000-0000-0000DF130000}"/>
    <cellStyle name="Normal 3 4 2 9 2 4" xfId="16285" xr:uid="{00000000-0005-0000-0000-0000E0130000}"/>
    <cellStyle name="Normal 3 4 2 9 2 5" xfId="9029" xr:uid="{00000000-0005-0000-0000-0000E1130000}"/>
    <cellStyle name="Normal 3 4 2 9 3" xfId="2680" xr:uid="{00000000-0005-0000-0000-0000E2130000}"/>
    <cellStyle name="Normal 3 4 2 9 3 2" xfId="6308" xr:uid="{00000000-0005-0000-0000-0000E3130000}"/>
    <cellStyle name="Normal 3 4 2 9 3 2 2" xfId="20820" xr:uid="{00000000-0005-0000-0000-0000E4130000}"/>
    <cellStyle name="Normal 3 4 2 9 3 2 3" xfId="13564" xr:uid="{00000000-0005-0000-0000-0000E5130000}"/>
    <cellStyle name="Normal 3 4 2 9 3 3" xfId="17192" xr:uid="{00000000-0005-0000-0000-0000E6130000}"/>
    <cellStyle name="Normal 3 4 2 9 3 4" xfId="9936" xr:uid="{00000000-0005-0000-0000-0000E7130000}"/>
    <cellStyle name="Normal 3 4 2 9 4" xfId="4494" xr:uid="{00000000-0005-0000-0000-0000E8130000}"/>
    <cellStyle name="Normal 3 4 2 9 4 2" xfId="19006" xr:uid="{00000000-0005-0000-0000-0000E9130000}"/>
    <cellStyle name="Normal 3 4 2 9 4 3" xfId="11750" xr:uid="{00000000-0005-0000-0000-0000EA130000}"/>
    <cellStyle name="Normal 3 4 2 9 5" xfId="15378" xr:uid="{00000000-0005-0000-0000-0000EB130000}"/>
    <cellStyle name="Normal 3 4 2 9 6" xfId="8122" xr:uid="{00000000-0005-0000-0000-0000EC130000}"/>
    <cellStyle name="Normal 3 4 3" xfId="52" xr:uid="{00000000-0005-0000-0000-0000ED130000}"/>
    <cellStyle name="Normal 3 4 3 10" xfId="1869" xr:uid="{00000000-0005-0000-0000-0000EE130000}"/>
    <cellStyle name="Normal 3 4 3 10 2" xfId="5497" xr:uid="{00000000-0005-0000-0000-0000EF130000}"/>
    <cellStyle name="Normal 3 4 3 10 2 2" xfId="20009" xr:uid="{00000000-0005-0000-0000-0000F0130000}"/>
    <cellStyle name="Normal 3 4 3 10 2 3" xfId="12753" xr:uid="{00000000-0005-0000-0000-0000F1130000}"/>
    <cellStyle name="Normal 3 4 3 10 3" xfId="16381" xr:uid="{00000000-0005-0000-0000-0000F2130000}"/>
    <cellStyle name="Normal 3 4 3 10 4" xfId="9125" xr:uid="{00000000-0005-0000-0000-0000F3130000}"/>
    <cellStyle name="Normal 3 4 3 11" xfId="3683" xr:uid="{00000000-0005-0000-0000-0000F4130000}"/>
    <cellStyle name="Normal 3 4 3 11 2" xfId="18195" xr:uid="{00000000-0005-0000-0000-0000F5130000}"/>
    <cellStyle name="Normal 3 4 3 11 3" xfId="10939" xr:uid="{00000000-0005-0000-0000-0000F6130000}"/>
    <cellStyle name="Normal 3 4 3 12" xfId="14567" xr:uid="{00000000-0005-0000-0000-0000F7130000}"/>
    <cellStyle name="Normal 3 4 3 13" xfId="7311" xr:uid="{00000000-0005-0000-0000-0000F8130000}"/>
    <cellStyle name="Normal 3 4 3 2" xfId="94" xr:uid="{00000000-0005-0000-0000-0000F9130000}"/>
    <cellStyle name="Normal 3 4 3 2 10" xfId="14609" xr:uid="{00000000-0005-0000-0000-0000FA130000}"/>
    <cellStyle name="Normal 3 4 3 2 11" xfId="7353" xr:uid="{00000000-0005-0000-0000-0000FB130000}"/>
    <cellStyle name="Normal 3 4 3 2 2" xfId="182" xr:uid="{00000000-0005-0000-0000-0000FC130000}"/>
    <cellStyle name="Normal 3 4 3 2 2 2" xfId="528" xr:uid="{00000000-0005-0000-0000-0000FD130000}"/>
    <cellStyle name="Normal 3 4 3 2 2 2 2" xfId="1436" xr:uid="{00000000-0005-0000-0000-0000FE130000}"/>
    <cellStyle name="Normal 3 4 3 2 2 2 2 2" xfId="3250" xr:uid="{00000000-0005-0000-0000-0000FF130000}"/>
    <cellStyle name="Normal 3 4 3 2 2 2 2 2 2" xfId="6878" xr:uid="{00000000-0005-0000-0000-000000140000}"/>
    <cellStyle name="Normal 3 4 3 2 2 2 2 2 2 2" xfId="21390" xr:uid="{00000000-0005-0000-0000-000001140000}"/>
    <cellStyle name="Normal 3 4 3 2 2 2 2 2 2 3" xfId="14134" xr:uid="{00000000-0005-0000-0000-000002140000}"/>
    <cellStyle name="Normal 3 4 3 2 2 2 2 2 3" xfId="17762" xr:uid="{00000000-0005-0000-0000-000003140000}"/>
    <cellStyle name="Normal 3 4 3 2 2 2 2 2 4" xfId="10506" xr:uid="{00000000-0005-0000-0000-000004140000}"/>
    <cellStyle name="Normal 3 4 3 2 2 2 2 3" xfId="5064" xr:uid="{00000000-0005-0000-0000-000005140000}"/>
    <cellStyle name="Normal 3 4 3 2 2 2 2 3 2" xfId="19576" xr:uid="{00000000-0005-0000-0000-000006140000}"/>
    <cellStyle name="Normal 3 4 3 2 2 2 2 3 3" xfId="12320" xr:uid="{00000000-0005-0000-0000-000007140000}"/>
    <cellStyle name="Normal 3 4 3 2 2 2 2 4" xfId="15948" xr:uid="{00000000-0005-0000-0000-000008140000}"/>
    <cellStyle name="Normal 3 4 3 2 2 2 2 5" xfId="8692" xr:uid="{00000000-0005-0000-0000-000009140000}"/>
    <cellStyle name="Normal 3 4 3 2 2 2 3" xfId="2343" xr:uid="{00000000-0005-0000-0000-00000A140000}"/>
    <cellStyle name="Normal 3 4 3 2 2 2 3 2" xfId="5971" xr:uid="{00000000-0005-0000-0000-00000B140000}"/>
    <cellStyle name="Normal 3 4 3 2 2 2 3 2 2" xfId="20483" xr:uid="{00000000-0005-0000-0000-00000C140000}"/>
    <cellStyle name="Normal 3 4 3 2 2 2 3 2 3" xfId="13227" xr:uid="{00000000-0005-0000-0000-00000D140000}"/>
    <cellStyle name="Normal 3 4 3 2 2 2 3 3" xfId="16855" xr:uid="{00000000-0005-0000-0000-00000E140000}"/>
    <cellStyle name="Normal 3 4 3 2 2 2 3 4" xfId="9599" xr:uid="{00000000-0005-0000-0000-00000F140000}"/>
    <cellStyle name="Normal 3 4 3 2 2 2 4" xfId="4157" xr:uid="{00000000-0005-0000-0000-000010140000}"/>
    <cellStyle name="Normal 3 4 3 2 2 2 4 2" xfId="18669" xr:uid="{00000000-0005-0000-0000-000011140000}"/>
    <cellStyle name="Normal 3 4 3 2 2 2 4 3" xfId="11413" xr:uid="{00000000-0005-0000-0000-000012140000}"/>
    <cellStyle name="Normal 3 4 3 2 2 2 5" xfId="15041" xr:uid="{00000000-0005-0000-0000-000013140000}"/>
    <cellStyle name="Normal 3 4 3 2 2 2 6" xfId="7785" xr:uid="{00000000-0005-0000-0000-000014140000}"/>
    <cellStyle name="Normal 3 4 3 2 2 3" xfId="1090" xr:uid="{00000000-0005-0000-0000-000015140000}"/>
    <cellStyle name="Normal 3 4 3 2 2 3 2" xfId="2904" xr:uid="{00000000-0005-0000-0000-000016140000}"/>
    <cellStyle name="Normal 3 4 3 2 2 3 2 2" xfId="6532" xr:uid="{00000000-0005-0000-0000-000017140000}"/>
    <cellStyle name="Normal 3 4 3 2 2 3 2 2 2" xfId="21044" xr:uid="{00000000-0005-0000-0000-000018140000}"/>
    <cellStyle name="Normal 3 4 3 2 2 3 2 2 3" xfId="13788" xr:uid="{00000000-0005-0000-0000-000019140000}"/>
    <cellStyle name="Normal 3 4 3 2 2 3 2 3" xfId="17416" xr:uid="{00000000-0005-0000-0000-00001A140000}"/>
    <cellStyle name="Normal 3 4 3 2 2 3 2 4" xfId="10160" xr:uid="{00000000-0005-0000-0000-00001B140000}"/>
    <cellStyle name="Normal 3 4 3 2 2 3 3" xfId="4718" xr:uid="{00000000-0005-0000-0000-00001C140000}"/>
    <cellStyle name="Normal 3 4 3 2 2 3 3 2" xfId="19230" xr:uid="{00000000-0005-0000-0000-00001D140000}"/>
    <cellStyle name="Normal 3 4 3 2 2 3 3 3" xfId="11974" xr:uid="{00000000-0005-0000-0000-00001E140000}"/>
    <cellStyle name="Normal 3 4 3 2 2 3 4" xfId="15602" xr:uid="{00000000-0005-0000-0000-00001F140000}"/>
    <cellStyle name="Normal 3 4 3 2 2 3 5" xfId="8346" xr:uid="{00000000-0005-0000-0000-000020140000}"/>
    <cellStyle name="Normal 3 4 3 2 2 4" xfId="1997" xr:uid="{00000000-0005-0000-0000-000021140000}"/>
    <cellStyle name="Normal 3 4 3 2 2 4 2" xfId="5625" xr:uid="{00000000-0005-0000-0000-000022140000}"/>
    <cellStyle name="Normal 3 4 3 2 2 4 2 2" xfId="20137" xr:uid="{00000000-0005-0000-0000-000023140000}"/>
    <cellStyle name="Normal 3 4 3 2 2 4 2 3" xfId="12881" xr:uid="{00000000-0005-0000-0000-000024140000}"/>
    <cellStyle name="Normal 3 4 3 2 2 4 3" xfId="16509" xr:uid="{00000000-0005-0000-0000-000025140000}"/>
    <cellStyle name="Normal 3 4 3 2 2 4 4" xfId="9253" xr:uid="{00000000-0005-0000-0000-000026140000}"/>
    <cellStyle name="Normal 3 4 3 2 2 5" xfId="3811" xr:uid="{00000000-0005-0000-0000-000027140000}"/>
    <cellStyle name="Normal 3 4 3 2 2 5 2" xfId="18323" xr:uid="{00000000-0005-0000-0000-000028140000}"/>
    <cellStyle name="Normal 3 4 3 2 2 5 3" xfId="11067" xr:uid="{00000000-0005-0000-0000-000029140000}"/>
    <cellStyle name="Normal 3 4 3 2 2 6" xfId="14695" xr:uid="{00000000-0005-0000-0000-00002A140000}"/>
    <cellStyle name="Normal 3 4 3 2 2 7" xfId="7439" xr:uid="{00000000-0005-0000-0000-00002B140000}"/>
    <cellStyle name="Normal 3 4 3 2 3" xfId="312" xr:uid="{00000000-0005-0000-0000-00002C140000}"/>
    <cellStyle name="Normal 3 4 3 2 3 2" xfId="658" xr:uid="{00000000-0005-0000-0000-00002D140000}"/>
    <cellStyle name="Normal 3 4 3 2 3 2 2" xfId="1566" xr:uid="{00000000-0005-0000-0000-00002E140000}"/>
    <cellStyle name="Normal 3 4 3 2 3 2 2 2" xfId="3380" xr:uid="{00000000-0005-0000-0000-00002F140000}"/>
    <cellStyle name="Normal 3 4 3 2 3 2 2 2 2" xfId="7008" xr:uid="{00000000-0005-0000-0000-000030140000}"/>
    <cellStyle name="Normal 3 4 3 2 3 2 2 2 2 2" xfId="21520" xr:uid="{00000000-0005-0000-0000-000031140000}"/>
    <cellStyle name="Normal 3 4 3 2 3 2 2 2 2 3" xfId="14264" xr:uid="{00000000-0005-0000-0000-000032140000}"/>
    <cellStyle name="Normal 3 4 3 2 3 2 2 2 3" xfId="17892" xr:uid="{00000000-0005-0000-0000-000033140000}"/>
    <cellStyle name="Normal 3 4 3 2 3 2 2 2 4" xfId="10636" xr:uid="{00000000-0005-0000-0000-000034140000}"/>
    <cellStyle name="Normal 3 4 3 2 3 2 2 3" xfId="5194" xr:uid="{00000000-0005-0000-0000-000035140000}"/>
    <cellStyle name="Normal 3 4 3 2 3 2 2 3 2" xfId="19706" xr:uid="{00000000-0005-0000-0000-000036140000}"/>
    <cellStyle name="Normal 3 4 3 2 3 2 2 3 3" xfId="12450" xr:uid="{00000000-0005-0000-0000-000037140000}"/>
    <cellStyle name="Normal 3 4 3 2 3 2 2 4" xfId="16078" xr:uid="{00000000-0005-0000-0000-000038140000}"/>
    <cellStyle name="Normal 3 4 3 2 3 2 2 5" xfId="8822" xr:uid="{00000000-0005-0000-0000-000039140000}"/>
    <cellStyle name="Normal 3 4 3 2 3 2 3" xfId="2473" xr:uid="{00000000-0005-0000-0000-00003A140000}"/>
    <cellStyle name="Normal 3 4 3 2 3 2 3 2" xfId="6101" xr:uid="{00000000-0005-0000-0000-00003B140000}"/>
    <cellStyle name="Normal 3 4 3 2 3 2 3 2 2" xfId="20613" xr:uid="{00000000-0005-0000-0000-00003C140000}"/>
    <cellStyle name="Normal 3 4 3 2 3 2 3 2 3" xfId="13357" xr:uid="{00000000-0005-0000-0000-00003D140000}"/>
    <cellStyle name="Normal 3 4 3 2 3 2 3 3" xfId="16985" xr:uid="{00000000-0005-0000-0000-00003E140000}"/>
    <cellStyle name="Normal 3 4 3 2 3 2 3 4" xfId="9729" xr:uid="{00000000-0005-0000-0000-00003F140000}"/>
    <cellStyle name="Normal 3 4 3 2 3 2 4" xfId="4287" xr:uid="{00000000-0005-0000-0000-000040140000}"/>
    <cellStyle name="Normal 3 4 3 2 3 2 4 2" xfId="18799" xr:uid="{00000000-0005-0000-0000-000041140000}"/>
    <cellStyle name="Normal 3 4 3 2 3 2 4 3" xfId="11543" xr:uid="{00000000-0005-0000-0000-000042140000}"/>
    <cellStyle name="Normal 3 4 3 2 3 2 5" xfId="15171" xr:uid="{00000000-0005-0000-0000-000043140000}"/>
    <cellStyle name="Normal 3 4 3 2 3 2 6" xfId="7915" xr:uid="{00000000-0005-0000-0000-000044140000}"/>
    <cellStyle name="Normal 3 4 3 2 3 3" xfId="1220" xr:uid="{00000000-0005-0000-0000-000045140000}"/>
    <cellStyle name="Normal 3 4 3 2 3 3 2" xfId="3034" xr:uid="{00000000-0005-0000-0000-000046140000}"/>
    <cellStyle name="Normal 3 4 3 2 3 3 2 2" xfId="6662" xr:uid="{00000000-0005-0000-0000-000047140000}"/>
    <cellStyle name="Normal 3 4 3 2 3 3 2 2 2" xfId="21174" xr:uid="{00000000-0005-0000-0000-000048140000}"/>
    <cellStyle name="Normal 3 4 3 2 3 3 2 2 3" xfId="13918" xr:uid="{00000000-0005-0000-0000-000049140000}"/>
    <cellStyle name="Normal 3 4 3 2 3 3 2 3" xfId="17546" xr:uid="{00000000-0005-0000-0000-00004A140000}"/>
    <cellStyle name="Normal 3 4 3 2 3 3 2 4" xfId="10290" xr:uid="{00000000-0005-0000-0000-00004B140000}"/>
    <cellStyle name="Normal 3 4 3 2 3 3 3" xfId="4848" xr:uid="{00000000-0005-0000-0000-00004C140000}"/>
    <cellStyle name="Normal 3 4 3 2 3 3 3 2" xfId="19360" xr:uid="{00000000-0005-0000-0000-00004D140000}"/>
    <cellStyle name="Normal 3 4 3 2 3 3 3 3" xfId="12104" xr:uid="{00000000-0005-0000-0000-00004E140000}"/>
    <cellStyle name="Normal 3 4 3 2 3 3 4" xfId="15732" xr:uid="{00000000-0005-0000-0000-00004F140000}"/>
    <cellStyle name="Normal 3 4 3 2 3 3 5" xfId="8476" xr:uid="{00000000-0005-0000-0000-000050140000}"/>
    <cellStyle name="Normal 3 4 3 2 3 4" xfId="2127" xr:uid="{00000000-0005-0000-0000-000051140000}"/>
    <cellStyle name="Normal 3 4 3 2 3 4 2" xfId="5755" xr:uid="{00000000-0005-0000-0000-000052140000}"/>
    <cellStyle name="Normal 3 4 3 2 3 4 2 2" xfId="20267" xr:uid="{00000000-0005-0000-0000-000053140000}"/>
    <cellStyle name="Normal 3 4 3 2 3 4 2 3" xfId="13011" xr:uid="{00000000-0005-0000-0000-000054140000}"/>
    <cellStyle name="Normal 3 4 3 2 3 4 3" xfId="16639" xr:uid="{00000000-0005-0000-0000-000055140000}"/>
    <cellStyle name="Normal 3 4 3 2 3 4 4" xfId="9383" xr:uid="{00000000-0005-0000-0000-000056140000}"/>
    <cellStyle name="Normal 3 4 3 2 3 5" xfId="3941" xr:uid="{00000000-0005-0000-0000-000057140000}"/>
    <cellStyle name="Normal 3 4 3 2 3 5 2" xfId="18453" xr:uid="{00000000-0005-0000-0000-000058140000}"/>
    <cellStyle name="Normal 3 4 3 2 3 5 3" xfId="11197" xr:uid="{00000000-0005-0000-0000-000059140000}"/>
    <cellStyle name="Normal 3 4 3 2 3 6" xfId="14825" xr:uid="{00000000-0005-0000-0000-00005A140000}"/>
    <cellStyle name="Normal 3 4 3 2 3 7" xfId="7569" xr:uid="{00000000-0005-0000-0000-00005B140000}"/>
    <cellStyle name="Normal 3 4 3 2 4" xfId="788" xr:uid="{00000000-0005-0000-0000-00005C140000}"/>
    <cellStyle name="Normal 3 4 3 2 4 2" xfId="1696" xr:uid="{00000000-0005-0000-0000-00005D140000}"/>
    <cellStyle name="Normal 3 4 3 2 4 2 2" xfId="3510" xr:uid="{00000000-0005-0000-0000-00005E140000}"/>
    <cellStyle name="Normal 3 4 3 2 4 2 2 2" xfId="7138" xr:uid="{00000000-0005-0000-0000-00005F140000}"/>
    <cellStyle name="Normal 3 4 3 2 4 2 2 2 2" xfId="21650" xr:uid="{00000000-0005-0000-0000-000060140000}"/>
    <cellStyle name="Normal 3 4 3 2 4 2 2 2 3" xfId="14394" xr:uid="{00000000-0005-0000-0000-000061140000}"/>
    <cellStyle name="Normal 3 4 3 2 4 2 2 3" xfId="18022" xr:uid="{00000000-0005-0000-0000-000062140000}"/>
    <cellStyle name="Normal 3 4 3 2 4 2 2 4" xfId="10766" xr:uid="{00000000-0005-0000-0000-000063140000}"/>
    <cellStyle name="Normal 3 4 3 2 4 2 3" xfId="5324" xr:uid="{00000000-0005-0000-0000-000064140000}"/>
    <cellStyle name="Normal 3 4 3 2 4 2 3 2" xfId="19836" xr:uid="{00000000-0005-0000-0000-000065140000}"/>
    <cellStyle name="Normal 3 4 3 2 4 2 3 3" xfId="12580" xr:uid="{00000000-0005-0000-0000-000066140000}"/>
    <cellStyle name="Normal 3 4 3 2 4 2 4" xfId="16208" xr:uid="{00000000-0005-0000-0000-000067140000}"/>
    <cellStyle name="Normal 3 4 3 2 4 2 5" xfId="8952" xr:uid="{00000000-0005-0000-0000-000068140000}"/>
    <cellStyle name="Normal 3 4 3 2 4 3" xfId="2603" xr:uid="{00000000-0005-0000-0000-000069140000}"/>
    <cellStyle name="Normal 3 4 3 2 4 3 2" xfId="6231" xr:uid="{00000000-0005-0000-0000-00006A140000}"/>
    <cellStyle name="Normal 3 4 3 2 4 3 2 2" xfId="20743" xr:uid="{00000000-0005-0000-0000-00006B140000}"/>
    <cellStyle name="Normal 3 4 3 2 4 3 2 3" xfId="13487" xr:uid="{00000000-0005-0000-0000-00006C140000}"/>
    <cellStyle name="Normal 3 4 3 2 4 3 3" xfId="17115" xr:uid="{00000000-0005-0000-0000-00006D140000}"/>
    <cellStyle name="Normal 3 4 3 2 4 3 4" xfId="9859" xr:uid="{00000000-0005-0000-0000-00006E140000}"/>
    <cellStyle name="Normal 3 4 3 2 4 4" xfId="4417" xr:uid="{00000000-0005-0000-0000-00006F140000}"/>
    <cellStyle name="Normal 3 4 3 2 4 4 2" xfId="18929" xr:uid="{00000000-0005-0000-0000-000070140000}"/>
    <cellStyle name="Normal 3 4 3 2 4 4 3" xfId="11673" xr:uid="{00000000-0005-0000-0000-000071140000}"/>
    <cellStyle name="Normal 3 4 3 2 4 5" xfId="15301" xr:uid="{00000000-0005-0000-0000-000072140000}"/>
    <cellStyle name="Normal 3 4 3 2 4 6" xfId="8045" xr:uid="{00000000-0005-0000-0000-000073140000}"/>
    <cellStyle name="Normal 3 4 3 2 5" xfId="442" xr:uid="{00000000-0005-0000-0000-000074140000}"/>
    <cellStyle name="Normal 3 4 3 2 5 2" xfId="1350" xr:uid="{00000000-0005-0000-0000-000075140000}"/>
    <cellStyle name="Normal 3 4 3 2 5 2 2" xfId="3164" xr:uid="{00000000-0005-0000-0000-000076140000}"/>
    <cellStyle name="Normal 3 4 3 2 5 2 2 2" xfId="6792" xr:uid="{00000000-0005-0000-0000-000077140000}"/>
    <cellStyle name="Normal 3 4 3 2 5 2 2 2 2" xfId="21304" xr:uid="{00000000-0005-0000-0000-000078140000}"/>
    <cellStyle name="Normal 3 4 3 2 5 2 2 2 3" xfId="14048" xr:uid="{00000000-0005-0000-0000-000079140000}"/>
    <cellStyle name="Normal 3 4 3 2 5 2 2 3" xfId="17676" xr:uid="{00000000-0005-0000-0000-00007A140000}"/>
    <cellStyle name="Normal 3 4 3 2 5 2 2 4" xfId="10420" xr:uid="{00000000-0005-0000-0000-00007B140000}"/>
    <cellStyle name="Normal 3 4 3 2 5 2 3" xfId="4978" xr:uid="{00000000-0005-0000-0000-00007C140000}"/>
    <cellStyle name="Normal 3 4 3 2 5 2 3 2" xfId="19490" xr:uid="{00000000-0005-0000-0000-00007D140000}"/>
    <cellStyle name="Normal 3 4 3 2 5 2 3 3" xfId="12234" xr:uid="{00000000-0005-0000-0000-00007E140000}"/>
    <cellStyle name="Normal 3 4 3 2 5 2 4" xfId="15862" xr:uid="{00000000-0005-0000-0000-00007F140000}"/>
    <cellStyle name="Normal 3 4 3 2 5 2 5" xfId="8606" xr:uid="{00000000-0005-0000-0000-000080140000}"/>
    <cellStyle name="Normal 3 4 3 2 5 3" xfId="2257" xr:uid="{00000000-0005-0000-0000-000081140000}"/>
    <cellStyle name="Normal 3 4 3 2 5 3 2" xfId="5885" xr:uid="{00000000-0005-0000-0000-000082140000}"/>
    <cellStyle name="Normal 3 4 3 2 5 3 2 2" xfId="20397" xr:uid="{00000000-0005-0000-0000-000083140000}"/>
    <cellStyle name="Normal 3 4 3 2 5 3 2 3" xfId="13141" xr:uid="{00000000-0005-0000-0000-000084140000}"/>
    <cellStyle name="Normal 3 4 3 2 5 3 3" xfId="16769" xr:uid="{00000000-0005-0000-0000-000085140000}"/>
    <cellStyle name="Normal 3 4 3 2 5 3 4" xfId="9513" xr:uid="{00000000-0005-0000-0000-000086140000}"/>
    <cellStyle name="Normal 3 4 3 2 5 4" xfId="4071" xr:uid="{00000000-0005-0000-0000-000087140000}"/>
    <cellStyle name="Normal 3 4 3 2 5 4 2" xfId="18583" xr:uid="{00000000-0005-0000-0000-000088140000}"/>
    <cellStyle name="Normal 3 4 3 2 5 4 3" xfId="11327" xr:uid="{00000000-0005-0000-0000-000089140000}"/>
    <cellStyle name="Normal 3 4 3 2 5 5" xfId="14955" xr:uid="{00000000-0005-0000-0000-00008A140000}"/>
    <cellStyle name="Normal 3 4 3 2 5 6" xfId="7699" xr:uid="{00000000-0005-0000-0000-00008B140000}"/>
    <cellStyle name="Normal 3 4 3 2 6" xfId="917" xr:uid="{00000000-0005-0000-0000-00008C140000}"/>
    <cellStyle name="Normal 3 4 3 2 6 2" xfId="1824" xr:uid="{00000000-0005-0000-0000-00008D140000}"/>
    <cellStyle name="Normal 3 4 3 2 6 2 2" xfId="3638" xr:uid="{00000000-0005-0000-0000-00008E140000}"/>
    <cellStyle name="Normal 3 4 3 2 6 2 2 2" xfId="7266" xr:uid="{00000000-0005-0000-0000-00008F140000}"/>
    <cellStyle name="Normal 3 4 3 2 6 2 2 2 2" xfId="21778" xr:uid="{00000000-0005-0000-0000-000090140000}"/>
    <cellStyle name="Normal 3 4 3 2 6 2 2 2 3" xfId="14522" xr:uid="{00000000-0005-0000-0000-000091140000}"/>
    <cellStyle name="Normal 3 4 3 2 6 2 2 3" xfId="18150" xr:uid="{00000000-0005-0000-0000-000092140000}"/>
    <cellStyle name="Normal 3 4 3 2 6 2 2 4" xfId="10894" xr:uid="{00000000-0005-0000-0000-000093140000}"/>
    <cellStyle name="Normal 3 4 3 2 6 2 3" xfId="5452" xr:uid="{00000000-0005-0000-0000-000094140000}"/>
    <cellStyle name="Normal 3 4 3 2 6 2 3 2" xfId="19964" xr:uid="{00000000-0005-0000-0000-000095140000}"/>
    <cellStyle name="Normal 3 4 3 2 6 2 3 3" xfId="12708" xr:uid="{00000000-0005-0000-0000-000096140000}"/>
    <cellStyle name="Normal 3 4 3 2 6 2 4" xfId="16336" xr:uid="{00000000-0005-0000-0000-000097140000}"/>
    <cellStyle name="Normal 3 4 3 2 6 2 5" xfId="9080" xr:uid="{00000000-0005-0000-0000-000098140000}"/>
    <cellStyle name="Normal 3 4 3 2 6 3" xfId="2731" xr:uid="{00000000-0005-0000-0000-000099140000}"/>
    <cellStyle name="Normal 3 4 3 2 6 3 2" xfId="6359" xr:uid="{00000000-0005-0000-0000-00009A140000}"/>
    <cellStyle name="Normal 3 4 3 2 6 3 2 2" xfId="20871" xr:uid="{00000000-0005-0000-0000-00009B140000}"/>
    <cellStyle name="Normal 3 4 3 2 6 3 2 3" xfId="13615" xr:uid="{00000000-0005-0000-0000-00009C140000}"/>
    <cellStyle name="Normal 3 4 3 2 6 3 3" xfId="17243" xr:uid="{00000000-0005-0000-0000-00009D140000}"/>
    <cellStyle name="Normal 3 4 3 2 6 3 4" xfId="9987" xr:uid="{00000000-0005-0000-0000-00009E140000}"/>
    <cellStyle name="Normal 3 4 3 2 6 4" xfId="4545" xr:uid="{00000000-0005-0000-0000-00009F140000}"/>
    <cellStyle name="Normal 3 4 3 2 6 4 2" xfId="19057" xr:uid="{00000000-0005-0000-0000-0000A0140000}"/>
    <cellStyle name="Normal 3 4 3 2 6 4 3" xfId="11801" xr:uid="{00000000-0005-0000-0000-0000A1140000}"/>
    <cellStyle name="Normal 3 4 3 2 6 5" xfId="15429" xr:uid="{00000000-0005-0000-0000-0000A2140000}"/>
    <cellStyle name="Normal 3 4 3 2 6 6" xfId="8173" xr:uid="{00000000-0005-0000-0000-0000A3140000}"/>
    <cellStyle name="Normal 3 4 3 2 7" xfId="1004" xr:uid="{00000000-0005-0000-0000-0000A4140000}"/>
    <cellStyle name="Normal 3 4 3 2 7 2" xfId="2818" xr:uid="{00000000-0005-0000-0000-0000A5140000}"/>
    <cellStyle name="Normal 3 4 3 2 7 2 2" xfId="6446" xr:uid="{00000000-0005-0000-0000-0000A6140000}"/>
    <cellStyle name="Normal 3 4 3 2 7 2 2 2" xfId="20958" xr:uid="{00000000-0005-0000-0000-0000A7140000}"/>
    <cellStyle name="Normal 3 4 3 2 7 2 2 3" xfId="13702" xr:uid="{00000000-0005-0000-0000-0000A8140000}"/>
    <cellStyle name="Normal 3 4 3 2 7 2 3" xfId="17330" xr:uid="{00000000-0005-0000-0000-0000A9140000}"/>
    <cellStyle name="Normal 3 4 3 2 7 2 4" xfId="10074" xr:uid="{00000000-0005-0000-0000-0000AA140000}"/>
    <cellStyle name="Normal 3 4 3 2 7 3" xfId="4632" xr:uid="{00000000-0005-0000-0000-0000AB140000}"/>
    <cellStyle name="Normal 3 4 3 2 7 3 2" xfId="19144" xr:uid="{00000000-0005-0000-0000-0000AC140000}"/>
    <cellStyle name="Normal 3 4 3 2 7 3 3" xfId="11888" xr:uid="{00000000-0005-0000-0000-0000AD140000}"/>
    <cellStyle name="Normal 3 4 3 2 7 4" xfId="15516" xr:uid="{00000000-0005-0000-0000-0000AE140000}"/>
    <cellStyle name="Normal 3 4 3 2 7 5" xfId="8260" xr:uid="{00000000-0005-0000-0000-0000AF140000}"/>
    <cellStyle name="Normal 3 4 3 2 8" xfId="1911" xr:uid="{00000000-0005-0000-0000-0000B0140000}"/>
    <cellStyle name="Normal 3 4 3 2 8 2" xfId="5539" xr:uid="{00000000-0005-0000-0000-0000B1140000}"/>
    <cellStyle name="Normal 3 4 3 2 8 2 2" xfId="20051" xr:uid="{00000000-0005-0000-0000-0000B2140000}"/>
    <cellStyle name="Normal 3 4 3 2 8 2 3" xfId="12795" xr:uid="{00000000-0005-0000-0000-0000B3140000}"/>
    <cellStyle name="Normal 3 4 3 2 8 3" xfId="16423" xr:uid="{00000000-0005-0000-0000-0000B4140000}"/>
    <cellStyle name="Normal 3 4 3 2 8 4" xfId="9167" xr:uid="{00000000-0005-0000-0000-0000B5140000}"/>
    <cellStyle name="Normal 3 4 3 2 9" xfId="3725" xr:uid="{00000000-0005-0000-0000-0000B6140000}"/>
    <cellStyle name="Normal 3 4 3 2 9 2" xfId="18237" xr:uid="{00000000-0005-0000-0000-0000B7140000}"/>
    <cellStyle name="Normal 3 4 3 2 9 3" xfId="10981" xr:uid="{00000000-0005-0000-0000-0000B8140000}"/>
    <cellStyle name="Normal 3 4 3 3" xfId="226" xr:uid="{00000000-0005-0000-0000-0000B9140000}"/>
    <cellStyle name="Normal 3 4 3 3 2" xfId="356" xr:uid="{00000000-0005-0000-0000-0000BA140000}"/>
    <cellStyle name="Normal 3 4 3 3 2 2" xfId="702" xr:uid="{00000000-0005-0000-0000-0000BB140000}"/>
    <cellStyle name="Normal 3 4 3 3 2 2 2" xfId="1610" xr:uid="{00000000-0005-0000-0000-0000BC140000}"/>
    <cellStyle name="Normal 3 4 3 3 2 2 2 2" xfId="3424" xr:uid="{00000000-0005-0000-0000-0000BD140000}"/>
    <cellStyle name="Normal 3 4 3 3 2 2 2 2 2" xfId="7052" xr:uid="{00000000-0005-0000-0000-0000BE140000}"/>
    <cellStyle name="Normal 3 4 3 3 2 2 2 2 2 2" xfId="21564" xr:uid="{00000000-0005-0000-0000-0000BF140000}"/>
    <cellStyle name="Normal 3 4 3 3 2 2 2 2 2 3" xfId="14308" xr:uid="{00000000-0005-0000-0000-0000C0140000}"/>
    <cellStyle name="Normal 3 4 3 3 2 2 2 2 3" xfId="17936" xr:uid="{00000000-0005-0000-0000-0000C1140000}"/>
    <cellStyle name="Normal 3 4 3 3 2 2 2 2 4" xfId="10680" xr:uid="{00000000-0005-0000-0000-0000C2140000}"/>
    <cellStyle name="Normal 3 4 3 3 2 2 2 3" xfId="5238" xr:uid="{00000000-0005-0000-0000-0000C3140000}"/>
    <cellStyle name="Normal 3 4 3 3 2 2 2 3 2" xfId="19750" xr:uid="{00000000-0005-0000-0000-0000C4140000}"/>
    <cellStyle name="Normal 3 4 3 3 2 2 2 3 3" xfId="12494" xr:uid="{00000000-0005-0000-0000-0000C5140000}"/>
    <cellStyle name="Normal 3 4 3 3 2 2 2 4" xfId="16122" xr:uid="{00000000-0005-0000-0000-0000C6140000}"/>
    <cellStyle name="Normal 3 4 3 3 2 2 2 5" xfId="8866" xr:uid="{00000000-0005-0000-0000-0000C7140000}"/>
    <cellStyle name="Normal 3 4 3 3 2 2 3" xfId="2517" xr:uid="{00000000-0005-0000-0000-0000C8140000}"/>
    <cellStyle name="Normal 3 4 3 3 2 2 3 2" xfId="6145" xr:uid="{00000000-0005-0000-0000-0000C9140000}"/>
    <cellStyle name="Normal 3 4 3 3 2 2 3 2 2" xfId="20657" xr:uid="{00000000-0005-0000-0000-0000CA140000}"/>
    <cellStyle name="Normal 3 4 3 3 2 2 3 2 3" xfId="13401" xr:uid="{00000000-0005-0000-0000-0000CB140000}"/>
    <cellStyle name="Normal 3 4 3 3 2 2 3 3" xfId="17029" xr:uid="{00000000-0005-0000-0000-0000CC140000}"/>
    <cellStyle name="Normal 3 4 3 3 2 2 3 4" xfId="9773" xr:uid="{00000000-0005-0000-0000-0000CD140000}"/>
    <cellStyle name="Normal 3 4 3 3 2 2 4" xfId="4331" xr:uid="{00000000-0005-0000-0000-0000CE140000}"/>
    <cellStyle name="Normal 3 4 3 3 2 2 4 2" xfId="18843" xr:uid="{00000000-0005-0000-0000-0000CF140000}"/>
    <cellStyle name="Normal 3 4 3 3 2 2 4 3" xfId="11587" xr:uid="{00000000-0005-0000-0000-0000D0140000}"/>
    <cellStyle name="Normal 3 4 3 3 2 2 5" xfId="15215" xr:uid="{00000000-0005-0000-0000-0000D1140000}"/>
    <cellStyle name="Normal 3 4 3 3 2 2 6" xfId="7959" xr:uid="{00000000-0005-0000-0000-0000D2140000}"/>
    <cellStyle name="Normal 3 4 3 3 2 3" xfId="1264" xr:uid="{00000000-0005-0000-0000-0000D3140000}"/>
    <cellStyle name="Normal 3 4 3 3 2 3 2" xfId="3078" xr:uid="{00000000-0005-0000-0000-0000D4140000}"/>
    <cellStyle name="Normal 3 4 3 3 2 3 2 2" xfId="6706" xr:uid="{00000000-0005-0000-0000-0000D5140000}"/>
    <cellStyle name="Normal 3 4 3 3 2 3 2 2 2" xfId="21218" xr:uid="{00000000-0005-0000-0000-0000D6140000}"/>
    <cellStyle name="Normal 3 4 3 3 2 3 2 2 3" xfId="13962" xr:uid="{00000000-0005-0000-0000-0000D7140000}"/>
    <cellStyle name="Normal 3 4 3 3 2 3 2 3" xfId="17590" xr:uid="{00000000-0005-0000-0000-0000D8140000}"/>
    <cellStyle name="Normal 3 4 3 3 2 3 2 4" xfId="10334" xr:uid="{00000000-0005-0000-0000-0000D9140000}"/>
    <cellStyle name="Normal 3 4 3 3 2 3 3" xfId="4892" xr:uid="{00000000-0005-0000-0000-0000DA140000}"/>
    <cellStyle name="Normal 3 4 3 3 2 3 3 2" xfId="19404" xr:uid="{00000000-0005-0000-0000-0000DB140000}"/>
    <cellStyle name="Normal 3 4 3 3 2 3 3 3" xfId="12148" xr:uid="{00000000-0005-0000-0000-0000DC140000}"/>
    <cellStyle name="Normal 3 4 3 3 2 3 4" xfId="15776" xr:uid="{00000000-0005-0000-0000-0000DD140000}"/>
    <cellStyle name="Normal 3 4 3 3 2 3 5" xfId="8520" xr:uid="{00000000-0005-0000-0000-0000DE140000}"/>
    <cellStyle name="Normal 3 4 3 3 2 4" xfId="2171" xr:uid="{00000000-0005-0000-0000-0000DF140000}"/>
    <cellStyle name="Normal 3 4 3 3 2 4 2" xfId="5799" xr:uid="{00000000-0005-0000-0000-0000E0140000}"/>
    <cellStyle name="Normal 3 4 3 3 2 4 2 2" xfId="20311" xr:uid="{00000000-0005-0000-0000-0000E1140000}"/>
    <cellStyle name="Normal 3 4 3 3 2 4 2 3" xfId="13055" xr:uid="{00000000-0005-0000-0000-0000E2140000}"/>
    <cellStyle name="Normal 3 4 3 3 2 4 3" xfId="16683" xr:uid="{00000000-0005-0000-0000-0000E3140000}"/>
    <cellStyle name="Normal 3 4 3 3 2 4 4" xfId="9427" xr:uid="{00000000-0005-0000-0000-0000E4140000}"/>
    <cellStyle name="Normal 3 4 3 3 2 5" xfId="3985" xr:uid="{00000000-0005-0000-0000-0000E5140000}"/>
    <cellStyle name="Normal 3 4 3 3 2 5 2" xfId="18497" xr:uid="{00000000-0005-0000-0000-0000E6140000}"/>
    <cellStyle name="Normal 3 4 3 3 2 5 3" xfId="11241" xr:uid="{00000000-0005-0000-0000-0000E7140000}"/>
    <cellStyle name="Normal 3 4 3 3 2 6" xfId="14869" xr:uid="{00000000-0005-0000-0000-0000E8140000}"/>
    <cellStyle name="Normal 3 4 3 3 2 7" xfId="7613" xr:uid="{00000000-0005-0000-0000-0000E9140000}"/>
    <cellStyle name="Normal 3 4 3 3 3" xfId="832" xr:uid="{00000000-0005-0000-0000-0000EA140000}"/>
    <cellStyle name="Normal 3 4 3 3 3 2" xfId="1740" xr:uid="{00000000-0005-0000-0000-0000EB140000}"/>
    <cellStyle name="Normal 3 4 3 3 3 2 2" xfId="3554" xr:uid="{00000000-0005-0000-0000-0000EC140000}"/>
    <cellStyle name="Normal 3 4 3 3 3 2 2 2" xfId="7182" xr:uid="{00000000-0005-0000-0000-0000ED140000}"/>
    <cellStyle name="Normal 3 4 3 3 3 2 2 2 2" xfId="21694" xr:uid="{00000000-0005-0000-0000-0000EE140000}"/>
    <cellStyle name="Normal 3 4 3 3 3 2 2 2 3" xfId="14438" xr:uid="{00000000-0005-0000-0000-0000EF140000}"/>
    <cellStyle name="Normal 3 4 3 3 3 2 2 3" xfId="18066" xr:uid="{00000000-0005-0000-0000-0000F0140000}"/>
    <cellStyle name="Normal 3 4 3 3 3 2 2 4" xfId="10810" xr:uid="{00000000-0005-0000-0000-0000F1140000}"/>
    <cellStyle name="Normal 3 4 3 3 3 2 3" xfId="5368" xr:uid="{00000000-0005-0000-0000-0000F2140000}"/>
    <cellStyle name="Normal 3 4 3 3 3 2 3 2" xfId="19880" xr:uid="{00000000-0005-0000-0000-0000F3140000}"/>
    <cellStyle name="Normal 3 4 3 3 3 2 3 3" xfId="12624" xr:uid="{00000000-0005-0000-0000-0000F4140000}"/>
    <cellStyle name="Normal 3 4 3 3 3 2 4" xfId="16252" xr:uid="{00000000-0005-0000-0000-0000F5140000}"/>
    <cellStyle name="Normal 3 4 3 3 3 2 5" xfId="8996" xr:uid="{00000000-0005-0000-0000-0000F6140000}"/>
    <cellStyle name="Normal 3 4 3 3 3 3" xfId="2647" xr:uid="{00000000-0005-0000-0000-0000F7140000}"/>
    <cellStyle name="Normal 3 4 3 3 3 3 2" xfId="6275" xr:uid="{00000000-0005-0000-0000-0000F8140000}"/>
    <cellStyle name="Normal 3 4 3 3 3 3 2 2" xfId="20787" xr:uid="{00000000-0005-0000-0000-0000F9140000}"/>
    <cellStyle name="Normal 3 4 3 3 3 3 2 3" xfId="13531" xr:uid="{00000000-0005-0000-0000-0000FA140000}"/>
    <cellStyle name="Normal 3 4 3 3 3 3 3" xfId="17159" xr:uid="{00000000-0005-0000-0000-0000FB140000}"/>
    <cellStyle name="Normal 3 4 3 3 3 3 4" xfId="9903" xr:uid="{00000000-0005-0000-0000-0000FC140000}"/>
    <cellStyle name="Normal 3 4 3 3 3 4" xfId="4461" xr:uid="{00000000-0005-0000-0000-0000FD140000}"/>
    <cellStyle name="Normal 3 4 3 3 3 4 2" xfId="18973" xr:uid="{00000000-0005-0000-0000-0000FE140000}"/>
    <cellStyle name="Normal 3 4 3 3 3 4 3" xfId="11717" xr:uid="{00000000-0005-0000-0000-0000FF140000}"/>
    <cellStyle name="Normal 3 4 3 3 3 5" xfId="15345" xr:uid="{00000000-0005-0000-0000-000000150000}"/>
    <cellStyle name="Normal 3 4 3 3 3 6" xfId="8089" xr:uid="{00000000-0005-0000-0000-000001150000}"/>
    <cellStyle name="Normal 3 4 3 3 4" xfId="572" xr:uid="{00000000-0005-0000-0000-000002150000}"/>
    <cellStyle name="Normal 3 4 3 3 4 2" xfId="1480" xr:uid="{00000000-0005-0000-0000-000003150000}"/>
    <cellStyle name="Normal 3 4 3 3 4 2 2" xfId="3294" xr:uid="{00000000-0005-0000-0000-000004150000}"/>
    <cellStyle name="Normal 3 4 3 3 4 2 2 2" xfId="6922" xr:uid="{00000000-0005-0000-0000-000005150000}"/>
    <cellStyle name="Normal 3 4 3 3 4 2 2 2 2" xfId="21434" xr:uid="{00000000-0005-0000-0000-000006150000}"/>
    <cellStyle name="Normal 3 4 3 3 4 2 2 2 3" xfId="14178" xr:uid="{00000000-0005-0000-0000-000007150000}"/>
    <cellStyle name="Normal 3 4 3 3 4 2 2 3" xfId="17806" xr:uid="{00000000-0005-0000-0000-000008150000}"/>
    <cellStyle name="Normal 3 4 3 3 4 2 2 4" xfId="10550" xr:uid="{00000000-0005-0000-0000-000009150000}"/>
    <cellStyle name="Normal 3 4 3 3 4 2 3" xfId="5108" xr:uid="{00000000-0005-0000-0000-00000A150000}"/>
    <cellStyle name="Normal 3 4 3 3 4 2 3 2" xfId="19620" xr:uid="{00000000-0005-0000-0000-00000B150000}"/>
    <cellStyle name="Normal 3 4 3 3 4 2 3 3" xfId="12364" xr:uid="{00000000-0005-0000-0000-00000C150000}"/>
    <cellStyle name="Normal 3 4 3 3 4 2 4" xfId="15992" xr:uid="{00000000-0005-0000-0000-00000D150000}"/>
    <cellStyle name="Normal 3 4 3 3 4 2 5" xfId="8736" xr:uid="{00000000-0005-0000-0000-00000E150000}"/>
    <cellStyle name="Normal 3 4 3 3 4 3" xfId="2387" xr:uid="{00000000-0005-0000-0000-00000F150000}"/>
    <cellStyle name="Normal 3 4 3 3 4 3 2" xfId="6015" xr:uid="{00000000-0005-0000-0000-000010150000}"/>
    <cellStyle name="Normal 3 4 3 3 4 3 2 2" xfId="20527" xr:uid="{00000000-0005-0000-0000-000011150000}"/>
    <cellStyle name="Normal 3 4 3 3 4 3 2 3" xfId="13271" xr:uid="{00000000-0005-0000-0000-000012150000}"/>
    <cellStyle name="Normal 3 4 3 3 4 3 3" xfId="16899" xr:uid="{00000000-0005-0000-0000-000013150000}"/>
    <cellStyle name="Normal 3 4 3 3 4 3 4" xfId="9643" xr:uid="{00000000-0005-0000-0000-000014150000}"/>
    <cellStyle name="Normal 3 4 3 3 4 4" xfId="4201" xr:uid="{00000000-0005-0000-0000-000015150000}"/>
    <cellStyle name="Normal 3 4 3 3 4 4 2" xfId="18713" xr:uid="{00000000-0005-0000-0000-000016150000}"/>
    <cellStyle name="Normal 3 4 3 3 4 4 3" xfId="11457" xr:uid="{00000000-0005-0000-0000-000017150000}"/>
    <cellStyle name="Normal 3 4 3 3 4 5" xfId="15085" xr:uid="{00000000-0005-0000-0000-000018150000}"/>
    <cellStyle name="Normal 3 4 3 3 4 6" xfId="7829" xr:uid="{00000000-0005-0000-0000-000019150000}"/>
    <cellStyle name="Normal 3 4 3 3 5" xfId="1134" xr:uid="{00000000-0005-0000-0000-00001A150000}"/>
    <cellStyle name="Normal 3 4 3 3 5 2" xfId="2948" xr:uid="{00000000-0005-0000-0000-00001B150000}"/>
    <cellStyle name="Normal 3 4 3 3 5 2 2" xfId="6576" xr:uid="{00000000-0005-0000-0000-00001C150000}"/>
    <cellStyle name="Normal 3 4 3 3 5 2 2 2" xfId="21088" xr:uid="{00000000-0005-0000-0000-00001D150000}"/>
    <cellStyle name="Normal 3 4 3 3 5 2 2 3" xfId="13832" xr:uid="{00000000-0005-0000-0000-00001E150000}"/>
    <cellStyle name="Normal 3 4 3 3 5 2 3" xfId="17460" xr:uid="{00000000-0005-0000-0000-00001F150000}"/>
    <cellStyle name="Normal 3 4 3 3 5 2 4" xfId="10204" xr:uid="{00000000-0005-0000-0000-000020150000}"/>
    <cellStyle name="Normal 3 4 3 3 5 3" xfId="4762" xr:uid="{00000000-0005-0000-0000-000021150000}"/>
    <cellStyle name="Normal 3 4 3 3 5 3 2" xfId="19274" xr:uid="{00000000-0005-0000-0000-000022150000}"/>
    <cellStyle name="Normal 3 4 3 3 5 3 3" xfId="12018" xr:uid="{00000000-0005-0000-0000-000023150000}"/>
    <cellStyle name="Normal 3 4 3 3 5 4" xfId="15646" xr:uid="{00000000-0005-0000-0000-000024150000}"/>
    <cellStyle name="Normal 3 4 3 3 5 5" xfId="8390" xr:uid="{00000000-0005-0000-0000-000025150000}"/>
    <cellStyle name="Normal 3 4 3 3 6" xfId="2041" xr:uid="{00000000-0005-0000-0000-000026150000}"/>
    <cellStyle name="Normal 3 4 3 3 6 2" xfId="5669" xr:uid="{00000000-0005-0000-0000-000027150000}"/>
    <cellStyle name="Normal 3 4 3 3 6 2 2" xfId="20181" xr:uid="{00000000-0005-0000-0000-000028150000}"/>
    <cellStyle name="Normal 3 4 3 3 6 2 3" xfId="12925" xr:uid="{00000000-0005-0000-0000-000029150000}"/>
    <cellStyle name="Normal 3 4 3 3 6 3" xfId="16553" xr:uid="{00000000-0005-0000-0000-00002A150000}"/>
    <cellStyle name="Normal 3 4 3 3 6 4" xfId="9297" xr:uid="{00000000-0005-0000-0000-00002B150000}"/>
    <cellStyle name="Normal 3 4 3 3 7" xfId="3855" xr:uid="{00000000-0005-0000-0000-00002C150000}"/>
    <cellStyle name="Normal 3 4 3 3 7 2" xfId="18367" xr:uid="{00000000-0005-0000-0000-00002D150000}"/>
    <cellStyle name="Normal 3 4 3 3 7 3" xfId="11111" xr:uid="{00000000-0005-0000-0000-00002E150000}"/>
    <cellStyle name="Normal 3 4 3 3 8" xfId="14739" xr:uid="{00000000-0005-0000-0000-00002F150000}"/>
    <cellStyle name="Normal 3 4 3 3 9" xfId="7483" xr:uid="{00000000-0005-0000-0000-000030150000}"/>
    <cellStyle name="Normal 3 4 3 4" xfId="140" xr:uid="{00000000-0005-0000-0000-000031150000}"/>
    <cellStyle name="Normal 3 4 3 4 2" xfId="486" xr:uid="{00000000-0005-0000-0000-000032150000}"/>
    <cellStyle name="Normal 3 4 3 4 2 2" xfId="1394" xr:uid="{00000000-0005-0000-0000-000033150000}"/>
    <cellStyle name="Normal 3 4 3 4 2 2 2" xfId="3208" xr:uid="{00000000-0005-0000-0000-000034150000}"/>
    <cellStyle name="Normal 3 4 3 4 2 2 2 2" xfId="6836" xr:uid="{00000000-0005-0000-0000-000035150000}"/>
    <cellStyle name="Normal 3 4 3 4 2 2 2 2 2" xfId="21348" xr:uid="{00000000-0005-0000-0000-000036150000}"/>
    <cellStyle name="Normal 3 4 3 4 2 2 2 2 3" xfId="14092" xr:uid="{00000000-0005-0000-0000-000037150000}"/>
    <cellStyle name="Normal 3 4 3 4 2 2 2 3" xfId="17720" xr:uid="{00000000-0005-0000-0000-000038150000}"/>
    <cellStyle name="Normal 3 4 3 4 2 2 2 4" xfId="10464" xr:uid="{00000000-0005-0000-0000-000039150000}"/>
    <cellStyle name="Normal 3 4 3 4 2 2 3" xfId="5022" xr:uid="{00000000-0005-0000-0000-00003A150000}"/>
    <cellStyle name="Normal 3 4 3 4 2 2 3 2" xfId="19534" xr:uid="{00000000-0005-0000-0000-00003B150000}"/>
    <cellStyle name="Normal 3 4 3 4 2 2 3 3" xfId="12278" xr:uid="{00000000-0005-0000-0000-00003C150000}"/>
    <cellStyle name="Normal 3 4 3 4 2 2 4" xfId="15906" xr:uid="{00000000-0005-0000-0000-00003D150000}"/>
    <cellStyle name="Normal 3 4 3 4 2 2 5" xfId="8650" xr:uid="{00000000-0005-0000-0000-00003E150000}"/>
    <cellStyle name="Normal 3 4 3 4 2 3" xfId="2301" xr:uid="{00000000-0005-0000-0000-00003F150000}"/>
    <cellStyle name="Normal 3 4 3 4 2 3 2" xfId="5929" xr:uid="{00000000-0005-0000-0000-000040150000}"/>
    <cellStyle name="Normal 3 4 3 4 2 3 2 2" xfId="20441" xr:uid="{00000000-0005-0000-0000-000041150000}"/>
    <cellStyle name="Normal 3 4 3 4 2 3 2 3" xfId="13185" xr:uid="{00000000-0005-0000-0000-000042150000}"/>
    <cellStyle name="Normal 3 4 3 4 2 3 3" xfId="16813" xr:uid="{00000000-0005-0000-0000-000043150000}"/>
    <cellStyle name="Normal 3 4 3 4 2 3 4" xfId="9557" xr:uid="{00000000-0005-0000-0000-000044150000}"/>
    <cellStyle name="Normal 3 4 3 4 2 4" xfId="4115" xr:uid="{00000000-0005-0000-0000-000045150000}"/>
    <cellStyle name="Normal 3 4 3 4 2 4 2" xfId="18627" xr:uid="{00000000-0005-0000-0000-000046150000}"/>
    <cellStyle name="Normal 3 4 3 4 2 4 3" xfId="11371" xr:uid="{00000000-0005-0000-0000-000047150000}"/>
    <cellStyle name="Normal 3 4 3 4 2 5" xfId="14999" xr:uid="{00000000-0005-0000-0000-000048150000}"/>
    <cellStyle name="Normal 3 4 3 4 2 6" xfId="7743" xr:uid="{00000000-0005-0000-0000-000049150000}"/>
    <cellStyle name="Normal 3 4 3 4 3" xfId="1048" xr:uid="{00000000-0005-0000-0000-00004A150000}"/>
    <cellStyle name="Normal 3 4 3 4 3 2" xfId="2862" xr:uid="{00000000-0005-0000-0000-00004B150000}"/>
    <cellStyle name="Normal 3 4 3 4 3 2 2" xfId="6490" xr:uid="{00000000-0005-0000-0000-00004C150000}"/>
    <cellStyle name="Normal 3 4 3 4 3 2 2 2" xfId="21002" xr:uid="{00000000-0005-0000-0000-00004D150000}"/>
    <cellStyle name="Normal 3 4 3 4 3 2 2 3" xfId="13746" xr:uid="{00000000-0005-0000-0000-00004E150000}"/>
    <cellStyle name="Normal 3 4 3 4 3 2 3" xfId="17374" xr:uid="{00000000-0005-0000-0000-00004F150000}"/>
    <cellStyle name="Normal 3 4 3 4 3 2 4" xfId="10118" xr:uid="{00000000-0005-0000-0000-000050150000}"/>
    <cellStyle name="Normal 3 4 3 4 3 3" xfId="4676" xr:uid="{00000000-0005-0000-0000-000051150000}"/>
    <cellStyle name="Normal 3 4 3 4 3 3 2" xfId="19188" xr:uid="{00000000-0005-0000-0000-000052150000}"/>
    <cellStyle name="Normal 3 4 3 4 3 3 3" xfId="11932" xr:uid="{00000000-0005-0000-0000-000053150000}"/>
    <cellStyle name="Normal 3 4 3 4 3 4" xfId="15560" xr:uid="{00000000-0005-0000-0000-000054150000}"/>
    <cellStyle name="Normal 3 4 3 4 3 5" xfId="8304" xr:uid="{00000000-0005-0000-0000-000055150000}"/>
    <cellStyle name="Normal 3 4 3 4 4" xfId="1955" xr:uid="{00000000-0005-0000-0000-000056150000}"/>
    <cellStyle name="Normal 3 4 3 4 4 2" xfId="5583" xr:uid="{00000000-0005-0000-0000-000057150000}"/>
    <cellStyle name="Normal 3 4 3 4 4 2 2" xfId="20095" xr:uid="{00000000-0005-0000-0000-000058150000}"/>
    <cellStyle name="Normal 3 4 3 4 4 2 3" xfId="12839" xr:uid="{00000000-0005-0000-0000-000059150000}"/>
    <cellStyle name="Normal 3 4 3 4 4 3" xfId="16467" xr:uid="{00000000-0005-0000-0000-00005A150000}"/>
    <cellStyle name="Normal 3 4 3 4 4 4" xfId="9211" xr:uid="{00000000-0005-0000-0000-00005B150000}"/>
    <cellStyle name="Normal 3 4 3 4 5" xfId="3769" xr:uid="{00000000-0005-0000-0000-00005C150000}"/>
    <cellStyle name="Normal 3 4 3 4 5 2" xfId="18281" xr:uid="{00000000-0005-0000-0000-00005D150000}"/>
    <cellStyle name="Normal 3 4 3 4 5 3" xfId="11025" xr:uid="{00000000-0005-0000-0000-00005E150000}"/>
    <cellStyle name="Normal 3 4 3 4 6" xfId="14653" xr:uid="{00000000-0005-0000-0000-00005F150000}"/>
    <cellStyle name="Normal 3 4 3 4 7" xfId="7397" xr:uid="{00000000-0005-0000-0000-000060150000}"/>
    <cellStyle name="Normal 3 4 3 5" xfId="270" xr:uid="{00000000-0005-0000-0000-000061150000}"/>
    <cellStyle name="Normal 3 4 3 5 2" xfId="616" xr:uid="{00000000-0005-0000-0000-000062150000}"/>
    <cellStyle name="Normal 3 4 3 5 2 2" xfId="1524" xr:uid="{00000000-0005-0000-0000-000063150000}"/>
    <cellStyle name="Normal 3 4 3 5 2 2 2" xfId="3338" xr:uid="{00000000-0005-0000-0000-000064150000}"/>
    <cellStyle name="Normal 3 4 3 5 2 2 2 2" xfId="6966" xr:uid="{00000000-0005-0000-0000-000065150000}"/>
    <cellStyle name="Normal 3 4 3 5 2 2 2 2 2" xfId="21478" xr:uid="{00000000-0005-0000-0000-000066150000}"/>
    <cellStyle name="Normal 3 4 3 5 2 2 2 2 3" xfId="14222" xr:uid="{00000000-0005-0000-0000-000067150000}"/>
    <cellStyle name="Normal 3 4 3 5 2 2 2 3" xfId="17850" xr:uid="{00000000-0005-0000-0000-000068150000}"/>
    <cellStyle name="Normal 3 4 3 5 2 2 2 4" xfId="10594" xr:uid="{00000000-0005-0000-0000-000069150000}"/>
    <cellStyle name="Normal 3 4 3 5 2 2 3" xfId="5152" xr:uid="{00000000-0005-0000-0000-00006A150000}"/>
    <cellStyle name="Normal 3 4 3 5 2 2 3 2" xfId="19664" xr:uid="{00000000-0005-0000-0000-00006B150000}"/>
    <cellStyle name="Normal 3 4 3 5 2 2 3 3" xfId="12408" xr:uid="{00000000-0005-0000-0000-00006C150000}"/>
    <cellStyle name="Normal 3 4 3 5 2 2 4" xfId="16036" xr:uid="{00000000-0005-0000-0000-00006D150000}"/>
    <cellStyle name="Normal 3 4 3 5 2 2 5" xfId="8780" xr:uid="{00000000-0005-0000-0000-00006E150000}"/>
    <cellStyle name="Normal 3 4 3 5 2 3" xfId="2431" xr:uid="{00000000-0005-0000-0000-00006F150000}"/>
    <cellStyle name="Normal 3 4 3 5 2 3 2" xfId="6059" xr:uid="{00000000-0005-0000-0000-000070150000}"/>
    <cellStyle name="Normal 3 4 3 5 2 3 2 2" xfId="20571" xr:uid="{00000000-0005-0000-0000-000071150000}"/>
    <cellStyle name="Normal 3 4 3 5 2 3 2 3" xfId="13315" xr:uid="{00000000-0005-0000-0000-000072150000}"/>
    <cellStyle name="Normal 3 4 3 5 2 3 3" xfId="16943" xr:uid="{00000000-0005-0000-0000-000073150000}"/>
    <cellStyle name="Normal 3 4 3 5 2 3 4" xfId="9687" xr:uid="{00000000-0005-0000-0000-000074150000}"/>
    <cellStyle name="Normal 3 4 3 5 2 4" xfId="4245" xr:uid="{00000000-0005-0000-0000-000075150000}"/>
    <cellStyle name="Normal 3 4 3 5 2 4 2" xfId="18757" xr:uid="{00000000-0005-0000-0000-000076150000}"/>
    <cellStyle name="Normal 3 4 3 5 2 4 3" xfId="11501" xr:uid="{00000000-0005-0000-0000-000077150000}"/>
    <cellStyle name="Normal 3 4 3 5 2 5" xfId="15129" xr:uid="{00000000-0005-0000-0000-000078150000}"/>
    <cellStyle name="Normal 3 4 3 5 2 6" xfId="7873" xr:uid="{00000000-0005-0000-0000-000079150000}"/>
    <cellStyle name="Normal 3 4 3 5 3" xfId="1178" xr:uid="{00000000-0005-0000-0000-00007A150000}"/>
    <cellStyle name="Normal 3 4 3 5 3 2" xfId="2992" xr:uid="{00000000-0005-0000-0000-00007B150000}"/>
    <cellStyle name="Normal 3 4 3 5 3 2 2" xfId="6620" xr:uid="{00000000-0005-0000-0000-00007C150000}"/>
    <cellStyle name="Normal 3 4 3 5 3 2 2 2" xfId="21132" xr:uid="{00000000-0005-0000-0000-00007D150000}"/>
    <cellStyle name="Normal 3 4 3 5 3 2 2 3" xfId="13876" xr:uid="{00000000-0005-0000-0000-00007E150000}"/>
    <cellStyle name="Normal 3 4 3 5 3 2 3" xfId="17504" xr:uid="{00000000-0005-0000-0000-00007F150000}"/>
    <cellStyle name="Normal 3 4 3 5 3 2 4" xfId="10248" xr:uid="{00000000-0005-0000-0000-000080150000}"/>
    <cellStyle name="Normal 3 4 3 5 3 3" xfId="4806" xr:uid="{00000000-0005-0000-0000-000081150000}"/>
    <cellStyle name="Normal 3 4 3 5 3 3 2" xfId="19318" xr:uid="{00000000-0005-0000-0000-000082150000}"/>
    <cellStyle name="Normal 3 4 3 5 3 3 3" xfId="12062" xr:uid="{00000000-0005-0000-0000-000083150000}"/>
    <cellStyle name="Normal 3 4 3 5 3 4" xfId="15690" xr:uid="{00000000-0005-0000-0000-000084150000}"/>
    <cellStyle name="Normal 3 4 3 5 3 5" xfId="8434" xr:uid="{00000000-0005-0000-0000-000085150000}"/>
    <cellStyle name="Normal 3 4 3 5 4" xfId="2085" xr:uid="{00000000-0005-0000-0000-000086150000}"/>
    <cellStyle name="Normal 3 4 3 5 4 2" xfId="5713" xr:uid="{00000000-0005-0000-0000-000087150000}"/>
    <cellStyle name="Normal 3 4 3 5 4 2 2" xfId="20225" xr:uid="{00000000-0005-0000-0000-000088150000}"/>
    <cellStyle name="Normal 3 4 3 5 4 2 3" xfId="12969" xr:uid="{00000000-0005-0000-0000-000089150000}"/>
    <cellStyle name="Normal 3 4 3 5 4 3" xfId="16597" xr:uid="{00000000-0005-0000-0000-00008A150000}"/>
    <cellStyle name="Normal 3 4 3 5 4 4" xfId="9341" xr:uid="{00000000-0005-0000-0000-00008B150000}"/>
    <cellStyle name="Normal 3 4 3 5 5" xfId="3899" xr:uid="{00000000-0005-0000-0000-00008C150000}"/>
    <cellStyle name="Normal 3 4 3 5 5 2" xfId="18411" xr:uid="{00000000-0005-0000-0000-00008D150000}"/>
    <cellStyle name="Normal 3 4 3 5 5 3" xfId="11155" xr:uid="{00000000-0005-0000-0000-00008E150000}"/>
    <cellStyle name="Normal 3 4 3 5 6" xfId="14783" xr:uid="{00000000-0005-0000-0000-00008F150000}"/>
    <cellStyle name="Normal 3 4 3 5 7" xfId="7527" xr:uid="{00000000-0005-0000-0000-000090150000}"/>
    <cellStyle name="Normal 3 4 3 6" xfId="746" xr:uid="{00000000-0005-0000-0000-000091150000}"/>
    <cellStyle name="Normal 3 4 3 6 2" xfId="1654" xr:uid="{00000000-0005-0000-0000-000092150000}"/>
    <cellStyle name="Normal 3 4 3 6 2 2" xfId="3468" xr:uid="{00000000-0005-0000-0000-000093150000}"/>
    <cellStyle name="Normal 3 4 3 6 2 2 2" xfId="7096" xr:uid="{00000000-0005-0000-0000-000094150000}"/>
    <cellStyle name="Normal 3 4 3 6 2 2 2 2" xfId="21608" xr:uid="{00000000-0005-0000-0000-000095150000}"/>
    <cellStyle name="Normal 3 4 3 6 2 2 2 3" xfId="14352" xr:uid="{00000000-0005-0000-0000-000096150000}"/>
    <cellStyle name="Normal 3 4 3 6 2 2 3" xfId="17980" xr:uid="{00000000-0005-0000-0000-000097150000}"/>
    <cellStyle name="Normal 3 4 3 6 2 2 4" xfId="10724" xr:uid="{00000000-0005-0000-0000-000098150000}"/>
    <cellStyle name="Normal 3 4 3 6 2 3" xfId="5282" xr:uid="{00000000-0005-0000-0000-000099150000}"/>
    <cellStyle name="Normal 3 4 3 6 2 3 2" xfId="19794" xr:uid="{00000000-0005-0000-0000-00009A150000}"/>
    <cellStyle name="Normal 3 4 3 6 2 3 3" xfId="12538" xr:uid="{00000000-0005-0000-0000-00009B150000}"/>
    <cellStyle name="Normal 3 4 3 6 2 4" xfId="16166" xr:uid="{00000000-0005-0000-0000-00009C150000}"/>
    <cellStyle name="Normal 3 4 3 6 2 5" xfId="8910" xr:uid="{00000000-0005-0000-0000-00009D150000}"/>
    <cellStyle name="Normal 3 4 3 6 3" xfId="2561" xr:uid="{00000000-0005-0000-0000-00009E150000}"/>
    <cellStyle name="Normal 3 4 3 6 3 2" xfId="6189" xr:uid="{00000000-0005-0000-0000-00009F150000}"/>
    <cellStyle name="Normal 3 4 3 6 3 2 2" xfId="20701" xr:uid="{00000000-0005-0000-0000-0000A0150000}"/>
    <cellStyle name="Normal 3 4 3 6 3 2 3" xfId="13445" xr:uid="{00000000-0005-0000-0000-0000A1150000}"/>
    <cellStyle name="Normal 3 4 3 6 3 3" xfId="17073" xr:uid="{00000000-0005-0000-0000-0000A2150000}"/>
    <cellStyle name="Normal 3 4 3 6 3 4" xfId="9817" xr:uid="{00000000-0005-0000-0000-0000A3150000}"/>
    <cellStyle name="Normal 3 4 3 6 4" xfId="4375" xr:uid="{00000000-0005-0000-0000-0000A4150000}"/>
    <cellStyle name="Normal 3 4 3 6 4 2" xfId="18887" xr:uid="{00000000-0005-0000-0000-0000A5150000}"/>
    <cellStyle name="Normal 3 4 3 6 4 3" xfId="11631" xr:uid="{00000000-0005-0000-0000-0000A6150000}"/>
    <cellStyle name="Normal 3 4 3 6 5" xfId="15259" xr:uid="{00000000-0005-0000-0000-0000A7150000}"/>
    <cellStyle name="Normal 3 4 3 6 6" xfId="8003" xr:uid="{00000000-0005-0000-0000-0000A8150000}"/>
    <cellStyle name="Normal 3 4 3 7" xfId="400" xr:uid="{00000000-0005-0000-0000-0000A9150000}"/>
    <cellStyle name="Normal 3 4 3 7 2" xfId="1308" xr:uid="{00000000-0005-0000-0000-0000AA150000}"/>
    <cellStyle name="Normal 3 4 3 7 2 2" xfId="3122" xr:uid="{00000000-0005-0000-0000-0000AB150000}"/>
    <cellStyle name="Normal 3 4 3 7 2 2 2" xfId="6750" xr:uid="{00000000-0005-0000-0000-0000AC150000}"/>
    <cellStyle name="Normal 3 4 3 7 2 2 2 2" xfId="21262" xr:uid="{00000000-0005-0000-0000-0000AD150000}"/>
    <cellStyle name="Normal 3 4 3 7 2 2 2 3" xfId="14006" xr:uid="{00000000-0005-0000-0000-0000AE150000}"/>
    <cellStyle name="Normal 3 4 3 7 2 2 3" xfId="17634" xr:uid="{00000000-0005-0000-0000-0000AF150000}"/>
    <cellStyle name="Normal 3 4 3 7 2 2 4" xfId="10378" xr:uid="{00000000-0005-0000-0000-0000B0150000}"/>
    <cellStyle name="Normal 3 4 3 7 2 3" xfId="4936" xr:uid="{00000000-0005-0000-0000-0000B1150000}"/>
    <cellStyle name="Normal 3 4 3 7 2 3 2" xfId="19448" xr:uid="{00000000-0005-0000-0000-0000B2150000}"/>
    <cellStyle name="Normal 3 4 3 7 2 3 3" xfId="12192" xr:uid="{00000000-0005-0000-0000-0000B3150000}"/>
    <cellStyle name="Normal 3 4 3 7 2 4" xfId="15820" xr:uid="{00000000-0005-0000-0000-0000B4150000}"/>
    <cellStyle name="Normal 3 4 3 7 2 5" xfId="8564" xr:uid="{00000000-0005-0000-0000-0000B5150000}"/>
    <cellStyle name="Normal 3 4 3 7 3" xfId="2215" xr:uid="{00000000-0005-0000-0000-0000B6150000}"/>
    <cellStyle name="Normal 3 4 3 7 3 2" xfId="5843" xr:uid="{00000000-0005-0000-0000-0000B7150000}"/>
    <cellStyle name="Normal 3 4 3 7 3 2 2" xfId="20355" xr:uid="{00000000-0005-0000-0000-0000B8150000}"/>
    <cellStyle name="Normal 3 4 3 7 3 2 3" xfId="13099" xr:uid="{00000000-0005-0000-0000-0000B9150000}"/>
    <cellStyle name="Normal 3 4 3 7 3 3" xfId="16727" xr:uid="{00000000-0005-0000-0000-0000BA150000}"/>
    <cellStyle name="Normal 3 4 3 7 3 4" xfId="9471" xr:uid="{00000000-0005-0000-0000-0000BB150000}"/>
    <cellStyle name="Normal 3 4 3 7 4" xfId="4029" xr:uid="{00000000-0005-0000-0000-0000BC150000}"/>
    <cellStyle name="Normal 3 4 3 7 4 2" xfId="18541" xr:uid="{00000000-0005-0000-0000-0000BD150000}"/>
    <cellStyle name="Normal 3 4 3 7 4 3" xfId="11285" xr:uid="{00000000-0005-0000-0000-0000BE150000}"/>
    <cellStyle name="Normal 3 4 3 7 5" xfId="14913" xr:uid="{00000000-0005-0000-0000-0000BF150000}"/>
    <cellStyle name="Normal 3 4 3 7 6" xfId="7657" xr:uid="{00000000-0005-0000-0000-0000C0150000}"/>
    <cellStyle name="Normal 3 4 3 8" xfId="873" xr:uid="{00000000-0005-0000-0000-0000C1150000}"/>
    <cellStyle name="Normal 3 4 3 8 2" xfId="1781" xr:uid="{00000000-0005-0000-0000-0000C2150000}"/>
    <cellStyle name="Normal 3 4 3 8 2 2" xfId="3595" xr:uid="{00000000-0005-0000-0000-0000C3150000}"/>
    <cellStyle name="Normal 3 4 3 8 2 2 2" xfId="7223" xr:uid="{00000000-0005-0000-0000-0000C4150000}"/>
    <cellStyle name="Normal 3 4 3 8 2 2 2 2" xfId="21735" xr:uid="{00000000-0005-0000-0000-0000C5150000}"/>
    <cellStyle name="Normal 3 4 3 8 2 2 2 3" xfId="14479" xr:uid="{00000000-0005-0000-0000-0000C6150000}"/>
    <cellStyle name="Normal 3 4 3 8 2 2 3" xfId="18107" xr:uid="{00000000-0005-0000-0000-0000C7150000}"/>
    <cellStyle name="Normal 3 4 3 8 2 2 4" xfId="10851" xr:uid="{00000000-0005-0000-0000-0000C8150000}"/>
    <cellStyle name="Normal 3 4 3 8 2 3" xfId="5409" xr:uid="{00000000-0005-0000-0000-0000C9150000}"/>
    <cellStyle name="Normal 3 4 3 8 2 3 2" xfId="19921" xr:uid="{00000000-0005-0000-0000-0000CA150000}"/>
    <cellStyle name="Normal 3 4 3 8 2 3 3" xfId="12665" xr:uid="{00000000-0005-0000-0000-0000CB150000}"/>
    <cellStyle name="Normal 3 4 3 8 2 4" xfId="16293" xr:uid="{00000000-0005-0000-0000-0000CC150000}"/>
    <cellStyle name="Normal 3 4 3 8 2 5" xfId="9037" xr:uid="{00000000-0005-0000-0000-0000CD150000}"/>
    <cellStyle name="Normal 3 4 3 8 3" xfId="2688" xr:uid="{00000000-0005-0000-0000-0000CE150000}"/>
    <cellStyle name="Normal 3 4 3 8 3 2" xfId="6316" xr:uid="{00000000-0005-0000-0000-0000CF150000}"/>
    <cellStyle name="Normal 3 4 3 8 3 2 2" xfId="20828" xr:uid="{00000000-0005-0000-0000-0000D0150000}"/>
    <cellStyle name="Normal 3 4 3 8 3 2 3" xfId="13572" xr:uid="{00000000-0005-0000-0000-0000D1150000}"/>
    <cellStyle name="Normal 3 4 3 8 3 3" xfId="17200" xr:uid="{00000000-0005-0000-0000-0000D2150000}"/>
    <cellStyle name="Normal 3 4 3 8 3 4" xfId="9944" xr:uid="{00000000-0005-0000-0000-0000D3150000}"/>
    <cellStyle name="Normal 3 4 3 8 4" xfId="4502" xr:uid="{00000000-0005-0000-0000-0000D4150000}"/>
    <cellStyle name="Normal 3 4 3 8 4 2" xfId="19014" xr:uid="{00000000-0005-0000-0000-0000D5150000}"/>
    <cellStyle name="Normal 3 4 3 8 4 3" xfId="11758" xr:uid="{00000000-0005-0000-0000-0000D6150000}"/>
    <cellStyle name="Normal 3 4 3 8 5" xfId="15386" xr:uid="{00000000-0005-0000-0000-0000D7150000}"/>
    <cellStyle name="Normal 3 4 3 8 6" xfId="8130" xr:uid="{00000000-0005-0000-0000-0000D8150000}"/>
    <cellStyle name="Normal 3 4 3 9" xfId="962" xr:uid="{00000000-0005-0000-0000-0000D9150000}"/>
    <cellStyle name="Normal 3 4 3 9 2" xfId="2776" xr:uid="{00000000-0005-0000-0000-0000DA150000}"/>
    <cellStyle name="Normal 3 4 3 9 2 2" xfId="6404" xr:uid="{00000000-0005-0000-0000-0000DB150000}"/>
    <cellStyle name="Normal 3 4 3 9 2 2 2" xfId="20916" xr:uid="{00000000-0005-0000-0000-0000DC150000}"/>
    <cellStyle name="Normal 3 4 3 9 2 2 3" xfId="13660" xr:uid="{00000000-0005-0000-0000-0000DD150000}"/>
    <cellStyle name="Normal 3 4 3 9 2 3" xfId="17288" xr:uid="{00000000-0005-0000-0000-0000DE150000}"/>
    <cellStyle name="Normal 3 4 3 9 2 4" xfId="10032" xr:uid="{00000000-0005-0000-0000-0000DF150000}"/>
    <cellStyle name="Normal 3 4 3 9 3" xfId="4590" xr:uid="{00000000-0005-0000-0000-0000E0150000}"/>
    <cellStyle name="Normal 3 4 3 9 3 2" xfId="19102" xr:uid="{00000000-0005-0000-0000-0000E1150000}"/>
    <cellStyle name="Normal 3 4 3 9 3 3" xfId="11846" xr:uid="{00000000-0005-0000-0000-0000E2150000}"/>
    <cellStyle name="Normal 3 4 3 9 4" xfId="15474" xr:uid="{00000000-0005-0000-0000-0000E3150000}"/>
    <cellStyle name="Normal 3 4 3 9 5" xfId="8218" xr:uid="{00000000-0005-0000-0000-0000E4150000}"/>
    <cellStyle name="Normal 3 4 4" xfId="73" xr:uid="{00000000-0005-0000-0000-0000E5150000}"/>
    <cellStyle name="Normal 3 4 4 10" xfId="14588" xr:uid="{00000000-0005-0000-0000-0000E6150000}"/>
    <cellStyle name="Normal 3 4 4 11" xfId="7332" xr:uid="{00000000-0005-0000-0000-0000E7150000}"/>
    <cellStyle name="Normal 3 4 4 2" xfId="161" xr:uid="{00000000-0005-0000-0000-0000E8150000}"/>
    <cellStyle name="Normal 3 4 4 2 2" xfId="507" xr:uid="{00000000-0005-0000-0000-0000E9150000}"/>
    <cellStyle name="Normal 3 4 4 2 2 2" xfId="1415" xr:uid="{00000000-0005-0000-0000-0000EA150000}"/>
    <cellStyle name="Normal 3 4 4 2 2 2 2" xfId="3229" xr:uid="{00000000-0005-0000-0000-0000EB150000}"/>
    <cellStyle name="Normal 3 4 4 2 2 2 2 2" xfId="6857" xr:uid="{00000000-0005-0000-0000-0000EC150000}"/>
    <cellStyle name="Normal 3 4 4 2 2 2 2 2 2" xfId="21369" xr:uid="{00000000-0005-0000-0000-0000ED150000}"/>
    <cellStyle name="Normal 3 4 4 2 2 2 2 2 3" xfId="14113" xr:uid="{00000000-0005-0000-0000-0000EE150000}"/>
    <cellStyle name="Normal 3 4 4 2 2 2 2 3" xfId="17741" xr:uid="{00000000-0005-0000-0000-0000EF150000}"/>
    <cellStyle name="Normal 3 4 4 2 2 2 2 4" xfId="10485" xr:uid="{00000000-0005-0000-0000-0000F0150000}"/>
    <cellStyle name="Normal 3 4 4 2 2 2 3" xfId="5043" xr:uid="{00000000-0005-0000-0000-0000F1150000}"/>
    <cellStyle name="Normal 3 4 4 2 2 2 3 2" xfId="19555" xr:uid="{00000000-0005-0000-0000-0000F2150000}"/>
    <cellStyle name="Normal 3 4 4 2 2 2 3 3" xfId="12299" xr:uid="{00000000-0005-0000-0000-0000F3150000}"/>
    <cellStyle name="Normal 3 4 4 2 2 2 4" xfId="15927" xr:uid="{00000000-0005-0000-0000-0000F4150000}"/>
    <cellStyle name="Normal 3 4 4 2 2 2 5" xfId="8671" xr:uid="{00000000-0005-0000-0000-0000F5150000}"/>
    <cellStyle name="Normal 3 4 4 2 2 3" xfId="2322" xr:uid="{00000000-0005-0000-0000-0000F6150000}"/>
    <cellStyle name="Normal 3 4 4 2 2 3 2" xfId="5950" xr:uid="{00000000-0005-0000-0000-0000F7150000}"/>
    <cellStyle name="Normal 3 4 4 2 2 3 2 2" xfId="20462" xr:uid="{00000000-0005-0000-0000-0000F8150000}"/>
    <cellStyle name="Normal 3 4 4 2 2 3 2 3" xfId="13206" xr:uid="{00000000-0005-0000-0000-0000F9150000}"/>
    <cellStyle name="Normal 3 4 4 2 2 3 3" xfId="16834" xr:uid="{00000000-0005-0000-0000-0000FA150000}"/>
    <cellStyle name="Normal 3 4 4 2 2 3 4" xfId="9578" xr:uid="{00000000-0005-0000-0000-0000FB150000}"/>
    <cellStyle name="Normal 3 4 4 2 2 4" xfId="4136" xr:uid="{00000000-0005-0000-0000-0000FC150000}"/>
    <cellStyle name="Normal 3 4 4 2 2 4 2" xfId="18648" xr:uid="{00000000-0005-0000-0000-0000FD150000}"/>
    <cellStyle name="Normal 3 4 4 2 2 4 3" xfId="11392" xr:uid="{00000000-0005-0000-0000-0000FE150000}"/>
    <cellStyle name="Normal 3 4 4 2 2 5" xfId="15020" xr:uid="{00000000-0005-0000-0000-0000FF150000}"/>
    <cellStyle name="Normal 3 4 4 2 2 6" xfId="7764" xr:uid="{00000000-0005-0000-0000-000000160000}"/>
    <cellStyle name="Normal 3 4 4 2 3" xfId="1069" xr:uid="{00000000-0005-0000-0000-000001160000}"/>
    <cellStyle name="Normal 3 4 4 2 3 2" xfId="2883" xr:uid="{00000000-0005-0000-0000-000002160000}"/>
    <cellStyle name="Normal 3 4 4 2 3 2 2" xfId="6511" xr:uid="{00000000-0005-0000-0000-000003160000}"/>
    <cellStyle name="Normal 3 4 4 2 3 2 2 2" xfId="21023" xr:uid="{00000000-0005-0000-0000-000004160000}"/>
    <cellStyle name="Normal 3 4 4 2 3 2 2 3" xfId="13767" xr:uid="{00000000-0005-0000-0000-000005160000}"/>
    <cellStyle name="Normal 3 4 4 2 3 2 3" xfId="17395" xr:uid="{00000000-0005-0000-0000-000006160000}"/>
    <cellStyle name="Normal 3 4 4 2 3 2 4" xfId="10139" xr:uid="{00000000-0005-0000-0000-000007160000}"/>
    <cellStyle name="Normal 3 4 4 2 3 3" xfId="4697" xr:uid="{00000000-0005-0000-0000-000008160000}"/>
    <cellStyle name="Normal 3 4 4 2 3 3 2" xfId="19209" xr:uid="{00000000-0005-0000-0000-000009160000}"/>
    <cellStyle name="Normal 3 4 4 2 3 3 3" xfId="11953" xr:uid="{00000000-0005-0000-0000-00000A160000}"/>
    <cellStyle name="Normal 3 4 4 2 3 4" xfId="15581" xr:uid="{00000000-0005-0000-0000-00000B160000}"/>
    <cellStyle name="Normal 3 4 4 2 3 5" xfId="8325" xr:uid="{00000000-0005-0000-0000-00000C160000}"/>
    <cellStyle name="Normal 3 4 4 2 4" xfId="1976" xr:uid="{00000000-0005-0000-0000-00000D160000}"/>
    <cellStyle name="Normal 3 4 4 2 4 2" xfId="5604" xr:uid="{00000000-0005-0000-0000-00000E160000}"/>
    <cellStyle name="Normal 3 4 4 2 4 2 2" xfId="20116" xr:uid="{00000000-0005-0000-0000-00000F160000}"/>
    <cellStyle name="Normal 3 4 4 2 4 2 3" xfId="12860" xr:uid="{00000000-0005-0000-0000-000010160000}"/>
    <cellStyle name="Normal 3 4 4 2 4 3" xfId="16488" xr:uid="{00000000-0005-0000-0000-000011160000}"/>
    <cellStyle name="Normal 3 4 4 2 4 4" xfId="9232" xr:uid="{00000000-0005-0000-0000-000012160000}"/>
    <cellStyle name="Normal 3 4 4 2 5" xfId="3790" xr:uid="{00000000-0005-0000-0000-000013160000}"/>
    <cellStyle name="Normal 3 4 4 2 5 2" xfId="18302" xr:uid="{00000000-0005-0000-0000-000014160000}"/>
    <cellStyle name="Normal 3 4 4 2 5 3" xfId="11046" xr:uid="{00000000-0005-0000-0000-000015160000}"/>
    <cellStyle name="Normal 3 4 4 2 6" xfId="14674" xr:uid="{00000000-0005-0000-0000-000016160000}"/>
    <cellStyle name="Normal 3 4 4 2 7" xfId="7418" xr:uid="{00000000-0005-0000-0000-000017160000}"/>
    <cellStyle name="Normal 3 4 4 3" xfId="291" xr:uid="{00000000-0005-0000-0000-000018160000}"/>
    <cellStyle name="Normal 3 4 4 3 2" xfId="637" xr:uid="{00000000-0005-0000-0000-000019160000}"/>
    <cellStyle name="Normal 3 4 4 3 2 2" xfId="1545" xr:uid="{00000000-0005-0000-0000-00001A160000}"/>
    <cellStyle name="Normal 3 4 4 3 2 2 2" xfId="3359" xr:uid="{00000000-0005-0000-0000-00001B160000}"/>
    <cellStyle name="Normal 3 4 4 3 2 2 2 2" xfId="6987" xr:uid="{00000000-0005-0000-0000-00001C160000}"/>
    <cellStyle name="Normal 3 4 4 3 2 2 2 2 2" xfId="21499" xr:uid="{00000000-0005-0000-0000-00001D160000}"/>
    <cellStyle name="Normal 3 4 4 3 2 2 2 2 3" xfId="14243" xr:uid="{00000000-0005-0000-0000-00001E160000}"/>
    <cellStyle name="Normal 3 4 4 3 2 2 2 3" xfId="17871" xr:uid="{00000000-0005-0000-0000-00001F160000}"/>
    <cellStyle name="Normal 3 4 4 3 2 2 2 4" xfId="10615" xr:uid="{00000000-0005-0000-0000-000020160000}"/>
    <cellStyle name="Normal 3 4 4 3 2 2 3" xfId="5173" xr:uid="{00000000-0005-0000-0000-000021160000}"/>
    <cellStyle name="Normal 3 4 4 3 2 2 3 2" xfId="19685" xr:uid="{00000000-0005-0000-0000-000022160000}"/>
    <cellStyle name="Normal 3 4 4 3 2 2 3 3" xfId="12429" xr:uid="{00000000-0005-0000-0000-000023160000}"/>
    <cellStyle name="Normal 3 4 4 3 2 2 4" xfId="16057" xr:uid="{00000000-0005-0000-0000-000024160000}"/>
    <cellStyle name="Normal 3 4 4 3 2 2 5" xfId="8801" xr:uid="{00000000-0005-0000-0000-000025160000}"/>
    <cellStyle name="Normal 3 4 4 3 2 3" xfId="2452" xr:uid="{00000000-0005-0000-0000-000026160000}"/>
    <cellStyle name="Normal 3 4 4 3 2 3 2" xfId="6080" xr:uid="{00000000-0005-0000-0000-000027160000}"/>
    <cellStyle name="Normal 3 4 4 3 2 3 2 2" xfId="20592" xr:uid="{00000000-0005-0000-0000-000028160000}"/>
    <cellStyle name="Normal 3 4 4 3 2 3 2 3" xfId="13336" xr:uid="{00000000-0005-0000-0000-000029160000}"/>
    <cellStyle name="Normal 3 4 4 3 2 3 3" xfId="16964" xr:uid="{00000000-0005-0000-0000-00002A160000}"/>
    <cellStyle name="Normal 3 4 4 3 2 3 4" xfId="9708" xr:uid="{00000000-0005-0000-0000-00002B160000}"/>
    <cellStyle name="Normal 3 4 4 3 2 4" xfId="4266" xr:uid="{00000000-0005-0000-0000-00002C160000}"/>
    <cellStyle name="Normal 3 4 4 3 2 4 2" xfId="18778" xr:uid="{00000000-0005-0000-0000-00002D160000}"/>
    <cellStyle name="Normal 3 4 4 3 2 4 3" xfId="11522" xr:uid="{00000000-0005-0000-0000-00002E160000}"/>
    <cellStyle name="Normal 3 4 4 3 2 5" xfId="15150" xr:uid="{00000000-0005-0000-0000-00002F160000}"/>
    <cellStyle name="Normal 3 4 4 3 2 6" xfId="7894" xr:uid="{00000000-0005-0000-0000-000030160000}"/>
    <cellStyle name="Normal 3 4 4 3 3" xfId="1199" xr:uid="{00000000-0005-0000-0000-000031160000}"/>
    <cellStyle name="Normal 3 4 4 3 3 2" xfId="3013" xr:uid="{00000000-0005-0000-0000-000032160000}"/>
    <cellStyle name="Normal 3 4 4 3 3 2 2" xfId="6641" xr:uid="{00000000-0005-0000-0000-000033160000}"/>
    <cellStyle name="Normal 3 4 4 3 3 2 2 2" xfId="21153" xr:uid="{00000000-0005-0000-0000-000034160000}"/>
    <cellStyle name="Normal 3 4 4 3 3 2 2 3" xfId="13897" xr:uid="{00000000-0005-0000-0000-000035160000}"/>
    <cellStyle name="Normal 3 4 4 3 3 2 3" xfId="17525" xr:uid="{00000000-0005-0000-0000-000036160000}"/>
    <cellStyle name="Normal 3 4 4 3 3 2 4" xfId="10269" xr:uid="{00000000-0005-0000-0000-000037160000}"/>
    <cellStyle name="Normal 3 4 4 3 3 3" xfId="4827" xr:uid="{00000000-0005-0000-0000-000038160000}"/>
    <cellStyle name="Normal 3 4 4 3 3 3 2" xfId="19339" xr:uid="{00000000-0005-0000-0000-000039160000}"/>
    <cellStyle name="Normal 3 4 4 3 3 3 3" xfId="12083" xr:uid="{00000000-0005-0000-0000-00003A160000}"/>
    <cellStyle name="Normal 3 4 4 3 3 4" xfId="15711" xr:uid="{00000000-0005-0000-0000-00003B160000}"/>
    <cellStyle name="Normal 3 4 4 3 3 5" xfId="8455" xr:uid="{00000000-0005-0000-0000-00003C160000}"/>
    <cellStyle name="Normal 3 4 4 3 4" xfId="2106" xr:uid="{00000000-0005-0000-0000-00003D160000}"/>
    <cellStyle name="Normal 3 4 4 3 4 2" xfId="5734" xr:uid="{00000000-0005-0000-0000-00003E160000}"/>
    <cellStyle name="Normal 3 4 4 3 4 2 2" xfId="20246" xr:uid="{00000000-0005-0000-0000-00003F160000}"/>
    <cellStyle name="Normal 3 4 4 3 4 2 3" xfId="12990" xr:uid="{00000000-0005-0000-0000-000040160000}"/>
    <cellStyle name="Normal 3 4 4 3 4 3" xfId="16618" xr:uid="{00000000-0005-0000-0000-000041160000}"/>
    <cellStyle name="Normal 3 4 4 3 4 4" xfId="9362" xr:uid="{00000000-0005-0000-0000-000042160000}"/>
    <cellStyle name="Normal 3 4 4 3 5" xfId="3920" xr:uid="{00000000-0005-0000-0000-000043160000}"/>
    <cellStyle name="Normal 3 4 4 3 5 2" xfId="18432" xr:uid="{00000000-0005-0000-0000-000044160000}"/>
    <cellStyle name="Normal 3 4 4 3 5 3" xfId="11176" xr:uid="{00000000-0005-0000-0000-000045160000}"/>
    <cellStyle name="Normal 3 4 4 3 6" xfId="14804" xr:uid="{00000000-0005-0000-0000-000046160000}"/>
    <cellStyle name="Normal 3 4 4 3 7" xfId="7548" xr:uid="{00000000-0005-0000-0000-000047160000}"/>
    <cellStyle name="Normal 3 4 4 4" xfId="767" xr:uid="{00000000-0005-0000-0000-000048160000}"/>
    <cellStyle name="Normal 3 4 4 4 2" xfId="1675" xr:uid="{00000000-0005-0000-0000-000049160000}"/>
    <cellStyle name="Normal 3 4 4 4 2 2" xfId="3489" xr:uid="{00000000-0005-0000-0000-00004A160000}"/>
    <cellStyle name="Normal 3 4 4 4 2 2 2" xfId="7117" xr:uid="{00000000-0005-0000-0000-00004B160000}"/>
    <cellStyle name="Normal 3 4 4 4 2 2 2 2" xfId="21629" xr:uid="{00000000-0005-0000-0000-00004C160000}"/>
    <cellStyle name="Normal 3 4 4 4 2 2 2 3" xfId="14373" xr:uid="{00000000-0005-0000-0000-00004D160000}"/>
    <cellStyle name="Normal 3 4 4 4 2 2 3" xfId="18001" xr:uid="{00000000-0005-0000-0000-00004E160000}"/>
    <cellStyle name="Normal 3 4 4 4 2 2 4" xfId="10745" xr:uid="{00000000-0005-0000-0000-00004F160000}"/>
    <cellStyle name="Normal 3 4 4 4 2 3" xfId="5303" xr:uid="{00000000-0005-0000-0000-000050160000}"/>
    <cellStyle name="Normal 3 4 4 4 2 3 2" xfId="19815" xr:uid="{00000000-0005-0000-0000-000051160000}"/>
    <cellStyle name="Normal 3 4 4 4 2 3 3" xfId="12559" xr:uid="{00000000-0005-0000-0000-000052160000}"/>
    <cellStyle name="Normal 3 4 4 4 2 4" xfId="16187" xr:uid="{00000000-0005-0000-0000-000053160000}"/>
    <cellStyle name="Normal 3 4 4 4 2 5" xfId="8931" xr:uid="{00000000-0005-0000-0000-000054160000}"/>
    <cellStyle name="Normal 3 4 4 4 3" xfId="2582" xr:uid="{00000000-0005-0000-0000-000055160000}"/>
    <cellStyle name="Normal 3 4 4 4 3 2" xfId="6210" xr:uid="{00000000-0005-0000-0000-000056160000}"/>
    <cellStyle name="Normal 3 4 4 4 3 2 2" xfId="20722" xr:uid="{00000000-0005-0000-0000-000057160000}"/>
    <cellStyle name="Normal 3 4 4 4 3 2 3" xfId="13466" xr:uid="{00000000-0005-0000-0000-000058160000}"/>
    <cellStyle name="Normal 3 4 4 4 3 3" xfId="17094" xr:uid="{00000000-0005-0000-0000-000059160000}"/>
    <cellStyle name="Normal 3 4 4 4 3 4" xfId="9838" xr:uid="{00000000-0005-0000-0000-00005A160000}"/>
    <cellStyle name="Normal 3 4 4 4 4" xfId="4396" xr:uid="{00000000-0005-0000-0000-00005B160000}"/>
    <cellStyle name="Normal 3 4 4 4 4 2" xfId="18908" xr:uid="{00000000-0005-0000-0000-00005C160000}"/>
    <cellStyle name="Normal 3 4 4 4 4 3" xfId="11652" xr:uid="{00000000-0005-0000-0000-00005D160000}"/>
    <cellStyle name="Normal 3 4 4 4 5" xfId="15280" xr:uid="{00000000-0005-0000-0000-00005E160000}"/>
    <cellStyle name="Normal 3 4 4 4 6" xfId="8024" xr:uid="{00000000-0005-0000-0000-00005F160000}"/>
    <cellStyle name="Normal 3 4 4 5" xfId="421" xr:uid="{00000000-0005-0000-0000-000060160000}"/>
    <cellStyle name="Normal 3 4 4 5 2" xfId="1329" xr:uid="{00000000-0005-0000-0000-000061160000}"/>
    <cellStyle name="Normal 3 4 4 5 2 2" xfId="3143" xr:uid="{00000000-0005-0000-0000-000062160000}"/>
    <cellStyle name="Normal 3 4 4 5 2 2 2" xfId="6771" xr:uid="{00000000-0005-0000-0000-000063160000}"/>
    <cellStyle name="Normal 3 4 4 5 2 2 2 2" xfId="21283" xr:uid="{00000000-0005-0000-0000-000064160000}"/>
    <cellStyle name="Normal 3 4 4 5 2 2 2 3" xfId="14027" xr:uid="{00000000-0005-0000-0000-000065160000}"/>
    <cellStyle name="Normal 3 4 4 5 2 2 3" xfId="17655" xr:uid="{00000000-0005-0000-0000-000066160000}"/>
    <cellStyle name="Normal 3 4 4 5 2 2 4" xfId="10399" xr:uid="{00000000-0005-0000-0000-000067160000}"/>
    <cellStyle name="Normal 3 4 4 5 2 3" xfId="4957" xr:uid="{00000000-0005-0000-0000-000068160000}"/>
    <cellStyle name="Normal 3 4 4 5 2 3 2" xfId="19469" xr:uid="{00000000-0005-0000-0000-000069160000}"/>
    <cellStyle name="Normal 3 4 4 5 2 3 3" xfId="12213" xr:uid="{00000000-0005-0000-0000-00006A160000}"/>
    <cellStyle name="Normal 3 4 4 5 2 4" xfId="15841" xr:uid="{00000000-0005-0000-0000-00006B160000}"/>
    <cellStyle name="Normal 3 4 4 5 2 5" xfId="8585" xr:uid="{00000000-0005-0000-0000-00006C160000}"/>
    <cellStyle name="Normal 3 4 4 5 3" xfId="2236" xr:uid="{00000000-0005-0000-0000-00006D160000}"/>
    <cellStyle name="Normal 3 4 4 5 3 2" xfId="5864" xr:uid="{00000000-0005-0000-0000-00006E160000}"/>
    <cellStyle name="Normal 3 4 4 5 3 2 2" xfId="20376" xr:uid="{00000000-0005-0000-0000-00006F160000}"/>
    <cellStyle name="Normal 3 4 4 5 3 2 3" xfId="13120" xr:uid="{00000000-0005-0000-0000-000070160000}"/>
    <cellStyle name="Normal 3 4 4 5 3 3" xfId="16748" xr:uid="{00000000-0005-0000-0000-000071160000}"/>
    <cellStyle name="Normal 3 4 4 5 3 4" xfId="9492" xr:uid="{00000000-0005-0000-0000-000072160000}"/>
    <cellStyle name="Normal 3 4 4 5 4" xfId="4050" xr:uid="{00000000-0005-0000-0000-000073160000}"/>
    <cellStyle name="Normal 3 4 4 5 4 2" xfId="18562" xr:uid="{00000000-0005-0000-0000-000074160000}"/>
    <cellStyle name="Normal 3 4 4 5 4 3" xfId="11306" xr:uid="{00000000-0005-0000-0000-000075160000}"/>
    <cellStyle name="Normal 3 4 4 5 5" xfId="14934" xr:uid="{00000000-0005-0000-0000-000076160000}"/>
    <cellStyle name="Normal 3 4 4 5 6" xfId="7678" xr:uid="{00000000-0005-0000-0000-000077160000}"/>
    <cellStyle name="Normal 3 4 4 6" xfId="898" xr:uid="{00000000-0005-0000-0000-000078160000}"/>
    <cellStyle name="Normal 3 4 4 6 2" xfId="1806" xr:uid="{00000000-0005-0000-0000-000079160000}"/>
    <cellStyle name="Normal 3 4 4 6 2 2" xfId="3620" xr:uid="{00000000-0005-0000-0000-00007A160000}"/>
    <cellStyle name="Normal 3 4 4 6 2 2 2" xfId="7248" xr:uid="{00000000-0005-0000-0000-00007B160000}"/>
    <cellStyle name="Normal 3 4 4 6 2 2 2 2" xfId="21760" xr:uid="{00000000-0005-0000-0000-00007C160000}"/>
    <cellStyle name="Normal 3 4 4 6 2 2 2 3" xfId="14504" xr:uid="{00000000-0005-0000-0000-00007D160000}"/>
    <cellStyle name="Normal 3 4 4 6 2 2 3" xfId="18132" xr:uid="{00000000-0005-0000-0000-00007E160000}"/>
    <cellStyle name="Normal 3 4 4 6 2 2 4" xfId="10876" xr:uid="{00000000-0005-0000-0000-00007F160000}"/>
    <cellStyle name="Normal 3 4 4 6 2 3" xfId="5434" xr:uid="{00000000-0005-0000-0000-000080160000}"/>
    <cellStyle name="Normal 3 4 4 6 2 3 2" xfId="19946" xr:uid="{00000000-0005-0000-0000-000081160000}"/>
    <cellStyle name="Normal 3 4 4 6 2 3 3" xfId="12690" xr:uid="{00000000-0005-0000-0000-000082160000}"/>
    <cellStyle name="Normal 3 4 4 6 2 4" xfId="16318" xr:uid="{00000000-0005-0000-0000-000083160000}"/>
    <cellStyle name="Normal 3 4 4 6 2 5" xfId="9062" xr:uid="{00000000-0005-0000-0000-000084160000}"/>
    <cellStyle name="Normal 3 4 4 6 3" xfId="2713" xr:uid="{00000000-0005-0000-0000-000085160000}"/>
    <cellStyle name="Normal 3 4 4 6 3 2" xfId="6341" xr:uid="{00000000-0005-0000-0000-000086160000}"/>
    <cellStyle name="Normal 3 4 4 6 3 2 2" xfId="20853" xr:uid="{00000000-0005-0000-0000-000087160000}"/>
    <cellStyle name="Normal 3 4 4 6 3 2 3" xfId="13597" xr:uid="{00000000-0005-0000-0000-000088160000}"/>
    <cellStyle name="Normal 3 4 4 6 3 3" xfId="17225" xr:uid="{00000000-0005-0000-0000-000089160000}"/>
    <cellStyle name="Normal 3 4 4 6 3 4" xfId="9969" xr:uid="{00000000-0005-0000-0000-00008A160000}"/>
    <cellStyle name="Normal 3 4 4 6 4" xfId="4527" xr:uid="{00000000-0005-0000-0000-00008B160000}"/>
    <cellStyle name="Normal 3 4 4 6 4 2" xfId="19039" xr:uid="{00000000-0005-0000-0000-00008C160000}"/>
    <cellStyle name="Normal 3 4 4 6 4 3" xfId="11783" xr:uid="{00000000-0005-0000-0000-00008D160000}"/>
    <cellStyle name="Normal 3 4 4 6 5" xfId="15411" xr:uid="{00000000-0005-0000-0000-00008E160000}"/>
    <cellStyle name="Normal 3 4 4 6 6" xfId="8155" xr:uid="{00000000-0005-0000-0000-00008F160000}"/>
    <cellStyle name="Normal 3 4 4 7" xfId="983" xr:uid="{00000000-0005-0000-0000-000090160000}"/>
    <cellStyle name="Normal 3 4 4 7 2" xfId="2797" xr:uid="{00000000-0005-0000-0000-000091160000}"/>
    <cellStyle name="Normal 3 4 4 7 2 2" xfId="6425" xr:uid="{00000000-0005-0000-0000-000092160000}"/>
    <cellStyle name="Normal 3 4 4 7 2 2 2" xfId="20937" xr:uid="{00000000-0005-0000-0000-000093160000}"/>
    <cellStyle name="Normal 3 4 4 7 2 2 3" xfId="13681" xr:uid="{00000000-0005-0000-0000-000094160000}"/>
    <cellStyle name="Normal 3 4 4 7 2 3" xfId="17309" xr:uid="{00000000-0005-0000-0000-000095160000}"/>
    <cellStyle name="Normal 3 4 4 7 2 4" xfId="10053" xr:uid="{00000000-0005-0000-0000-000096160000}"/>
    <cellStyle name="Normal 3 4 4 7 3" xfId="4611" xr:uid="{00000000-0005-0000-0000-000097160000}"/>
    <cellStyle name="Normal 3 4 4 7 3 2" xfId="19123" xr:uid="{00000000-0005-0000-0000-000098160000}"/>
    <cellStyle name="Normal 3 4 4 7 3 3" xfId="11867" xr:uid="{00000000-0005-0000-0000-000099160000}"/>
    <cellStyle name="Normal 3 4 4 7 4" xfId="15495" xr:uid="{00000000-0005-0000-0000-00009A160000}"/>
    <cellStyle name="Normal 3 4 4 7 5" xfId="8239" xr:uid="{00000000-0005-0000-0000-00009B160000}"/>
    <cellStyle name="Normal 3 4 4 8" xfId="1890" xr:uid="{00000000-0005-0000-0000-00009C160000}"/>
    <cellStyle name="Normal 3 4 4 8 2" xfId="5518" xr:uid="{00000000-0005-0000-0000-00009D160000}"/>
    <cellStyle name="Normal 3 4 4 8 2 2" xfId="20030" xr:uid="{00000000-0005-0000-0000-00009E160000}"/>
    <cellStyle name="Normal 3 4 4 8 2 3" xfId="12774" xr:uid="{00000000-0005-0000-0000-00009F160000}"/>
    <cellStyle name="Normal 3 4 4 8 3" xfId="16402" xr:uid="{00000000-0005-0000-0000-0000A0160000}"/>
    <cellStyle name="Normal 3 4 4 8 4" xfId="9146" xr:uid="{00000000-0005-0000-0000-0000A1160000}"/>
    <cellStyle name="Normal 3 4 4 9" xfId="3704" xr:uid="{00000000-0005-0000-0000-0000A2160000}"/>
    <cellStyle name="Normal 3 4 4 9 2" xfId="18216" xr:uid="{00000000-0005-0000-0000-0000A3160000}"/>
    <cellStyle name="Normal 3 4 4 9 3" xfId="10960" xr:uid="{00000000-0005-0000-0000-0000A4160000}"/>
    <cellStyle name="Normal 3 4 5" xfId="205" xr:uid="{00000000-0005-0000-0000-0000A5160000}"/>
    <cellStyle name="Normal 3 4 5 2" xfId="335" xr:uid="{00000000-0005-0000-0000-0000A6160000}"/>
    <cellStyle name="Normal 3 4 5 2 2" xfId="681" xr:uid="{00000000-0005-0000-0000-0000A7160000}"/>
    <cellStyle name="Normal 3 4 5 2 2 2" xfId="1589" xr:uid="{00000000-0005-0000-0000-0000A8160000}"/>
    <cellStyle name="Normal 3 4 5 2 2 2 2" xfId="3403" xr:uid="{00000000-0005-0000-0000-0000A9160000}"/>
    <cellStyle name="Normal 3 4 5 2 2 2 2 2" xfId="7031" xr:uid="{00000000-0005-0000-0000-0000AA160000}"/>
    <cellStyle name="Normal 3 4 5 2 2 2 2 2 2" xfId="21543" xr:uid="{00000000-0005-0000-0000-0000AB160000}"/>
    <cellStyle name="Normal 3 4 5 2 2 2 2 2 3" xfId="14287" xr:uid="{00000000-0005-0000-0000-0000AC160000}"/>
    <cellStyle name="Normal 3 4 5 2 2 2 2 3" xfId="17915" xr:uid="{00000000-0005-0000-0000-0000AD160000}"/>
    <cellStyle name="Normal 3 4 5 2 2 2 2 4" xfId="10659" xr:uid="{00000000-0005-0000-0000-0000AE160000}"/>
    <cellStyle name="Normal 3 4 5 2 2 2 3" xfId="5217" xr:uid="{00000000-0005-0000-0000-0000AF160000}"/>
    <cellStyle name="Normal 3 4 5 2 2 2 3 2" xfId="19729" xr:uid="{00000000-0005-0000-0000-0000B0160000}"/>
    <cellStyle name="Normal 3 4 5 2 2 2 3 3" xfId="12473" xr:uid="{00000000-0005-0000-0000-0000B1160000}"/>
    <cellStyle name="Normal 3 4 5 2 2 2 4" xfId="16101" xr:uid="{00000000-0005-0000-0000-0000B2160000}"/>
    <cellStyle name="Normal 3 4 5 2 2 2 5" xfId="8845" xr:uid="{00000000-0005-0000-0000-0000B3160000}"/>
    <cellStyle name="Normal 3 4 5 2 2 3" xfId="2496" xr:uid="{00000000-0005-0000-0000-0000B4160000}"/>
    <cellStyle name="Normal 3 4 5 2 2 3 2" xfId="6124" xr:uid="{00000000-0005-0000-0000-0000B5160000}"/>
    <cellStyle name="Normal 3 4 5 2 2 3 2 2" xfId="20636" xr:uid="{00000000-0005-0000-0000-0000B6160000}"/>
    <cellStyle name="Normal 3 4 5 2 2 3 2 3" xfId="13380" xr:uid="{00000000-0005-0000-0000-0000B7160000}"/>
    <cellStyle name="Normal 3 4 5 2 2 3 3" xfId="17008" xr:uid="{00000000-0005-0000-0000-0000B8160000}"/>
    <cellStyle name="Normal 3 4 5 2 2 3 4" xfId="9752" xr:uid="{00000000-0005-0000-0000-0000B9160000}"/>
    <cellStyle name="Normal 3 4 5 2 2 4" xfId="4310" xr:uid="{00000000-0005-0000-0000-0000BA160000}"/>
    <cellStyle name="Normal 3 4 5 2 2 4 2" xfId="18822" xr:uid="{00000000-0005-0000-0000-0000BB160000}"/>
    <cellStyle name="Normal 3 4 5 2 2 4 3" xfId="11566" xr:uid="{00000000-0005-0000-0000-0000BC160000}"/>
    <cellStyle name="Normal 3 4 5 2 2 5" xfId="15194" xr:uid="{00000000-0005-0000-0000-0000BD160000}"/>
    <cellStyle name="Normal 3 4 5 2 2 6" xfId="7938" xr:uid="{00000000-0005-0000-0000-0000BE160000}"/>
    <cellStyle name="Normal 3 4 5 2 3" xfId="1243" xr:uid="{00000000-0005-0000-0000-0000BF160000}"/>
    <cellStyle name="Normal 3 4 5 2 3 2" xfId="3057" xr:uid="{00000000-0005-0000-0000-0000C0160000}"/>
    <cellStyle name="Normal 3 4 5 2 3 2 2" xfId="6685" xr:uid="{00000000-0005-0000-0000-0000C1160000}"/>
    <cellStyle name="Normal 3 4 5 2 3 2 2 2" xfId="21197" xr:uid="{00000000-0005-0000-0000-0000C2160000}"/>
    <cellStyle name="Normal 3 4 5 2 3 2 2 3" xfId="13941" xr:uid="{00000000-0005-0000-0000-0000C3160000}"/>
    <cellStyle name="Normal 3 4 5 2 3 2 3" xfId="17569" xr:uid="{00000000-0005-0000-0000-0000C4160000}"/>
    <cellStyle name="Normal 3 4 5 2 3 2 4" xfId="10313" xr:uid="{00000000-0005-0000-0000-0000C5160000}"/>
    <cellStyle name="Normal 3 4 5 2 3 3" xfId="4871" xr:uid="{00000000-0005-0000-0000-0000C6160000}"/>
    <cellStyle name="Normal 3 4 5 2 3 3 2" xfId="19383" xr:uid="{00000000-0005-0000-0000-0000C7160000}"/>
    <cellStyle name="Normal 3 4 5 2 3 3 3" xfId="12127" xr:uid="{00000000-0005-0000-0000-0000C8160000}"/>
    <cellStyle name="Normal 3 4 5 2 3 4" xfId="15755" xr:uid="{00000000-0005-0000-0000-0000C9160000}"/>
    <cellStyle name="Normal 3 4 5 2 3 5" xfId="8499" xr:uid="{00000000-0005-0000-0000-0000CA160000}"/>
    <cellStyle name="Normal 3 4 5 2 4" xfId="2150" xr:uid="{00000000-0005-0000-0000-0000CB160000}"/>
    <cellStyle name="Normal 3 4 5 2 4 2" xfId="5778" xr:uid="{00000000-0005-0000-0000-0000CC160000}"/>
    <cellStyle name="Normal 3 4 5 2 4 2 2" xfId="20290" xr:uid="{00000000-0005-0000-0000-0000CD160000}"/>
    <cellStyle name="Normal 3 4 5 2 4 2 3" xfId="13034" xr:uid="{00000000-0005-0000-0000-0000CE160000}"/>
    <cellStyle name="Normal 3 4 5 2 4 3" xfId="16662" xr:uid="{00000000-0005-0000-0000-0000CF160000}"/>
    <cellStyle name="Normal 3 4 5 2 4 4" xfId="9406" xr:uid="{00000000-0005-0000-0000-0000D0160000}"/>
    <cellStyle name="Normal 3 4 5 2 5" xfId="3964" xr:uid="{00000000-0005-0000-0000-0000D1160000}"/>
    <cellStyle name="Normal 3 4 5 2 5 2" xfId="18476" xr:uid="{00000000-0005-0000-0000-0000D2160000}"/>
    <cellStyle name="Normal 3 4 5 2 5 3" xfId="11220" xr:uid="{00000000-0005-0000-0000-0000D3160000}"/>
    <cellStyle name="Normal 3 4 5 2 6" xfId="14848" xr:uid="{00000000-0005-0000-0000-0000D4160000}"/>
    <cellStyle name="Normal 3 4 5 2 7" xfId="7592" xr:uid="{00000000-0005-0000-0000-0000D5160000}"/>
    <cellStyle name="Normal 3 4 5 3" xfId="811" xr:uid="{00000000-0005-0000-0000-0000D6160000}"/>
    <cellStyle name="Normal 3 4 5 3 2" xfId="1719" xr:uid="{00000000-0005-0000-0000-0000D7160000}"/>
    <cellStyle name="Normal 3 4 5 3 2 2" xfId="3533" xr:uid="{00000000-0005-0000-0000-0000D8160000}"/>
    <cellStyle name="Normal 3 4 5 3 2 2 2" xfId="7161" xr:uid="{00000000-0005-0000-0000-0000D9160000}"/>
    <cellStyle name="Normal 3 4 5 3 2 2 2 2" xfId="21673" xr:uid="{00000000-0005-0000-0000-0000DA160000}"/>
    <cellStyle name="Normal 3 4 5 3 2 2 2 3" xfId="14417" xr:uid="{00000000-0005-0000-0000-0000DB160000}"/>
    <cellStyle name="Normal 3 4 5 3 2 2 3" xfId="18045" xr:uid="{00000000-0005-0000-0000-0000DC160000}"/>
    <cellStyle name="Normal 3 4 5 3 2 2 4" xfId="10789" xr:uid="{00000000-0005-0000-0000-0000DD160000}"/>
    <cellStyle name="Normal 3 4 5 3 2 3" xfId="5347" xr:uid="{00000000-0005-0000-0000-0000DE160000}"/>
    <cellStyle name="Normal 3 4 5 3 2 3 2" xfId="19859" xr:uid="{00000000-0005-0000-0000-0000DF160000}"/>
    <cellStyle name="Normal 3 4 5 3 2 3 3" xfId="12603" xr:uid="{00000000-0005-0000-0000-0000E0160000}"/>
    <cellStyle name="Normal 3 4 5 3 2 4" xfId="16231" xr:uid="{00000000-0005-0000-0000-0000E1160000}"/>
    <cellStyle name="Normal 3 4 5 3 2 5" xfId="8975" xr:uid="{00000000-0005-0000-0000-0000E2160000}"/>
    <cellStyle name="Normal 3 4 5 3 3" xfId="2626" xr:uid="{00000000-0005-0000-0000-0000E3160000}"/>
    <cellStyle name="Normal 3 4 5 3 3 2" xfId="6254" xr:uid="{00000000-0005-0000-0000-0000E4160000}"/>
    <cellStyle name="Normal 3 4 5 3 3 2 2" xfId="20766" xr:uid="{00000000-0005-0000-0000-0000E5160000}"/>
    <cellStyle name="Normal 3 4 5 3 3 2 3" xfId="13510" xr:uid="{00000000-0005-0000-0000-0000E6160000}"/>
    <cellStyle name="Normal 3 4 5 3 3 3" xfId="17138" xr:uid="{00000000-0005-0000-0000-0000E7160000}"/>
    <cellStyle name="Normal 3 4 5 3 3 4" xfId="9882" xr:uid="{00000000-0005-0000-0000-0000E8160000}"/>
    <cellStyle name="Normal 3 4 5 3 4" xfId="4440" xr:uid="{00000000-0005-0000-0000-0000E9160000}"/>
    <cellStyle name="Normal 3 4 5 3 4 2" xfId="18952" xr:uid="{00000000-0005-0000-0000-0000EA160000}"/>
    <cellStyle name="Normal 3 4 5 3 4 3" xfId="11696" xr:uid="{00000000-0005-0000-0000-0000EB160000}"/>
    <cellStyle name="Normal 3 4 5 3 5" xfId="15324" xr:uid="{00000000-0005-0000-0000-0000EC160000}"/>
    <cellStyle name="Normal 3 4 5 3 6" xfId="8068" xr:uid="{00000000-0005-0000-0000-0000ED160000}"/>
    <cellStyle name="Normal 3 4 5 4" xfId="551" xr:uid="{00000000-0005-0000-0000-0000EE160000}"/>
    <cellStyle name="Normal 3 4 5 4 2" xfId="1459" xr:uid="{00000000-0005-0000-0000-0000EF160000}"/>
    <cellStyle name="Normal 3 4 5 4 2 2" xfId="3273" xr:uid="{00000000-0005-0000-0000-0000F0160000}"/>
    <cellStyle name="Normal 3 4 5 4 2 2 2" xfId="6901" xr:uid="{00000000-0005-0000-0000-0000F1160000}"/>
    <cellStyle name="Normal 3 4 5 4 2 2 2 2" xfId="21413" xr:uid="{00000000-0005-0000-0000-0000F2160000}"/>
    <cellStyle name="Normal 3 4 5 4 2 2 2 3" xfId="14157" xr:uid="{00000000-0005-0000-0000-0000F3160000}"/>
    <cellStyle name="Normal 3 4 5 4 2 2 3" xfId="17785" xr:uid="{00000000-0005-0000-0000-0000F4160000}"/>
    <cellStyle name="Normal 3 4 5 4 2 2 4" xfId="10529" xr:uid="{00000000-0005-0000-0000-0000F5160000}"/>
    <cellStyle name="Normal 3 4 5 4 2 3" xfId="5087" xr:uid="{00000000-0005-0000-0000-0000F6160000}"/>
    <cellStyle name="Normal 3 4 5 4 2 3 2" xfId="19599" xr:uid="{00000000-0005-0000-0000-0000F7160000}"/>
    <cellStyle name="Normal 3 4 5 4 2 3 3" xfId="12343" xr:uid="{00000000-0005-0000-0000-0000F8160000}"/>
    <cellStyle name="Normal 3 4 5 4 2 4" xfId="15971" xr:uid="{00000000-0005-0000-0000-0000F9160000}"/>
    <cellStyle name="Normal 3 4 5 4 2 5" xfId="8715" xr:uid="{00000000-0005-0000-0000-0000FA160000}"/>
    <cellStyle name="Normal 3 4 5 4 3" xfId="2366" xr:uid="{00000000-0005-0000-0000-0000FB160000}"/>
    <cellStyle name="Normal 3 4 5 4 3 2" xfId="5994" xr:uid="{00000000-0005-0000-0000-0000FC160000}"/>
    <cellStyle name="Normal 3 4 5 4 3 2 2" xfId="20506" xr:uid="{00000000-0005-0000-0000-0000FD160000}"/>
    <cellStyle name="Normal 3 4 5 4 3 2 3" xfId="13250" xr:uid="{00000000-0005-0000-0000-0000FE160000}"/>
    <cellStyle name="Normal 3 4 5 4 3 3" xfId="16878" xr:uid="{00000000-0005-0000-0000-0000FF160000}"/>
    <cellStyle name="Normal 3 4 5 4 3 4" xfId="9622" xr:uid="{00000000-0005-0000-0000-000000170000}"/>
    <cellStyle name="Normal 3 4 5 4 4" xfId="4180" xr:uid="{00000000-0005-0000-0000-000001170000}"/>
    <cellStyle name="Normal 3 4 5 4 4 2" xfId="18692" xr:uid="{00000000-0005-0000-0000-000002170000}"/>
    <cellStyle name="Normal 3 4 5 4 4 3" xfId="11436" xr:uid="{00000000-0005-0000-0000-000003170000}"/>
    <cellStyle name="Normal 3 4 5 4 5" xfId="15064" xr:uid="{00000000-0005-0000-0000-000004170000}"/>
    <cellStyle name="Normal 3 4 5 4 6" xfId="7808" xr:uid="{00000000-0005-0000-0000-000005170000}"/>
    <cellStyle name="Normal 3 4 5 5" xfId="1113" xr:uid="{00000000-0005-0000-0000-000006170000}"/>
    <cellStyle name="Normal 3 4 5 5 2" xfId="2927" xr:uid="{00000000-0005-0000-0000-000007170000}"/>
    <cellStyle name="Normal 3 4 5 5 2 2" xfId="6555" xr:uid="{00000000-0005-0000-0000-000008170000}"/>
    <cellStyle name="Normal 3 4 5 5 2 2 2" xfId="21067" xr:uid="{00000000-0005-0000-0000-000009170000}"/>
    <cellStyle name="Normal 3 4 5 5 2 2 3" xfId="13811" xr:uid="{00000000-0005-0000-0000-00000A170000}"/>
    <cellStyle name="Normal 3 4 5 5 2 3" xfId="17439" xr:uid="{00000000-0005-0000-0000-00000B170000}"/>
    <cellStyle name="Normal 3 4 5 5 2 4" xfId="10183" xr:uid="{00000000-0005-0000-0000-00000C170000}"/>
    <cellStyle name="Normal 3 4 5 5 3" xfId="4741" xr:uid="{00000000-0005-0000-0000-00000D170000}"/>
    <cellStyle name="Normal 3 4 5 5 3 2" xfId="19253" xr:uid="{00000000-0005-0000-0000-00000E170000}"/>
    <cellStyle name="Normal 3 4 5 5 3 3" xfId="11997" xr:uid="{00000000-0005-0000-0000-00000F170000}"/>
    <cellStyle name="Normal 3 4 5 5 4" xfId="15625" xr:uid="{00000000-0005-0000-0000-000010170000}"/>
    <cellStyle name="Normal 3 4 5 5 5" xfId="8369" xr:uid="{00000000-0005-0000-0000-000011170000}"/>
    <cellStyle name="Normal 3 4 5 6" xfId="2020" xr:uid="{00000000-0005-0000-0000-000012170000}"/>
    <cellStyle name="Normal 3 4 5 6 2" xfId="5648" xr:uid="{00000000-0005-0000-0000-000013170000}"/>
    <cellStyle name="Normal 3 4 5 6 2 2" xfId="20160" xr:uid="{00000000-0005-0000-0000-000014170000}"/>
    <cellStyle name="Normal 3 4 5 6 2 3" xfId="12904" xr:uid="{00000000-0005-0000-0000-000015170000}"/>
    <cellStyle name="Normal 3 4 5 6 3" xfId="16532" xr:uid="{00000000-0005-0000-0000-000016170000}"/>
    <cellStyle name="Normal 3 4 5 6 4" xfId="9276" xr:uid="{00000000-0005-0000-0000-000017170000}"/>
    <cellStyle name="Normal 3 4 5 7" xfId="3834" xr:uid="{00000000-0005-0000-0000-000018170000}"/>
    <cellStyle name="Normal 3 4 5 7 2" xfId="18346" xr:uid="{00000000-0005-0000-0000-000019170000}"/>
    <cellStyle name="Normal 3 4 5 7 3" xfId="11090" xr:uid="{00000000-0005-0000-0000-00001A170000}"/>
    <cellStyle name="Normal 3 4 5 8" xfId="14718" xr:uid="{00000000-0005-0000-0000-00001B170000}"/>
    <cellStyle name="Normal 3 4 5 9" xfId="7462" xr:uid="{00000000-0005-0000-0000-00001C170000}"/>
    <cellStyle name="Normal 3 4 6" xfId="119" xr:uid="{00000000-0005-0000-0000-00001D170000}"/>
    <cellStyle name="Normal 3 4 6 2" xfId="465" xr:uid="{00000000-0005-0000-0000-00001E170000}"/>
    <cellStyle name="Normal 3 4 6 2 2" xfId="1373" xr:uid="{00000000-0005-0000-0000-00001F170000}"/>
    <cellStyle name="Normal 3 4 6 2 2 2" xfId="3187" xr:uid="{00000000-0005-0000-0000-000020170000}"/>
    <cellStyle name="Normal 3 4 6 2 2 2 2" xfId="6815" xr:uid="{00000000-0005-0000-0000-000021170000}"/>
    <cellStyle name="Normal 3 4 6 2 2 2 2 2" xfId="21327" xr:uid="{00000000-0005-0000-0000-000022170000}"/>
    <cellStyle name="Normal 3 4 6 2 2 2 2 3" xfId="14071" xr:uid="{00000000-0005-0000-0000-000023170000}"/>
    <cellStyle name="Normal 3 4 6 2 2 2 3" xfId="17699" xr:uid="{00000000-0005-0000-0000-000024170000}"/>
    <cellStyle name="Normal 3 4 6 2 2 2 4" xfId="10443" xr:uid="{00000000-0005-0000-0000-000025170000}"/>
    <cellStyle name="Normal 3 4 6 2 2 3" xfId="5001" xr:uid="{00000000-0005-0000-0000-000026170000}"/>
    <cellStyle name="Normal 3 4 6 2 2 3 2" xfId="19513" xr:uid="{00000000-0005-0000-0000-000027170000}"/>
    <cellStyle name="Normal 3 4 6 2 2 3 3" xfId="12257" xr:uid="{00000000-0005-0000-0000-000028170000}"/>
    <cellStyle name="Normal 3 4 6 2 2 4" xfId="15885" xr:uid="{00000000-0005-0000-0000-000029170000}"/>
    <cellStyle name="Normal 3 4 6 2 2 5" xfId="8629" xr:uid="{00000000-0005-0000-0000-00002A170000}"/>
    <cellStyle name="Normal 3 4 6 2 3" xfId="2280" xr:uid="{00000000-0005-0000-0000-00002B170000}"/>
    <cellStyle name="Normal 3 4 6 2 3 2" xfId="5908" xr:uid="{00000000-0005-0000-0000-00002C170000}"/>
    <cellStyle name="Normal 3 4 6 2 3 2 2" xfId="20420" xr:uid="{00000000-0005-0000-0000-00002D170000}"/>
    <cellStyle name="Normal 3 4 6 2 3 2 3" xfId="13164" xr:uid="{00000000-0005-0000-0000-00002E170000}"/>
    <cellStyle name="Normal 3 4 6 2 3 3" xfId="16792" xr:uid="{00000000-0005-0000-0000-00002F170000}"/>
    <cellStyle name="Normal 3 4 6 2 3 4" xfId="9536" xr:uid="{00000000-0005-0000-0000-000030170000}"/>
    <cellStyle name="Normal 3 4 6 2 4" xfId="4094" xr:uid="{00000000-0005-0000-0000-000031170000}"/>
    <cellStyle name="Normal 3 4 6 2 4 2" xfId="18606" xr:uid="{00000000-0005-0000-0000-000032170000}"/>
    <cellStyle name="Normal 3 4 6 2 4 3" xfId="11350" xr:uid="{00000000-0005-0000-0000-000033170000}"/>
    <cellStyle name="Normal 3 4 6 2 5" xfId="14978" xr:uid="{00000000-0005-0000-0000-000034170000}"/>
    <cellStyle name="Normal 3 4 6 2 6" xfId="7722" xr:uid="{00000000-0005-0000-0000-000035170000}"/>
    <cellStyle name="Normal 3 4 6 3" xfId="1027" xr:uid="{00000000-0005-0000-0000-000036170000}"/>
    <cellStyle name="Normal 3 4 6 3 2" xfId="2841" xr:uid="{00000000-0005-0000-0000-000037170000}"/>
    <cellStyle name="Normal 3 4 6 3 2 2" xfId="6469" xr:uid="{00000000-0005-0000-0000-000038170000}"/>
    <cellStyle name="Normal 3 4 6 3 2 2 2" xfId="20981" xr:uid="{00000000-0005-0000-0000-000039170000}"/>
    <cellStyle name="Normal 3 4 6 3 2 2 3" xfId="13725" xr:uid="{00000000-0005-0000-0000-00003A170000}"/>
    <cellStyle name="Normal 3 4 6 3 2 3" xfId="17353" xr:uid="{00000000-0005-0000-0000-00003B170000}"/>
    <cellStyle name="Normal 3 4 6 3 2 4" xfId="10097" xr:uid="{00000000-0005-0000-0000-00003C170000}"/>
    <cellStyle name="Normal 3 4 6 3 3" xfId="4655" xr:uid="{00000000-0005-0000-0000-00003D170000}"/>
    <cellStyle name="Normal 3 4 6 3 3 2" xfId="19167" xr:uid="{00000000-0005-0000-0000-00003E170000}"/>
    <cellStyle name="Normal 3 4 6 3 3 3" xfId="11911" xr:uid="{00000000-0005-0000-0000-00003F170000}"/>
    <cellStyle name="Normal 3 4 6 3 4" xfId="15539" xr:uid="{00000000-0005-0000-0000-000040170000}"/>
    <cellStyle name="Normal 3 4 6 3 5" xfId="8283" xr:uid="{00000000-0005-0000-0000-000041170000}"/>
    <cellStyle name="Normal 3 4 6 4" xfId="1934" xr:uid="{00000000-0005-0000-0000-000042170000}"/>
    <cellStyle name="Normal 3 4 6 4 2" xfId="5562" xr:uid="{00000000-0005-0000-0000-000043170000}"/>
    <cellStyle name="Normal 3 4 6 4 2 2" xfId="20074" xr:uid="{00000000-0005-0000-0000-000044170000}"/>
    <cellStyle name="Normal 3 4 6 4 2 3" xfId="12818" xr:uid="{00000000-0005-0000-0000-000045170000}"/>
    <cellStyle name="Normal 3 4 6 4 3" xfId="16446" xr:uid="{00000000-0005-0000-0000-000046170000}"/>
    <cellStyle name="Normal 3 4 6 4 4" xfId="9190" xr:uid="{00000000-0005-0000-0000-000047170000}"/>
    <cellStyle name="Normal 3 4 6 5" xfId="3748" xr:uid="{00000000-0005-0000-0000-000048170000}"/>
    <cellStyle name="Normal 3 4 6 5 2" xfId="18260" xr:uid="{00000000-0005-0000-0000-000049170000}"/>
    <cellStyle name="Normal 3 4 6 5 3" xfId="11004" xr:uid="{00000000-0005-0000-0000-00004A170000}"/>
    <cellStyle name="Normal 3 4 6 6" xfId="14632" xr:uid="{00000000-0005-0000-0000-00004B170000}"/>
    <cellStyle name="Normal 3 4 6 7" xfId="7376" xr:uid="{00000000-0005-0000-0000-00004C170000}"/>
    <cellStyle name="Normal 3 4 7" xfId="249" xr:uid="{00000000-0005-0000-0000-00004D170000}"/>
    <cellStyle name="Normal 3 4 7 2" xfId="595" xr:uid="{00000000-0005-0000-0000-00004E170000}"/>
    <cellStyle name="Normal 3 4 7 2 2" xfId="1503" xr:uid="{00000000-0005-0000-0000-00004F170000}"/>
    <cellStyle name="Normal 3 4 7 2 2 2" xfId="3317" xr:uid="{00000000-0005-0000-0000-000050170000}"/>
    <cellStyle name="Normal 3 4 7 2 2 2 2" xfId="6945" xr:uid="{00000000-0005-0000-0000-000051170000}"/>
    <cellStyle name="Normal 3 4 7 2 2 2 2 2" xfId="21457" xr:uid="{00000000-0005-0000-0000-000052170000}"/>
    <cellStyle name="Normal 3 4 7 2 2 2 2 3" xfId="14201" xr:uid="{00000000-0005-0000-0000-000053170000}"/>
    <cellStyle name="Normal 3 4 7 2 2 2 3" xfId="17829" xr:uid="{00000000-0005-0000-0000-000054170000}"/>
    <cellStyle name="Normal 3 4 7 2 2 2 4" xfId="10573" xr:uid="{00000000-0005-0000-0000-000055170000}"/>
    <cellStyle name="Normal 3 4 7 2 2 3" xfId="5131" xr:uid="{00000000-0005-0000-0000-000056170000}"/>
    <cellStyle name="Normal 3 4 7 2 2 3 2" xfId="19643" xr:uid="{00000000-0005-0000-0000-000057170000}"/>
    <cellStyle name="Normal 3 4 7 2 2 3 3" xfId="12387" xr:uid="{00000000-0005-0000-0000-000058170000}"/>
    <cellStyle name="Normal 3 4 7 2 2 4" xfId="16015" xr:uid="{00000000-0005-0000-0000-000059170000}"/>
    <cellStyle name="Normal 3 4 7 2 2 5" xfId="8759" xr:uid="{00000000-0005-0000-0000-00005A170000}"/>
    <cellStyle name="Normal 3 4 7 2 3" xfId="2410" xr:uid="{00000000-0005-0000-0000-00005B170000}"/>
    <cellStyle name="Normal 3 4 7 2 3 2" xfId="6038" xr:uid="{00000000-0005-0000-0000-00005C170000}"/>
    <cellStyle name="Normal 3 4 7 2 3 2 2" xfId="20550" xr:uid="{00000000-0005-0000-0000-00005D170000}"/>
    <cellStyle name="Normal 3 4 7 2 3 2 3" xfId="13294" xr:uid="{00000000-0005-0000-0000-00005E170000}"/>
    <cellStyle name="Normal 3 4 7 2 3 3" xfId="16922" xr:uid="{00000000-0005-0000-0000-00005F170000}"/>
    <cellStyle name="Normal 3 4 7 2 3 4" xfId="9666" xr:uid="{00000000-0005-0000-0000-000060170000}"/>
    <cellStyle name="Normal 3 4 7 2 4" xfId="4224" xr:uid="{00000000-0005-0000-0000-000061170000}"/>
    <cellStyle name="Normal 3 4 7 2 4 2" xfId="18736" xr:uid="{00000000-0005-0000-0000-000062170000}"/>
    <cellStyle name="Normal 3 4 7 2 4 3" xfId="11480" xr:uid="{00000000-0005-0000-0000-000063170000}"/>
    <cellStyle name="Normal 3 4 7 2 5" xfId="15108" xr:uid="{00000000-0005-0000-0000-000064170000}"/>
    <cellStyle name="Normal 3 4 7 2 6" xfId="7852" xr:uid="{00000000-0005-0000-0000-000065170000}"/>
    <cellStyle name="Normal 3 4 7 3" xfId="1157" xr:uid="{00000000-0005-0000-0000-000066170000}"/>
    <cellStyle name="Normal 3 4 7 3 2" xfId="2971" xr:uid="{00000000-0005-0000-0000-000067170000}"/>
    <cellStyle name="Normal 3 4 7 3 2 2" xfId="6599" xr:uid="{00000000-0005-0000-0000-000068170000}"/>
    <cellStyle name="Normal 3 4 7 3 2 2 2" xfId="21111" xr:uid="{00000000-0005-0000-0000-000069170000}"/>
    <cellStyle name="Normal 3 4 7 3 2 2 3" xfId="13855" xr:uid="{00000000-0005-0000-0000-00006A170000}"/>
    <cellStyle name="Normal 3 4 7 3 2 3" xfId="17483" xr:uid="{00000000-0005-0000-0000-00006B170000}"/>
    <cellStyle name="Normal 3 4 7 3 2 4" xfId="10227" xr:uid="{00000000-0005-0000-0000-00006C170000}"/>
    <cellStyle name="Normal 3 4 7 3 3" xfId="4785" xr:uid="{00000000-0005-0000-0000-00006D170000}"/>
    <cellStyle name="Normal 3 4 7 3 3 2" xfId="19297" xr:uid="{00000000-0005-0000-0000-00006E170000}"/>
    <cellStyle name="Normal 3 4 7 3 3 3" xfId="12041" xr:uid="{00000000-0005-0000-0000-00006F170000}"/>
    <cellStyle name="Normal 3 4 7 3 4" xfId="15669" xr:uid="{00000000-0005-0000-0000-000070170000}"/>
    <cellStyle name="Normal 3 4 7 3 5" xfId="8413" xr:uid="{00000000-0005-0000-0000-000071170000}"/>
    <cellStyle name="Normal 3 4 7 4" xfId="2064" xr:uid="{00000000-0005-0000-0000-000072170000}"/>
    <cellStyle name="Normal 3 4 7 4 2" xfId="5692" xr:uid="{00000000-0005-0000-0000-000073170000}"/>
    <cellStyle name="Normal 3 4 7 4 2 2" xfId="20204" xr:uid="{00000000-0005-0000-0000-000074170000}"/>
    <cellStyle name="Normal 3 4 7 4 2 3" xfId="12948" xr:uid="{00000000-0005-0000-0000-000075170000}"/>
    <cellStyle name="Normal 3 4 7 4 3" xfId="16576" xr:uid="{00000000-0005-0000-0000-000076170000}"/>
    <cellStyle name="Normal 3 4 7 4 4" xfId="9320" xr:uid="{00000000-0005-0000-0000-000077170000}"/>
    <cellStyle name="Normal 3 4 7 5" xfId="3878" xr:uid="{00000000-0005-0000-0000-000078170000}"/>
    <cellStyle name="Normal 3 4 7 5 2" xfId="18390" xr:uid="{00000000-0005-0000-0000-000079170000}"/>
    <cellStyle name="Normal 3 4 7 5 3" xfId="11134" xr:uid="{00000000-0005-0000-0000-00007A170000}"/>
    <cellStyle name="Normal 3 4 7 6" xfId="14762" xr:uid="{00000000-0005-0000-0000-00007B170000}"/>
    <cellStyle name="Normal 3 4 7 7" xfId="7506" xr:uid="{00000000-0005-0000-0000-00007C170000}"/>
    <cellStyle name="Normal 3 4 8" xfId="725" xr:uid="{00000000-0005-0000-0000-00007D170000}"/>
    <cellStyle name="Normal 3 4 8 2" xfId="1633" xr:uid="{00000000-0005-0000-0000-00007E170000}"/>
    <cellStyle name="Normal 3 4 8 2 2" xfId="3447" xr:uid="{00000000-0005-0000-0000-00007F170000}"/>
    <cellStyle name="Normal 3 4 8 2 2 2" xfId="7075" xr:uid="{00000000-0005-0000-0000-000080170000}"/>
    <cellStyle name="Normal 3 4 8 2 2 2 2" xfId="21587" xr:uid="{00000000-0005-0000-0000-000081170000}"/>
    <cellStyle name="Normal 3 4 8 2 2 2 3" xfId="14331" xr:uid="{00000000-0005-0000-0000-000082170000}"/>
    <cellStyle name="Normal 3 4 8 2 2 3" xfId="17959" xr:uid="{00000000-0005-0000-0000-000083170000}"/>
    <cellStyle name="Normal 3 4 8 2 2 4" xfId="10703" xr:uid="{00000000-0005-0000-0000-000084170000}"/>
    <cellStyle name="Normal 3 4 8 2 3" xfId="5261" xr:uid="{00000000-0005-0000-0000-000085170000}"/>
    <cellStyle name="Normal 3 4 8 2 3 2" xfId="19773" xr:uid="{00000000-0005-0000-0000-000086170000}"/>
    <cellStyle name="Normal 3 4 8 2 3 3" xfId="12517" xr:uid="{00000000-0005-0000-0000-000087170000}"/>
    <cellStyle name="Normal 3 4 8 2 4" xfId="16145" xr:uid="{00000000-0005-0000-0000-000088170000}"/>
    <cellStyle name="Normal 3 4 8 2 5" xfId="8889" xr:uid="{00000000-0005-0000-0000-000089170000}"/>
    <cellStyle name="Normal 3 4 8 3" xfId="2540" xr:uid="{00000000-0005-0000-0000-00008A170000}"/>
    <cellStyle name="Normal 3 4 8 3 2" xfId="6168" xr:uid="{00000000-0005-0000-0000-00008B170000}"/>
    <cellStyle name="Normal 3 4 8 3 2 2" xfId="20680" xr:uid="{00000000-0005-0000-0000-00008C170000}"/>
    <cellStyle name="Normal 3 4 8 3 2 3" xfId="13424" xr:uid="{00000000-0005-0000-0000-00008D170000}"/>
    <cellStyle name="Normal 3 4 8 3 3" xfId="17052" xr:uid="{00000000-0005-0000-0000-00008E170000}"/>
    <cellStyle name="Normal 3 4 8 3 4" xfId="9796" xr:uid="{00000000-0005-0000-0000-00008F170000}"/>
    <cellStyle name="Normal 3 4 8 4" xfId="4354" xr:uid="{00000000-0005-0000-0000-000090170000}"/>
    <cellStyle name="Normal 3 4 8 4 2" xfId="18866" xr:uid="{00000000-0005-0000-0000-000091170000}"/>
    <cellStyle name="Normal 3 4 8 4 3" xfId="11610" xr:uid="{00000000-0005-0000-0000-000092170000}"/>
    <cellStyle name="Normal 3 4 8 5" xfId="15238" xr:uid="{00000000-0005-0000-0000-000093170000}"/>
    <cellStyle name="Normal 3 4 8 6" xfId="7982" xr:uid="{00000000-0005-0000-0000-000094170000}"/>
    <cellStyle name="Normal 3 4 9" xfId="379" xr:uid="{00000000-0005-0000-0000-000095170000}"/>
    <cellStyle name="Normal 3 4 9 2" xfId="1287" xr:uid="{00000000-0005-0000-0000-000096170000}"/>
    <cellStyle name="Normal 3 4 9 2 2" xfId="3101" xr:uid="{00000000-0005-0000-0000-000097170000}"/>
    <cellStyle name="Normal 3 4 9 2 2 2" xfId="6729" xr:uid="{00000000-0005-0000-0000-000098170000}"/>
    <cellStyle name="Normal 3 4 9 2 2 2 2" xfId="21241" xr:uid="{00000000-0005-0000-0000-000099170000}"/>
    <cellStyle name="Normal 3 4 9 2 2 2 3" xfId="13985" xr:uid="{00000000-0005-0000-0000-00009A170000}"/>
    <cellStyle name="Normal 3 4 9 2 2 3" xfId="17613" xr:uid="{00000000-0005-0000-0000-00009B170000}"/>
    <cellStyle name="Normal 3 4 9 2 2 4" xfId="10357" xr:uid="{00000000-0005-0000-0000-00009C170000}"/>
    <cellStyle name="Normal 3 4 9 2 3" xfId="4915" xr:uid="{00000000-0005-0000-0000-00009D170000}"/>
    <cellStyle name="Normal 3 4 9 2 3 2" xfId="19427" xr:uid="{00000000-0005-0000-0000-00009E170000}"/>
    <cellStyle name="Normal 3 4 9 2 3 3" xfId="12171" xr:uid="{00000000-0005-0000-0000-00009F170000}"/>
    <cellStyle name="Normal 3 4 9 2 4" xfId="15799" xr:uid="{00000000-0005-0000-0000-0000A0170000}"/>
    <cellStyle name="Normal 3 4 9 2 5" xfId="8543" xr:uid="{00000000-0005-0000-0000-0000A1170000}"/>
    <cellStyle name="Normal 3 4 9 3" xfId="2194" xr:uid="{00000000-0005-0000-0000-0000A2170000}"/>
    <cellStyle name="Normal 3 4 9 3 2" xfId="5822" xr:uid="{00000000-0005-0000-0000-0000A3170000}"/>
    <cellStyle name="Normal 3 4 9 3 2 2" xfId="20334" xr:uid="{00000000-0005-0000-0000-0000A4170000}"/>
    <cellStyle name="Normal 3 4 9 3 2 3" xfId="13078" xr:uid="{00000000-0005-0000-0000-0000A5170000}"/>
    <cellStyle name="Normal 3 4 9 3 3" xfId="16706" xr:uid="{00000000-0005-0000-0000-0000A6170000}"/>
    <cellStyle name="Normal 3 4 9 3 4" xfId="9450" xr:uid="{00000000-0005-0000-0000-0000A7170000}"/>
    <cellStyle name="Normal 3 4 9 4" xfId="4008" xr:uid="{00000000-0005-0000-0000-0000A8170000}"/>
    <cellStyle name="Normal 3 4 9 4 2" xfId="18520" xr:uid="{00000000-0005-0000-0000-0000A9170000}"/>
    <cellStyle name="Normal 3 4 9 4 3" xfId="11264" xr:uid="{00000000-0005-0000-0000-0000AA170000}"/>
    <cellStyle name="Normal 3 4 9 5" xfId="14892" xr:uid="{00000000-0005-0000-0000-0000AB170000}"/>
    <cellStyle name="Normal 3 4 9 6" xfId="7636" xr:uid="{00000000-0005-0000-0000-0000AC170000}"/>
    <cellStyle name="Normal 4" xfId="4" xr:uid="{00000000-0005-0000-0000-0000AD170000}"/>
    <cellStyle name="Normal 4 2" xfId="5" xr:uid="{00000000-0005-0000-0000-0000AE170000}"/>
    <cellStyle name="Normal 4 2 2" xfId="6" xr:uid="{00000000-0005-0000-0000-0000AF170000}"/>
    <cellStyle name="Normal 4 3" xfId="7" xr:uid="{00000000-0005-0000-0000-0000B0170000}"/>
    <cellStyle name="Normal 4 3 2" xfId="8" xr:uid="{00000000-0005-0000-0000-0000B1170000}"/>
    <cellStyle name="Normal 4 3 3" xfId="9" xr:uid="{00000000-0005-0000-0000-0000B2170000}"/>
    <cellStyle name="Normal 4 4" xfId="19" xr:uid="{00000000-0005-0000-0000-0000B3170000}"/>
    <cellStyle name="Normal 5" xfId="11" xr:uid="{00000000-0005-0000-0000-0000B4170000}"/>
    <cellStyle name="Normal 5 10" xfId="242" xr:uid="{00000000-0005-0000-0000-0000B5170000}"/>
    <cellStyle name="Normal 5 10 2" xfId="588" xr:uid="{00000000-0005-0000-0000-0000B6170000}"/>
    <cellStyle name="Normal 5 10 2 2" xfId="1496" xr:uid="{00000000-0005-0000-0000-0000B7170000}"/>
    <cellStyle name="Normal 5 10 2 2 2" xfId="3310" xr:uid="{00000000-0005-0000-0000-0000B8170000}"/>
    <cellStyle name="Normal 5 10 2 2 2 2" xfId="6938" xr:uid="{00000000-0005-0000-0000-0000B9170000}"/>
    <cellStyle name="Normal 5 10 2 2 2 2 2" xfId="21450" xr:uid="{00000000-0005-0000-0000-0000BA170000}"/>
    <cellStyle name="Normal 5 10 2 2 2 2 3" xfId="14194" xr:uid="{00000000-0005-0000-0000-0000BB170000}"/>
    <cellStyle name="Normal 5 10 2 2 2 3" xfId="17822" xr:uid="{00000000-0005-0000-0000-0000BC170000}"/>
    <cellStyle name="Normal 5 10 2 2 2 4" xfId="10566" xr:uid="{00000000-0005-0000-0000-0000BD170000}"/>
    <cellStyle name="Normal 5 10 2 2 3" xfId="5124" xr:uid="{00000000-0005-0000-0000-0000BE170000}"/>
    <cellStyle name="Normal 5 10 2 2 3 2" xfId="19636" xr:uid="{00000000-0005-0000-0000-0000BF170000}"/>
    <cellStyle name="Normal 5 10 2 2 3 3" xfId="12380" xr:uid="{00000000-0005-0000-0000-0000C0170000}"/>
    <cellStyle name="Normal 5 10 2 2 4" xfId="16008" xr:uid="{00000000-0005-0000-0000-0000C1170000}"/>
    <cellStyle name="Normal 5 10 2 2 5" xfId="8752" xr:uid="{00000000-0005-0000-0000-0000C2170000}"/>
    <cellStyle name="Normal 5 10 2 3" xfId="2403" xr:uid="{00000000-0005-0000-0000-0000C3170000}"/>
    <cellStyle name="Normal 5 10 2 3 2" xfId="6031" xr:uid="{00000000-0005-0000-0000-0000C4170000}"/>
    <cellStyle name="Normal 5 10 2 3 2 2" xfId="20543" xr:uid="{00000000-0005-0000-0000-0000C5170000}"/>
    <cellStyle name="Normal 5 10 2 3 2 3" xfId="13287" xr:uid="{00000000-0005-0000-0000-0000C6170000}"/>
    <cellStyle name="Normal 5 10 2 3 3" xfId="16915" xr:uid="{00000000-0005-0000-0000-0000C7170000}"/>
    <cellStyle name="Normal 5 10 2 3 4" xfId="9659" xr:uid="{00000000-0005-0000-0000-0000C8170000}"/>
    <cellStyle name="Normal 5 10 2 4" xfId="4217" xr:uid="{00000000-0005-0000-0000-0000C9170000}"/>
    <cellStyle name="Normal 5 10 2 4 2" xfId="18729" xr:uid="{00000000-0005-0000-0000-0000CA170000}"/>
    <cellStyle name="Normal 5 10 2 4 3" xfId="11473" xr:uid="{00000000-0005-0000-0000-0000CB170000}"/>
    <cellStyle name="Normal 5 10 2 5" xfId="15101" xr:uid="{00000000-0005-0000-0000-0000CC170000}"/>
    <cellStyle name="Normal 5 10 2 6" xfId="7845" xr:uid="{00000000-0005-0000-0000-0000CD170000}"/>
    <cellStyle name="Normal 5 10 3" xfId="1150" xr:uid="{00000000-0005-0000-0000-0000CE170000}"/>
    <cellStyle name="Normal 5 10 3 2" xfId="2964" xr:uid="{00000000-0005-0000-0000-0000CF170000}"/>
    <cellStyle name="Normal 5 10 3 2 2" xfId="6592" xr:uid="{00000000-0005-0000-0000-0000D0170000}"/>
    <cellStyle name="Normal 5 10 3 2 2 2" xfId="21104" xr:uid="{00000000-0005-0000-0000-0000D1170000}"/>
    <cellStyle name="Normal 5 10 3 2 2 3" xfId="13848" xr:uid="{00000000-0005-0000-0000-0000D2170000}"/>
    <cellStyle name="Normal 5 10 3 2 3" xfId="17476" xr:uid="{00000000-0005-0000-0000-0000D3170000}"/>
    <cellStyle name="Normal 5 10 3 2 4" xfId="10220" xr:uid="{00000000-0005-0000-0000-0000D4170000}"/>
    <cellStyle name="Normal 5 10 3 3" xfId="4778" xr:uid="{00000000-0005-0000-0000-0000D5170000}"/>
    <cellStyle name="Normal 5 10 3 3 2" xfId="19290" xr:uid="{00000000-0005-0000-0000-0000D6170000}"/>
    <cellStyle name="Normal 5 10 3 3 3" xfId="12034" xr:uid="{00000000-0005-0000-0000-0000D7170000}"/>
    <cellStyle name="Normal 5 10 3 4" xfId="15662" xr:uid="{00000000-0005-0000-0000-0000D8170000}"/>
    <cellStyle name="Normal 5 10 3 5" xfId="8406" xr:uid="{00000000-0005-0000-0000-0000D9170000}"/>
    <cellStyle name="Normal 5 10 4" xfId="2057" xr:uid="{00000000-0005-0000-0000-0000DA170000}"/>
    <cellStyle name="Normal 5 10 4 2" xfId="5685" xr:uid="{00000000-0005-0000-0000-0000DB170000}"/>
    <cellStyle name="Normal 5 10 4 2 2" xfId="20197" xr:uid="{00000000-0005-0000-0000-0000DC170000}"/>
    <cellStyle name="Normal 5 10 4 2 3" xfId="12941" xr:uid="{00000000-0005-0000-0000-0000DD170000}"/>
    <cellStyle name="Normal 5 10 4 3" xfId="16569" xr:uid="{00000000-0005-0000-0000-0000DE170000}"/>
    <cellStyle name="Normal 5 10 4 4" xfId="9313" xr:uid="{00000000-0005-0000-0000-0000DF170000}"/>
    <cellStyle name="Normal 5 10 5" xfId="3871" xr:uid="{00000000-0005-0000-0000-0000E0170000}"/>
    <cellStyle name="Normal 5 10 5 2" xfId="18383" xr:uid="{00000000-0005-0000-0000-0000E1170000}"/>
    <cellStyle name="Normal 5 10 5 3" xfId="11127" xr:uid="{00000000-0005-0000-0000-0000E2170000}"/>
    <cellStyle name="Normal 5 10 6" xfId="14755" xr:uid="{00000000-0005-0000-0000-0000E3170000}"/>
    <cellStyle name="Normal 5 10 7" xfId="7499" xr:uid="{00000000-0005-0000-0000-0000E4170000}"/>
    <cellStyle name="Normal 5 11" xfId="718" xr:uid="{00000000-0005-0000-0000-0000E5170000}"/>
    <cellStyle name="Normal 5 11 2" xfId="1626" xr:uid="{00000000-0005-0000-0000-0000E6170000}"/>
    <cellStyle name="Normal 5 11 2 2" xfId="3440" xr:uid="{00000000-0005-0000-0000-0000E7170000}"/>
    <cellStyle name="Normal 5 11 2 2 2" xfId="7068" xr:uid="{00000000-0005-0000-0000-0000E8170000}"/>
    <cellStyle name="Normal 5 11 2 2 2 2" xfId="21580" xr:uid="{00000000-0005-0000-0000-0000E9170000}"/>
    <cellStyle name="Normal 5 11 2 2 2 3" xfId="14324" xr:uid="{00000000-0005-0000-0000-0000EA170000}"/>
    <cellStyle name="Normal 5 11 2 2 3" xfId="17952" xr:uid="{00000000-0005-0000-0000-0000EB170000}"/>
    <cellStyle name="Normal 5 11 2 2 4" xfId="10696" xr:uid="{00000000-0005-0000-0000-0000EC170000}"/>
    <cellStyle name="Normal 5 11 2 3" xfId="5254" xr:uid="{00000000-0005-0000-0000-0000ED170000}"/>
    <cellStyle name="Normal 5 11 2 3 2" xfId="19766" xr:uid="{00000000-0005-0000-0000-0000EE170000}"/>
    <cellStyle name="Normal 5 11 2 3 3" xfId="12510" xr:uid="{00000000-0005-0000-0000-0000EF170000}"/>
    <cellStyle name="Normal 5 11 2 4" xfId="16138" xr:uid="{00000000-0005-0000-0000-0000F0170000}"/>
    <cellStyle name="Normal 5 11 2 5" xfId="8882" xr:uid="{00000000-0005-0000-0000-0000F1170000}"/>
    <cellStyle name="Normal 5 11 3" xfId="2533" xr:uid="{00000000-0005-0000-0000-0000F2170000}"/>
    <cellStyle name="Normal 5 11 3 2" xfId="6161" xr:uid="{00000000-0005-0000-0000-0000F3170000}"/>
    <cellStyle name="Normal 5 11 3 2 2" xfId="20673" xr:uid="{00000000-0005-0000-0000-0000F4170000}"/>
    <cellStyle name="Normal 5 11 3 2 3" xfId="13417" xr:uid="{00000000-0005-0000-0000-0000F5170000}"/>
    <cellStyle name="Normal 5 11 3 3" xfId="17045" xr:uid="{00000000-0005-0000-0000-0000F6170000}"/>
    <cellStyle name="Normal 5 11 3 4" xfId="9789" xr:uid="{00000000-0005-0000-0000-0000F7170000}"/>
    <cellStyle name="Normal 5 11 4" xfId="4347" xr:uid="{00000000-0005-0000-0000-0000F8170000}"/>
    <cellStyle name="Normal 5 11 4 2" xfId="18859" xr:uid="{00000000-0005-0000-0000-0000F9170000}"/>
    <cellStyle name="Normal 5 11 4 3" xfId="11603" xr:uid="{00000000-0005-0000-0000-0000FA170000}"/>
    <cellStyle name="Normal 5 11 5" xfId="15231" xr:uid="{00000000-0005-0000-0000-0000FB170000}"/>
    <cellStyle name="Normal 5 11 6" xfId="7975" xr:uid="{00000000-0005-0000-0000-0000FC170000}"/>
    <cellStyle name="Normal 5 12" xfId="372" xr:uid="{00000000-0005-0000-0000-0000FD170000}"/>
    <cellStyle name="Normal 5 12 2" xfId="1280" xr:uid="{00000000-0005-0000-0000-0000FE170000}"/>
    <cellStyle name="Normal 5 12 2 2" xfId="3094" xr:uid="{00000000-0005-0000-0000-0000FF170000}"/>
    <cellStyle name="Normal 5 12 2 2 2" xfId="6722" xr:uid="{00000000-0005-0000-0000-000000180000}"/>
    <cellStyle name="Normal 5 12 2 2 2 2" xfId="21234" xr:uid="{00000000-0005-0000-0000-000001180000}"/>
    <cellStyle name="Normal 5 12 2 2 2 3" xfId="13978" xr:uid="{00000000-0005-0000-0000-000002180000}"/>
    <cellStyle name="Normal 5 12 2 2 3" xfId="17606" xr:uid="{00000000-0005-0000-0000-000003180000}"/>
    <cellStyle name="Normal 5 12 2 2 4" xfId="10350" xr:uid="{00000000-0005-0000-0000-000004180000}"/>
    <cellStyle name="Normal 5 12 2 3" xfId="4908" xr:uid="{00000000-0005-0000-0000-000005180000}"/>
    <cellStyle name="Normal 5 12 2 3 2" xfId="19420" xr:uid="{00000000-0005-0000-0000-000006180000}"/>
    <cellStyle name="Normal 5 12 2 3 3" xfId="12164" xr:uid="{00000000-0005-0000-0000-000007180000}"/>
    <cellStyle name="Normal 5 12 2 4" xfId="15792" xr:uid="{00000000-0005-0000-0000-000008180000}"/>
    <cellStyle name="Normal 5 12 2 5" xfId="8536" xr:uid="{00000000-0005-0000-0000-000009180000}"/>
    <cellStyle name="Normal 5 12 3" xfId="2187" xr:uid="{00000000-0005-0000-0000-00000A180000}"/>
    <cellStyle name="Normal 5 12 3 2" xfId="5815" xr:uid="{00000000-0005-0000-0000-00000B180000}"/>
    <cellStyle name="Normal 5 12 3 2 2" xfId="20327" xr:uid="{00000000-0005-0000-0000-00000C180000}"/>
    <cellStyle name="Normal 5 12 3 2 3" xfId="13071" xr:uid="{00000000-0005-0000-0000-00000D180000}"/>
    <cellStyle name="Normal 5 12 3 3" xfId="16699" xr:uid="{00000000-0005-0000-0000-00000E180000}"/>
    <cellStyle name="Normal 5 12 3 4" xfId="9443" xr:uid="{00000000-0005-0000-0000-00000F180000}"/>
    <cellStyle name="Normal 5 12 4" xfId="4001" xr:uid="{00000000-0005-0000-0000-000010180000}"/>
    <cellStyle name="Normal 5 12 4 2" xfId="18513" xr:uid="{00000000-0005-0000-0000-000011180000}"/>
    <cellStyle name="Normal 5 12 4 3" xfId="11257" xr:uid="{00000000-0005-0000-0000-000012180000}"/>
    <cellStyle name="Normal 5 12 5" xfId="14885" xr:uid="{00000000-0005-0000-0000-000013180000}"/>
    <cellStyle name="Normal 5 12 6" xfId="7629" xr:uid="{00000000-0005-0000-0000-000014180000}"/>
    <cellStyle name="Normal 5 13" xfId="848" xr:uid="{00000000-0005-0000-0000-000015180000}"/>
    <cellStyle name="Normal 5 13 2" xfId="1756" xr:uid="{00000000-0005-0000-0000-000016180000}"/>
    <cellStyle name="Normal 5 13 2 2" xfId="3570" xr:uid="{00000000-0005-0000-0000-000017180000}"/>
    <cellStyle name="Normal 5 13 2 2 2" xfId="7198" xr:uid="{00000000-0005-0000-0000-000018180000}"/>
    <cellStyle name="Normal 5 13 2 2 2 2" xfId="21710" xr:uid="{00000000-0005-0000-0000-000019180000}"/>
    <cellStyle name="Normal 5 13 2 2 2 3" xfId="14454" xr:uid="{00000000-0005-0000-0000-00001A180000}"/>
    <cellStyle name="Normal 5 13 2 2 3" xfId="18082" xr:uid="{00000000-0005-0000-0000-00001B180000}"/>
    <cellStyle name="Normal 5 13 2 2 4" xfId="10826" xr:uid="{00000000-0005-0000-0000-00001C180000}"/>
    <cellStyle name="Normal 5 13 2 3" xfId="5384" xr:uid="{00000000-0005-0000-0000-00001D180000}"/>
    <cellStyle name="Normal 5 13 2 3 2" xfId="19896" xr:uid="{00000000-0005-0000-0000-00001E180000}"/>
    <cellStyle name="Normal 5 13 2 3 3" xfId="12640" xr:uid="{00000000-0005-0000-0000-00001F180000}"/>
    <cellStyle name="Normal 5 13 2 4" xfId="16268" xr:uid="{00000000-0005-0000-0000-000020180000}"/>
    <cellStyle name="Normal 5 13 2 5" xfId="9012" xr:uid="{00000000-0005-0000-0000-000021180000}"/>
    <cellStyle name="Normal 5 13 3" xfId="2663" xr:uid="{00000000-0005-0000-0000-000022180000}"/>
    <cellStyle name="Normal 5 13 3 2" xfId="6291" xr:uid="{00000000-0005-0000-0000-000023180000}"/>
    <cellStyle name="Normal 5 13 3 2 2" xfId="20803" xr:uid="{00000000-0005-0000-0000-000024180000}"/>
    <cellStyle name="Normal 5 13 3 2 3" xfId="13547" xr:uid="{00000000-0005-0000-0000-000025180000}"/>
    <cellStyle name="Normal 5 13 3 3" xfId="17175" xr:uid="{00000000-0005-0000-0000-000026180000}"/>
    <cellStyle name="Normal 5 13 3 4" xfId="9919" xr:uid="{00000000-0005-0000-0000-000027180000}"/>
    <cellStyle name="Normal 5 13 4" xfId="4477" xr:uid="{00000000-0005-0000-0000-000028180000}"/>
    <cellStyle name="Normal 5 13 4 2" xfId="18989" xr:uid="{00000000-0005-0000-0000-000029180000}"/>
    <cellStyle name="Normal 5 13 4 3" xfId="11733" xr:uid="{00000000-0005-0000-0000-00002A180000}"/>
    <cellStyle name="Normal 5 13 5" xfId="15361" xr:uid="{00000000-0005-0000-0000-00002B180000}"/>
    <cellStyle name="Normal 5 13 6" xfId="8105" xr:uid="{00000000-0005-0000-0000-00002C180000}"/>
    <cellStyle name="Normal 5 14" xfId="934" xr:uid="{00000000-0005-0000-0000-00002D180000}"/>
    <cellStyle name="Normal 5 14 2" xfId="2748" xr:uid="{00000000-0005-0000-0000-00002E180000}"/>
    <cellStyle name="Normal 5 14 2 2" xfId="6376" xr:uid="{00000000-0005-0000-0000-00002F180000}"/>
    <cellStyle name="Normal 5 14 2 2 2" xfId="20888" xr:uid="{00000000-0005-0000-0000-000030180000}"/>
    <cellStyle name="Normal 5 14 2 2 3" xfId="13632" xr:uid="{00000000-0005-0000-0000-000031180000}"/>
    <cellStyle name="Normal 5 14 2 3" xfId="17260" xr:uid="{00000000-0005-0000-0000-000032180000}"/>
    <cellStyle name="Normal 5 14 2 4" xfId="10004" xr:uid="{00000000-0005-0000-0000-000033180000}"/>
    <cellStyle name="Normal 5 14 3" xfId="4562" xr:uid="{00000000-0005-0000-0000-000034180000}"/>
    <cellStyle name="Normal 5 14 3 2" xfId="19074" xr:uid="{00000000-0005-0000-0000-000035180000}"/>
    <cellStyle name="Normal 5 14 3 3" xfId="11818" xr:uid="{00000000-0005-0000-0000-000036180000}"/>
    <cellStyle name="Normal 5 14 4" xfId="15446" xr:uid="{00000000-0005-0000-0000-000037180000}"/>
    <cellStyle name="Normal 5 14 5" xfId="8190" xr:uid="{00000000-0005-0000-0000-000038180000}"/>
    <cellStyle name="Normal 5 15" xfId="1841" xr:uid="{00000000-0005-0000-0000-000039180000}"/>
    <cellStyle name="Normal 5 15 2" xfId="5469" xr:uid="{00000000-0005-0000-0000-00003A180000}"/>
    <cellStyle name="Normal 5 15 2 2" xfId="19981" xr:uid="{00000000-0005-0000-0000-00003B180000}"/>
    <cellStyle name="Normal 5 15 2 3" xfId="12725" xr:uid="{00000000-0005-0000-0000-00003C180000}"/>
    <cellStyle name="Normal 5 15 3" xfId="16353" xr:uid="{00000000-0005-0000-0000-00003D180000}"/>
    <cellStyle name="Normal 5 15 4" xfId="9097" xr:uid="{00000000-0005-0000-0000-00003E180000}"/>
    <cellStyle name="Normal 5 16" xfId="3655" xr:uid="{00000000-0005-0000-0000-00003F180000}"/>
    <cellStyle name="Normal 5 16 2" xfId="18167" xr:uid="{00000000-0005-0000-0000-000040180000}"/>
    <cellStyle name="Normal 5 16 3" xfId="10911" xr:uid="{00000000-0005-0000-0000-000041180000}"/>
    <cellStyle name="Normal 5 17" xfId="14539" xr:uid="{00000000-0005-0000-0000-000042180000}"/>
    <cellStyle name="Normal 5 18" xfId="7283" xr:uid="{00000000-0005-0000-0000-000043180000}"/>
    <cellStyle name="Normal 5 2" xfId="14" xr:uid="{00000000-0005-0000-0000-000044180000}"/>
    <cellStyle name="Normal 5 2 10" xfId="374" xr:uid="{00000000-0005-0000-0000-000045180000}"/>
    <cellStyle name="Normal 5 2 10 2" xfId="1282" xr:uid="{00000000-0005-0000-0000-000046180000}"/>
    <cellStyle name="Normal 5 2 10 2 2" xfId="3096" xr:uid="{00000000-0005-0000-0000-000047180000}"/>
    <cellStyle name="Normal 5 2 10 2 2 2" xfId="6724" xr:uid="{00000000-0005-0000-0000-000048180000}"/>
    <cellStyle name="Normal 5 2 10 2 2 2 2" xfId="21236" xr:uid="{00000000-0005-0000-0000-000049180000}"/>
    <cellStyle name="Normal 5 2 10 2 2 2 3" xfId="13980" xr:uid="{00000000-0005-0000-0000-00004A180000}"/>
    <cellStyle name="Normal 5 2 10 2 2 3" xfId="17608" xr:uid="{00000000-0005-0000-0000-00004B180000}"/>
    <cellStyle name="Normal 5 2 10 2 2 4" xfId="10352" xr:uid="{00000000-0005-0000-0000-00004C180000}"/>
    <cellStyle name="Normal 5 2 10 2 3" xfId="4910" xr:uid="{00000000-0005-0000-0000-00004D180000}"/>
    <cellStyle name="Normal 5 2 10 2 3 2" xfId="19422" xr:uid="{00000000-0005-0000-0000-00004E180000}"/>
    <cellStyle name="Normal 5 2 10 2 3 3" xfId="12166" xr:uid="{00000000-0005-0000-0000-00004F180000}"/>
    <cellStyle name="Normal 5 2 10 2 4" xfId="15794" xr:uid="{00000000-0005-0000-0000-000050180000}"/>
    <cellStyle name="Normal 5 2 10 2 5" xfId="8538" xr:uid="{00000000-0005-0000-0000-000051180000}"/>
    <cellStyle name="Normal 5 2 10 3" xfId="2189" xr:uid="{00000000-0005-0000-0000-000052180000}"/>
    <cellStyle name="Normal 5 2 10 3 2" xfId="5817" xr:uid="{00000000-0005-0000-0000-000053180000}"/>
    <cellStyle name="Normal 5 2 10 3 2 2" xfId="20329" xr:uid="{00000000-0005-0000-0000-000054180000}"/>
    <cellStyle name="Normal 5 2 10 3 2 3" xfId="13073" xr:uid="{00000000-0005-0000-0000-000055180000}"/>
    <cellStyle name="Normal 5 2 10 3 3" xfId="16701" xr:uid="{00000000-0005-0000-0000-000056180000}"/>
    <cellStyle name="Normal 5 2 10 3 4" xfId="9445" xr:uid="{00000000-0005-0000-0000-000057180000}"/>
    <cellStyle name="Normal 5 2 10 4" xfId="4003" xr:uid="{00000000-0005-0000-0000-000058180000}"/>
    <cellStyle name="Normal 5 2 10 4 2" xfId="18515" xr:uid="{00000000-0005-0000-0000-000059180000}"/>
    <cellStyle name="Normal 5 2 10 4 3" xfId="11259" xr:uid="{00000000-0005-0000-0000-00005A180000}"/>
    <cellStyle name="Normal 5 2 10 5" xfId="14887" xr:uid="{00000000-0005-0000-0000-00005B180000}"/>
    <cellStyle name="Normal 5 2 10 6" xfId="7631" xr:uid="{00000000-0005-0000-0000-00005C180000}"/>
    <cellStyle name="Normal 5 2 11" xfId="850" xr:uid="{00000000-0005-0000-0000-00005D180000}"/>
    <cellStyle name="Normal 5 2 11 2" xfId="1758" xr:uid="{00000000-0005-0000-0000-00005E180000}"/>
    <cellStyle name="Normal 5 2 11 2 2" xfId="3572" xr:uid="{00000000-0005-0000-0000-00005F180000}"/>
    <cellStyle name="Normal 5 2 11 2 2 2" xfId="7200" xr:uid="{00000000-0005-0000-0000-000060180000}"/>
    <cellStyle name="Normal 5 2 11 2 2 2 2" xfId="21712" xr:uid="{00000000-0005-0000-0000-000061180000}"/>
    <cellStyle name="Normal 5 2 11 2 2 2 3" xfId="14456" xr:uid="{00000000-0005-0000-0000-000062180000}"/>
    <cellStyle name="Normal 5 2 11 2 2 3" xfId="18084" xr:uid="{00000000-0005-0000-0000-000063180000}"/>
    <cellStyle name="Normal 5 2 11 2 2 4" xfId="10828" xr:uid="{00000000-0005-0000-0000-000064180000}"/>
    <cellStyle name="Normal 5 2 11 2 3" xfId="5386" xr:uid="{00000000-0005-0000-0000-000065180000}"/>
    <cellStyle name="Normal 5 2 11 2 3 2" xfId="19898" xr:uid="{00000000-0005-0000-0000-000066180000}"/>
    <cellStyle name="Normal 5 2 11 2 3 3" xfId="12642" xr:uid="{00000000-0005-0000-0000-000067180000}"/>
    <cellStyle name="Normal 5 2 11 2 4" xfId="16270" xr:uid="{00000000-0005-0000-0000-000068180000}"/>
    <cellStyle name="Normal 5 2 11 2 5" xfId="9014" xr:uid="{00000000-0005-0000-0000-000069180000}"/>
    <cellStyle name="Normal 5 2 11 3" xfId="2665" xr:uid="{00000000-0005-0000-0000-00006A180000}"/>
    <cellStyle name="Normal 5 2 11 3 2" xfId="6293" xr:uid="{00000000-0005-0000-0000-00006B180000}"/>
    <cellStyle name="Normal 5 2 11 3 2 2" xfId="20805" xr:uid="{00000000-0005-0000-0000-00006C180000}"/>
    <cellStyle name="Normal 5 2 11 3 2 3" xfId="13549" xr:uid="{00000000-0005-0000-0000-00006D180000}"/>
    <cellStyle name="Normal 5 2 11 3 3" xfId="17177" xr:uid="{00000000-0005-0000-0000-00006E180000}"/>
    <cellStyle name="Normal 5 2 11 3 4" xfId="9921" xr:uid="{00000000-0005-0000-0000-00006F180000}"/>
    <cellStyle name="Normal 5 2 11 4" xfId="4479" xr:uid="{00000000-0005-0000-0000-000070180000}"/>
    <cellStyle name="Normal 5 2 11 4 2" xfId="18991" xr:uid="{00000000-0005-0000-0000-000071180000}"/>
    <cellStyle name="Normal 5 2 11 4 3" xfId="11735" xr:uid="{00000000-0005-0000-0000-000072180000}"/>
    <cellStyle name="Normal 5 2 11 5" xfId="15363" xr:uid="{00000000-0005-0000-0000-000073180000}"/>
    <cellStyle name="Normal 5 2 11 6" xfId="8107" xr:uid="{00000000-0005-0000-0000-000074180000}"/>
    <cellStyle name="Normal 5 2 12" xfId="936" xr:uid="{00000000-0005-0000-0000-000075180000}"/>
    <cellStyle name="Normal 5 2 12 2" xfId="2750" xr:uid="{00000000-0005-0000-0000-000076180000}"/>
    <cellStyle name="Normal 5 2 12 2 2" xfId="6378" xr:uid="{00000000-0005-0000-0000-000077180000}"/>
    <cellStyle name="Normal 5 2 12 2 2 2" xfId="20890" xr:uid="{00000000-0005-0000-0000-000078180000}"/>
    <cellStyle name="Normal 5 2 12 2 2 3" xfId="13634" xr:uid="{00000000-0005-0000-0000-000079180000}"/>
    <cellStyle name="Normal 5 2 12 2 3" xfId="17262" xr:uid="{00000000-0005-0000-0000-00007A180000}"/>
    <cellStyle name="Normal 5 2 12 2 4" xfId="10006" xr:uid="{00000000-0005-0000-0000-00007B180000}"/>
    <cellStyle name="Normal 5 2 12 3" xfId="4564" xr:uid="{00000000-0005-0000-0000-00007C180000}"/>
    <cellStyle name="Normal 5 2 12 3 2" xfId="19076" xr:uid="{00000000-0005-0000-0000-00007D180000}"/>
    <cellStyle name="Normal 5 2 12 3 3" xfId="11820" xr:uid="{00000000-0005-0000-0000-00007E180000}"/>
    <cellStyle name="Normal 5 2 12 4" xfId="15448" xr:uid="{00000000-0005-0000-0000-00007F180000}"/>
    <cellStyle name="Normal 5 2 12 5" xfId="8192" xr:uid="{00000000-0005-0000-0000-000080180000}"/>
    <cellStyle name="Normal 5 2 13" xfId="1843" xr:uid="{00000000-0005-0000-0000-000081180000}"/>
    <cellStyle name="Normal 5 2 13 2" xfId="5471" xr:uid="{00000000-0005-0000-0000-000082180000}"/>
    <cellStyle name="Normal 5 2 13 2 2" xfId="19983" xr:uid="{00000000-0005-0000-0000-000083180000}"/>
    <cellStyle name="Normal 5 2 13 2 3" xfId="12727" xr:uid="{00000000-0005-0000-0000-000084180000}"/>
    <cellStyle name="Normal 5 2 13 3" xfId="16355" xr:uid="{00000000-0005-0000-0000-000085180000}"/>
    <cellStyle name="Normal 5 2 13 4" xfId="9099" xr:uid="{00000000-0005-0000-0000-000086180000}"/>
    <cellStyle name="Normal 5 2 14" xfId="3657" xr:uid="{00000000-0005-0000-0000-000087180000}"/>
    <cellStyle name="Normal 5 2 14 2" xfId="18169" xr:uid="{00000000-0005-0000-0000-000088180000}"/>
    <cellStyle name="Normal 5 2 14 3" xfId="10913" xr:uid="{00000000-0005-0000-0000-000089180000}"/>
    <cellStyle name="Normal 5 2 15" xfId="14541" xr:uid="{00000000-0005-0000-0000-00008A180000}"/>
    <cellStyle name="Normal 5 2 16" xfId="7285" xr:uid="{00000000-0005-0000-0000-00008B180000}"/>
    <cellStyle name="Normal 5 2 2" xfId="16" xr:uid="{00000000-0005-0000-0000-00008C180000}"/>
    <cellStyle name="Normal 5 2 2 10" xfId="852" xr:uid="{00000000-0005-0000-0000-00008D180000}"/>
    <cellStyle name="Normal 5 2 2 10 2" xfId="1760" xr:uid="{00000000-0005-0000-0000-00008E180000}"/>
    <cellStyle name="Normal 5 2 2 10 2 2" xfId="3574" xr:uid="{00000000-0005-0000-0000-00008F180000}"/>
    <cellStyle name="Normal 5 2 2 10 2 2 2" xfId="7202" xr:uid="{00000000-0005-0000-0000-000090180000}"/>
    <cellStyle name="Normal 5 2 2 10 2 2 2 2" xfId="21714" xr:uid="{00000000-0005-0000-0000-000091180000}"/>
    <cellStyle name="Normal 5 2 2 10 2 2 2 3" xfId="14458" xr:uid="{00000000-0005-0000-0000-000092180000}"/>
    <cellStyle name="Normal 5 2 2 10 2 2 3" xfId="18086" xr:uid="{00000000-0005-0000-0000-000093180000}"/>
    <cellStyle name="Normal 5 2 2 10 2 2 4" xfId="10830" xr:uid="{00000000-0005-0000-0000-000094180000}"/>
    <cellStyle name="Normal 5 2 2 10 2 3" xfId="5388" xr:uid="{00000000-0005-0000-0000-000095180000}"/>
    <cellStyle name="Normal 5 2 2 10 2 3 2" xfId="19900" xr:uid="{00000000-0005-0000-0000-000096180000}"/>
    <cellStyle name="Normal 5 2 2 10 2 3 3" xfId="12644" xr:uid="{00000000-0005-0000-0000-000097180000}"/>
    <cellStyle name="Normal 5 2 2 10 2 4" xfId="16272" xr:uid="{00000000-0005-0000-0000-000098180000}"/>
    <cellStyle name="Normal 5 2 2 10 2 5" xfId="9016" xr:uid="{00000000-0005-0000-0000-000099180000}"/>
    <cellStyle name="Normal 5 2 2 10 3" xfId="2667" xr:uid="{00000000-0005-0000-0000-00009A180000}"/>
    <cellStyle name="Normal 5 2 2 10 3 2" xfId="6295" xr:uid="{00000000-0005-0000-0000-00009B180000}"/>
    <cellStyle name="Normal 5 2 2 10 3 2 2" xfId="20807" xr:uid="{00000000-0005-0000-0000-00009C180000}"/>
    <cellStyle name="Normal 5 2 2 10 3 2 3" xfId="13551" xr:uid="{00000000-0005-0000-0000-00009D180000}"/>
    <cellStyle name="Normal 5 2 2 10 3 3" xfId="17179" xr:uid="{00000000-0005-0000-0000-00009E180000}"/>
    <cellStyle name="Normal 5 2 2 10 3 4" xfId="9923" xr:uid="{00000000-0005-0000-0000-00009F180000}"/>
    <cellStyle name="Normal 5 2 2 10 4" xfId="4481" xr:uid="{00000000-0005-0000-0000-0000A0180000}"/>
    <cellStyle name="Normal 5 2 2 10 4 2" xfId="18993" xr:uid="{00000000-0005-0000-0000-0000A1180000}"/>
    <cellStyle name="Normal 5 2 2 10 4 3" xfId="11737" xr:uid="{00000000-0005-0000-0000-0000A2180000}"/>
    <cellStyle name="Normal 5 2 2 10 5" xfId="15365" xr:uid="{00000000-0005-0000-0000-0000A3180000}"/>
    <cellStyle name="Normal 5 2 2 10 6" xfId="8109" xr:uid="{00000000-0005-0000-0000-0000A4180000}"/>
    <cellStyle name="Normal 5 2 2 11" xfId="938" xr:uid="{00000000-0005-0000-0000-0000A5180000}"/>
    <cellStyle name="Normal 5 2 2 11 2" xfId="2752" xr:uid="{00000000-0005-0000-0000-0000A6180000}"/>
    <cellStyle name="Normal 5 2 2 11 2 2" xfId="6380" xr:uid="{00000000-0005-0000-0000-0000A7180000}"/>
    <cellStyle name="Normal 5 2 2 11 2 2 2" xfId="20892" xr:uid="{00000000-0005-0000-0000-0000A8180000}"/>
    <cellStyle name="Normal 5 2 2 11 2 2 3" xfId="13636" xr:uid="{00000000-0005-0000-0000-0000A9180000}"/>
    <cellStyle name="Normal 5 2 2 11 2 3" xfId="17264" xr:uid="{00000000-0005-0000-0000-0000AA180000}"/>
    <cellStyle name="Normal 5 2 2 11 2 4" xfId="10008" xr:uid="{00000000-0005-0000-0000-0000AB180000}"/>
    <cellStyle name="Normal 5 2 2 11 3" xfId="4566" xr:uid="{00000000-0005-0000-0000-0000AC180000}"/>
    <cellStyle name="Normal 5 2 2 11 3 2" xfId="19078" xr:uid="{00000000-0005-0000-0000-0000AD180000}"/>
    <cellStyle name="Normal 5 2 2 11 3 3" xfId="11822" xr:uid="{00000000-0005-0000-0000-0000AE180000}"/>
    <cellStyle name="Normal 5 2 2 11 4" xfId="15450" xr:uid="{00000000-0005-0000-0000-0000AF180000}"/>
    <cellStyle name="Normal 5 2 2 11 5" xfId="8194" xr:uid="{00000000-0005-0000-0000-0000B0180000}"/>
    <cellStyle name="Normal 5 2 2 12" xfId="1845" xr:uid="{00000000-0005-0000-0000-0000B1180000}"/>
    <cellStyle name="Normal 5 2 2 12 2" xfId="5473" xr:uid="{00000000-0005-0000-0000-0000B2180000}"/>
    <cellStyle name="Normal 5 2 2 12 2 2" xfId="19985" xr:uid="{00000000-0005-0000-0000-0000B3180000}"/>
    <cellStyle name="Normal 5 2 2 12 2 3" xfId="12729" xr:uid="{00000000-0005-0000-0000-0000B4180000}"/>
    <cellStyle name="Normal 5 2 2 12 3" xfId="16357" xr:uid="{00000000-0005-0000-0000-0000B5180000}"/>
    <cellStyle name="Normal 5 2 2 12 4" xfId="9101" xr:uid="{00000000-0005-0000-0000-0000B6180000}"/>
    <cellStyle name="Normal 5 2 2 13" xfId="3659" xr:uid="{00000000-0005-0000-0000-0000B7180000}"/>
    <cellStyle name="Normal 5 2 2 13 2" xfId="18171" xr:uid="{00000000-0005-0000-0000-0000B8180000}"/>
    <cellStyle name="Normal 5 2 2 13 3" xfId="10915" xr:uid="{00000000-0005-0000-0000-0000B9180000}"/>
    <cellStyle name="Normal 5 2 2 14" xfId="14543" xr:uid="{00000000-0005-0000-0000-0000BA180000}"/>
    <cellStyle name="Normal 5 2 2 15" xfId="7287" xr:uid="{00000000-0005-0000-0000-0000BB180000}"/>
    <cellStyle name="Normal 5 2 2 2" xfId="37" xr:uid="{00000000-0005-0000-0000-0000BC180000}"/>
    <cellStyle name="Normal 5 2 2 2 10" xfId="948" xr:uid="{00000000-0005-0000-0000-0000BD180000}"/>
    <cellStyle name="Normal 5 2 2 2 10 2" xfId="2762" xr:uid="{00000000-0005-0000-0000-0000BE180000}"/>
    <cellStyle name="Normal 5 2 2 2 10 2 2" xfId="6390" xr:uid="{00000000-0005-0000-0000-0000BF180000}"/>
    <cellStyle name="Normal 5 2 2 2 10 2 2 2" xfId="20902" xr:uid="{00000000-0005-0000-0000-0000C0180000}"/>
    <cellStyle name="Normal 5 2 2 2 10 2 2 3" xfId="13646" xr:uid="{00000000-0005-0000-0000-0000C1180000}"/>
    <cellStyle name="Normal 5 2 2 2 10 2 3" xfId="17274" xr:uid="{00000000-0005-0000-0000-0000C2180000}"/>
    <cellStyle name="Normal 5 2 2 2 10 2 4" xfId="10018" xr:uid="{00000000-0005-0000-0000-0000C3180000}"/>
    <cellStyle name="Normal 5 2 2 2 10 3" xfId="4576" xr:uid="{00000000-0005-0000-0000-0000C4180000}"/>
    <cellStyle name="Normal 5 2 2 2 10 3 2" xfId="19088" xr:uid="{00000000-0005-0000-0000-0000C5180000}"/>
    <cellStyle name="Normal 5 2 2 2 10 3 3" xfId="11832" xr:uid="{00000000-0005-0000-0000-0000C6180000}"/>
    <cellStyle name="Normal 5 2 2 2 10 4" xfId="15460" xr:uid="{00000000-0005-0000-0000-0000C7180000}"/>
    <cellStyle name="Normal 5 2 2 2 10 5" xfId="8204" xr:uid="{00000000-0005-0000-0000-0000C8180000}"/>
    <cellStyle name="Normal 5 2 2 2 11" xfId="1855" xr:uid="{00000000-0005-0000-0000-0000C9180000}"/>
    <cellStyle name="Normal 5 2 2 2 11 2" xfId="5483" xr:uid="{00000000-0005-0000-0000-0000CA180000}"/>
    <cellStyle name="Normal 5 2 2 2 11 2 2" xfId="19995" xr:uid="{00000000-0005-0000-0000-0000CB180000}"/>
    <cellStyle name="Normal 5 2 2 2 11 2 3" xfId="12739" xr:uid="{00000000-0005-0000-0000-0000CC180000}"/>
    <cellStyle name="Normal 5 2 2 2 11 3" xfId="16367" xr:uid="{00000000-0005-0000-0000-0000CD180000}"/>
    <cellStyle name="Normal 5 2 2 2 11 4" xfId="9111" xr:uid="{00000000-0005-0000-0000-0000CE180000}"/>
    <cellStyle name="Normal 5 2 2 2 12" xfId="3669" xr:uid="{00000000-0005-0000-0000-0000CF180000}"/>
    <cellStyle name="Normal 5 2 2 2 12 2" xfId="18181" xr:uid="{00000000-0005-0000-0000-0000D0180000}"/>
    <cellStyle name="Normal 5 2 2 2 12 3" xfId="10925" xr:uid="{00000000-0005-0000-0000-0000D1180000}"/>
    <cellStyle name="Normal 5 2 2 2 13" xfId="14553" xr:uid="{00000000-0005-0000-0000-0000D2180000}"/>
    <cellStyle name="Normal 5 2 2 2 14" xfId="7297" xr:uid="{00000000-0005-0000-0000-0000D3180000}"/>
    <cellStyle name="Normal 5 2 2 2 2" xfId="59" xr:uid="{00000000-0005-0000-0000-0000D4180000}"/>
    <cellStyle name="Normal 5 2 2 2 2 10" xfId="1876" xr:uid="{00000000-0005-0000-0000-0000D5180000}"/>
    <cellStyle name="Normal 5 2 2 2 2 10 2" xfId="5504" xr:uid="{00000000-0005-0000-0000-0000D6180000}"/>
    <cellStyle name="Normal 5 2 2 2 2 10 2 2" xfId="20016" xr:uid="{00000000-0005-0000-0000-0000D7180000}"/>
    <cellStyle name="Normal 5 2 2 2 2 10 2 3" xfId="12760" xr:uid="{00000000-0005-0000-0000-0000D8180000}"/>
    <cellStyle name="Normal 5 2 2 2 2 10 3" xfId="16388" xr:uid="{00000000-0005-0000-0000-0000D9180000}"/>
    <cellStyle name="Normal 5 2 2 2 2 10 4" xfId="9132" xr:uid="{00000000-0005-0000-0000-0000DA180000}"/>
    <cellStyle name="Normal 5 2 2 2 2 11" xfId="3690" xr:uid="{00000000-0005-0000-0000-0000DB180000}"/>
    <cellStyle name="Normal 5 2 2 2 2 11 2" xfId="18202" xr:uid="{00000000-0005-0000-0000-0000DC180000}"/>
    <cellStyle name="Normal 5 2 2 2 2 11 3" xfId="10946" xr:uid="{00000000-0005-0000-0000-0000DD180000}"/>
    <cellStyle name="Normal 5 2 2 2 2 12" xfId="14574" xr:uid="{00000000-0005-0000-0000-0000DE180000}"/>
    <cellStyle name="Normal 5 2 2 2 2 13" xfId="7318" xr:uid="{00000000-0005-0000-0000-0000DF180000}"/>
    <cellStyle name="Normal 5 2 2 2 2 2" xfId="101" xr:uid="{00000000-0005-0000-0000-0000E0180000}"/>
    <cellStyle name="Normal 5 2 2 2 2 2 10" xfId="14616" xr:uid="{00000000-0005-0000-0000-0000E1180000}"/>
    <cellStyle name="Normal 5 2 2 2 2 2 11" xfId="7360" xr:uid="{00000000-0005-0000-0000-0000E2180000}"/>
    <cellStyle name="Normal 5 2 2 2 2 2 2" xfId="189" xr:uid="{00000000-0005-0000-0000-0000E3180000}"/>
    <cellStyle name="Normal 5 2 2 2 2 2 2 2" xfId="535" xr:uid="{00000000-0005-0000-0000-0000E4180000}"/>
    <cellStyle name="Normal 5 2 2 2 2 2 2 2 2" xfId="1443" xr:uid="{00000000-0005-0000-0000-0000E5180000}"/>
    <cellStyle name="Normal 5 2 2 2 2 2 2 2 2 2" xfId="3257" xr:uid="{00000000-0005-0000-0000-0000E6180000}"/>
    <cellStyle name="Normal 5 2 2 2 2 2 2 2 2 2 2" xfId="6885" xr:uid="{00000000-0005-0000-0000-0000E7180000}"/>
    <cellStyle name="Normal 5 2 2 2 2 2 2 2 2 2 2 2" xfId="21397" xr:uid="{00000000-0005-0000-0000-0000E8180000}"/>
    <cellStyle name="Normal 5 2 2 2 2 2 2 2 2 2 2 3" xfId="14141" xr:uid="{00000000-0005-0000-0000-0000E9180000}"/>
    <cellStyle name="Normal 5 2 2 2 2 2 2 2 2 2 3" xfId="17769" xr:uid="{00000000-0005-0000-0000-0000EA180000}"/>
    <cellStyle name="Normal 5 2 2 2 2 2 2 2 2 2 4" xfId="10513" xr:uid="{00000000-0005-0000-0000-0000EB180000}"/>
    <cellStyle name="Normal 5 2 2 2 2 2 2 2 2 3" xfId="5071" xr:uid="{00000000-0005-0000-0000-0000EC180000}"/>
    <cellStyle name="Normal 5 2 2 2 2 2 2 2 2 3 2" xfId="19583" xr:uid="{00000000-0005-0000-0000-0000ED180000}"/>
    <cellStyle name="Normal 5 2 2 2 2 2 2 2 2 3 3" xfId="12327" xr:uid="{00000000-0005-0000-0000-0000EE180000}"/>
    <cellStyle name="Normal 5 2 2 2 2 2 2 2 2 4" xfId="15955" xr:uid="{00000000-0005-0000-0000-0000EF180000}"/>
    <cellStyle name="Normal 5 2 2 2 2 2 2 2 2 5" xfId="8699" xr:uid="{00000000-0005-0000-0000-0000F0180000}"/>
    <cellStyle name="Normal 5 2 2 2 2 2 2 2 3" xfId="2350" xr:uid="{00000000-0005-0000-0000-0000F1180000}"/>
    <cellStyle name="Normal 5 2 2 2 2 2 2 2 3 2" xfId="5978" xr:uid="{00000000-0005-0000-0000-0000F2180000}"/>
    <cellStyle name="Normal 5 2 2 2 2 2 2 2 3 2 2" xfId="20490" xr:uid="{00000000-0005-0000-0000-0000F3180000}"/>
    <cellStyle name="Normal 5 2 2 2 2 2 2 2 3 2 3" xfId="13234" xr:uid="{00000000-0005-0000-0000-0000F4180000}"/>
    <cellStyle name="Normal 5 2 2 2 2 2 2 2 3 3" xfId="16862" xr:uid="{00000000-0005-0000-0000-0000F5180000}"/>
    <cellStyle name="Normal 5 2 2 2 2 2 2 2 3 4" xfId="9606" xr:uid="{00000000-0005-0000-0000-0000F6180000}"/>
    <cellStyle name="Normal 5 2 2 2 2 2 2 2 4" xfId="4164" xr:uid="{00000000-0005-0000-0000-0000F7180000}"/>
    <cellStyle name="Normal 5 2 2 2 2 2 2 2 4 2" xfId="18676" xr:uid="{00000000-0005-0000-0000-0000F8180000}"/>
    <cellStyle name="Normal 5 2 2 2 2 2 2 2 4 3" xfId="11420" xr:uid="{00000000-0005-0000-0000-0000F9180000}"/>
    <cellStyle name="Normal 5 2 2 2 2 2 2 2 5" xfId="15048" xr:uid="{00000000-0005-0000-0000-0000FA180000}"/>
    <cellStyle name="Normal 5 2 2 2 2 2 2 2 6" xfId="7792" xr:uid="{00000000-0005-0000-0000-0000FB180000}"/>
    <cellStyle name="Normal 5 2 2 2 2 2 2 3" xfId="1097" xr:uid="{00000000-0005-0000-0000-0000FC180000}"/>
    <cellStyle name="Normal 5 2 2 2 2 2 2 3 2" xfId="2911" xr:uid="{00000000-0005-0000-0000-0000FD180000}"/>
    <cellStyle name="Normal 5 2 2 2 2 2 2 3 2 2" xfId="6539" xr:uid="{00000000-0005-0000-0000-0000FE180000}"/>
    <cellStyle name="Normal 5 2 2 2 2 2 2 3 2 2 2" xfId="21051" xr:uid="{00000000-0005-0000-0000-0000FF180000}"/>
    <cellStyle name="Normal 5 2 2 2 2 2 2 3 2 2 3" xfId="13795" xr:uid="{00000000-0005-0000-0000-000000190000}"/>
    <cellStyle name="Normal 5 2 2 2 2 2 2 3 2 3" xfId="17423" xr:uid="{00000000-0005-0000-0000-000001190000}"/>
    <cellStyle name="Normal 5 2 2 2 2 2 2 3 2 4" xfId="10167" xr:uid="{00000000-0005-0000-0000-000002190000}"/>
    <cellStyle name="Normal 5 2 2 2 2 2 2 3 3" xfId="4725" xr:uid="{00000000-0005-0000-0000-000003190000}"/>
    <cellStyle name="Normal 5 2 2 2 2 2 2 3 3 2" xfId="19237" xr:uid="{00000000-0005-0000-0000-000004190000}"/>
    <cellStyle name="Normal 5 2 2 2 2 2 2 3 3 3" xfId="11981" xr:uid="{00000000-0005-0000-0000-000005190000}"/>
    <cellStyle name="Normal 5 2 2 2 2 2 2 3 4" xfId="15609" xr:uid="{00000000-0005-0000-0000-000006190000}"/>
    <cellStyle name="Normal 5 2 2 2 2 2 2 3 5" xfId="8353" xr:uid="{00000000-0005-0000-0000-000007190000}"/>
    <cellStyle name="Normal 5 2 2 2 2 2 2 4" xfId="2004" xr:uid="{00000000-0005-0000-0000-000008190000}"/>
    <cellStyle name="Normal 5 2 2 2 2 2 2 4 2" xfId="5632" xr:uid="{00000000-0005-0000-0000-000009190000}"/>
    <cellStyle name="Normal 5 2 2 2 2 2 2 4 2 2" xfId="20144" xr:uid="{00000000-0005-0000-0000-00000A190000}"/>
    <cellStyle name="Normal 5 2 2 2 2 2 2 4 2 3" xfId="12888" xr:uid="{00000000-0005-0000-0000-00000B190000}"/>
    <cellStyle name="Normal 5 2 2 2 2 2 2 4 3" xfId="16516" xr:uid="{00000000-0005-0000-0000-00000C190000}"/>
    <cellStyle name="Normal 5 2 2 2 2 2 2 4 4" xfId="9260" xr:uid="{00000000-0005-0000-0000-00000D190000}"/>
    <cellStyle name="Normal 5 2 2 2 2 2 2 5" xfId="3818" xr:uid="{00000000-0005-0000-0000-00000E190000}"/>
    <cellStyle name="Normal 5 2 2 2 2 2 2 5 2" xfId="18330" xr:uid="{00000000-0005-0000-0000-00000F190000}"/>
    <cellStyle name="Normal 5 2 2 2 2 2 2 5 3" xfId="11074" xr:uid="{00000000-0005-0000-0000-000010190000}"/>
    <cellStyle name="Normal 5 2 2 2 2 2 2 6" xfId="14702" xr:uid="{00000000-0005-0000-0000-000011190000}"/>
    <cellStyle name="Normal 5 2 2 2 2 2 2 7" xfId="7446" xr:uid="{00000000-0005-0000-0000-000012190000}"/>
    <cellStyle name="Normal 5 2 2 2 2 2 3" xfId="319" xr:uid="{00000000-0005-0000-0000-000013190000}"/>
    <cellStyle name="Normal 5 2 2 2 2 2 3 2" xfId="665" xr:uid="{00000000-0005-0000-0000-000014190000}"/>
    <cellStyle name="Normal 5 2 2 2 2 2 3 2 2" xfId="1573" xr:uid="{00000000-0005-0000-0000-000015190000}"/>
    <cellStyle name="Normal 5 2 2 2 2 2 3 2 2 2" xfId="3387" xr:uid="{00000000-0005-0000-0000-000016190000}"/>
    <cellStyle name="Normal 5 2 2 2 2 2 3 2 2 2 2" xfId="7015" xr:uid="{00000000-0005-0000-0000-000017190000}"/>
    <cellStyle name="Normal 5 2 2 2 2 2 3 2 2 2 2 2" xfId="21527" xr:uid="{00000000-0005-0000-0000-000018190000}"/>
    <cellStyle name="Normal 5 2 2 2 2 2 3 2 2 2 2 3" xfId="14271" xr:uid="{00000000-0005-0000-0000-000019190000}"/>
    <cellStyle name="Normal 5 2 2 2 2 2 3 2 2 2 3" xfId="17899" xr:uid="{00000000-0005-0000-0000-00001A190000}"/>
    <cellStyle name="Normal 5 2 2 2 2 2 3 2 2 2 4" xfId="10643" xr:uid="{00000000-0005-0000-0000-00001B190000}"/>
    <cellStyle name="Normal 5 2 2 2 2 2 3 2 2 3" xfId="5201" xr:uid="{00000000-0005-0000-0000-00001C190000}"/>
    <cellStyle name="Normal 5 2 2 2 2 2 3 2 2 3 2" xfId="19713" xr:uid="{00000000-0005-0000-0000-00001D190000}"/>
    <cellStyle name="Normal 5 2 2 2 2 2 3 2 2 3 3" xfId="12457" xr:uid="{00000000-0005-0000-0000-00001E190000}"/>
    <cellStyle name="Normal 5 2 2 2 2 2 3 2 2 4" xfId="16085" xr:uid="{00000000-0005-0000-0000-00001F190000}"/>
    <cellStyle name="Normal 5 2 2 2 2 2 3 2 2 5" xfId="8829" xr:uid="{00000000-0005-0000-0000-000020190000}"/>
    <cellStyle name="Normal 5 2 2 2 2 2 3 2 3" xfId="2480" xr:uid="{00000000-0005-0000-0000-000021190000}"/>
    <cellStyle name="Normal 5 2 2 2 2 2 3 2 3 2" xfId="6108" xr:uid="{00000000-0005-0000-0000-000022190000}"/>
    <cellStyle name="Normal 5 2 2 2 2 2 3 2 3 2 2" xfId="20620" xr:uid="{00000000-0005-0000-0000-000023190000}"/>
    <cellStyle name="Normal 5 2 2 2 2 2 3 2 3 2 3" xfId="13364" xr:uid="{00000000-0005-0000-0000-000024190000}"/>
    <cellStyle name="Normal 5 2 2 2 2 2 3 2 3 3" xfId="16992" xr:uid="{00000000-0005-0000-0000-000025190000}"/>
    <cellStyle name="Normal 5 2 2 2 2 2 3 2 3 4" xfId="9736" xr:uid="{00000000-0005-0000-0000-000026190000}"/>
    <cellStyle name="Normal 5 2 2 2 2 2 3 2 4" xfId="4294" xr:uid="{00000000-0005-0000-0000-000027190000}"/>
    <cellStyle name="Normal 5 2 2 2 2 2 3 2 4 2" xfId="18806" xr:uid="{00000000-0005-0000-0000-000028190000}"/>
    <cellStyle name="Normal 5 2 2 2 2 2 3 2 4 3" xfId="11550" xr:uid="{00000000-0005-0000-0000-000029190000}"/>
    <cellStyle name="Normal 5 2 2 2 2 2 3 2 5" xfId="15178" xr:uid="{00000000-0005-0000-0000-00002A190000}"/>
    <cellStyle name="Normal 5 2 2 2 2 2 3 2 6" xfId="7922" xr:uid="{00000000-0005-0000-0000-00002B190000}"/>
    <cellStyle name="Normal 5 2 2 2 2 2 3 3" xfId="1227" xr:uid="{00000000-0005-0000-0000-00002C190000}"/>
    <cellStyle name="Normal 5 2 2 2 2 2 3 3 2" xfId="3041" xr:uid="{00000000-0005-0000-0000-00002D190000}"/>
    <cellStyle name="Normal 5 2 2 2 2 2 3 3 2 2" xfId="6669" xr:uid="{00000000-0005-0000-0000-00002E190000}"/>
    <cellStyle name="Normal 5 2 2 2 2 2 3 3 2 2 2" xfId="21181" xr:uid="{00000000-0005-0000-0000-00002F190000}"/>
    <cellStyle name="Normal 5 2 2 2 2 2 3 3 2 2 3" xfId="13925" xr:uid="{00000000-0005-0000-0000-000030190000}"/>
    <cellStyle name="Normal 5 2 2 2 2 2 3 3 2 3" xfId="17553" xr:uid="{00000000-0005-0000-0000-000031190000}"/>
    <cellStyle name="Normal 5 2 2 2 2 2 3 3 2 4" xfId="10297" xr:uid="{00000000-0005-0000-0000-000032190000}"/>
    <cellStyle name="Normal 5 2 2 2 2 2 3 3 3" xfId="4855" xr:uid="{00000000-0005-0000-0000-000033190000}"/>
    <cellStyle name="Normal 5 2 2 2 2 2 3 3 3 2" xfId="19367" xr:uid="{00000000-0005-0000-0000-000034190000}"/>
    <cellStyle name="Normal 5 2 2 2 2 2 3 3 3 3" xfId="12111" xr:uid="{00000000-0005-0000-0000-000035190000}"/>
    <cellStyle name="Normal 5 2 2 2 2 2 3 3 4" xfId="15739" xr:uid="{00000000-0005-0000-0000-000036190000}"/>
    <cellStyle name="Normal 5 2 2 2 2 2 3 3 5" xfId="8483" xr:uid="{00000000-0005-0000-0000-000037190000}"/>
    <cellStyle name="Normal 5 2 2 2 2 2 3 4" xfId="2134" xr:uid="{00000000-0005-0000-0000-000038190000}"/>
    <cellStyle name="Normal 5 2 2 2 2 2 3 4 2" xfId="5762" xr:uid="{00000000-0005-0000-0000-000039190000}"/>
    <cellStyle name="Normal 5 2 2 2 2 2 3 4 2 2" xfId="20274" xr:uid="{00000000-0005-0000-0000-00003A190000}"/>
    <cellStyle name="Normal 5 2 2 2 2 2 3 4 2 3" xfId="13018" xr:uid="{00000000-0005-0000-0000-00003B190000}"/>
    <cellStyle name="Normal 5 2 2 2 2 2 3 4 3" xfId="16646" xr:uid="{00000000-0005-0000-0000-00003C190000}"/>
    <cellStyle name="Normal 5 2 2 2 2 2 3 4 4" xfId="9390" xr:uid="{00000000-0005-0000-0000-00003D190000}"/>
    <cellStyle name="Normal 5 2 2 2 2 2 3 5" xfId="3948" xr:uid="{00000000-0005-0000-0000-00003E190000}"/>
    <cellStyle name="Normal 5 2 2 2 2 2 3 5 2" xfId="18460" xr:uid="{00000000-0005-0000-0000-00003F190000}"/>
    <cellStyle name="Normal 5 2 2 2 2 2 3 5 3" xfId="11204" xr:uid="{00000000-0005-0000-0000-000040190000}"/>
    <cellStyle name="Normal 5 2 2 2 2 2 3 6" xfId="14832" xr:uid="{00000000-0005-0000-0000-000041190000}"/>
    <cellStyle name="Normal 5 2 2 2 2 2 3 7" xfId="7576" xr:uid="{00000000-0005-0000-0000-000042190000}"/>
    <cellStyle name="Normal 5 2 2 2 2 2 4" xfId="795" xr:uid="{00000000-0005-0000-0000-000043190000}"/>
    <cellStyle name="Normal 5 2 2 2 2 2 4 2" xfId="1703" xr:uid="{00000000-0005-0000-0000-000044190000}"/>
    <cellStyle name="Normal 5 2 2 2 2 2 4 2 2" xfId="3517" xr:uid="{00000000-0005-0000-0000-000045190000}"/>
    <cellStyle name="Normal 5 2 2 2 2 2 4 2 2 2" xfId="7145" xr:uid="{00000000-0005-0000-0000-000046190000}"/>
    <cellStyle name="Normal 5 2 2 2 2 2 4 2 2 2 2" xfId="21657" xr:uid="{00000000-0005-0000-0000-000047190000}"/>
    <cellStyle name="Normal 5 2 2 2 2 2 4 2 2 2 3" xfId="14401" xr:uid="{00000000-0005-0000-0000-000048190000}"/>
    <cellStyle name="Normal 5 2 2 2 2 2 4 2 2 3" xfId="18029" xr:uid="{00000000-0005-0000-0000-000049190000}"/>
    <cellStyle name="Normal 5 2 2 2 2 2 4 2 2 4" xfId="10773" xr:uid="{00000000-0005-0000-0000-00004A190000}"/>
    <cellStyle name="Normal 5 2 2 2 2 2 4 2 3" xfId="5331" xr:uid="{00000000-0005-0000-0000-00004B190000}"/>
    <cellStyle name="Normal 5 2 2 2 2 2 4 2 3 2" xfId="19843" xr:uid="{00000000-0005-0000-0000-00004C190000}"/>
    <cellStyle name="Normal 5 2 2 2 2 2 4 2 3 3" xfId="12587" xr:uid="{00000000-0005-0000-0000-00004D190000}"/>
    <cellStyle name="Normal 5 2 2 2 2 2 4 2 4" xfId="16215" xr:uid="{00000000-0005-0000-0000-00004E190000}"/>
    <cellStyle name="Normal 5 2 2 2 2 2 4 2 5" xfId="8959" xr:uid="{00000000-0005-0000-0000-00004F190000}"/>
    <cellStyle name="Normal 5 2 2 2 2 2 4 3" xfId="2610" xr:uid="{00000000-0005-0000-0000-000050190000}"/>
    <cellStyle name="Normal 5 2 2 2 2 2 4 3 2" xfId="6238" xr:uid="{00000000-0005-0000-0000-000051190000}"/>
    <cellStyle name="Normal 5 2 2 2 2 2 4 3 2 2" xfId="20750" xr:uid="{00000000-0005-0000-0000-000052190000}"/>
    <cellStyle name="Normal 5 2 2 2 2 2 4 3 2 3" xfId="13494" xr:uid="{00000000-0005-0000-0000-000053190000}"/>
    <cellStyle name="Normal 5 2 2 2 2 2 4 3 3" xfId="17122" xr:uid="{00000000-0005-0000-0000-000054190000}"/>
    <cellStyle name="Normal 5 2 2 2 2 2 4 3 4" xfId="9866" xr:uid="{00000000-0005-0000-0000-000055190000}"/>
    <cellStyle name="Normal 5 2 2 2 2 2 4 4" xfId="4424" xr:uid="{00000000-0005-0000-0000-000056190000}"/>
    <cellStyle name="Normal 5 2 2 2 2 2 4 4 2" xfId="18936" xr:uid="{00000000-0005-0000-0000-000057190000}"/>
    <cellStyle name="Normal 5 2 2 2 2 2 4 4 3" xfId="11680" xr:uid="{00000000-0005-0000-0000-000058190000}"/>
    <cellStyle name="Normal 5 2 2 2 2 2 4 5" xfId="15308" xr:uid="{00000000-0005-0000-0000-000059190000}"/>
    <cellStyle name="Normal 5 2 2 2 2 2 4 6" xfId="8052" xr:uid="{00000000-0005-0000-0000-00005A190000}"/>
    <cellStyle name="Normal 5 2 2 2 2 2 5" xfId="449" xr:uid="{00000000-0005-0000-0000-00005B190000}"/>
    <cellStyle name="Normal 5 2 2 2 2 2 5 2" xfId="1357" xr:uid="{00000000-0005-0000-0000-00005C190000}"/>
    <cellStyle name="Normal 5 2 2 2 2 2 5 2 2" xfId="3171" xr:uid="{00000000-0005-0000-0000-00005D190000}"/>
    <cellStyle name="Normal 5 2 2 2 2 2 5 2 2 2" xfId="6799" xr:uid="{00000000-0005-0000-0000-00005E190000}"/>
    <cellStyle name="Normal 5 2 2 2 2 2 5 2 2 2 2" xfId="21311" xr:uid="{00000000-0005-0000-0000-00005F190000}"/>
    <cellStyle name="Normal 5 2 2 2 2 2 5 2 2 2 3" xfId="14055" xr:uid="{00000000-0005-0000-0000-000060190000}"/>
    <cellStyle name="Normal 5 2 2 2 2 2 5 2 2 3" xfId="17683" xr:uid="{00000000-0005-0000-0000-000061190000}"/>
    <cellStyle name="Normal 5 2 2 2 2 2 5 2 2 4" xfId="10427" xr:uid="{00000000-0005-0000-0000-000062190000}"/>
    <cellStyle name="Normal 5 2 2 2 2 2 5 2 3" xfId="4985" xr:uid="{00000000-0005-0000-0000-000063190000}"/>
    <cellStyle name="Normal 5 2 2 2 2 2 5 2 3 2" xfId="19497" xr:uid="{00000000-0005-0000-0000-000064190000}"/>
    <cellStyle name="Normal 5 2 2 2 2 2 5 2 3 3" xfId="12241" xr:uid="{00000000-0005-0000-0000-000065190000}"/>
    <cellStyle name="Normal 5 2 2 2 2 2 5 2 4" xfId="15869" xr:uid="{00000000-0005-0000-0000-000066190000}"/>
    <cellStyle name="Normal 5 2 2 2 2 2 5 2 5" xfId="8613" xr:uid="{00000000-0005-0000-0000-000067190000}"/>
    <cellStyle name="Normal 5 2 2 2 2 2 5 3" xfId="2264" xr:uid="{00000000-0005-0000-0000-000068190000}"/>
    <cellStyle name="Normal 5 2 2 2 2 2 5 3 2" xfId="5892" xr:uid="{00000000-0005-0000-0000-000069190000}"/>
    <cellStyle name="Normal 5 2 2 2 2 2 5 3 2 2" xfId="20404" xr:uid="{00000000-0005-0000-0000-00006A190000}"/>
    <cellStyle name="Normal 5 2 2 2 2 2 5 3 2 3" xfId="13148" xr:uid="{00000000-0005-0000-0000-00006B190000}"/>
    <cellStyle name="Normal 5 2 2 2 2 2 5 3 3" xfId="16776" xr:uid="{00000000-0005-0000-0000-00006C190000}"/>
    <cellStyle name="Normal 5 2 2 2 2 2 5 3 4" xfId="9520" xr:uid="{00000000-0005-0000-0000-00006D190000}"/>
    <cellStyle name="Normal 5 2 2 2 2 2 5 4" xfId="4078" xr:uid="{00000000-0005-0000-0000-00006E190000}"/>
    <cellStyle name="Normal 5 2 2 2 2 2 5 4 2" xfId="18590" xr:uid="{00000000-0005-0000-0000-00006F190000}"/>
    <cellStyle name="Normal 5 2 2 2 2 2 5 4 3" xfId="11334" xr:uid="{00000000-0005-0000-0000-000070190000}"/>
    <cellStyle name="Normal 5 2 2 2 2 2 5 5" xfId="14962" xr:uid="{00000000-0005-0000-0000-000071190000}"/>
    <cellStyle name="Normal 5 2 2 2 2 2 5 6" xfId="7706" xr:uid="{00000000-0005-0000-0000-000072190000}"/>
    <cellStyle name="Normal 5 2 2 2 2 2 6" xfId="922" xr:uid="{00000000-0005-0000-0000-000073190000}"/>
    <cellStyle name="Normal 5 2 2 2 2 2 6 2" xfId="1829" xr:uid="{00000000-0005-0000-0000-000074190000}"/>
    <cellStyle name="Normal 5 2 2 2 2 2 6 2 2" xfId="3643" xr:uid="{00000000-0005-0000-0000-000075190000}"/>
    <cellStyle name="Normal 5 2 2 2 2 2 6 2 2 2" xfId="7271" xr:uid="{00000000-0005-0000-0000-000076190000}"/>
    <cellStyle name="Normal 5 2 2 2 2 2 6 2 2 2 2" xfId="21783" xr:uid="{00000000-0005-0000-0000-000077190000}"/>
    <cellStyle name="Normal 5 2 2 2 2 2 6 2 2 2 3" xfId="14527" xr:uid="{00000000-0005-0000-0000-000078190000}"/>
    <cellStyle name="Normal 5 2 2 2 2 2 6 2 2 3" xfId="18155" xr:uid="{00000000-0005-0000-0000-000079190000}"/>
    <cellStyle name="Normal 5 2 2 2 2 2 6 2 2 4" xfId="10899" xr:uid="{00000000-0005-0000-0000-00007A190000}"/>
    <cellStyle name="Normal 5 2 2 2 2 2 6 2 3" xfId="5457" xr:uid="{00000000-0005-0000-0000-00007B190000}"/>
    <cellStyle name="Normal 5 2 2 2 2 2 6 2 3 2" xfId="19969" xr:uid="{00000000-0005-0000-0000-00007C190000}"/>
    <cellStyle name="Normal 5 2 2 2 2 2 6 2 3 3" xfId="12713" xr:uid="{00000000-0005-0000-0000-00007D190000}"/>
    <cellStyle name="Normal 5 2 2 2 2 2 6 2 4" xfId="16341" xr:uid="{00000000-0005-0000-0000-00007E190000}"/>
    <cellStyle name="Normal 5 2 2 2 2 2 6 2 5" xfId="9085" xr:uid="{00000000-0005-0000-0000-00007F190000}"/>
    <cellStyle name="Normal 5 2 2 2 2 2 6 3" xfId="2736" xr:uid="{00000000-0005-0000-0000-000080190000}"/>
    <cellStyle name="Normal 5 2 2 2 2 2 6 3 2" xfId="6364" xr:uid="{00000000-0005-0000-0000-000081190000}"/>
    <cellStyle name="Normal 5 2 2 2 2 2 6 3 2 2" xfId="20876" xr:uid="{00000000-0005-0000-0000-000082190000}"/>
    <cellStyle name="Normal 5 2 2 2 2 2 6 3 2 3" xfId="13620" xr:uid="{00000000-0005-0000-0000-000083190000}"/>
    <cellStyle name="Normal 5 2 2 2 2 2 6 3 3" xfId="17248" xr:uid="{00000000-0005-0000-0000-000084190000}"/>
    <cellStyle name="Normal 5 2 2 2 2 2 6 3 4" xfId="9992" xr:uid="{00000000-0005-0000-0000-000085190000}"/>
    <cellStyle name="Normal 5 2 2 2 2 2 6 4" xfId="4550" xr:uid="{00000000-0005-0000-0000-000086190000}"/>
    <cellStyle name="Normal 5 2 2 2 2 2 6 4 2" xfId="19062" xr:uid="{00000000-0005-0000-0000-000087190000}"/>
    <cellStyle name="Normal 5 2 2 2 2 2 6 4 3" xfId="11806" xr:uid="{00000000-0005-0000-0000-000088190000}"/>
    <cellStyle name="Normal 5 2 2 2 2 2 6 5" xfId="15434" xr:uid="{00000000-0005-0000-0000-000089190000}"/>
    <cellStyle name="Normal 5 2 2 2 2 2 6 6" xfId="8178" xr:uid="{00000000-0005-0000-0000-00008A190000}"/>
    <cellStyle name="Normal 5 2 2 2 2 2 7" xfId="1011" xr:uid="{00000000-0005-0000-0000-00008B190000}"/>
    <cellStyle name="Normal 5 2 2 2 2 2 7 2" xfId="2825" xr:uid="{00000000-0005-0000-0000-00008C190000}"/>
    <cellStyle name="Normal 5 2 2 2 2 2 7 2 2" xfId="6453" xr:uid="{00000000-0005-0000-0000-00008D190000}"/>
    <cellStyle name="Normal 5 2 2 2 2 2 7 2 2 2" xfId="20965" xr:uid="{00000000-0005-0000-0000-00008E190000}"/>
    <cellStyle name="Normal 5 2 2 2 2 2 7 2 2 3" xfId="13709" xr:uid="{00000000-0005-0000-0000-00008F190000}"/>
    <cellStyle name="Normal 5 2 2 2 2 2 7 2 3" xfId="17337" xr:uid="{00000000-0005-0000-0000-000090190000}"/>
    <cellStyle name="Normal 5 2 2 2 2 2 7 2 4" xfId="10081" xr:uid="{00000000-0005-0000-0000-000091190000}"/>
    <cellStyle name="Normal 5 2 2 2 2 2 7 3" xfId="4639" xr:uid="{00000000-0005-0000-0000-000092190000}"/>
    <cellStyle name="Normal 5 2 2 2 2 2 7 3 2" xfId="19151" xr:uid="{00000000-0005-0000-0000-000093190000}"/>
    <cellStyle name="Normal 5 2 2 2 2 2 7 3 3" xfId="11895" xr:uid="{00000000-0005-0000-0000-000094190000}"/>
    <cellStyle name="Normal 5 2 2 2 2 2 7 4" xfId="15523" xr:uid="{00000000-0005-0000-0000-000095190000}"/>
    <cellStyle name="Normal 5 2 2 2 2 2 7 5" xfId="8267" xr:uid="{00000000-0005-0000-0000-000096190000}"/>
    <cellStyle name="Normal 5 2 2 2 2 2 8" xfId="1918" xr:uid="{00000000-0005-0000-0000-000097190000}"/>
    <cellStyle name="Normal 5 2 2 2 2 2 8 2" xfId="5546" xr:uid="{00000000-0005-0000-0000-000098190000}"/>
    <cellStyle name="Normal 5 2 2 2 2 2 8 2 2" xfId="20058" xr:uid="{00000000-0005-0000-0000-000099190000}"/>
    <cellStyle name="Normal 5 2 2 2 2 2 8 2 3" xfId="12802" xr:uid="{00000000-0005-0000-0000-00009A190000}"/>
    <cellStyle name="Normal 5 2 2 2 2 2 8 3" xfId="16430" xr:uid="{00000000-0005-0000-0000-00009B190000}"/>
    <cellStyle name="Normal 5 2 2 2 2 2 8 4" xfId="9174" xr:uid="{00000000-0005-0000-0000-00009C190000}"/>
    <cellStyle name="Normal 5 2 2 2 2 2 9" xfId="3732" xr:uid="{00000000-0005-0000-0000-00009D190000}"/>
    <cellStyle name="Normal 5 2 2 2 2 2 9 2" xfId="18244" xr:uid="{00000000-0005-0000-0000-00009E190000}"/>
    <cellStyle name="Normal 5 2 2 2 2 2 9 3" xfId="10988" xr:uid="{00000000-0005-0000-0000-00009F190000}"/>
    <cellStyle name="Normal 5 2 2 2 2 3" xfId="233" xr:uid="{00000000-0005-0000-0000-0000A0190000}"/>
    <cellStyle name="Normal 5 2 2 2 2 3 2" xfId="363" xr:uid="{00000000-0005-0000-0000-0000A1190000}"/>
    <cellStyle name="Normal 5 2 2 2 2 3 2 2" xfId="709" xr:uid="{00000000-0005-0000-0000-0000A2190000}"/>
    <cellStyle name="Normal 5 2 2 2 2 3 2 2 2" xfId="1617" xr:uid="{00000000-0005-0000-0000-0000A3190000}"/>
    <cellStyle name="Normal 5 2 2 2 2 3 2 2 2 2" xfId="3431" xr:uid="{00000000-0005-0000-0000-0000A4190000}"/>
    <cellStyle name="Normal 5 2 2 2 2 3 2 2 2 2 2" xfId="7059" xr:uid="{00000000-0005-0000-0000-0000A5190000}"/>
    <cellStyle name="Normal 5 2 2 2 2 3 2 2 2 2 2 2" xfId="21571" xr:uid="{00000000-0005-0000-0000-0000A6190000}"/>
    <cellStyle name="Normal 5 2 2 2 2 3 2 2 2 2 2 3" xfId="14315" xr:uid="{00000000-0005-0000-0000-0000A7190000}"/>
    <cellStyle name="Normal 5 2 2 2 2 3 2 2 2 2 3" xfId="17943" xr:uid="{00000000-0005-0000-0000-0000A8190000}"/>
    <cellStyle name="Normal 5 2 2 2 2 3 2 2 2 2 4" xfId="10687" xr:uid="{00000000-0005-0000-0000-0000A9190000}"/>
    <cellStyle name="Normal 5 2 2 2 2 3 2 2 2 3" xfId="5245" xr:uid="{00000000-0005-0000-0000-0000AA190000}"/>
    <cellStyle name="Normal 5 2 2 2 2 3 2 2 2 3 2" xfId="19757" xr:uid="{00000000-0005-0000-0000-0000AB190000}"/>
    <cellStyle name="Normal 5 2 2 2 2 3 2 2 2 3 3" xfId="12501" xr:uid="{00000000-0005-0000-0000-0000AC190000}"/>
    <cellStyle name="Normal 5 2 2 2 2 3 2 2 2 4" xfId="16129" xr:uid="{00000000-0005-0000-0000-0000AD190000}"/>
    <cellStyle name="Normal 5 2 2 2 2 3 2 2 2 5" xfId="8873" xr:uid="{00000000-0005-0000-0000-0000AE190000}"/>
    <cellStyle name="Normal 5 2 2 2 2 3 2 2 3" xfId="2524" xr:uid="{00000000-0005-0000-0000-0000AF190000}"/>
    <cellStyle name="Normal 5 2 2 2 2 3 2 2 3 2" xfId="6152" xr:uid="{00000000-0005-0000-0000-0000B0190000}"/>
    <cellStyle name="Normal 5 2 2 2 2 3 2 2 3 2 2" xfId="20664" xr:uid="{00000000-0005-0000-0000-0000B1190000}"/>
    <cellStyle name="Normal 5 2 2 2 2 3 2 2 3 2 3" xfId="13408" xr:uid="{00000000-0005-0000-0000-0000B2190000}"/>
    <cellStyle name="Normal 5 2 2 2 2 3 2 2 3 3" xfId="17036" xr:uid="{00000000-0005-0000-0000-0000B3190000}"/>
    <cellStyle name="Normal 5 2 2 2 2 3 2 2 3 4" xfId="9780" xr:uid="{00000000-0005-0000-0000-0000B4190000}"/>
    <cellStyle name="Normal 5 2 2 2 2 3 2 2 4" xfId="4338" xr:uid="{00000000-0005-0000-0000-0000B5190000}"/>
    <cellStyle name="Normal 5 2 2 2 2 3 2 2 4 2" xfId="18850" xr:uid="{00000000-0005-0000-0000-0000B6190000}"/>
    <cellStyle name="Normal 5 2 2 2 2 3 2 2 4 3" xfId="11594" xr:uid="{00000000-0005-0000-0000-0000B7190000}"/>
    <cellStyle name="Normal 5 2 2 2 2 3 2 2 5" xfId="15222" xr:uid="{00000000-0005-0000-0000-0000B8190000}"/>
    <cellStyle name="Normal 5 2 2 2 2 3 2 2 6" xfId="7966" xr:uid="{00000000-0005-0000-0000-0000B9190000}"/>
    <cellStyle name="Normal 5 2 2 2 2 3 2 3" xfId="1271" xr:uid="{00000000-0005-0000-0000-0000BA190000}"/>
    <cellStyle name="Normal 5 2 2 2 2 3 2 3 2" xfId="3085" xr:uid="{00000000-0005-0000-0000-0000BB190000}"/>
    <cellStyle name="Normal 5 2 2 2 2 3 2 3 2 2" xfId="6713" xr:uid="{00000000-0005-0000-0000-0000BC190000}"/>
    <cellStyle name="Normal 5 2 2 2 2 3 2 3 2 2 2" xfId="21225" xr:uid="{00000000-0005-0000-0000-0000BD190000}"/>
    <cellStyle name="Normal 5 2 2 2 2 3 2 3 2 2 3" xfId="13969" xr:uid="{00000000-0005-0000-0000-0000BE190000}"/>
    <cellStyle name="Normal 5 2 2 2 2 3 2 3 2 3" xfId="17597" xr:uid="{00000000-0005-0000-0000-0000BF190000}"/>
    <cellStyle name="Normal 5 2 2 2 2 3 2 3 2 4" xfId="10341" xr:uid="{00000000-0005-0000-0000-0000C0190000}"/>
    <cellStyle name="Normal 5 2 2 2 2 3 2 3 3" xfId="4899" xr:uid="{00000000-0005-0000-0000-0000C1190000}"/>
    <cellStyle name="Normal 5 2 2 2 2 3 2 3 3 2" xfId="19411" xr:uid="{00000000-0005-0000-0000-0000C2190000}"/>
    <cellStyle name="Normal 5 2 2 2 2 3 2 3 3 3" xfId="12155" xr:uid="{00000000-0005-0000-0000-0000C3190000}"/>
    <cellStyle name="Normal 5 2 2 2 2 3 2 3 4" xfId="15783" xr:uid="{00000000-0005-0000-0000-0000C4190000}"/>
    <cellStyle name="Normal 5 2 2 2 2 3 2 3 5" xfId="8527" xr:uid="{00000000-0005-0000-0000-0000C5190000}"/>
    <cellStyle name="Normal 5 2 2 2 2 3 2 4" xfId="2178" xr:uid="{00000000-0005-0000-0000-0000C6190000}"/>
    <cellStyle name="Normal 5 2 2 2 2 3 2 4 2" xfId="5806" xr:uid="{00000000-0005-0000-0000-0000C7190000}"/>
    <cellStyle name="Normal 5 2 2 2 2 3 2 4 2 2" xfId="20318" xr:uid="{00000000-0005-0000-0000-0000C8190000}"/>
    <cellStyle name="Normal 5 2 2 2 2 3 2 4 2 3" xfId="13062" xr:uid="{00000000-0005-0000-0000-0000C9190000}"/>
    <cellStyle name="Normal 5 2 2 2 2 3 2 4 3" xfId="16690" xr:uid="{00000000-0005-0000-0000-0000CA190000}"/>
    <cellStyle name="Normal 5 2 2 2 2 3 2 4 4" xfId="9434" xr:uid="{00000000-0005-0000-0000-0000CB190000}"/>
    <cellStyle name="Normal 5 2 2 2 2 3 2 5" xfId="3992" xr:uid="{00000000-0005-0000-0000-0000CC190000}"/>
    <cellStyle name="Normal 5 2 2 2 2 3 2 5 2" xfId="18504" xr:uid="{00000000-0005-0000-0000-0000CD190000}"/>
    <cellStyle name="Normal 5 2 2 2 2 3 2 5 3" xfId="11248" xr:uid="{00000000-0005-0000-0000-0000CE190000}"/>
    <cellStyle name="Normal 5 2 2 2 2 3 2 6" xfId="14876" xr:uid="{00000000-0005-0000-0000-0000CF190000}"/>
    <cellStyle name="Normal 5 2 2 2 2 3 2 7" xfId="7620" xr:uid="{00000000-0005-0000-0000-0000D0190000}"/>
    <cellStyle name="Normal 5 2 2 2 2 3 3" xfId="839" xr:uid="{00000000-0005-0000-0000-0000D1190000}"/>
    <cellStyle name="Normal 5 2 2 2 2 3 3 2" xfId="1747" xr:uid="{00000000-0005-0000-0000-0000D2190000}"/>
    <cellStyle name="Normal 5 2 2 2 2 3 3 2 2" xfId="3561" xr:uid="{00000000-0005-0000-0000-0000D3190000}"/>
    <cellStyle name="Normal 5 2 2 2 2 3 3 2 2 2" xfId="7189" xr:uid="{00000000-0005-0000-0000-0000D4190000}"/>
    <cellStyle name="Normal 5 2 2 2 2 3 3 2 2 2 2" xfId="21701" xr:uid="{00000000-0005-0000-0000-0000D5190000}"/>
    <cellStyle name="Normal 5 2 2 2 2 3 3 2 2 2 3" xfId="14445" xr:uid="{00000000-0005-0000-0000-0000D6190000}"/>
    <cellStyle name="Normal 5 2 2 2 2 3 3 2 2 3" xfId="18073" xr:uid="{00000000-0005-0000-0000-0000D7190000}"/>
    <cellStyle name="Normal 5 2 2 2 2 3 3 2 2 4" xfId="10817" xr:uid="{00000000-0005-0000-0000-0000D8190000}"/>
    <cellStyle name="Normal 5 2 2 2 2 3 3 2 3" xfId="5375" xr:uid="{00000000-0005-0000-0000-0000D9190000}"/>
    <cellStyle name="Normal 5 2 2 2 2 3 3 2 3 2" xfId="19887" xr:uid="{00000000-0005-0000-0000-0000DA190000}"/>
    <cellStyle name="Normal 5 2 2 2 2 3 3 2 3 3" xfId="12631" xr:uid="{00000000-0005-0000-0000-0000DB190000}"/>
    <cellStyle name="Normal 5 2 2 2 2 3 3 2 4" xfId="16259" xr:uid="{00000000-0005-0000-0000-0000DC190000}"/>
    <cellStyle name="Normal 5 2 2 2 2 3 3 2 5" xfId="9003" xr:uid="{00000000-0005-0000-0000-0000DD190000}"/>
    <cellStyle name="Normal 5 2 2 2 2 3 3 3" xfId="2654" xr:uid="{00000000-0005-0000-0000-0000DE190000}"/>
    <cellStyle name="Normal 5 2 2 2 2 3 3 3 2" xfId="6282" xr:uid="{00000000-0005-0000-0000-0000DF190000}"/>
    <cellStyle name="Normal 5 2 2 2 2 3 3 3 2 2" xfId="20794" xr:uid="{00000000-0005-0000-0000-0000E0190000}"/>
    <cellStyle name="Normal 5 2 2 2 2 3 3 3 2 3" xfId="13538" xr:uid="{00000000-0005-0000-0000-0000E1190000}"/>
    <cellStyle name="Normal 5 2 2 2 2 3 3 3 3" xfId="17166" xr:uid="{00000000-0005-0000-0000-0000E2190000}"/>
    <cellStyle name="Normal 5 2 2 2 2 3 3 3 4" xfId="9910" xr:uid="{00000000-0005-0000-0000-0000E3190000}"/>
    <cellStyle name="Normal 5 2 2 2 2 3 3 4" xfId="4468" xr:uid="{00000000-0005-0000-0000-0000E4190000}"/>
    <cellStyle name="Normal 5 2 2 2 2 3 3 4 2" xfId="18980" xr:uid="{00000000-0005-0000-0000-0000E5190000}"/>
    <cellStyle name="Normal 5 2 2 2 2 3 3 4 3" xfId="11724" xr:uid="{00000000-0005-0000-0000-0000E6190000}"/>
    <cellStyle name="Normal 5 2 2 2 2 3 3 5" xfId="15352" xr:uid="{00000000-0005-0000-0000-0000E7190000}"/>
    <cellStyle name="Normal 5 2 2 2 2 3 3 6" xfId="8096" xr:uid="{00000000-0005-0000-0000-0000E8190000}"/>
    <cellStyle name="Normal 5 2 2 2 2 3 4" xfId="579" xr:uid="{00000000-0005-0000-0000-0000E9190000}"/>
    <cellStyle name="Normal 5 2 2 2 2 3 4 2" xfId="1487" xr:uid="{00000000-0005-0000-0000-0000EA190000}"/>
    <cellStyle name="Normal 5 2 2 2 2 3 4 2 2" xfId="3301" xr:uid="{00000000-0005-0000-0000-0000EB190000}"/>
    <cellStyle name="Normal 5 2 2 2 2 3 4 2 2 2" xfId="6929" xr:uid="{00000000-0005-0000-0000-0000EC190000}"/>
    <cellStyle name="Normal 5 2 2 2 2 3 4 2 2 2 2" xfId="21441" xr:uid="{00000000-0005-0000-0000-0000ED190000}"/>
    <cellStyle name="Normal 5 2 2 2 2 3 4 2 2 2 3" xfId="14185" xr:uid="{00000000-0005-0000-0000-0000EE190000}"/>
    <cellStyle name="Normal 5 2 2 2 2 3 4 2 2 3" xfId="17813" xr:uid="{00000000-0005-0000-0000-0000EF190000}"/>
    <cellStyle name="Normal 5 2 2 2 2 3 4 2 2 4" xfId="10557" xr:uid="{00000000-0005-0000-0000-0000F0190000}"/>
    <cellStyle name="Normal 5 2 2 2 2 3 4 2 3" xfId="5115" xr:uid="{00000000-0005-0000-0000-0000F1190000}"/>
    <cellStyle name="Normal 5 2 2 2 2 3 4 2 3 2" xfId="19627" xr:uid="{00000000-0005-0000-0000-0000F2190000}"/>
    <cellStyle name="Normal 5 2 2 2 2 3 4 2 3 3" xfId="12371" xr:uid="{00000000-0005-0000-0000-0000F3190000}"/>
    <cellStyle name="Normal 5 2 2 2 2 3 4 2 4" xfId="15999" xr:uid="{00000000-0005-0000-0000-0000F4190000}"/>
    <cellStyle name="Normal 5 2 2 2 2 3 4 2 5" xfId="8743" xr:uid="{00000000-0005-0000-0000-0000F5190000}"/>
    <cellStyle name="Normal 5 2 2 2 2 3 4 3" xfId="2394" xr:uid="{00000000-0005-0000-0000-0000F6190000}"/>
    <cellStyle name="Normal 5 2 2 2 2 3 4 3 2" xfId="6022" xr:uid="{00000000-0005-0000-0000-0000F7190000}"/>
    <cellStyle name="Normal 5 2 2 2 2 3 4 3 2 2" xfId="20534" xr:uid="{00000000-0005-0000-0000-0000F8190000}"/>
    <cellStyle name="Normal 5 2 2 2 2 3 4 3 2 3" xfId="13278" xr:uid="{00000000-0005-0000-0000-0000F9190000}"/>
    <cellStyle name="Normal 5 2 2 2 2 3 4 3 3" xfId="16906" xr:uid="{00000000-0005-0000-0000-0000FA190000}"/>
    <cellStyle name="Normal 5 2 2 2 2 3 4 3 4" xfId="9650" xr:uid="{00000000-0005-0000-0000-0000FB190000}"/>
    <cellStyle name="Normal 5 2 2 2 2 3 4 4" xfId="4208" xr:uid="{00000000-0005-0000-0000-0000FC190000}"/>
    <cellStyle name="Normal 5 2 2 2 2 3 4 4 2" xfId="18720" xr:uid="{00000000-0005-0000-0000-0000FD190000}"/>
    <cellStyle name="Normal 5 2 2 2 2 3 4 4 3" xfId="11464" xr:uid="{00000000-0005-0000-0000-0000FE190000}"/>
    <cellStyle name="Normal 5 2 2 2 2 3 4 5" xfId="15092" xr:uid="{00000000-0005-0000-0000-0000FF190000}"/>
    <cellStyle name="Normal 5 2 2 2 2 3 4 6" xfId="7836" xr:uid="{00000000-0005-0000-0000-0000001A0000}"/>
    <cellStyle name="Normal 5 2 2 2 2 3 5" xfId="1141" xr:uid="{00000000-0005-0000-0000-0000011A0000}"/>
    <cellStyle name="Normal 5 2 2 2 2 3 5 2" xfId="2955" xr:uid="{00000000-0005-0000-0000-0000021A0000}"/>
    <cellStyle name="Normal 5 2 2 2 2 3 5 2 2" xfId="6583" xr:uid="{00000000-0005-0000-0000-0000031A0000}"/>
    <cellStyle name="Normal 5 2 2 2 2 3 5 2 2 2" xfId="21095" xr:uid="{00000000-0005-0000-0000-0000041A0000}"/>
    <cellStyle name="Normal 5 2 2 2 2 3 5 2 2 3" xfId="13839" xr:uid="{00000000-0005-0000-0000-0000051A0000}"/>
    <cellStyle name="Normal 5 2 2 2 2 3 5 2 3" xfId="17467" xr:uid="{00000000-0005-0000-0000-0000061A0000}"/>
    <cellStyle name="Normal 5 2 2 2 2 3 5 2 4" xfId="10211" xr:uid="{00000000-0005-0000-0000-0000071A0000}"/>
    <cellStyle name="Normal 5 2 2 2 2 3 5 3" xfId="4769" xr:uid="{00000000-0005-0000-0000-0000081A0000}"/>
    <cellStyle name="Normal 5 2 2 2 2 3 5 3 2" xfId="19281" xr:uid="{00000000-0005-0000-0000-0000091A0000}"/>
    <cellStyle name="Normal 5 2 2 2 2 3 5 3 3" xfId="12025" xr:uid="{00000000-0005-0000-0000-00000A1A0000}"/>
    <cellStyle name="Normal 5 2 2 2 2 3 5 4" xfId="15653" xr:uid="{00000000-0005-0000-0000-00000B1A0000}"/>
    <cellStyle name="Normal 5 2 2 2 2 3 5 5" xfId="8397" xr:uid="{00000000-0005-0000-0000-00000C1A0000}"/>
    <cellStyle name="Normal 5 2 2 2 2 3 6" xfId="2048" xr:uid="{00000000-0005-0000-0000-00000D1A0000}"/>
    <cellStyle name="Normal 5 2 2 2 2 3 6 2" xfId="5676" xr:uid="{00000000-0005-0000-0000-00000E1A0000}"/>
    <cellStyle name="Normal 5 2 2 2 2 3 6 2 2" xfId="20188" xr:uid="{00000000-0005-0000-0000-00000F1A0000}"/>
    <cellStyle name="Normal 5 2 2 2 2 3 6 2 3" xfId="12932" xr:uid="{00000000-0005-0000-0000-0000101A0000}"/>
    <cellStyle name="Normal 5 2 2 2 2 3 6 3" xfId="16560" xr:uid="{00000000-0005-0000-0000-0000111A0000}"/>
    <cellStyle name="Normal 5 2 2 2 2 3 6 4" xfId="9304" xr:uid="{00000000-0005-0000-0000-0000121A0000}"/>
    <cellStyle name="Normal 5 2 2 2 2 3 7" xfId="3862" xr:uid="{00000000-0005-0000-0000-0000131A0000}"/>
    <cellStyle name="Normal 5 2 2 2 2 3 7 2" xfId="18374" xr:uid="{00000000-0005-0000-0000-0000141A0000}"/>
    <cellStyle name="Normal 5 2 2 2 2 3 7 3" xfId="11118" xr:uid="{00000000-0005-0000-0000-0000151A0000}"/>
    <cellStyle name="Normal 5 2 2 2 2 3 8" xfId="14746" xr:uid="{00000000-0005-0000-0000-0000161A0000}"/>
    <cellStyle name="Normal 5 2 2 2 2 3 9" xfId="7490" xr:uid="{00000000-0005-0000-0000-0000171A0000}"/>
    <cellStyle name="Normal 5 2 2 2 2 4" xfId="147" xr:uid="{00000000-0005-0000-0000-0000181A0000}"/>
    <cellStyle name="Normal 5 2 2 2 2 4 2" xfId="493" xr:uid="{00000000-0005-0000-0000-0000191A0000}"/>
    <cellStyle name="Normal 5 2 2 2 2 4 2 2" xfId="1401" xr:uid="{00000000-0005-0000-0000-00001A1A0000}"/>
    <cellStyle name="Normal 5 2 2 2 2 4 2 2 2" xfId="3215" xr:uid="{00000000-0005-0000-0000-00001B1A0000}"/>
    <cellStyle name="Normal 5 2 2 2 2 4 2 2 2 2" xfId="6843" xr:uid="{00000000-0005-0000-0000-00001C1A0000}"/>
    <cellStyle name="Normal 5 2 2 2 2 4 2 2 2 2 2" xfId="21355" xr:uid="{00000000-0005-0000-0000-00001D1A0000}"/>
    <cellStyle name="Normal 5 2 2 2 2 4 2 2 2 2 3" xfId="14099" xr:uid="{00000000-0005-0000-0000-00001E1A0000}"/>
    <cellStyle name="Normal 5 2 2 2 2 4 2 2 2 3" xfId="17727" xr:uid="{00000000-0005-0000-0000-00001F1A0000}"/>
    <cellStyle name="Normal 5 2 2 2 2 4 2 2 2 4" xfId="10471" xr:uid="{00000000-0005-0000-0000-0000201A0000}"/>
    <cellStyle name="Normal 5 2 2 2 2 4 2 2 3" xfId="5029" xr:uid="{00000000-0005-0000-0000-0000211A0000}"/>
    <cellStyle name="Normal 5 2 2 2 2 4 2 2 3 2" xfId="19541" xr:uid="{00000000-0005-0000-0000-0000221A0000}"/>
    <cellStyle name="Normal 5 2 2 2 2 4 2 2 3 3" xfId="12285" xr:uid="{00000000-0005-0000-0000-0000231A0000}"/>
    <cellStyle name="Normal 5 2 2 2 2 4 2 2 4" xfId="15913" xr:uid="{00000000-0005-0000-0000-0000241A0000}"/>
    <cellStyle name="Normal 5 2 2 2 2 4 2 2 5" xfId="8657" xr:uid="{00000000-0005-0000-0000-0000251A0000}"/>
    <cellStyle name="Normal 5 2 2 2 2 4 2 3" xfId="2308" xr:uid="{00000000-0005-0000-0000-0000261A0000}"/>
    <cellStyle name="Normal 5 2 2 2 2 4 2 3 2" xfId="5936" xr:uid="{00000000-0005-0000-0000-0000271A0000}"/>
    <cellStyle name="Normal 5 2 2 2 2 4 2 3 2 2" xfId="20448" xr:uid="{00000000-0005-0000-0000-0000281A0000}"/>
    <cellStyle name="Normal 5 2 2 2 2 4 2 3 2 3" xfId="13192" xr:uid="{00000000-0005-0000-0000-0000291A0000}"/>
    <cellStyle name="Normal 5 2 2 2 2 4 2 3 3" xfId="16820" xr:uid="{00000000-0005-0000-0000-00002A1A0000}"/>
    <cellStyle name="Normal 5 2 2 2 2 4 2 3 4" xfId="9564" xr:uid="{00000000-0005-0000-0000-00002B1A0000}"/>
    <cellStyle name="Normal 5 2 2 2 2 4 2 4" xfId="4122" xr:uid="{00000000-0005-0000-0000-00002C1A0000}"/>
    <cellStyle name="Normal 5 2 2 2 2 4 2 4 2" xfId="18634" xr:uid="{00000000-0005-0000-0000-00002D1A0000}"/>
    <cellStyle name="Normal 5 2 2 2 2 4 2 4 3" xfId="11378" xr:uid="{00000000-0005-0000-0000-00002E1A0000}"/>
    <cellStyle name="Normal 5 2 2 2 2 4 2 5" xfId="15006" xr:uid="{00000000-0005-0000-0000-00002F1A0000}"/>
    <cellStyle name="Normal 5 2 2 2 2 4 2 6" xfId="7750" xr:uid="{00000000-0005-0000-0000-0000301A0000}"/>
    <cellStyle name="Normal 5 2 2 2 2 4 3" xfId="1055" xr:uid="{00000000-0005-0000-0000-0000311A0000}"/>
    <cellStyle name="Normal 5 2 2 2 2 4 3 2" xfId="2869" xr:uid="{00000000-0005-0000-0000-0000321A0000}"/>
    <cellStyle name="Normal 5 2 2 2 2 4 3 2 2" xfId="6497" xr:uid="{00000000-0005-0000-0000-0000331A0000}"/>
    <cellStyle name="Normal 5 2 2 2 2 4 3 2 2 2" xfId="21009" xr:uid="{00000000-0005-0000-0000-0000341A0000}"/>
    <cellStyle name="Normal 5 2 2 2 2 4 3 2 2 3" xfId="13753" xr:uid="{00000000-0005-0000-0000-0000351A0000}"/>
    <cellStyle name="Normal 5 2 2 2 2 4 3 2 3" xfId="17381" xr:uid="{00000000-0005-0000-0000-0000361A0000}"/>
    <cellStyle name="Normal 5 2 2 2 2 4 3 2 4" xfId="10125" xr:uid="{00000000-0005-0000-0000-0000371A0000}"/>
    <cellStyle name="Normal 5 2 2 2 2 4 3 3" xfId="4683" xr:uid="{00000000-0005-0000-0000-0000381A0000}"/>
    <cellStyle name="Normal 5 2 2 2 2 4 3 3 2" xfId="19195" xr:uid="{00000000-0005-0000-0000-0000391A0000}"/>
    <cellStyle name="Normal 5 2 2 2 2 4 3 3 3" xfId="11939" xr:uid="{00000000-0005-0000-0000-00003A1A0000}"/>
    <cellStyle name="Normal 5 2 2 2 2 4 3 4" xfId="15567" xr:uid="{00000000-0005-0000-0000-00003B1A0000}"/>
    <cellStyle name="Normal 5 2 2 2 2 4 3 5" xfId="8311" xr:uid="{00000000-0005-0000-0000-00003C1A0000}"/>
    <cellStyle name="Normal 5 2 2 2 2 4 4" xfId="1962" xr:uid="{00000000-0005-0000-0000-00003D1A0000}"/>
    <cellStyle name="Normal 5 2 2 2 2 4 4 2" xfId="5590" xr:uid="{00000000-0005-0000-0000-00003E1A0000}"/>
    <cellStyle name="Normal 5 2 2 2 2 4 4 2 2" xfId="20102" xr:uid="{00000000-0005-0000-0000-00003F1A0000}"/>
    <cellStyle name="Normal 5 2 2 2 2 4 4 2 3" xfId="12846" xr:uid="{00000000-0005-0000-0000-0000401A0000}"/>
    <cellStyle name="Normal 5 2 2 2 2 4 4 3" xfId="16474" xr:uid="{00000000-0005-0000-0000-0000411A0000}"/>
    <cellStyle name="Normal 5 2 2 2 2 4 4 4" xfId="9218" xr:uid="{00000000-0005-0000-0000-0000421A0000}"/>
    <cellStyle name="Normal 5 2 2 2 2 4 5" xfId="3776" xr:uid="{00000000-0005-0000-0000-0000431A0000}"/>
    <cellStyle name="Normal 5 2 2 2 2 4 5 2" xfId="18288" xr:uid="{00000000-0005-0000-0000-0000441A0000}"/>
    <cellStyle name="Normal 5 2 2 2 2 4 5 3" xfId="11032" xr:uid="{00000000-0005-0000-0000-0000451A0000}"/>
    <cellStyle name="Normal 5 2 2 2 2 4 6" xfId="14660" xr:uid="{00000000-0005-0000-0000-0000461A0000}"/>
    <cellStyle name="Normal 5 2 2 2 2 4 7" xfId="7404" xr:uid="{00000000-0005-0000-0000-0000471A0000}"/>
    <cellStyle name="Normal 5 2 2 2 2 5" xfId="277" xr:uid="{00000000-0005-0000-0000-0000481A0000}"/>
    <cellStyle name="Normal 5 2 2 2 2 5 2" xfId="623" xr:uid="{00000000-0005-0000-0000-0000491A0000}"/>
    <cellStyle name="Normal 5 2 2 2 2 5 2 2" xfId="1531" xr:uid="{00000000-0005-0000-0000-00004A1A0000}"/>
    <cellStyle name="Normal 5 2 2 2 2 5 2 2 2" xfId="3345" xr:uid="{00000000-0005-0000-0000-00004B1A0000}"/>
    <cellStyle name="Normal 5 2 2 2 2 5 2 2 2 2" xfId="6973" xr:uid="{00000000-0005-0000-0000-00004C1A0000}"/>
    <cellStyle name="Normal 5 2 2 2 2 5 2 2 2 2 2" xfId="21485" xr:uid="{00000000-0005-0000-0000-00004D1A0000}"/>
    <cellStyle name="Normal 5 2 2 2 2 5 2 2 2 2 3" xfId="14229" xr:uid="{00000000-0005-0000-0000-00004E1A0000}"/>
    <cellStyle name="Normal 5 2 2 2 2 5 2 2 2 3" xfId="17857" xr:uid="{00000000-0005-0000-0000-00004F1A0000}"/>
    <cellStyle name="Normal 5 2 2 2 2 5 2 2 2 4" xfId="10601" xr:uid="{00000000-0005-0000-0000-0000501A0000}"/>
    <cellStyle name="Normal 5 2 2 2 2 5 2 2 3" xfId="5159" xr:uid="{00000000-0005-0000-0000-0000511A0000}"/>
    <cellStyle name="Normal 5 2 2 2 2 5 2 2 3 2" xfId="19671" xr:uid="{00000000-0005-0000-0000-0000521A0000}"/>
    <cellStyle name="Normal 5 2 2 2 2 5 2 2 3 3" xfId="12415" xr:uid="{00000000-0005-0000-0000-0000531A0000}"/>
    <cellStyle name="Normal 5 2 2 2 2 5 2 2 4" xfId="16043" xr:uid="{00000000-0005-0000-0000-0000541A0000}"/>
    <cellStyle name="Normal 5 2 2 2 2 5 2 2 5" xfId="8787" xr:uid="{00000000-0005-0000-0000-0000551A0000}"/>
    <cellStyle name="Normal 5 2 2 2 2 5 2 3" xfId="2438" xr:uid="{00000000-0005-0000-0000-0000561A0000}"/>
    <cellStyle name="Normal 5 2 2 2 2 5 2 3 2" xfId="6066" xr:uid="{00000000-0005-0000-0000-0000571A0000}"/>
    <cellStyle name="Normal 5 2 2 2 2 5 2 3 2 2" xfId="20578" xr:uid="{00000000-0005-0000-0000-0000581A0000}"/>
    <cellStyle name="Normal 5 2 2 2 2 5 2 3 2 3" xfId="13322" xr:uid="{00000000-0005-0000-0000-0000591A0000}"/>
    <cellStyle name="Normal 5 2 2 2 2 5 2 3 3" xfId="16950" xr:uid="{00000000-0005-0000-0000-00005A1A0000}"/>
    <cellStyle name="Normal 5 2 2 2 2 5 2 3 4" xfId="9694" xr:uid="{00000000-0005-0000-0000-00005B1A0000}"/>
    <cellStyle name="Normal 5 2 2 2 2 5 2 4" xfId="4252" xr:uid="{00000000-0005-0000-0000-00005C1A0000}"/>
    <cellStyle name="Normal 5 2 2 2 2 5 2 4 2" xfId="18764" xr:uid="{00000000-0005-0000-0000-00005D1A0000}"/>
    <cellStyle name="Normal 5 2 2 2 2 5 2 4 3" xfId="11508" xr:uid="{00000000-0005-0000-0000-00005E1A0000}"/>
    <cellStyle name="Normal 5 2 2 2 2 5 2 5" xfId="15136" xr:uid="{00000000-0005-0000-0000-00005F1A0000}"/>
    <cellStyle name="Normal 5 2 2 2 2 5 2 6" xfId="7880" xr:uid="{00000000-0005-0000-0000-0000601A0000}"/>
    <cellStyle name="Normal 5 2 2 2 2 5 3" xfId="1185" xr:uid="{00000000-0005-0000-0000-0000611A0000}"/>
    <cellStyle name="Normal 5 2 2 2 2 5 3 2" xfId="2999" xr:uid="{00000000-0005-0000-0000-0000621A0000}"/>
    <cellStyle name="Normal 5 2 2 2 2 5 3 2 2" xfId="6627" xr:uid="{00000000-0005-0000-0000-0000631A0000}"/>
    <cellStyle name="Normal 5 2 2 2 2 5 3 2 2 2" xfId="21139" xr:uid="{00000000-0005-0000-0000-0000641A0000}"/>
    <cellStyle name="Normal 5 2 2 2 2 5 3 2 2 3" xfId="13883" xr:uid="{00000000-0005-0000-0000-0000651A0000}"/>
    <cellStyle name="Normal 5 2 2 2 2 5 3 2 3" xfId="17511" xr:uid="{00000000-0005-0000-0000-0000661A0000}"/>
    <cellStyle name="Normal 5 2 2 2 2 5 3 2 4" xfId="10255" xr:uid="{00000000-0005-0000-0000-0000671A0000}"/>
    <cellStyle name="Normal 5 2 2 2 2 5 3 3" xfId="4813" xr:uid="{00000000-0005-0000-0000-0000681A0000}"/>
    <cellStyle name="Normal 5 2 2 2 2 5 3 3 2" xfId="19325" xr:uid="{00000000-0005-0000-0000-0000691A0000}"/>
    <cellStyle name="Normal 5 2 2 2 2 5 3 3 3" xfId="12069" xr:uid="{00000000-0005-0000-0000-00006A1A0000}"/>
    <cellStyle name="Normal 5 2 2 2 2 5 3 4" xfId="15697" xr:uid="{00000000-0005-0000-0000-00006B1A0000}"/>
    <cellStyle name="Normal 5 2 2 2 2 5 3 5" xfId="8441" xr:uid="{00000000-0005-0000-0000-00006C1A0000}"/>
    <cellStyle name="Normal 5 2 2 2 2 5 4" xfId="2092" xr:uid="{00000000-0005-0000-0000-00006D1A0000}"/>
    <cellStyle name="Normal 5 2 2 2 2 5 4 2" xfId="5720" xr:uid="{00000000-0005-0000-0000-00006E1A0000}"/>
    <cellStyle name="Normal 5 2 2 2 2 5 4 2 2" xfId="20232" xr:uid="{00000000-0005-0000-0000-00006F1A0000}"/>
    <cellStyle name="Normal 5 2 2 2 2 5 4 2 3" xfId="12976" xr:uid="{00000000-0005-0000-0000-0000701A0000}"/>
    <cellStyle name="Normal 5 2 2 2 2 5 4 3" xfId="16604" xr:uid="{00000000-0005-0000-0000-0000711A0000}"/>
    <cellStyle name="Normal 5 2 2 2 2 5 4 4" xfId="9348" xr:uid="{00000000-0005-0000-0000-0000721A0000}"/>
    <cellStyle name="Normal 5 2 2 2 2 5 5" xfId="3906" xr:uid="{00000000-0005-0000-0000-0000731A0000}"/>
    <cellStyle name="Normal 5 2 2 2 2 5 5 2" xfId="18418" xr:uid="{00000000-0005-0000-0000-0000741A0000}"/>
    <cellStyle name="Normal 5 2 2 2 2 5 5 3" xfId="11162" xr:uid="{00000000-0005-0000-0000-0000751A0000}"/>
    <cellStyle name="Normal 5 2 2 2 2 5 6" xfId="14790" xr:uid="{00000000-0005-0000-0000-0000761A0000}"/>
    <cellStyle name="Normal 5 2 2 2 2 5 7" xfId="7534" xr:uid="{00000000-0005-0000-0000-0000771A0000}"/>
    <cellStyle name="Normal 5 2 2 2 2 6" xfId="753" xr:uid="{00000000-0005-0000-0000-0000781A0000}"/>
    <cellStyle name="Normal 5 2 2 2 2 6 2" xfId="1661" xr:uid="{00000000-0005-0000-0000-0000791A0000}"/>
    <cellStyle name="Normal 5 2 2 2 2 6 2 2" xfId="3475" xr:uid="{00000000-0005-0000-0000-00007A1A0000}"/>
    <cellStyle name="Normal 5 2 2 2 2 6 2 2 2" xfId="7103" xr:uid="{00000000-0005-0000-0000-00007B1A0000}"/>
    <cellStyle name="Normal 5 2 2 2 2 6 2 2 2 2" xfId="21615" xr:uid="{00000000-0005-0000-0000-00007C1A0000}"/>
    <cellStyle name="Normal 5 2 2 2 2 6 2 2 2 3" xfId="14359" xr:uid="{00000000-0005-0000-0000-00007D1A0000}"/>
    <cellStyle name="Normal 5 2 2 2 2 6 2 2 3" xfId="17987" xr:uid="{00000000-0005-0000-0000-00007E1A0000}"/>
    <cellStyle name="Normal 5 2 2 2 2 6 2 2 4" xfId="10731" xr:uid="{00000000-0005-0000-0000-00007F1A0000}"/>
    <cellStyle name="Normal 5 2 2 2 2 6 2 3" xfId="5289" xr:uid="{00000000-0005-0000-0000-0000801A0000}"/>
    <cellStyle name="Normal 5 2 2 2 2 6 2 3 2" xfId="19801" xr:uid="{00000000-0005-0000-0000-0000811A0000}"/>
    <cellStyle name="Normal 5 2 2 2 2 6 2 3 3" xfId="12545" xr:uid="{00000000-0005-0000-0000-0000821A0000}"/>
    <cellStyle name="Normal 5 2 2 2 2 6 2 4" xfId="16173" xr:uid="{00000000-0005-0000-0000-0000831A0000}"/>
    <cellStyle name="Normal 5 2 2 2 2 6 2 5" xfId="8917" xr:uid="{00000000-0005-0000-0000-0000841A0000}"/>
    <cellStyle name="Normal 5 2 2 2 2 6 3" xfId="2568" xr:uid="{00000000-0005-0000-0000-0000851A0000}"/>
    <cellStyle name="Normal 5 2 2 2 2 6 3 2" xfId="6196" xr:uid="{00000000-0005-0000-0000-0000861A0000}"/>
    <cellStyle name="Normal 5 2 2 2 2 6 3 2 2" xfId="20708" xr:uid="{00000000-0005-0000-0000-0000871A0000}"/>
    <cellStyle name="Normal 5 2 2 2 2 6 3 2 3" xfId="13452" xr:uid="{00000000-0005-0000-0000-0000881A0000}"/>
    <cellStyle name="Normal 5 2 2 2 2 6 3 3" xfId="17080" xr:uid="{00000000-0005-0000-0000-0000891A0000}"/>
    <cellStyle name="Normal 5 2 2 2 2 6 3 4" xfId="9824" xr:uid="{00000000-0005-0000-0000-00008A1A0000}"/>
    <cellStyle name="Normal 5 2 2 2 2 6 4" xfId="4382" xr:uid="{00000000-0005-0000-0000-00008B1A0000}"/>
    <cellStyle name="Normal 5 2 2 2 2 6 4 2" xfId="18894" xr:uid="{00000000-0005-0000-0000-00008C1A0000}"/>
    <cellStyle name="Normal 5 2 2 2 2 6 4 3" xfId="11638" xr:uid="{00000000-0005-0000-0000-00008D1A0000}"/>
    <cellStyle name="Normal 5 2 2 2 2 6 5" xfId="15266" xr:uid="{00000000-0005-0000-0000-00008E1A0000}"/>
    <cellStyle name="Normal 5 2 2 2 2 6 6" xfId="8010" xr:uid="{00000000-0005-0000-0000-00008F1A0000}"/>
    <cellStyle name="Normal 5 2 2 2 2 7" xfId="407" xr:uid="{00000000-0005-0000-0000-0000901A0000}"/>
    <cellStyle name="Normal 5 2 2 2 2 7 2" xfId="1315" xr:uid="{00000000-0005-0000-0000-0000911A0000}"/>
    <cellStyle name="Normal 5 2 2 2 2 7 2 2" xfId="3129" xr:uid="{00000000-0005-0000-0000-0000921A0000}"/>
    <cellStyle name="Normal 5 2 2 2 2 7 2 2 2" xfId="6757" xr:uid="{00000000-0005-0000-0000-0000931A0000}"/>
    <cellStyle name="Normal 5 2 2 2 2 7 2 2 2 2" xfId="21269" xr:uid="{00000000-0005-0000-0000-0000941A0000}"/>
    <cellStyle name="Normal 5 2 2 2 2 7 2 2 2 3" xfId="14013" xr:uid="{00000000-0005-0000-0000-0000951A0000}"/>
    <cellStyle name="Normal 5 2 2 2 2 7 2 2 3" xfId="17641" xr:uid="{00000000-0005-0000-0000-0000961A0000}"/>
    <cellStyle name="Normal 5 2 2 2 2 7 2 2 4" xfId="10385" xr:uid="{00000000-0005-0000-0000-0000971A0000}"/>
    <cellStyle name="Normal 5 2 2 2 2 7 2 3" xfId="4943" xr:uid="{00000000-0005-0000-0000-0000981A0000}"/>
    <cellStyle name="Normal 5 2 2 2 2 7 2 3 2" xfId="19455" xr:uid="{00000000-0005-0000-0000-0000991A0000}"/>
    <cellStyle name="Normal 5 2 2 2 2 7 2 3 3" xfId="12199" xr:uid="{00000000-0005-0000-0000-00009A1A0000}"/>
    <cellStyle name="Normal 5 2 2 2 2 7 2 4" xfId="15827" xr:uid="{00000000-0005-0000-0000-00009B1A0000}"/>
    <cellStyle name="Normal 5 2 2 2 2 7 2 5" xfId="8571" xr:uid="{00000000-0005-0000-0000-00009C1A0000}"/>
    <cellStyle name="Normal 5 2 2 2 2 7 3" xfId="2222" xr:uid="{00000000-0005-0000-0000-00009D1A0000}"/>
    <cellStyle name="Normal 5 2 2 2 2 7 3 2" xfId="5850" xr:uid="{00000000-0005-0000-0000-00009E1A0000}"/>
    <cellStyle name="Normal 5 2 2 2 2 7 3 2 2" xfId="20362" xr:uid="{00000000-0005-0000-0000-00009F1A0000}"/>
    <cellStyle name="Normal 5 2 2 2 2 7 3 2 3" xfId="13106" xr:uid="{00000000-0005-0000-0000-0000A01A0000}"/>
    <cellStyle name="Normal 5 2 2 2 2 7 3 3" xfId="16734" xr:uid="{00000000-0005-0000-0000-0000A11A0000}"/>
    <cellStyle name="Normal 5 2 2 2 2 7 3 4" xfId="9478" xr:uid="{00000000-0005-0000-0000-0000A21A0000}"/>
    <cellStyle name="Normal 5 2 2 2 2 7 4" xfId="4036" xr:uid="{00000000-0005-0000-0000-0000A31A0000}"/>
    <cellStyle name="Normal 5 2 2 2 2 7 4 2" xfId="18548" xr:uid="{00000000-0005-0000-0000-0000A41A0000}"/>
    <cellStyle name="Normal 5 2 2 2 2 7 4 3" xfId="11292" xr:uid="{00000000-0005-0000-0000-0000A51A0000}"/>
    <cellStyle name="Normal 5 2 2 2 2 7 5" xfId="14920" xr:uid="{00000000-0005-0000-0000-0000A61A0000}"/>
    <cellStyle name="Normal 5 2 2 2 2 7 6" xfId="7664" xr:uid="{00000000-0005-0000-0000-0000A71A0000}"/>
    <cellStyle name="Normal 5 2 2 2 2 8" xfId="878" xr:uid="{00000000-0005-0000-0000-0000A81A0000}"/>
    <cellStyle name="Normal 5 2 2 2 2 8 2" xfId="1786" xr:uid="{00000000-0005-0000-0000-0000A91A0000}"/>
    <cellStyle name="Normal 5 2 2 2 2 8 2 2" xfId="3600" xr:uid="{00000000-0005-0000-0000-0000AA1A0000}"/>
    <cellStyle name="Normal 5 2 2 2 2 8 2 2 2" xfId="7228" xr:uid="{00000000-0005-0000-0000-0000AB1A0000}"/>
    <cellStyle name="Normal 5 2 2 2 2 8 2 2 2 2" xfId="21740" xr:uid="{00000000-0005-0000-0000-0000AC1A0000}"/>
    <cellStyle name="Normal 5 2 2 2 2 8 2 2 2 3" xfId="14484" xr:uid="{00000000-0005-0000-0000-0000AD1A0000}"/>
    <cellStyle name="Normal 5 2 2 2 2 8 2 2 3" xfId="18112" xr:uid="{00000000-0005-0000-0000-0000AE1A0000}"/>
    <cellStyle name="Normal 5 2 2 2 2 8 2 2 4" xfId="10856" xr:uid="{00000000-0005-0000-0000-0000AF1A0000}"/>
    <cellStyle name="Normal 5 2 2 2 2 8 2 3" xfId="5414" xr:uid="{00000000-0005-0000-0000-0000B01A0000}"/>
    <cellStyle name="Normal 5 2 2 2 2 8 2 3 2" xfId="19926" xr:uid="{00000000-0005-0000-0000-0000B11A0000}"/>
    <cellStyle name="Normal 5 2 2 2 2 8 2 3 3" xfId="12670" xr:uid="{00000000-0005-0000-0000-0000B21A0000}"/>
    <cellStyle name="Normal 5 2 2 2 2 8 2 4" xfId="16298" xr:uid="{00000000-0005-0000-0000-0000B31A0000}"/>
    <cellStyle name="Normal 5 2 2 2 2 8 2 5" xfId="9042" xr:uid="{00000000-0005-0000-0000-0000B41A0000}"/>
    <cellStyle name="Normal 5 2 2 2 2 8 3" xfId="2693" xr:uid="{00000000-0005-0000-0000-0000B51A0000}"/>
    <cellStyle name="Normal 5 2 2 2 2 8 3 2" xfId="6321" xr:uid="{00000000-0005-0000-0000-0000B61A0000}"/>
    <cellStyle name="Normal 5 2 2 2 2 8 3 2 2" xfId="20833" xr:uid="{00000000-0005-0000-0000-0000B71A0000}"/>
    <cellStyle name="Normal 5 2 2 2 2 8 3 2 3" xfId="13577" xr:uid="{00000000-0005-0000-0000-0000B81A0000}"/>
    <cellStyle name="Normal 5 2 2 2 2 8 3 3" xfId="17205" xr:uid="{00000000-0005-0000-0000-0000B91A0000}"/>
    <cellStyle name="Normal 5 2 2 2 2 8 3 4" xfId="9949" xr:uid="{00000000-0005-0000-0000-0000BA1A0000}"/>
    <cellStyle name="Normal 5 2 2 2 2 8 4" xfId="4507" xr:uid="{00000000-0005-0000-0000-0000BB1A0000}"/>
    <cellStyle name="Normal 5 2 2 2 2 8 4 2" xfId="19019" xr:uid="{00000000-0005-0000-0000-0000BC1A0000}"/>
    <cellStyle name="Normal 5 2 2 2 2 8 4 3" xfId="11763" xr:uid="{00000000-0005-0000-0000-0000BD1A0000}"/>
    <cellStyle name="Normal 5 2 2 2 2 8 5" xfId="15391" xr:uid="{00000000-0005-0000-0000-0000BE1A0000}"/>
    <cellStyle name="Normal 5 2 2 2 2 8 6" xfId="8135" xr:uid="{00000000-0005-0000-0000-0000BF1A0000}"/>
    <cellStyle name="Normal 5 2 2 2 2 9" xfId="969" xr:uid="{00000000-0005-0000-0000-0000C01A0000}"/>
    <cellStyle name="Normal 5 2 2 2 2 9 2" xfId="2783" xr:uid="{00000000-0005-0000-0000-0000C11A0000}"/>
    <cellStyle name="Normal 5 2 2 2 2 9 2 2" xfId="6411" xr:uid="{00000000-0005-0000-0000-0000C21A0000}"/>
    <cellStyle name="Normal 5 2 2 2 2 9 2 2 2" xfId="20923" xr:uid="{00000000-0005-0000-0000-0000C31A0000}"/>
    <cellStyle name="Normal 5 2 2 2 2 9 2 2 3" xfId="13667" xr:uid="{00000000-0005-0000-0000-0000C41A0000}"/>
    <cellStyle name="Normal 5 2 2 2 2 9 2 3" xfId="17295" xr:uid="{00000000-0005-0000-0000-0000C51A0000}"/>
    <cellStyle name="Normal 5 2 2 2 2 9 2 4" xfId="10039" xr:uid="{00000000-0005-0000-0000-0000C61A0000}"/>
    <cellStyle name="Normal 5 2 2 2 2 9 3" xfId="4597" xr:uid="{00000000-0005-0000-0000-0000C71A0000}"/>
    <cellStyle name="Normal 5 2 2 2 2 9 3 2" xfId="19109" xr:uid="{00000000-0005-0000-0000-0000C81A0000}"/>
    <cellStyle name="Normal 5 2 2 2 2 9 3 3" xfId="11853" xr:uid="{00000000-0005-0000-0000-0000C91A0000}"/>
    <cellStyle name="Normal 5 2 2 2 2 9 4" xfId="15481" xr:uid="{00000000-0005-0000-0000-0000CA1A0000}"/>
    <cellStyle name="Normal 5 2 2 2 2 9 5" xfId="8225" xr:uid="{00000000-0005-0000-0000-0000CB1A0000}"/>
    <cellStyle name="Normal 5 2 2 2 3" xfId="80" xr:uid="{00000000-0005-0000-0000-0000CC1A0000}"/>
    <cellStyle name="Normal 5 2 2 2 3 10" xfId="14595" xr:uid="{00000000-0005-0000-0000-0000CD1A0000}"/>
    <cellStyle name="Normal 5 2 2 2 3 11" xfId="7339" xr:uid="{00000000-0005-0000-0000-0000CE1A0000}"/>
    <cellStyle name="Normal 5 2 2 2 3 2" xfId="168" xr:uid="{00000000-0005-0000-0000-0000CF1A0000}"/>
    <cellStyle name="Normal 5 2 2 2 3 2 2" xfId="514" xr:uid="{00000000-0005-0000-0000-0000D01A0000}"/>
    <cellStyle name="Normal 5 2 2 2 3 2 2 2" xfId="1422" xr:uid="{00000000-0005-0000-0000-0000D11A0000}"/>
    <cellStyle name="Normal 5 2 2 2 3 2 2 2 2" xfId="3236" xr:uid="{00000000-0005-0000-0000-0000D21A0000}"/>
    <cellStyle name="Normal 5 2 2 2 3 2 2 2 2 2" xfId="6864" xr:uid="{00000000-0005-0000-0000-0000D31A0000}"/>
    <cellStyle name="Normal 5 2 2 2 3 2 2 2 2 2 2" xfId="21376" xr:uid="{00000000-0005-0000-0000-0000D41A0000}"/>
    <cellStyle name="Normal 5 2 2 2 3 2 2 2 2 2 3" xfId="14120" xr:uid="{00000000-0005-0000-0000-0000D51A0000}"/>
    <cellStyle name="Normal 5 2 2 2 3 2 2 2 2 3" xfId="17748" xr:uid="{00000000-0005-0000-0000-0000D61A0000}"/>
    <cellStyle name="Normal 5 2 2 2 3 2 2 2 2 4" xfId="10492" xr:uid="{00000000-0005-0000-0000-0000D71A0000}"/>
    <cellStyle name="Normal 5 2 2 2 3 2 2 2 3" xfId="5050" xr:uid="{00000000-0005-0000-0000-0000D81A0000}"/>
    <cellStyle name="Normal 5 2 2 2 3 2 2 2 3 2" xfId="19562" xr:uid="{00000000-0005-0000-0000-0000D91A0000}"/>
    <cellStyle name="Normal 5 2 2 2 3 2 2 2 3 3" xfId="12306" xr:uid="{00000000-0005-0000-0000-0000DA1A0000}"/>
    <cellStyle name="Normal 5 2 2 2 3 2 2 2 4" xfId="15934" xr:uid="{00000000-0005-0000-0000-0000DB1A0000}"/>
    <cellStyle name="Normal 5 2 2 2 3 2 2 2 5" xfId="8678" xr:uid="{00000000-0005-0000-0000-0000DC1A0000}"/>
    <cellStyle name="Normal 5 2 2 2 3 2 2 3" xfId="2329" xr:uid="{00000000-0005-0000-0000-0000DD1A0000}"/>
    <cellStyle name="Normal 5 2 2 2 3 2 2 3 2" xfId="5957" xr:uid="{00000000-0005-0000-0000-0000DE1A0000}"/>
    <cellStyle name="Normal 5 2 2 2 3 2 2 3 2 2" xfId="20469" xr:uid="{00000000-0005-0000-0000-0000DF1A0000}"/>
    <cellStyle name="Normal 5 2 2 2 3 2 2 3 2 3" xfId="13213" xr:uid="{00000000-0005-0000-0000-0000E01A0000}"/>
    <cellStyle name="Normal 5 2 2 2 3 2 2 3 3" xfId="16841" xr:uid="{00000000-0005-0000-0000-0000E11A0000}"/>
    <cellStyle name="Normal 5 2 2 2 3 2 2 3 4" xfId="9585" xr:uid="{00000000-0005-0000-0000-0000E21A0000}"/>
    <cellStyle name="Normal 5 2 2 2 3 2 2 4" xfId="4143" xr:uid="{00000000-0005-0000-0000-0000E31A0000}"/>
    <cellStyle name="Normal 5 2 2 2 3 2 2 4 2" xfId="18655" xr:uid="{00000000-0005-0000-0000-0000E41A0000}"/>
    <cellStyle name="Normal 5 2 2 2 3 2 2 4 3" xfId="11399" xr:uid="{00000000-0005-0000-0000-0000E51A0000}"/>
    <cellStyle name="Normal 5 2 2 2 3 2 2 5" xfId="15027" xr:uid="{00000000-0005-0000-0000-0000E61A0000}"/>
    <cellStyle name="Normal 5 2 2 2 3 2 2 6" xfId="7771" xr:uid="{00000000-0005-0000-0000-0000E71A0000}"/>
    <cellStyle name="Normal 5 2 2 2 3 2 3" xfId="1076" xr:uid="{00000000-0005-0000-0000-0000E81A0000}"/>
    <cellStyle name="Normal 5 2 2 2 3 2 3 2" xfId="2890" xr:uid="{00000000-0005-0000-0000-0000E91A0000}"/>
    <cellStyle name="Normal 5 2 2 2 3 2 3 2 2" xfId="6518" xr:uid="{00000000-0005-0000-0000-0000EA1A0000}"/>
    <cellStyle name="Normal 5 2 2 2 3 2 3 2 2 2" xfId="21030" xr:uid="{00000000-0005-0000-0000-0000EB1A0000}"/>
    <cellStyle name="Normal 5 2 2 2 3 2 3 2 2 3" xfId="13774" xr:uid="{00000000-0005-0000-0000-0000EC1A0000}"/>
    <cellStyle name="Normal 5 2 2 2 3 2 3 2 3" xfId="17402" xr:uid="{00000000-0005-0000-0000-0000ED1A0000}"/>
    <cellStyle name="Normal 5 2 2 2 3 2 3 2 4" xfId="10146" xr:uid="{00000000-0005-0000-0000-0000EE1A0000}"/>
    <cellStyle name="Normal 5 2 2 2 3 2 3 3" xfId="4704" xr:uid="{00000000-0005-0000-0000-0000EF1A0000}"/>
    <cellStyle name="Normal 5 2 2 2 3 2 3 3 2" xfId="19216" xr:uid="{00000000-0005-0000-0000-0000F01A0000}"/>
    <cellStyle name="Normal 5 2 2 2 3 2 3 3 3" xfId="11960" xr:uid="{00000000-0005-0000-0000-0000F11A0000}"/>
    <cellStyle name="Normal 5 2 2 2 3 2 3 4" xfId="15588" xr:uid="{00000000-0005-0000-0000-0000F21A0000}"/>
    <cellStyle name="Normal 5 2 2 2 3 2 3 5" xfId="8332" xr:uid="{00000000-0005-0000-0000-0000F31A0000}"/>
    <cellStyle name="Normal 5 2 2 2 3 2 4" xfId="1983" xr:uid="{00000000-0005-0000-0000-0000F41A0000}"/>
    <cellStyle name="Normal 5 2 2 2 3 2 4 2" xfId="5611" xr:uid="{00000000-0005-0000-0000-0000F51A0000}"/>
    <cellStyle name="Normal 5 2 2 2 3 2 4 2 2" xfId="20123" xr:uid="{00000000-0005-0000-0000-0000F61A0000}"/>
    <cellStyle name="Normal 5 2 2 2 3 2 4 2 3" xfId="12867" xr:uid="{00000000-0005-0000-0000-0000F71A0000}"/>
    <cellStyle name="Normal 5 2 2 2 3 2 4 3" xfId="16495" xr:uid="{00000000-0005-0000-0000-0000F81A0000}"/>
    <cellStyle name="Normal 5 2 2 2 3 2 4 4" xfId="9239" xr:uid="{00000000-0005-0000-0000-0000F91A0000}"/>
    <cellStyle name="Normal 5 2 2 2 3 2 5" xfId="3797" xr:uid="{00000000-0005-0000-0000-0000FA1A0000}"/>
    <cellStyle name="Normal 5 2 2 2 3 2 5 2" xfId="18309" xr:uid="{00000000-0005-0000-0000-0000FB1A0000}"/>
    <cellStyle name="Normal 5 2 2 2 3 2 5 3" xfId="11053" xr:uid="{00000000-0005-0000-0000-0000FC1A0000}"/>
    <cellStyle name="Normal 5 2 2 2 3 2 6" xfId="14681" xr:uid="{00000000-0005-0000-0000-0000FD1A0000}"/>
    <cellStyle name="Normal 5 2 2 2 3 2 7" xfId="7425" xr:uid="{00000000-0005-0000-0000-0000FE1A0000}"/>
    <cellStyle name="Normal 5 2 2 2 3 3" xfId="298" xr:uid="{00000000-0005-0000-0000-0000FF1A0000}"/>
    <cellStyle name="Normal 5 2 2 2 3 3 2" xfId="644" xr:uid="{00000000-0005-0000-0000-0000001B0000}"/>
    <cellStyle name="Normal 5 2 2 2 3 3 2 2" xfId="1552" xr:uid="{00000000-0005-0000-0000-0000011B0000}"/>
    <cellStyle name="Normal 5 2 2 2 3 3 2 2 2" xfId="3366" xr:uid="{00000000-0005-0000-0000-0000021B0000}"/>
    <cellStyle name="Normal 5 2 2 2 3 3 2 2 2 2" xfId="6994" xr:uid="{00000000-0005-0000-0000-0000031B0000}"/>
    <cellStyle name="Normal 5 2 2 2 3 3 2 2 2 2 2" xfId="21506" xr:uid="{00000000-0005-0000-0000-0000041B0000}"/>
    <cellStyle name="Normal 5 2 2 2 3 3 2 2 2 2 3" xfId="14250" xr:uid="{00000000-0005-0000-0000-0000051B0000}"/>
    <cellStyle name="Normal 5 2 2 2 3 3 2 2 2 3" xfId="17878" xr:uid="{00000000-0005-0000-0000-0000061B0000}"/>
    <cellStyle name="Normal 5 2 2 2 3 3 2 2 2 4" xfId="10622" xr:uid="{00000000-0005-0000-0000-0000071B0000}"/>
    <cellStyle name="Normal 5 2 2 2 3 3 2 2 3" xfId="5180" xr:uid="{00000000-0005-0000-0000-0000081B0000}"/>
    <cellStyle name="Normal 5 2 2 2 3 3 2 2 3 2" xfId="19692" xr:uid="{00000000-0005-0000-0000-0000091B0000}"/>
    <cellStyle name="Normal 5 2 2 2 3 3 2 2 3 3" xfId="12436" xr:uid="{00000000-0005-0000-0000-00000A1B0000}"/>
    <cellStyle name="Normal 5 2 2 2 3 3 2 2 4" xfId="16064" xr:uid="{00000000-0005-0000-0000-00000B1B0000}"/>
    <cellStyle name="Normal 5 2 2 2 3 3 2 2 5" xfId="8808" xr:uid="{00000000-0005-0000-0000-00000C1B0000}"/>
    <cellStyle name="Normal 5 2 2 2 3 3 2 3" xfId="2459" xr:uid="{00000000-0005-0000-0000-00000D1B0000}"/>
    <cellStyle name="Normal 5 2 2 2 3 3 2 3 2" xfId="6087" xr:uid="{00000000-0005-0000-0000-00000E1B0000}"/>
    <cellStyle name="Normal 5 2 2 2 3 3 2 3 2 2" xfId="20599" xr:uid="{00000000-0005-0000-0000-00000F1B0000}"/>
    <cellStyle name="Normal 5 2 2 2 3 3 2 3 2 3" xfId="13343" xr:uid="{00000000-0005-0000-0000-0000101B0000}"/>
    <cellStyle name="Normal 5 2 2 2 3 3 2 3 3" xfId="16971" xr:uid="{00000000-0005-0000-0000-0000111B0000}"/>
    <cellStyle name="Normal 5 2 2 2 3 3 2 3 4" xfId="9715" xr:uid="{00000000-0005-0000-0000-0000121B0000}"/>
    <cellStyle name="Normal 5 2 2 2 3 3 2 4" xfId="4273" xr:uid="{00000000-0005-0000-0000-0000131B0000}"/>
    <cellStyle name="Normal 5 2 2 2 3 3 2 4 2" xfId="18785" xr:uid="{00000000-0005-0000-0000-0000141B0000}"/>
    <cellStyle name="Normal 5 2 2 2 3 3 2 4 3" xfId="11529" xr:uid="{00000000-0005-0000-0000-0000151B0000}"/>
    <cellStyle name="Normal 5 2 2 2 3 3 2 5" xfId="15157" xr:uid="{00000000-0005-0000-0000-0000161B0000}"/>
    <cellStyle name="Normal 5 2 2 2 3 3 2 6" xfId="7901" xr:uid="{00000000-0005-0000-0000-0000171B0000}"/>
    <cellStyle name="Normal 5 2 2 2 3 3 3" xfId="1206" xr:uid="{00000000-0005-0000-0000-0000181B0000}"/>
    <cellStyle name="Normal 5 2 2 2 3 3 3 2" xfId="3020" xr:uid="{00000000-0005-0000-0000-0000191B0000}"/>
    <cellStyle name="Normal 5 2 2 2 3 3 3 2 2" xfId="6648" xr:uid="{00000000-0005-0000-0000-00001A1B0000}"/>
    <cellStyle name="Normal 5 2 2 2 3 3 3 2 2 2" xfId="21160" xr:uid="{00000000-0005-0000-0000-00001B1B0000}"/>
    <cellStyle name="Normal 5 2 2 2 3 3 3 2 2 3" xfId="13904" xr:uid="{00000000-0005-0000-0000-00001C1B0000}"/>
    <cellStyle name="Normal 5 2 2 2 3 3 3 2 3" xfId="17532" xr:uid="{00000000-0005-0000-0000-00001D1B0000}"/>
    <cellStyle name="Normal 5 2 2 2 3 3 3 2 4" xfId="10276" xr:uid="{00000000-0005-0000-0000-00001E1B0000}"/>
    <cellStyle name="Normal 5 2 2 2 3 3 3 3" xfId="4834" xr:uid="{00000000-0005-0000-0000-00001F1B0000}"/>
    <cellStyle name="Normal 5 2 2 2 3 3 3 3 2" xfId="19346" xr:uid="{00000000-0005-0000-0000-0000201B0000}"/>
    <cellStyle name="Normal 5 2 2 2 3 3 3 3 3" xfId="12090" xr:uid="{00000000-0005-0000-0000-0000211B0000}"/>
    <cellStyle name="Normal 5 2 2 2 3 3 3 4" xfId="15718" xr:uid="{00000000-0005-0000-0000-0000221B0000}"/>
    <cellStyle name="Normal 5 2 2 2 3 3 3 5" xfId="8462" xr:uid="{00000000-0005-0000-0000-0000231B0000}"/>
    <cellStyle name="Normal 5 2 2 2 3 3 4" xfId="2113" xr:uid="{00000000-0005-0000-0000-0000241B0000}"/>
    <cellStyle name="Normal 5 2 2 2 3 3 4 2" xfId="5741" xr:uid="{00000000-0005-0000-0000-0000251B0000}"/>
    <cellStyle name="Normal 5 2 2 2 3 3 4 2 2" xfId="20253" xr:uid="{00000000-0005-0000-0000-0000261B0000}"/>
    <cellStyle name="Normal 5 2 2 2 3 3 4 2 3" xfId="12997" xr:uid="{00000000-0005-0000-0000-0000271B0000}"/>
    <cellStyle name="Normal 5 2 2 2 3 3 4 3" xfId="16625" xr:uid="{00000000-0005-0000-0000-0000281B0000}"/>
    <cellStyle name="Normal 5 2 2 2 3 3 4 4" xfId="9369" xr:uid="{00000000-0005-0000-0000-0000291B0000}"/>
    <cellStyle name="Normal 5 2 2 2 3 3 5" xfId="3927" xr:uid="{00000000-0005-0000-0000-00002A1B0000}"/>
    <cellStyle name="Normal 5 2 2 2 3 3 5 2" xfId="18439" xr:uid="{00000000-0005-0000-0000-00002B1B0000}"/>
    <cellStyle name="Normal 5 2 2 2 3 3 5 3" xfId="11183" xr:uid="{00000000-0005-0000-0000-00002C1B0000}"/>
    <cellStyle name="Normal 5 2 2 2 3 3 6" xfId="14811" xr:uid="{00000000-0005-0000-0000-00002D1B0000}"/>
    <cellStyle name="Normal 5 2 2 2 3 3 7" xfId="7555" xr:uid="{00000000-0005-0000-0000-00002E1B0000}"/>
    <cellStyle name="Normal 5 2 2 2 3 4" xfId="774" xr:uid="{00000000-0005-0000-0000-00002F1B0000}"/>
    <cellStyle name="Normal 5 2 2 2 3 4 2" xfId="1682" xr:uid="{00000000-0005-0000-0000-0000301B0000}"/>
    <cellStyle name="Normal 5 2 2 2 3 4 2 2" xfId="3496" xr:uid="{00000000-0005-0000-0000-0000311B0000}"/>
    <cellStyle name="Normal 5 2 2 2 3 4 2 2 2" xfId="7124" xr:uid="{00000000-0005-0000-0000-0000321B0000}"/>
    <cellStyle name="Normal 5 2 2 2 3 4 2 2 2 2" xfId="21636" xr:uid="{00000000-0005-0000-0000-0000331B0000}"/>
    <cellStyle name="Normal 5 2 2 2 3 4 2 2 2 3" xfId="14380" xr:uid="{00000000-0005-0000-0000-0000341B0000}"/>
    <cellStyle name="Normal 5 2 2 2 3 4 2 2 3" xfId="18008" xr:uid="{00000000-0005-0000-0000-0000351B0000}"/>
    <cellStyle name="Normal 5 2 2 2 3 4 2 2 4" xfId="10752" xr:uid="{00000000-0005-0000-0000-0000361B0000}"/>
    <cellStyle name="Normal 5 2 2 2 3 4 2 3" xfId="5310" xr:uid="{00000000-0005-0000-0000-0000371B0000}"/>
    <cellStyle name="Normal 5 2 2 2 3 4 2 3 2" xfId="19822" xr:uid="{00000000-0005-0000-0000-0000381B0000}"/>
    <cellStyle name="Normal 5 2 2 2 3 4 2 3 3" xfId="12566" xr:uid="{00000000-0005-0000-0000-0000391B0000}"/>
    <cellStyle name="Normal 5 2 2 2 3 4 2 4" xfId="16194" xr:uid="{00000000-0005-0000-0000-00003A1B0000}"/>
    <cellStyle name="Normal 5 2 2 2 3 4 2 5" xfId="8938" xr:uid="{00000000-0005-0000-0000-00003B1B0000}"/>
    <cellStyle name="Normal 5 2 2 2 3 4 3" xfId="2589" xr:uid="{00000000-0005-0000-0000-00003C1B0000}"/>
    <cellStyle name="Normal 5 2 2 2 3 4 3 2" xfId="6217" xr:uid="{00000000-0005-0000-0000-00003D1B0000}"/>
    <cellStyle name="Normal 5 2 2 2 3 4 3 2 2" xfId="20729" xr:uid="{00000000-0005-0000-0000-00003E1B0000}"/>
    <cellStyle name="Normal 5 2 2 2 3 4 3 2 3" xfId="13473" xr:uid="{00000000-0005-0000-0000-00003F1B0000}"/>
    <cellStyle name="Normal 5 2 2 2 3 4 3 3" xfId="17101" xr:uid="{00000000-0005-0000-0000-0000401B0000}"/>
    <cellStyle name="Normal 5 2 2 2 3 4 3 4" xfId="9845" xr:uid="{00000000-0005-0000-0000-0000411B0000}"/>
    <cellStyle name="Normal 5 2 2 2 3 4 4" xfId="4403" xr:uid="{00000000-0005-0000-0000-0000421B0000}"/>
    <cellStyle name="Normal 5 2 2 2 3 4 4 2" xfId="18915" xr:uid="{00000000-0005-0000-0000-0000431B0000}"/>
    <cellStyle name="Normal 5 2 2 2 3 4 4 3" xfId="11659" xr:uid="{00000000-0005-0000-0000-0000441B0000}"/>
    <cellStyle name="Normal 5 2 2 2 3 4 5" xfId="15287" xr:uid="{00000000-0005-0000-0000-0000451B0000}"/>
    <cellStyle name="Normal 5 2 2 2 3 4 6" xfId="8031" xr:uid="{00000000-0005-0000-0000-0000461B0000}"/>
    <cellStyle name="Normal 5 2 2 2 3 5" xfId="428" xr:uid="{00000000-0005-0000-0000-0000471B0000}"/>
    <cellStyle name="Normal 5 2 2 2 3 5 2" xfId="1336" xr:uid="{00000000-0005-0000-0000-0000481B0000}"/>
    <cellStyle name="Normal 5 2 2 2 3 5 2 2" xfId="3150" xr:uid="{00000000-0005-0000-0000-0000491B0000}"/>
    <cellStyle name="Normal 5 2 2 2 3 5 2 2 2" xfId="6778" xr:uid="{00000000-0005-0000-0000-00004A1B0000}"/>
    <cellStyle name="Normal 5 2 2 2 3 5 2 2 2 2" xfId="21290" xr:uid="{00000000-0005-0000-0000-00004B1B0000}"/>
    <cellStyle name="Normal 5 2 2 2 3 5 2 2 2 3" xfId="14034" xr:uid="{00000000-0005-0000-0000-00004C1B0000}"/>
    <cellStyle name="Normal 5 2 2 2 3 5 2 2 3" xfId="17662" xr:uid="{00000000-0005-0000-0000-00004D1B0000}"/>
    <cellStyle name="Normal 5 2 2 2 3 5 2 2 4" xfId="10406" xr:uid="{00000000-0005-0000-0000-00004E1B0000}"/>
    <cellStyle name="Normal 5 2 2 2 3 5 2 3" xfId="4964" xr:uid="{00000000-0005-0000-0000-00004F1B0000}"/>
    <cellStyle name="Normal 5 2 2 2 3 5 2 3 2" xfId="19476" xr:uid="{00000000-0005-0000-0000-0000501B0000}"/>
    <cellStyle name="Normal 5 2 2 2 3 5 2 3 3" xfId="12220" xr:uid="{00000000-0005-0000-0000-0000511B0000}"/>
    <cellStyle name="Normal 5 2 2 2 3 5 2 4" xfId="15848" xr:uid="{00000000-0005-0000-0000-0000521B0000}"/>
    <cellStyle name="Normal 5 2 2 2 3 5 2 5" xfId="8592" xr:uid="{00000000-0005-0000-0000-0000531B0000}"/>
    <cellStyle name="Normal 5 2 2 2 3 5 3" xfId="2243" xr:uid="{00000000-0005-0000-0000-0000541B0000}"/>
    <cellStyle name="Normal 5 2 2 2 3 5 3 2" xfId="5871" xr:uid="{00000000-0005-0000-0000-0000551B0000}"/>
    <cellStyle name="Normal 5 2 2 2 3 5 3 2 2" xfId="20383" xr:uid="{00000000-0005-0000-0000-0000561B0000}"/>
    <cellStyle name="Normal 5 2 2 2 3 5 3 2 3" xfId="13127" xr:uid="{00000000-0005-0000-0000-0000571B0000}"/>
    <cellStyle name="Normal 5 2 2 2 3 5 3 3" xfId="16755" xr:uid="{00000000-0005-0000-0000-0000581B0000}"/>
    <cellStyle name="Normal 5 2 2 2 3 5 3 4" xfId="9499" xr:uid="{00000000-0005-0000-0000-0000591B0000}"/>
    <cellStyle name="Normal 5 2 2 2 3 5 4" xfId="4057" xr:uid="{00000000-0005-0000-0000-00005A1B0000}"/>
    <cellStyle name="Normal 5 2 2 2 3 5 4 2" xfId="18569" xr:uid="{00000000-0005-0000-0000-00005B1B0000}"/>
    <cellStyle name="Normal 5 2 2 2 3 5 4 3" xfId="11313" xr:uid="{00000000-0005-0000-0000-00005C1B0000}"/>
    <cellStyle name="Normal 5 2 2 2 3 5 5" xfId="14941" xr:uid="{00000000-0005-0000-0000-00005D1B0000}"/>
    <cellStyle name="Normal 5 2 2 2 3 5 6" xfId="7685" xr:uid="{00000000-0005-0000-0000-00005E1B0000}"/>
    <cellStyle name="Normal 5 2 2 2 3 6" xfId="906" xr:uid="{00000000-0005-0000-0000-00005F1B0000}"/>
    <cellStyle name="Normal 5 2 2 2 3 6 2" xfId="1813" xr:uid="{00000000-0005-0000-0000-0000601B0000}"/>
    <cellStyle name="Normal 5 2 2 2 3 6 2 2" xfId="3627" xr:uid="{00000000-0005-0000-0000-0000611B0000}"/>
    <cellStyle name="Normal 5 2 2 2 3 6 2 2 2" xfId="7255" xr:uid="{00000000-0005-0000-0000-0000621B0000}"/>
    <cellStyle name="Normal 5 2 2 2 3 6 2 2 2 2" xfId="21767" xr:uid="{00000000-0005-0000-0000-0000631B0000}"/>
    <cellStyle name="Normal 5 2 2 2 3 6 2 2 2 3" xfId="14511" xr:uid="{00000000-0005-0000-0000-0000641B0000}"/>
    <cellStyle name="Normal 5 2 2 2 3 6 2 2 3" xfId="18139" xr:uid="{00000000-0005-0000-0000-0000651B0000}"/>
    <cellStyle name="Normal 5 2 2 2 3 6 2 2 4" xfId="10883" xr:uid="{00000000-0005-0000-0000-0000661B0000}"/>
    <cellStyle name="Normal 5 2 2 2 3 6 2 3" xfId="5441" xr:uid="{00000000-0005-0000-0000-0000671B0000}"/>
    <cellStyle name="Normal 5 2 2 2 3 6 2 3 2" xfId="19953" xr:uid="{00000000-0005-0000-0000-0000681B0000}"/>
    <cellStyle name="Normal 5 2 2 2 3 6 2 3 3" xfId="12697" xr:uid="{00000000-0005-0000-0000-0000691B0000}"/>
    <cellStyle name="Normal 5 2 2 2 3 6 2 4" xfId="16325" xr:uid="{00000000-0005-0000-0000-00006A1B0000}"/>
    <cellStyle name="Normal 5 2 2 2 3 6 2 5" xfId="9069" xr:uid="{00000000-0005-0000-0000-00006B1B0000}"/>
    <cellStyle name="Normal 5 2 2 2 3 6 3" xfId="2720" xr:uid="{00000000-0005-0000-0000-00006C1B0000}"/>
    <cellStyle name="Normal 5 2 2 2 3 6 3 2" xfId="6348" xr:uid="{00000000-0005-0000-0000-00006D1B0000}"/>
    <cellStyle name="Normal 5 2 2 2 3 6 3 2 2" xfId="20860" xr:uid="{00000000-0005-0000-0000-00006E1B0000}"/>
    <cellStyle name="Normal 5 2 2 2 3 6 3 2 3" xfId="13604" xr:uid="{00000000-0005-0000-0000-00006F1B0000}"/>
    <cellStyle name="Normal 5 2 2 2 3 6 3 3" xfId="17232" xr:uid="{00000000-0005-0000-0000-0000701B0000}"/>
    <cellStyle name="Normal 5 2 2 2 3 6 3 4" xfId="9976" xr:uid="{00000000-0005-0000-0000-0000711B0000}"/>
    <cellStyle name="Normal 5 2 2 2 3 6 4" xfId="4534" xr:uid="{00000000-0005-0000-0000-0000721B0000}"/>
    <cellStyle name="Normal 5 2 2 2 3 6 4 2" xfId="19046" xr:uid="{00000000-0005-0000-0000-0000731B0000}"/>
    <cellStyle name="Normal 5 2 2 2 3 6 4 3" xfId="11790" xr:uid="{00000000-0005-0000-0000-0000741B0000}"/>
    <cellStyle name="Normal 5 2 2 2 3 6 5" xfId="15418" xr:uid="{00000000-0005-0000-0000-0000751B0000}"/>
    <cellStyle name="Normal 5 2 2 2 3 6 6" xfId="8162" xr:uid="{00000000-0005-0000-0000-0000761B0000}"/>
    <cellStyle name="Normal 5 2 2 2 3 7" xfId="990" xr:uid="{00000000-0005-0000-0000-0000771B0000}"/>
    <cellStyle name="Normal 5 2 2 2 3 7 2" xfId="2804" xr:uid="{00000000-0005-0000-0000-0000781B0000}"/>
    <cellStyle name="Normal 5 2 2 2 3 7 2 2" xfId="6432" xr:uid="{00000000-0005-0000-0000-0000791B0000}"/>
    <cellStyle name="Normal 5 2 2 2 3 7 2 2 2" xfId="20944" xr:uid="{00000000-0005-0000-0000-00007A1B0000}"/>
    <cellStyle name="Normal 5 2 2 2 3 7 2 2 3" xfId="13688" xr:uid="{00000000-0005-0000-0000-00007B1B0000}"/>
    <cellStyle name="Normal 5 2 2 2 3 7 2 3" xfId="17316" xr:uid="{00000000-0005-0000-0000-00007C1B0000}"/>
    <cellStyle name="Normal 5 2 2 2 3 7 2 4" xfId="10060" xr:uid="{00000000-0005-0000-0000-00007D1B0000}"/>
    <cellStyle name="Normal 5 2 2 2 3 7 3" xfId="4618" xr:uid="{00000000-0005-0000-0000-00007E1B0000}"/>
    <cellStyle name="Normal 5 2 2 2 3 7 3 2" xfId="19130" xr:uid="{00000000-0005-0000-0000-00007F1B0000}"/>
    <cellStyle name="Normal 5 2 2 2 3 7 3 3" xfId="11874" xr:uid="{00000000-0005-0000-0000-0000801B0000}"/>
    <cellStyle name="Normal 5 2 2 2 3 7 4" xfId="15502" xr:uid="{00000000-0005-0000-0000-0000811B0000}"/>
    <cellStyle name="Normal 5 2 2 2 3 7 5" xfId="8246" xr:uid="{00000000-0005-0000-0000-0000821B0000}"/>
    <cellStyle name="Normal 5 2 2 2 3 8" xfId="1897" xr:uid="{00000000-0005-0000-0000-0000831B0000}"/>
    <cellStyle name="Normal 5 2 2 2 3 8 2" xfId="5525" xr:uid="{00000000-0005-0000-0000-0000841B0000}"/>
    <cellStyle name="Normal 5 2 2 2 3 8 2 2" xfId="20037" xr:uid="{00000000-0005-0000-0000-0000851B0000}"/>
    <cellStyle name="Normal 5 2 2 2 3 8 2 3" xfId="12781" xr:uid="{00000000-0005-0000-0000-0000861B0000}"/>
    <cellStyle name="Normal 5 2 2 2 3 8 3" xfId="16409" xr:uid="{00000000-0005-0000-0000-0000871B0000}"/>
    <cellStyle name="Normal 5 2 2 2 3 8 4" xfId="9153" xr:uid="{00000000-0005-0000-0000-0000881B0000}"/>
    <cellStyle name="Normal 5 2 2 2 3 9" xfId="3711" xr:uid="{00000000-0005-0000-0000-0000891B0000}"/>
    <cellStyle name="Normal 5 2 2 2 3 9 2" xfId="18223" xr:uid="{00000000-0005-0000-0000-00008A1B0000}"/>
    <cellStyle name="Normal 5 2 2 2 3 9 3" xfId="10967" xr:uid="{00000000-0005-0000-0000-00008B1B0000}"/>
    <cellStyle name="Normal 5 2 2 2 4" xfId="212" xr:uid="{00000000-0005-0000-0000-00008C1B0000}"/>
    <cellStyle name="Normal 5 2 2 2 4 2" xfId="342" xr:uid="{00000000-0005-0000-0000-00008D1B0000}"/>
    <cellStyle name="Normal 5 2 2 2 4 2 2" xfId="688" xr:uid="{00000000-0005-0000-0000-00008E1B0000}"/>
    <cellStyle name="Normal 5 2 2 2 4 2 2 2" xfId="1596" xr:uid="{00000000-0005-0000-0000-00008F1B0000}"/>
    <cellStyle name="Normal 5 2 2 2 4 2 2 2 2" xfId="3410" xr:uid="{00000000-0005-0000-0000-0000901B0000}"/>
    <cellStyle name="Normal 5 2 2 2 4 2 2 2 2 2" xfId="7038" xr:uid="{00000000-0005-0000-0000-0000911B0000}"/>
    <cellStyle name="Normal 5 2 2 2 4 2 2 2 2 2 2" xfId="21550" xr:uid="{00000000-0005-0000-0000-0000921B0000}"/>
    <cellStyle name="Normal 5 2 2 2 4 2 2 2 2 2 3" xfId="14294" xr:uid="{00000000-0005-0000-0000-0000931B0000}"/>
    <cellStyle name="Normal 5 2 2 2 4 2 2 2 2 3" xfId="17922" xr:uid="{00000000-0005-0000-0000-0000941B0000}"/>
    <cellStyle name="Normal 5 2 2 2 4 2 2 2 2 4" xfId="10666" xr:uid="{00000000-0005-0000-0000-0000951B0000}"/>
    <cellStyle name="Normal 5 2 2 2 4 2 2 2 3" xfId="5224" xr:uid="{00000000-0005-0000-0000-0000961B0000}"/>
    <cellStyle name="Normal 5 2 2 2 4 2 2 2 3 2" xfId="19736" xr:uid="{00000000-0005-0000-0000-0000971B0000}"/>
    <cellStyle name="Normal 5 2 2 2 4 2 2 2 3 3" xfId="12480" xr:uid="{00000000-0005-0000-0000-0000981B0000}"/>
    <cellStyle name="Normal 5 2 2 2 4 2 2 2 4" xfId="16108" xr:uid="{00000000-0005-0000-0000-0000991B0000}"/>
    <cellStyle name="Normal 5 2 2 2 4 2 2 2 5" xfId="8852" xr:uid="{00000000-0005-0000-0000-00009A1B0000}"/>
    <cellStyle name="Normal 5 2 2 2 4 2 2 3" xfId="2503" xr:uid="{00000000-0005-0000-0000-00009B1B0000}"/>
    <cellStyle name="Normal 5 2 2 2 4 2 2 3 2" xfId="6131" xr:uid="{00000000-0005-0000-0000-00009C1B0000}"/>
    <cellStyle name="Normal 5 2 2 2 4 2 2 3 2 2" xfId="20643" xr:uid="{00000000-0005-0000-0000-00009D1B0000}"/>
    <cellStyle name="Normal 5 2 2 2 4 2 2 3 2 3" xfId="13387" xr:uid="{00000000-0005-0000-0000-00009E1B0000}"/>
    <cellStyle name="Normal 5 2 2 2 4 2 2 3 3" xfId="17015" xr:uid="{00000000-0005-0000-0000-00009F1B0000}"/>
    <cellStyle name="Normal 5 2 2 2 4 2 2 3 4" xfId="9759" xr:uid="{00000000-0005-0000-0000-0000A01B0000}"/>
    <cellStyle name="Normal 5 2 2 2 4 2 2 4" xfId="4317" xr:uid="{00000000-0005-0000-0000-0000A11B0000}"/>
    <cellStyle name="Normal 5 2 2 2 4 2 2 4 2" xfId="18829" xr:uid="{00000000-0005-0000-0000-0000A21B0000}"/>
    <cellStyle name="Normal 5 2 2 2 4 2 2 4 3" xfId="11573" xr:uid="{00000000-0005-0000-0000-0000A31B0000}"/>
    <cellStyle name="Normal 5 2 2 2 4 2 2 5" xfId="15201" xr:uid="{00000000-0005-0000-0000-0000A41B0000}"/>
    <cellStyle name="Normal 5 2 2 2 4 2 2 6" xfId="7945" xr:uid="{00000000-0005-0000-0000-0000A51B0000}"/>
    <cellStyle name="Normal 5 2 2 2 4 2 3" xfId="1250" xr:uid="{00000000-0005-0000-0000-0000A61B0000}"/>
    <cellStyle name="Normal 5 2 2 2 4 2 3 2" xfId="3064" xr:uid="{00000000-0005-0000-0000-0000A71B0000}"/>
    <cellStyle name="Normal 5 2 2 2 4 2 3 2 2" xfId="6692" xr:uid="{00000000-0005-0000-0000-0000A81B0000}"/>
    <cellStyle name="Normal 5 2 2 2 4 2 3 2 2 2" xfId="21204" xr:uid="{00000000-0005-0000-0000-0000A91B0000}"/>
    <cellStyle name="Normal 5 2 2 2 4 2 3 2 2 3" xfId="13948" xr:uid="{00000000-0005-0000-0000-0000AA1B0000}"/>
    <cellStyle name="Normal 5 2 2 2 4 2 3 2 3" xfId="17576" xr:uid="{00000000-0005-0000-0000-0000AB1B0000}"/>
    <cellStyle name="Normal 5 2 2 2 4 2 3 2 4" xfId="10320" xr:uid="{00000000-0005-0000-0000-0000AC1B0000}"/>
    <cellStyle name="Normal 5 2 2 2 4 2 3 3" xfId="4878" xr:uid="{00000000-0005-0000-0000-0000AD1B0000}"/>
    <cellStyle name="Normal 5 2 2 2 4 2 3 3 2" xfId="19390" xr:uid="{00000000-0005-0000-0000-0000AE1B0000}"/>
    <cellStyle name="Normal 5 2 2 2 4 2 3 3 3" xfId="12134" xr:uid="{00000000-0005-0000-0000-0000AF1B0000}"/>
    <cellStyle name="Normal 5 2 2 2 4 2 3 4" xfId="15762" xr:uid="{00000000-0005-0000-0000-0000B01B0000}"/>
    <cellStyle name="Normal 5 2 2 2 4 2 3 5" xfId="8506" xr:uid="{00000000-0005-0000-0000-0000B11B0000}"/>
    <cellStyle name="Normal 5 2 2 2 4 2 4" xfId="2157" xr:uid="{00000000-0005-0000-0000-0000B21B0000}"/>
    <cellStyle name="Normal 5 2 2 2 4 2 4 2" xfId="5785" xr:uid="{00000000-0005-0000-0000-0000B31B0000}"/>
    <cellStyle name="Normal 5 2 2 2 4 2 4 2 2" xfId="20297" xr:uid="{00000000-0005-0000-0000-0000B41B0000}"/>
    <cellStyle name="Normal 5 2 2 2 4 2 4 2 3" xfId="13041" xr:uid="{00000000-0005-0000-0000-0000B51B0000}"/>
    <cellStyle name="Normal 5 2 2 2 4 2 4 3" xfId="16669" xr:uid="{00000000-0005-0000-0000-0000B61B0000}"/>
    <cellStyle name="Normal 5 2 2 2 4 2 4 4" xfId="9413" xr:uid="{00000000-0005-0000-0000-0000B71B0000}"/>
    <cellStyle name="Normal 5 2 2 2 4 2 5" xfId="3971" xr:uid="{00000000-0005-0000-0000-0000B81B0000}"/>
    <cellStyle name="Normal 5 2 2 2 4 2 5 2" xfId="18483" xr:uid="{00000000-0005-0000-0000-0000B91B0000}"/>
    <cellStyle name="Normal 5 2 2 2 4 2 5 3" xfId="11227" xr:uid="{00000000-0005-0000-0000-0000BA1B0000}"/>
    <cellStyle name="Normal 5 2 2 2 4 2 6" xfId="14855" xr:uid="{00000000-0005-0000-0000-0000BB1B0000}"/>
    <cellStyle name="Normal 5 2 2 2 4 2 7" xfId="7599" xr:uid="{00000000-0005-0000-0000-0000BC1B0000}"/>
    <cellStyle name="Normal 5 2 2 2 4 3" xfId="818" xr:uid="{00000000-0005-0000-0000-0000BD1B0000}"/>
    <cellStyle name="Normal 5 2 2 2 4 3 2" xfId="1726" xr:uid="{00000000-0005-0000-0000-0000BE1B0000}"/>
    <cellStyle name="Normal 5 2 2 2 4 3 2 2" xfId="3540" xr:uid="{00000000-0005-0000-0000-0000BF1B0000}"/>
    <cellStyle name="Normal 5 2 2 2 4 3 2 2 2" xfId="7168" xr:uid="{00000000-0005-0000-0000-0000C01B0000}"/>
    <cellStyle name="Normal 5 2 2 2 4 3 2 2 2 2" xfId="21680" xr:uid="{00000000-0005-0000-0000-0000C11B0000}"/>
    <cellStyle name="Normal 5 2 2 2 4 3 2 2 2 3" xfId="14424" xr:uid="{00000000-0005-0000-0000-0000C21B0000}"/>
    <cellStyle name="Normal 5 2 2 2 4 3 2 2 3" xfId="18052" xr:uid="{00000000-0005-0000-0000-0000C31B0000}"/>
    <cellStyle name="Normal 5 2 2 2 4 3 2 2 4" xfId="10796" xr:uid="{00000000-0005-0000-0000-0000C41B0000}"/>
    <cellStyle name="Normal 5 2 2 2 4 3 2 3" xfId="5354" xr:uid="{00000000-0005-0000-0000-0000C51B0000}"/>
    <cellStyle name="Normal 5 2 2 2 4 3 2 3 2" xfId="19866" xr:uid="{00000000-0005-0000-0000-0000C61B0000}"/>
    <cellStyle name="Normal 5 2 2 2 4 3 2 3 3" xfId="12610" xr:uid="{00000000-0005-0000-0000-0000C71B0000}"/>
    <cellStyle name="Normal 5 2 2 2 4 3 2 4" xfId="16238" xr:uid="{00000000-0005-0000-0000-0000C81B0000}"/>
    <cellStyle name="Normal 5 2 2 2 4 3 2 5" xfId="8982" xr:uid="{00000000-0005-0000-0000-0000C91B0000}"/>
    <cellStyle name="Normal 5 2 2 2 4 3 3" xfId="2633" xr:uid="{00000000-0005-0000-0000-0000CA1B0000}"/>
    <cellStyle name="Normal 5 2 2 2 4 3 3 2" xfId="6261" xr:uid="{00000000-0005-0000-0000-0000CB1B0000}"/>
    <cellStyle name="Normal 5 2 2 2 4 3 3 2 2" xfId="20773" xr:uid="{00000000-0005-0000-0000-0000CC1B0000}"/>
    <cellStyle name="Normal 5 2 2 2 4 3 3 2 3" xfId="13517" xr:uid="{00000000-0005-0000-0000-0000CD1B0000}"/>
    <cellStyle name="Normal 5 2 2 2 4 3 3 3" xfId="17145" xr:uid="{00000000-0005-0000-0000-0000CE1B0000}"/>
    <cellStyle name="Normal 5 2 2 2 4 3 3 4" xfId="9889" xr:uid="{00000000-0005-0000-0000-0000CF1B0000}"/>
    <cellStyle name="Normal 5 2 2 2 4 3 4" xfId="4447" xr:uid="{00000000-0005-0000-0000-0000D01B0000}"/>
    <cellStyle name="Normal 5 2 2 2 4 3 4 2" xfId="18959" xr:uid="{00000000-0005-0000-0000-0000D11B0000}"/>
    <cellStyle name="Normal 5 2 2 2 4 3 4 3" xfId="11703" xr:uid="{00000000-0005-0000-0000-0000D21B0000}"/>
    <cellStyle name="Normal 5 2 2 2 4 3 5" xfId="15331" xr:uid="{00000000-0005-0000-0000-0000D31B0000}"/>
    <cellStyle name="Normal 5 2 2 2 4 3 6" xfId="8075" xr:uid="{00000000-0005-0000-0000-0000D41B0000}"/>
    <cellStyle name="Normal 5 2 2 2 4 4" xfId="558" xr:uid="{00000000-0005-0000-0000-0000D51B0000}"/>
    <cellStyle name="Normal 5 2 2 2 4 4 2" xfId="1466" xr:uid="{00000000-0005-0000-0000-0000D61B0000}"/>
    <cellStyle name="Normal 5 2 2 2 4 4 2 2" xfId="3280" xr:uid="{00000000-0005-0000-0000-0000D71B0000}"/>
    <cellStyle name="Normal 5 2 2 2 4 4 2 2 2" xfId="6908" xr:uid="{00000000-0005-0000-0000-0000D81B0000}"/>
    <cellStyle name="Normal 5 2 2 2 4 4 2 2 2 2" xfId="21420" xr:uid="{00000000-0005-0000-0000-0000D91B0000}"/>
    <cellStyle name="Normal 5 2 2 2 4 4 2 2 2 3" xfId="14164" xr:uid="{00000000-0005-0000-0000-0000DA1B0000}"/>
    <cellStyle name="Normal 5 2 2 2 4 4 2 2 3" xfId="17792" xr:uid="{00000000-0005-0000-0000-0000DB1B0000}"/>
    <cellStyle name="Normal 5 2 2 2 4 4 2 2 4" xfId="10536" xr:uid="{00000000-0005-0000-0000-0000DC1B0000}"/>
    <cellStyle name="Normal 5 2 2 2 4 4 2 3" xfId="5094" xr:uid="{00000000-0005-0000-0000-0000DD1B0000}"/>
    <cellStyle name="Normal 5 2 2 2 4 4 2 3 2" xfId="19606" xr:uid="{00000000-0005-0000-0000-0000DE1B0000}"/>
    <cellStyle name="Normal 5 2 2 2 4 4 2 3 3" xfId="12350" xr:uid="{00000000-0005-0000-0000-0000DF1B0000}"/>
    <cellStyle name="Normal 5 2 2 2 4 4 2 4" xfId="15978" xr:uid="{00000000-0005-0000-0000-0000E01B0000}"/>
    <cellStyle name="Normal 5 2 2 2 4 4 2 5" xfId="8722" xr:uid="{00000000-0005-0000-0000-0000E11B0000}"/>
    <cellStyle name="Normal 5 2 2 2 4 4 3" xfId="2373" xr:uid="{00000000-0005-0000-0000-0000E21B0000}"/>
    <cellStyle name="Normal 5 2 2 2 4 4 3 2" xfId="6001" xr:uid="{00000000-0005-0000-0000-0000E31B0000}"/>
    <cellStyle name="Normal 5 2 2 2 4 4 3 2 2" xfId="20513" xr:uid="{00000000-0005-0000-0000-0000E41B0000}"/>
    <cellStyle name="Normal 5 2 2 2 4 4 3 2 3" xfId="13257" xr:uid="{00000000-0005-0000-0000-0000E51B0000}"/>
    <cellStyle name="Normal 5 2 2 2 4 4 3 3" xfId="16885" xr:uid="{00000000-0005-0000-0000-0000E61B0000}"/>
    <cellStyle name="Normal 5 2 2 2 4 4 3 4" xfId="9629" xr:uid="{00000000-0005-0000-0000-0000E71B0000}"/>
    <cellStyle name="Normal 5 2 2 2 4 4 4" xfId="4187" xr:uid="{00000000-0005-0000-0000-0000E81B0000}"/>
    <cellStyle name="Normal 5 2 2 2 4 4 4 2" xfId="18699" xr:uid="{00000000-0005-0000-0000-0000E91B0000}"/>
    <cellStyle name="Normal 5 2 2 2 4 4 4 3" xfId="11443" xr:uid="{00000000-0005-0000-0000-0000EA1B0000}"/>
    <cellStyle name="Normal 5 2 2 2 4 4 5" xfId="15071" xr:uid="{00000000-0005-0000-0000-0000EB1B0000}"/>
    <cellStyle name="Normal 5 2 2 2 4 4 6" xfId="7815" xr:uid="{00000000-0005-0000-0000-0000EC1B0000}"/>
    <cellStyle name="Normal 5 2 2 2 4 5" xfId="1120" xr:uid="{00000000-0005-0000-0000-0000ED1B0000}"/>
    <cellStyle name="Normal 5 2 2 2 4 5 2" xfId="2934" xr:uid="{00000000-0005-0000-0000-0000EE1B0000}"/>
    <cellStyle name="Normal 5 2 2 2 4 5 2 2" xfId="6562" xr:uid="{00000000-0005-0000-0000-0000EF1B0000}"/>
    <cellStyle name="Normal 5 2 2 2 4 5 2 2 2" xfId="21074" xr:uid="{00000000-0005-0000-0000-0000F01B0000}"/>
    <cellStyle name="Normal 5 2 2 2 4 5 2 2 3" xfId="13818" xr:uid="{00000000-0005-0000-0000-0000F11B0000}"/>
    <cellStyle name="Normal 5 2 2 2 4 5 2 3" xfId="17446" xr:uid="{00000000-0005-0000-0000-0000F21B0000}"/>
    <cellStyle name="Normal 5 2 2 2 4 5 2 4" xfId="10190" xr:uid="{00000000-0005-0000-0000-0000F31B0000}"/>
    <cellStyle name="Normal 5 2 2 2 4 5 3" xfId="4748" xr:uid="{00000000-0005-0000-0000-0000F41B0000}"/>
    <cellStyle name="Normal 5 2 2 2 4 5 3 2" xfId="19260" xr:uid="{00000000-0005-0000-0000-0000F51B0000}"/>
    <cellStyle name="Normal 5 2 2 2 4 5 3 3" xfId="12004" xr:uid="{00000000-0005-0000-0000-0000F61B0000}"/>
    <cellStyle name="Normal 5 2 2 2 4 5 4" xfId="15632" xr:uid="{00000000-0005-0000-0000-0000F71B0000}"/>
    <cellStyle name="Normal 5 2 2 2 4 5 5" xfId="8376" xr:uid="{00000000-0005-0000-0000-0000F81B0000}"/>
    <cellStyle name="Normal 5 2 2 2 4 6" xfId="2027" xr:uid="{00000000-0005-0000-0000-0000F91B0000}"/>
    <cellStyle name="Normal 5 2 2 2 4 6 2" xfId="5655" xr:uid="{00000000-0005-0000-0000-0000FA1B0000}"/>
    <cellStyle name="Normal 5 2 2 2 4 6 2 2" xfId="20167" xr:uid="{00000000-0005-0000-0000-0000FB1B0000}"/>
    <cellStyle name="Normal 5 2 2 2 4 6 2 3" xfId="12911" xr:uid="{00000000-0005-0000-0000-0000FC1B0000}"/>
    <cellStyle name="Normal 5 2 2 2 4 6 3" xfId="16539" xr:uid="{00000000-0005-0000-0000-0000FD1B0000}"/>
    <cellStyle name="Normal 5 2 2 2 4 6 4" xfId="9283" xr:uid="{00000000-0005-0000-0000-0000FE1B0000}"/>
    <cellStyle name="Normal 5 2 2 2 4 7" xfId="3841" xr:uid="{00000000-0005-0000-0000-0000FF1B0000}"/>
    <cellStyle name="Normal 5 2 2 2 4 7 2" xfId="18353" xr:uid="{00000000-0005-0000-0000-0000001C0000}"/>
    <cellStyle name="Normal 5 2 2 2 4 7 3" xfId="11097" xr:uid="{00000000-0005-0000-0000-0000011C0000}"/>
    <cellStyle name="Normal 5 2 2 2 4 8" xfId="14725" xr:uid="{00000000-0005-0000-0000-0000021C0000}"/>
    <cellStyle name="Normal 5 2 2 2 4 9" xfId="7469" xr:uid="{00000000-0005-0000-0000-0000031C0000}"/>
    <cellStyle name="Normal 5 2 2 2 5" xfId="126" xr:uid="{00000000-0005-0000-0000-0000041C0000}"/>
    <cellStyle name="Normal 5 2 2 2 5 2" xfId="472" xr:uid="{00000000-0005-0000-0000-0000051C0000}"/>
    <cellStyle name="Normal 5 2 2 2 5 2 2" xfId="1380" xr:uid="{00000000-0005-0000-0000-0000061C0000}"/>
    <cellStyle name="Normal 5 2 2 2 5 2 2 2" xfId="3194" xr:uid="{00000000-0005-0000-0000-0000071C0000}"/>
    <cellStyle name="Normal 5 2 2 2 5 2 2 2 2" xfId="6822" xr:uid="{00000000-0005-0000-0000-0000081C0000}"/>
    <cellStyle name="Normal 5 2 2 2 5 2 2 2 2 2" xfId="21334" xr:uid="{00000000-0005-0000-0000-0000091C0000}"/>
    <cellStyle name="Normal 5 2 2 2 5 2 2 2 2 3" xfId="14078" xr:uid="{00000000-0005-0000-0000-00000A1C0000}"/>
    <cellStyle name="Normal 5 2 2 2 5 2 2 2 3" xfId="17706" xr:uid="{00000000-0005-0000-0000-00000B1C0000}"/>
    <cellStyle name="Normal 5 2 2 2 5 2 2 2 4" xfId="10450" xr:uid="{00000000-0005-0000-0000-00000C1C0000}"/>
    <cellStyle name="Normal 5 2 2 2 5 2 2 3" xfId="5008" xr:uid="{00000000-0005-0000-0000-00000D1C0000}"/>
    <cellStyle name="Normal 5 2 2 2 5 2 2 3 2" xfId="19520" xr:uid="{00000000-0005-0000-0000-00000E1C0000}"/>
    <cellStyle name="Normal 5 2 2 2 5 2 2 3 3" xfId="12264" xr:uid="{00000000-0005-0000-0000-00000F1C0000}"/>
    <cellStyle name="Normal 5 2 2 2 5 2 2 4" xfId="15892" xr:uid="{00000000-0005-0000-0000-0000101C0000}"/>
    <cellStyle name="Normal 5 2 2 2 5 2 2 5" xfId="8636" xr:uid="{00000000-0005-0000-0000-0000111C0000}"/>
    <cellStyle name="Normal 5 2 2 2 5 2 3" xfId="2287" xr:uid="{00000000-0005-0000-0000-0000121C0000}"/>
    <cellStyle name="Normal 5 2 2 2 5 2 3 2" xfId="5915" xr:uid="{00000000-0005-0000-0000-0000131C0000}"/>
    <cellStyle name="Normal 5 2 2 2 5 2 3 2 2" xfId="20427" xr:uid="{00000000-0005-0000-0000-0000141C0000}"/>
    <cellStyle name="Normal 5 2 2 2 5 2 3 2 3" xfId="13171" xr:uid="{00000000-0005-0000-0000-0000151C0000}"/>
    <cellStyle name="Normal 5 2 2 2 5 2 3 3" xfId="16799" xr:uid="{00000000-0005-0000-0000-0000161C0000}"/>
    <cellStyle name="Normal 5 2 2 2 5 2 3 4" xfId="9543" xr:uid="{00000000-0005-0000-0000-0000171C0000}"/>
    <cellStyle name="Normal 5 2 2 2 5 2 4" xfId="4101" xr:uid="{00000000-0005-0000-0000-0000181C0000}"/>
    <cellStyle name="Normal 5 2 2 2 5 2 4 2" xfId="18613" xr:uid="{00000000-0005-0000-0000-0000191C0000}"/>
    <cellStyle name="Normal 5 2 2 2 5 2 4 3" xfId="11357" xr:uid="{00000000-0005-0000-0000-00001A1C0000}"/>
    <cellStyle name="Normal 5 2 2 2 5 2 5" xfId="14985" xr:uid="{00000000-0005-0000-0000-00001B1C0000}"/>
    <cellStyle name="Normal 5 2 2 2 5 2 6" xfId="7729" xr:uid="{00000000-0005-0000-0000-00001C1C0000}"/>
    <cellStyle name="Normal 5 2 2 2 5 3" xfId="1034" xr:uid="{00000000-0005-0000-0000-00001D1C0000}"/>
    <cellStyle name="Normal 5 2 2 2 5 3 2" xfId="2848" xr:uid="{00000000-0005-0000-0000-00001E1C0000}"/>
    <cellStyle name="Normal 5 2 2 2 5 3 2 2" xfId="6476" xr:uid="{00000000-0005-0000-0000-00001F1C0000}"/>
    <cellStyle name="Normal 5 2 2 2 5 3 2 2 2" xfId="20988" xr:uid="{00000000-0005-0000-0000-0000201C0000}"/>
    <cellStyle name="Normal 5 2 2 2 5 3 2 2 3" xfId="13732" xr:uid="{00000000-0005-0000-0000-0000211C0000}"/>
    <cellStyle name="Normal 5 2 2 2 5 3 2 3" xfId="17360" xr:uid="{00000000-0005-0000-0000-0000221C0000}"/>
    <cellStyle name="Normal 5 2 2 2 5 3 2 4" xfId="10104" xr:uid="{00000000-0005-0000-0000-0000231C0000}"/>
    <cellStyle name="Normal 5 2 2 2 5 3 3" xfId="4662" xr:uid="{00000000-0005-0000-0000-0000241C0000}"/>
    <cellStyle name="Normal 5 2 2 2 5 3 3 2" xfId="19174" xr:uid="{00000000-0005-0000-0000-0000251C0000}"/>
    <cellStyle name="Normal 5 2 2 2 5 3 3 3" xfId="11918" xr:uid="{00000000-0005-0000-0000-0000261C0000}"/>
    <cellStyle name="Normal 5 2 2 2 5 3 4" xfId="15546" xr:uid="{00000000-0005-0000-0000-0000271C0000}"/>
    <cellStyle name="Normal 5 2 2 2 5 3 5" xfId="8290" xr:uid="{00000000-0005-0000-0000-0000281C0000}"/>
    <cellStyle name="Normal 5 2 2 2 5 4" xfId="1941" xr:uid="{00000000-0005-0000-0000-0000291C0000}"/>
    <cellStyle name="Normal 5 2 2 2 5 4 2" xfId="5569" xr:uid="{00000000-0005-0000-0000-00002A1C0000}"/>
    <cellStyle name="Normal 5 2 2 2 5 4 2 2" xfId="20081" xr:uid="{00000000-0005-0000-0000-00002B1C0000}"/>
    <cellStyle name="Normal 5 2 2 2 5 4 2 3" xfId="12825" xr:uid="{00000000-0005-0000-0000-00002C1C0000}"/>
    <cellStyle name="Normal 5 2 2 2 5 4 3" xfId="16453" xr:uid="{00000000-0005-0000-0000-00002D1C0000}"/>
    <cellStyle name="Normal 5 2 2 2 5 4 4" xfId="9197" xr:uid="{00000000-0005-0000-0000-00002E1C0000}"/>
    <cellStyle name="Normal 5 2 2 2 5 5" xfId="3755" xr:uid="{00000000-0005-0000-0000-00002F1C0000}"/>
    <cellStyle name="Normal 5 2 2 2 5 5 2" xfId="18267" xr:uid="{00000000-0005-0000-0000-0000301C0000}"/>
    <cellStyle name="Normal 5 2 2 2 5 5 3" xfId="11011" xr:uid="{00000000-0005-0000-0000-0000311C0000}"/>
    <cellStyle name="Normal 5 2 2 2 5 6" xfId="14639" xr:uid="{00000000-0005-0000-0000-0000321C0000}"/>
    <cellStyle name="Normal 5 2 2 2 5 7" xfId="7383" xr:uid="{00000000-0005-0000-0000-0000331C0000}"/>
    <cellStyle name="Normal 5 2 2 2 6" xfId="256" xr:uid="{00000000-0005-0000-0000-0000341C0000}"/>
    <cellStyle name="Normal 5 2 2 2 6 2" xfId="602" xr:uid="{00000000-0005-0000-0000-0000351C0000}"/>
    <cellStyle name="Normal 5 2 2 2 6 2 2" xfId="1510" xr:uid="{00000000-0005-0000-0000-0000361C0000}"/>
    <cellStyle name="Normal 5 2 2 2 6 2 2 2" xfId="3324" xr:uid="{00000000-0005-0000-0000-0000371C0000}"/>
    <cellStyle name="Normal 5 2 2 2 6 2 2 2 2" xfId="6952" xr:uid="{00000000-0005-0000-0000-0000381C0000}"/>
    <cellStyle name="Normal 5 2 2 2 6 2 2 2 2 2" xfId="21464" xr:uid="{00000000-0005-0000-0000-0000391C0000}"/>
    <cellStyle name="Normal 5 2 2 2 6 2 2 2 2 3" xfId="14208" xr:uid="{00000000-0005-0000-0000-00003A1C0000}"/>
    <cellStyle name="Normal 5 2 2 2 6 2 2 2 3" xfId="17836" xr:uid="{00000000-0005-0000-0000-00003B1C0000}"/>
    <cellStyle name="Normal 5 2 2 2 6 2 2 2 4" xfId="10580" xr:uid="{00000000-0005-0000-0000-00003C1C0000}"/>
    <cellStyle name="Normal 5 2 2 2 6 2 2 3" xfId="5138" xr:uid="{00000000-0005-0000-0000-00003D1C0000}"/>
    <cellStyle name="Normal 5 2 2 2 6 2 2 3 2" xfId="19650" xr:uid="{00000000-0005-0000-0000-00003E1C0000}"/>
    <cellStyle name="Normal 5 2 2 2 6 2 2 3 3" xfId="12394" xr:uid="{00000000-0005-0000-0000-00003F1C0000}"/>
    <cellStyle name="Normal 5 2 2 2 6 2 2 4" xfId="16022" xr:uid="{00000000-0005-0000-0000-0000401C0000}"/>
    <cellStyle name="Normal 5 2 2 2 6 2 2 5" xfId="8766" xr:uid="{00000000-0005-0000-0000-0000411C0000}"/>
    <cellStyle name="Normal 5 2 2 2 6 2 3" xfId="2417" xr:uid="{00000000-0005-0000-0000-0000421C0000}"/>
    <cellStyle name="Normal 5 2 2 2 6 2 3 2" xfId="6045" xr:uid="{00000000-0005-0000-0000-0000431C0000}"/>
    <cellStyle name="Normal 5 2 2 2 6 2 3 2 2" xfId="20557" xr:uid="{00000000-0005-0000-0000-0000441C0000}"/>
    <cellStyle name="Normal 5 2 2 2 6 2 3 2 3" xfId="13301" xr:uid="{00000000-0005-0000-0000-0000451C0000}"/>
    <cellStyle name="Normal 5 2 2 2 6 2 3 3" xfId="16929" xr:uid="{00000000-0005-0000-0000-0000461C0000}"/>
    <cellStyle name="Normal 5 2 2 2 6 2 3 4" xfId="9673" xr:uid="{00000000-0005-0000-0000-0000471C0000}"/>
    <cellStyle name="Normal 5 2 2 2 6 2 4" xfId="4231" xr:uid="{00000000-0005-0000-0000-0000481C0000}"/>
    <cellStyle name="Normal 5 2 2 2 6 2 4 2" xfId="18743" xr:uid="{00000000-0005-0000-0000-0000491C0000}"/>
    <cellStyle name="Normal 5 2 2 2 6 2 4 3" xfId="11487" xr:uid="{00000000-0005-0000-0000-00004A1C0000}"/>
    <cellStyle name="Normal 5 2 2 2 6 2 5" xfId="15115" xr:uid="{00000000-0005-0000-0000-00004B1C0000}"/>
    <cellStyle name="Normal 5 2 2 2 6 2 6" xfId="7859" xr:uid="{00000000-0005-0000-0000-00004C1C0000}"/>
    <cellStyle name="Normal 5 2 2 2 6 3" xfId="1164" xr:uid="{00000000-0005-0000-0000-00004D1C0000}"/>
    <cellStyle name="Normal 5 2 2 2 6 3 2" xfId="2978" xr:uid="{00000000-0005-0000-0000-00004E1C0000}"/>
    <cellStyle name="Normal 5 2 2 2 6 3 2 2" xfId="6606" xr:uid="{00000000-0005-0000-0000-00004F1C0000}"/>
    <cellStyle name="Normal 5 2 2 2 6 3 2 2 2" xfId="21118" xr:uid="{00000000-0005-0000-0000-0000501C0000}"/>
    <cellStyle name="Normal 5 2 2 2 6 3 2 2 3" xfId="13862" xr:uid="{00000000-0005-0000-0000-0000511C0000}"/>
    <cellStyle name="Normal 5 2 2 2 6 3 2 3" xfId="17490" xr:uid="{00000000-0005-0000-0000-0000521C0000}"/>
    <cellStyle name="Normal 5 2 2 2 6 3 2 4" xfId="10234" xr:uid="{00000000-0005-0000-0000-0000531C0000}"/>
    <cellStyle name="Normal 5 2 2 2 6 3 3" xfId="4792" xr:uid="{00000000-0005-0000-0000-0000541C0000}"/>
    <cellStyle name="Normal 5 2 2 2 6 3 3 2" xfId="19304" xr:uid="{00000000-0005-0000-0000-0000551C0000}"/>
    <cellStyle name="Normal 5 2 2 2 6 3 3 3" xfId="12048" xr:uid="{00000000-0005-0000-0000-0000561C0000}"/>
    <cellStyle name="Normal 5 2 2 2 6 3 4" xfId="15676" xr:uid="{00000000-0005-0000-0000-0000571C0000}"/>
    <cellStyle name="Normal 5 2 2 2 6 3 5" xfId="8420" xr:uid="{00000000-0005-0000-0000-0000581C0000}"/>
    <cellStyle name="Normal 5 2 2 2 6 4" xfId="2071" xr:uid="{00000000-0005-0000-0000-0000591C0000}"/>
    <cellStyle name="Normal 5 2 2 2 6 4 2" xfId="5699" xr:uid="{00000000-0005-0000-0000-00005A1C0000}"/>
    <cellStyle name="Normal 5 2 2 2 6 4 2 2" xfId="20211" xr:uid="{00000000-0005-0000-0000-00005B1C0000}"/>
    <cellStyle name="Normal 5 2 2 2 6 4 2 3" xfId="12955" xr:uid="{00000000-0005-0000-0000-00005C1C0000}"/>
    <cellStyle name="Normal 5 2 2 2 6 4 3" xfId="16583" xr:uid="{00000000-0005-0000-0000-00005D1C0000}"/>
    <cellStyle name="Normal 5 2 2 2 6 4 4" xfId="9327" xr:uid="{00000000-0005-0000-0000-00005E1C0000}"/>
    <cellStyle name="Normal 5 2 2 2 6 5" xfId="3885" xr:uid="{00000000-0005-0000-0000-00005F1C0000}"/>
    <cellStyle name="Normal 5 2 2 2 6 5 2" xfId="18397" xr:uid="{00000000-0005-0000-0000-0000601C0000}"/>
    <cellStyle name="Normal 5 2 2 2 6 5 3" xfId="11141" xr:uid="{00000000-0005-0000-0000-0000611C0000}"/>
    <cellStyle name="Normal 5 2 2 2 6 6" xfId="14769" xr:uid="{00000000-0005-0000-0000-0000621C0000}"/>
    <cellStyle name="Normal 5 2 2 2 6 7" xfId="7513" xr:uid="{00000000-0005-0000-0000-0000631C0000}"/>
    <cellStyle name="Normal 5 2 2 2 7" xfId="732" xr:uid="{00000000-0005-0000-0000-0000641C0000}"/>
    <cellStyle name="Normal 5 2 2 2 7 2" xfId="1640" xr:uid="{00000000-0005-0000-0000-0000651C0000}"/>
    <cellStyle name="Normal 5 2 2 2 7 2 2" xfId="3454" xr:uid="{00000000-0005-0000-0000-0000661C0000}"/>
    <cellStyle name="Normal 5 2 2 2 7 2 2 2" xfId="7082" xr:uid="{00000000-0005-0000-0000-0000671C0000}"/>
    <cellStyle name="Normal 5 2 2 2 7 2 2 2 2" xfId="21594" xr:uid="{00000000-0005-0000-0000-0000681C0000}"/>
    <cellStyle name="Normal 5 2 2 2 7 2 2 2 3" xfId="14338" xr:uid="{00000000-0005-0000-0000-0000691C0000}"/>
    <cellStyle name="Normal 5 2 2 2 7 2 2 3" xfId="17966" xr:uid="{00000000-0005-0000-0000-00006A1C0000}"/>
    <cellStyle name="Normal 5 2 2 2 7 2 2 4" xfId="10710" xr:uid="{00000000-0005-0000-0000-00006B1C0000}"/>
    <cellStyle name="Normal 5 2 2 2 7 2 3" xfId="5268" xr:uid="{00000000-0005-0000-0000-00006C1C0000}"/>
    <cellStyle name="Normal 5 2 2 2 7 2 3 2" xfId="19780" xr:uid="{00000000-0005-0000-0000-00006D1C0000}"/>
    <cellStyle name="Normal 5 2 2 2 7 2 3 3" xfId="12524" xr:uid="{00000000-0005-0000-0000-00006E1C0000}"/>
    <cellStyle name="Normal 5 2 2 2 7 2 4" xfId="16152" xr:uid="{00000000-0005-0000-0000-00006F1C0000}"/>
    <cellStyle name="Normal 5 2 2 2 7 2 5" xfId="8896" xr:uid="{00000000-0005-0000-0000-0000701C0000}"/>
    <cellStyle name="Normal 5 2 2 2 7 3" xfId="2547" xr:uid="{00000000-0005-0000-0000-0000711C0000}"/>
    <cellStyle name="Normal 5 2 2 2 7 3 2" xfId="6175" xr:uid="{00000000-0005-0000-0000-0000721C0000}"/>
    <cellStyle name="Normal 5 2 2 2 7 3 2 2" xfId="20687" xr:uid="{00000000-0005-0000-0000-0000731C0000}"/>
    <cellStyle name="Normal 5 2 2 2 7 3 2 3" xfId="13431" xr:uid="{00000000-0005-0000-0000-0000741C0000}"/>
    <cellStyle name="Normal 5 2 2 2 7 3 3" xfId="17059" xr:uid="{00000000-0005-0000-0000-0000751C0000}"/>
    <cellStyle name="Normal 5 2 2 2 7 3 4" xfId="9803" xr:uid="{00000000-0005-0000-0000-0000761C0000}"/>
    <cellStyle name="Normal 5 2 2 2 7 4" xfId="4361" xr:uid="{00000000-0005-0000-0000-0000771C0000}"/>
    <cellStyle name="Normal 5 2 2 2 7 4 2" xfId="18873" xr:uid="{00000000-0005-0000-0000-0000781C0000}"/>
    <cellStyle name="Normal 5 2 2 2 7 4 3" xfId="11617" xr:uid="{00000000-0005-0000-0000-0000791C0000}"/>
    <cellStyle name="Normal 5 2 2 2 7 5" xfId="15245" xr:uid="{00000000-0005-0000-0000-00007A1C0000}"/>
    <cellStyle name="Normal 5 2 2 2 7 6" xfId="7989" xr:uid="{00000000-0005-0000-0000-00007B1C0000}"/>
    <cellStyle name="Normal 5 2 2 2 8" xfId="386" xr:uid="{00000000-0005-0000-0000-00007C1C0000}"/>
    <cellStyle name="Normal 5 2 2 2 8 2" xfId="1294" xr:uid="{00000000-0005-0000-0000-00007D1C0000}"/>
    <cellStyle name="Normal 5 2 2 2 8 2 2" xfId="3108" xr:uid="{00000000-0005-0000-0000-00007E1C0000}"/>
    <cellStyle name="Normal 5 2 2 2 8 2 2 2" xfId="6736" xr:uid="{00000000-0005-0000-0000-00007F1C0000}"/>
    <cellStyle name="Normal 5 2 2 2 8 2 2 2 2" xfId="21248" xr:uid="{00000000-0005-0000-0000-0000801C0000}"/>
    <cellStyle name="Normal 5 2 2 2 8 2 2 2 3" xfId="13992" xr:uid="{00000000-0005-0000-0000-0000811C0000}"/>
    <cellStyle name="Normal 5 2 2 2 8 2 2 3" xfId="17620" xr:uid="{00000000-0005-0000-0000-0000821C0000}"/>
    <cellStyle name="Normal 5 2 2 2 8 2 2 4" xfId="10364" xr:uid="{00000000-0005-0000-0000-0000831C0000}"/>
    <cellStyle name="Normal 5 2 2 2 8 2 3" xfId="4922" xr:uid="{00000000-0005-0000-0000-0000841C0000}"/>
    <cellStyle name="Normal 5 2 2 2 8 2 3 2" xfId="19434" xr:uid="{00000000-0005-0000-0000-0000851C0000}"/>
    <cellStyle name="Normal 5 2 2 2 8 2 3 3" xfId="12178" xr:uid="{00000000-0005-0000-0000-0000861C0000}"/>
    <cellStyle name="Normal 5 2 2 2 8 2 4" xfId="15806" xr:uid="{00000000-0005-0000-0000-0000871C0000}"/>
    <cellStyle name="Normal 5 2 2 2 8 2 5" xfId="8550" xr:uid="{00000000-0005-0000-0000-0000881C0000}"/>
    <cellStyle name="Normal 5 2 2 2 8 3" xfId="2201" xr:uid="{00000000-0005-0000-0000-0000891C0000}"/>
    <cellStyle name="Normal 5 2 2 2 8 3 2" xfId="5829" xr:uid="{00000000-0005-0000-0000-00008A1C0000}"/>
    <cellStyle name="Normal 5 2 2 2 8 3 2 2" xfId="20341" xr:uid="{00000000-0005-0000-0000-00008B1C0000}"/>
    <cellStyle name="Normal 5 2 2 2 8 3 2 3" xfId="13085" xr:uid="{00000000-0005-0000-0000-00008C1C0000}"/>
    <cellStyle name="Normal 5 2 2 2 8 3 3" xfId="16713" xr:uid="{00000000-0005-0000-0000-00008D1C0000}"/>
    <cellStyle name="Normal 5 2 2 2 8 3 4" xfId="9457" xr:uid="{00000000-0005-0000-0000-00008E1C0000}"/>
    <cellStyle name="Normal 5 2 2 2 8 4" xfId="4015" xr:uid="{00000000-0005-0000-0000-00008F1C0000}"/>
    <cellStyle name="Normal 5 2 2 2 8 4 2" xfId="18527" xr:uid="{00000000-0005-0000-0000-0000901C0000}"/>
    <cellStyle name="Normal 5 2 2 2 8 4 3" xfId="11271" xr:uid="{00000000-0005-0000-0000-0000911C0000}"/>
    <cellStyle name="Normal 5 2 2 2 8 5" xfId="14899" xr:uid="{00000000-0005-0000-0000-0000921C0000}"/>
    <cellStyle name="Normal 5 2 2 2 8 6" xfId="7643" xr:uid="{00000000-0005-0000-0000-0000931C0000}"/>
    <cellStyle name="Normal 5 2 2 2 9" xfId="862" xr:uid="{00000000-0005-0000-0000-0000941C0000}"/>
    <cellStyle name="Normal 5 2 2 2 9 2" xfId="1770" xr:uid="{00000000-0005-0000-0000-0000951C0000}"/>
    <cellStyle name="Normal 5 2 2 2 9 2 2" xfId="3584" xr:uid="{00000000-0005-0000-0000-0000961C0000}"/>
    <cellStyle name="Normal 5 2 2 2 9 2 2 2" xfId="7212" xr:uid="{00000000-0005-0000-0000-0000971C0000}"/>
    <cellStyle name="Normal 5 2 2 2 9 2 2 2 2" xfId="21724" xr:uid="{00000000-0005-0000-0000-0000981C0000}"/>
    <cellStyle name="Normal 5 2 2 2 9 2 2 2 3" xfId="14468" xr:uid="{00000000-0005-0000-0000-0000991C0000}"/>
    <cellStyle name="Normal 5 2 2 2 9 2 2 3" xfId="18096" xr:uid="{00000000-0005-0000-0000-00009A1C0000}"/>
    <cellStyle name="Normal 5 2 2 2 9 2 2 4" xfId="10840" xr:uid="{00000000-0005-0000-0000-00009B1C0000}"/>
    <cellStyle name="Normal 5 2 2 2 9 2 3" xfId="5398" xr:uid="{00000000-0005-0000-0000-00009C1C0000}"/>
    <cellStyle name="Normal 5 2 2 2 9 2 3 2" xfId="19910" xr:uid="{00000000-0005-0000-0000-00009D1C0000}"/>
    <cellStyle name="Normal 5 2 2 2 9 2 3 3" xfId="12654" xr:uid="{00000000-0005-0000-0000-00009E1C0000}"/>
    <cellStyle name="Normal 5 2 2 2 9 2 4" xfId="16282" xr:uid="{00000000-0005-0000-0000-00009F1C0000}"/>
    <cellStyle name="Normal 5 2 2 2 9 2 5" xfId="9026" xr:uid="{00000000-0005-0000-0000-0000A01C0000}"/>
    <cellStyle name="Normal 5 2 2 2 9 3" xfId="2677" xr:uid="{00000000-0005-0000-0000-0000A11C0000}"/>
    <cellStyle name="Normal 5 2 2 2 9 3 2" xfId="6305" xr:uid="{00000000-0005-0000-0000-0000A21C0000}"/>
    <cellStyle name="Normal 5 2 2 2 9 3 2 2" xfId="20817" xr:uid="{00000000-0005-0000-0000-0000A31C0000}"/>
    <cellStyle name="Normal 5 2 2 2 9 3 2 3" xfId="13561" xr:uid="{00000000-0005-0000-0000-0000A41C0000}"/>
    <cellStyle name="Normal 5 2 2 2 9 3 3" xfId="17189" xr:uid="{00000000-0005-0000-0000-0000A51C0000}"/>
    <cellStyle name="Normal 5 2 2 2 9 3 4" xfId="9933" xr:uid="{00000000-0005-0000-0000-0000A61C0000}"/>
    <cellStyle name="Normal 5 2 2 2 9 4" xfId="4491" xr:uid="{00000000-0005-0000-0000-0000A71C0000}"/>
    <cellStyle name="Normal 5 2 2 2 9 4 2" xfId="19003" xr:uid="{00000000-0005-0000-0000-0000A81C0000}"/>
    <cellStyle name="Normal 5 2 2 2 9 4 3" xfId="11747" xr:uid="{00000000-0005-0000-0000-0000A91C0000}"/>
    <cellStyle name="Normal 5 2 2 2 9 5" xfId="15375" xr:uid="{00000000-0005-0000-0000-0000AA1C0000}"/>
    <cellStyle name="Normal 5 2 2 2 9 6" xfId="8119" xr:uid="{00000000-0005-0000-0000-0000AB1C0000}"/>
    <cellStyle name="Normal 5 2 2 3" xfId="49" xr:uid="{00000000-0005-0000-0000-0000AC1C0000}"/>
    <cellStyle name="Normal 5 2 2 3 10" xfId="1866" xr:uid="{00000000-0005-0000-0000-0000AD1C0000}"/>
    <cellStyle name="Normal 5 2 2 3 10 2" xfId="5494" xr:uid="{00000000-0005-0000-0000-0000AE1C0000}"/>
    <cellStyle name="Normal 5 2 2 3 10 2 2" xfId="20006" xr:uid="{00000000-0005-0000-0000-0000AF1C0000}"/>
    <cellStyle name="Normal 5 2 2 3 10 2 3" xfId="12750" xr:uid="{00000000-0005-0000-0000-0000B01C0000}"/>
    <cellStyle name="Normal 5 2 2 3 10 3" xfId="16378" xr:uid="{00000000-0005-0000-0000-0000B11C0000}"/>
    <cellStyle name="Normal 5 2 2 3 10 4" xfId="9122" xr:uid="{00000000-0005-0000-0000-0000B21C0000}"/>
    <cellStyle name="Normal 5 2 2 3 11" xfId="3680" xr:uid="{00000000-0005-0000-0000-0000B31C0000}"/>
    <cellStyle name="Normal 5 2 2 3 11 2" xfId="18192" xr:uid="{00000000-0005-0000-0000-0000B41C0000}"/>
    <cellStyle name="Normal 5 2 2 3 11 3" xfId="10936" xr:uid="{00000000-0005-0000-0000-0000B51C0000}"/>
    <cellStyle name="Normal 5 2 2 3 12" xfId="14564" xr:uid="{00000000-0005-0000-0000-0000B61C0000}"/>
    <cellStyle name="Normal 5 2 2 3 13" xfId="7308" xr:uid="{00000000-0005-0000-0000-0000B71C0000}"/>
    <cellStyle name="Normal 5 2 2 3 2" xfId="91" xr:uid="{00000000-0005-0000-0000-0000B81C0000}"/>
    <cellStyle name="Normal 5 2 2 3 2 10" xfId="14606" xr:uid="{00000000-0005-0000-0000-0000B91C0000}"/>
    <cellStyle name="Normal 5 2 2 3 2 11" xfId="7350" xr:uid="{00000000-0005-0000-0000-0000BA1C0000}"/>
    <cellStyle name="Normal 5 2 2 3 2 2" xfId="179" xr:uid="{00000000-0005-0000-0000-0000BB1C0000}"/>
    <cellStyle name="Normal 5 2 2 3 2 2 2" xfId="525" xr:uid="{00000000-0005-0000-0000-0000BC1C0000}"/>
    <cellStyle name="Normal 5 2 2 3 2 2 2 2" xfId="1433" xr:uid="{00000000-0005-0000-0000-0000BD1C0000}"/>
    <cellStyle name="Normal 5 2 2 3 2 2 2 2 2" xfId="3247" xr:uid="{00000000-0005-0000-0000-0000BE1C0000}"/>
    <cellStyle name="Normal 5 2 2 3 2 2 2 2 2 2" xfId="6875" xr:uid="{00000000-0005-0000-0000-0000BF1C0000}"/>
    <cellStyle name="Normal 5 2 2 3 2 2 2 2 2 2 2" xfId="21387" xr:uid="{00000000-0005-0000-0000-0000C01C0000}"/>
    <cellStyle name="Normal 5 2 2 3 2 2 2 2 2 2 3" xfId="14131" xr:uid="{00000000-0005-0000-0000-0000C11C0000}"/>
    <cellStyle name="Normal 5 2 2 3 2 2 2 2 2 3" xfId="17759" xr:uid="{00000000-0005-0000-0000-0000C21C0000}"/>
    <cellStyle name="Normal 5 2 2 3 2 2 2 2 2 4" xfId="10503" xr:uid="{00000000-0005-0000-0000-0000C31C0000}"/>
    <cellStyle name="Normal 5 2 2 3 2 2 2 2 3" xfId="5061" xr:uid="{00000000-0005-0000-0000-0000C41C0000}"/>
    <cellStyle name="Normal 5 2 2 3 2 2 2 2 3 2" xfId="19573" xr:uid="{00000000-0005-0000-0000-0000C51C0000}"/>
    <cellStyle name="Normal 5 2 2 3 2 2 2 2 3 3" xfId="12317" xr:uid="{00000000-0005-0000-0000-0000C61C0000}"/>
    <cellStyle name="Normal 5 2 2 3 2 2 2 2 4" xfId="15945" xr:uid="{00000000-0005-0000-0000-0000C71C0000}"/>
    <cellStyle name="Normal 5 2 2 3 2 2 2 2 5" xfId="8689" xr:uid="{00000000-0005-0000-0000-0000C81C0000}"/>
    <cellStyle name="Normal 5 2 2 3 2 2 2 3" xfId="2340" xr:uid="{00000000-0005-0000-0000-0000C91C0000}"/>
    <cellStyle name="Normal 5 2 2 3 2 2 2 3 2" xfId="5968" xr:uid="{00000000-0005-0000-0000-0000CA1C0000}"/>
    <cellStyle name="Normal 5 2 2 3 2 2 2 3 2 2" xfId="20480" xr:uid="{00000000-0005-0000-0000-0000CB1C0000}"/>
    <cellStyle name="Normal 5 2 2 3 2 2 2 3 2 3" xfId="13224" xr:uid="{00000000-0005-0000-0000-0000CC1C0000}"/>
    <cellStyle name="Normal 5 2 2 3 2 2 2 3 3" xfId="16852" xr:uid="{00000000-0005-0000-0000-0000CD1C0000}"/>
    <cellStyle name="Normal 5 2 2 3 2 2 2 3 4" xfId="9596" xr:uid="{00000000-0005-0000-0000-0000CE1C0000}"/>
    <cellStyle name="Normal 5 2 2 3 2 2 2 4" xfId="4154" xr:uid="{00000000-0005-0000-0000-0000CF1C0000}"/>
    <cellStyle name="Normal 5 2 2 3 2 2 2 4 2" xfId="18666" xr:uid="{00000000-0005-0000-0000-0000D01C0000}"/>
    <cellStyle name="Normal 5 2 2 3 2 2 2 4 3" xfId="11410" xr:uid="{00000000-0005-0000-0000-0000D11C0000}"/>
    <cellStyle name="Normal 5 2 2 3 2 2 2 5" xfId="15038" xr:uid="{00000000-0005-0000-0000-0000D21C0000}"/>
    <cellStyle name="Normal 5 2 2 3 2 2 2 6" xfId="7782" xr:uid="{00000000-0005-0000-0000-0000D31C0000}"/>
    <cellStyle name="Normal 5 2 2 3 2 2 3" xfId="1087" xr:uid="{00000000-0005-0000-0000-0000D41C0000}"/>
    <cellStyle name="Normal 5 2 2 3 2 2 3 2" xfId="2901" xr:uid="{00000000-0005-0000-0000-0000D51C0000}"/>
    <cellStyle name="Normal 5 2 2 3 2 2 3 2 2" xfId="6529" xr:uid="{00000000-0005-0000-0000-0000D61C0000}"/>
    <cellStyle name="Normal 5 2 2 3 2 2 3 2 2 2" xfId="21041" xr:uid="{00000000-0005-0000-0000-0000D71C0000}"/>
    <cellStyle name="Normal 5 2 2 3 2 2 3 2 2 3" xfId="13785" xr:uid="{00000000-0005-0000-0000-0000D81C0000}"/>
    <cellStyle name="Normal 5 2 2 3 2 2 3 2 3" xfId="17413" xr:uid="{00000000-0005-0000-0000-0000D91C0000}"/>
    <cellStyle name="Normal 5 2 2 3 2 2 3 2 4" xfId="10157" xr:uid="{00000000-0005-0000-0000-0000DA1C0000}"/>
    <cellStyle name="Normal 5 2 2 3 2 2 3 3" xfId="4715" xr:uid="{00000000-0005-0000-0000-0000DB1C0000}"/>
    <cellStyle name="Normal 5 2 2 3 2 2 3 3 2" xfId="19227" xr:uid="{00000000-0005-0000-0000-0000DC1C0000}"/>
    <cellStyle name="Normal 5 2 2 3 2 2 3 3 3" xfId="11971" xr:uid="{00000000-0005-0000-0000-0000DD1C0000}"/>
    <cellStyle name="Normal 5 2 2 3 2 2 3 4" xfId="15599" xr:uid="{00000000-0005-0000-0000-0000DE1C0000}"/>
    <cellStyle name="Normal 5 2 2 3 2 2 3 5" xfId="8343" xr:uid="{00000000-0005-0000-0000-0000DF1C0000}"/>
    <cellStyle name="Normal 5 2 2 3 2 2 4" xfId="1994" xr:uid="{00000000-0005-0000-0000-0000E01C0000}"/>
    <cellStyle name="Normal 5 2 2 3 2 2 4 2" xfId="5622" xr:uid="{00000000-0005-0000-0000-0000E11C0000}"/>
    <cellStyle name="Normal 5 2 2 3 2 2 4 2 2" xfId="20134" xr:uid="{00000000-0005-0000-0000-0000E21C0000}"/>
    <cellStyle name="Normal 5 2 2 3 2 2 4 2 3" xfId="12878" xr:uid="{00000000-0005-0000-0000-0000E31C0000}"/>
    <cellStyle name="Normal 5 2 2 3 2 2 4 3" xfId="16506" xr:uid="{00000000-0005-0000-0000-0000E41C0000}"/>
    <cellStyle name="Normal 5 2 2 3 2 2 4 4" xfId="9250" xr:uid="{00000000-0005-0000-0000-0000E51C0000}"/>
    <cellStyle name="Normal 5 2 2 3 2 2 5" xfId="3808" xr:uid="{00000000-0005-0000-0000-0000E61C0000}"/>
    <cellStyle name="Normal 5 2 2 3 2 2 5 2" xfId="18320" xr:uid="{00000000-0005-0000-0000-0000E71C0000}"/>
    <cellStyle name="Normal 5 2 2 3 2 2 5 3" xfId="11064" xr:uid="{00000000-0005-0000-0000-0000E81C0000}"/>
    <cellStyle name="Normal 5 2 2 3 2 2 6" xfId="14692" xr:uid="{00000000-0005-0000-0000-0000E91C0000}"/>
    <cellStyle name="Normal 5 2 2 3 2 2 7" xfId="7436" xr:uid="{00000000-0005-0000-0000-0000EA1C0000}"/>
    <cellStyle name="Normal 5 2 2 3 2 3" xfId="309" xr:uid="{00000000-0005-0000-0000-0000EB1C0000}"/>
    <cellStyle name="Normal 5 2 2 3 2 3 2" xfId="655" xr:uid="{00000000-0005-0000-0000-0000EC1C0000}"/>
    <cellStyle name="Normal 5 2 2 3 2 3 2 2" xfId="1563" xr:uid="{00000000-0005-0000-0000-0000ED1C0000}"/>
    <cellStyle name="Normal 5 2 2 3 2 3 2 2 2" xfId="3377" xr:uid="{00000000-0005-0000-0000-0000EE1C0000}"/>
    <cellStyle name="Normal 5 2 2 3 2 3 2 2 2 2" xfId="7005" xr:uid="{00000000-0005-0000-0000-0000EF1C0000}"/>
    <cellStyle name="Normal 5 2 2 3 2 3 2 2 2 2 2" xfId="21517" xr:uid="{00000000-0005-0000-0000-0000F01C0000}"/>
    <cellStyle name="Normal 5 2 2 3 2 3 2 2 2 2 3" xfId="14261" xr:uid="{00000000-0005-0000-0000-0000F11C0000}"/>
    <cellStyle name="Normal 5 2 2 3 2 3 2 2 2 3" xfId="17889" xr:uid="{00000000-0005-0000-0000-0000F21C0000}"/>
    <cellStyle name="Normal 5 2 2 3 2 3 2 2 2 4" xfId="10633" xr:uid="{00000000-0005-0000-0000-0000F31C0000}"/>
    <cellStyle name="Normal 5 2 2 3 2 3 2 2 3" xfId="5191" xr:uid="{00000000-0005-0000-0000-0000F41C0000}"/>
    <cellStyle name="Normal 5 2 2 3 2 3 2 2 3 2" xfId="19703" xr:uid="{00000000-0005-0000-0000-0000F51C0000}"/>
    <cellStyle name="Normal 5 2 2 3 2 3 2 2 3 3" xfId="12447" xr:uid="{00000000-0005-0000-0000-0000F61C0000}"/>
    <cellStyle name="Normal 5 2 2 3 2 3 2 2 4" xfId="16075" xr:uid="{00000000-0005-0000-0000-0000F71C0000}"/>
    <cellStyle name="Normal 5 2 2 3 2 3 2 2 5" xfId="8819" xr:uid="{00000000-0005-0000-0000-0000F81C0000}"/>
    <cellStyle name="Normal 5 2 2 3 2 3 2 3" xfId="2470" xr:uid="{00000000-0005-0000-0000-0000F91C0000}"/>
    <cellStyle name="Normal 5 2 2 3 2 3 2 3 2" xfId="6098" xr:uid="{00000000-0005-0000-0000-0000FA1C0000}"/>
    <cellStyle name="Normal 5 2 2 3 2 3 2 3 2 2" xfId="20610" xr:uid="{00000000-0005-0000-0000-0000FB1C0000}"/>
    <cellStyle name="Normal 5 2 2 3 2 3 2 3 2 3" xfId="13354" xr:uid="{00000000-0005-0000-0000-0000FC1C0000}"/>
    <cellStyle name="Normal 5 2 2 3 2 3 2 3 3" xfId="16982" xr:uid="{00000000-0005-0000-0000-0000FD1C0000}"/>
    <cellStyle name="Normal 5 2 2 3 2 3 2 3 4" xfId="9726" xr:uid="{00000000-0005-0000-0000-0000FE1C0000}"/>
    <cellStyle name="Normal 5 2 2 3 2 3 2 4" xfId="4284" xr:uid="{00000000-0005-0000-0000-0000FF1C0000}"/>
    <cellStyle name="Normal 5 2 2 3 2 3 2 4 2" xfId="18796" xr:uid="{00000000-0005-0000-0000-0000001D0000}"/>
    <cellStyle name="Normal 5 2 2 3 2 3 2 4 3" xfId="11540" xr:uid="{00000000-0005-0000-0000-0000011D0000}"/>
    <cellStyle name="Normal 5 2 2 3 2 3 2 5" xfId="15168" xr:uid="{00000000-0005-0000-0000-0000021D0000}"/>
    <cellStyle name="Normal 5 2 2 3 2 3 2 6" xfId="7912" xr:uid="{00000000-0005-0000-0000-0000031D0000}"/>
    <cellStyle name="Normal 5 2 2 3 2 3 3" xfId="1217" xr:uid="{00000000-0005-0000-0000-0000041D0000}"/>
    <cellStyle name="Normal 5 2 2 3 2 3 3 2" xfId="3031" xr:uid="{00000000-0005-0000-0000-0000051D0000}"/>
    <cellStyle name="Normal 5 2 2 3 2 3 3 2 2" xfId="6659" xr:uid="{00000000-0005-0000-0000-0000061D0000}"/>
    <cellStyle name="Normal 5 2 2 3 2 3 3 2 2 2" xfId="21171" xr:uid="{00000000-0005-0000-0000-0000071D0000}"/>
    <cellStyle name="Normal 5 2 2 3 2 3 3 2 2 3" xfId="13915" xr:uid="{00000000-0005-0000-0000-0000081D0000}"/>
    <cellStyle name="Normal 5 2 2 3 2 3 3 2 3" xfId="17543" xr:uid="{00000000-0005-0000-0000-0000091D0000}"/>
    <cellStyle name="Normal 5 2 2 3 2 3 3 2 4" xfId="10287" xr:uid="{00000000-0005-0000-0000-00000A1D0000}"/>
    <cellStyle name="Normal 5 2 2 3 2 3 3 3" xfId="4845" xr:uid="{00000000-0005-0000-0000-00000B1D0000}"/>
    <cellStyle name="Normal 5 2 2 3 2 3 3 3 2" xfId="19357" xr:uid="{00000000-0005-0000-0000-00000C1D0000}"/>
    <cellStyle name="Normal 5 2 2 3 2 3 3 3 3" xfId="12101" xr:uid="{00000000-0005-0000-0000-00000D1D0000}"/>
    <cellStyle name="Normal 5 2 2 3 2 3 3 4" xfId="15729" xr:uid="{00000000-0005-0000-0000-00000E1D0000}"/>
    <cellStyle name="Normal 5 2 2 3 2 3 3 5" xfId="8473" xr:uid="{00000000-0005-0000-0000-00000F1D0000}"/>
    <cellStyle name="Normal 5 2 2 3 2 3 4" xfId="2124" xr:uid="{00000000-0005-0000-0000-0000101D0000}"/>
    <cellStyle name="Normal 5 2 2 3 2 3 4 2" xfId="5752" xr:uid="{00000000-0005-0000-0000-0000111D0000}"/>
    <cellStyle name="Normal 5 2 2 3 2 3 4 2 2" xfId="20264" xr:uid="{00000000-0005-0000-0000-0000121D0000}"/>
    <cellStyle name="Normal 5 2 2 3 2 3 4 2 3" xfId="13008" xr:uid="{00000000-0005-0000-0000-0000131D0000}"/>
    <cellStyle name="Normal 5 2 2 3 2 3 4 3" xfId="16636" xr:uid="{00000000-0005-0000-0000-0000141D0000}"/>
    <cellStyle name="Normal 5 2 2 3 2 3 4 4" xfId="9380" xr:uid="{00000000-0005-0000-0000-0000151D0000}"/>
    <cellStyle name="Normal 5 2 2 3 2 3 5" xfId="3938" xr:uid="{00000000-0005-0000-0000-0000161D0000}"/>
    <cellStyle name="Normal 5 2 2 3 2 3 5 2" xfId="18450" xr:uid="{00000000-0005-0000-0000-0000171D0000}"/>
    <cellStyle name="Normal 5 2 2 3 2 3 5 3" xfId="11194" xr:uid="{00000000-0005-0000-0000-0000181D0000}"/>
    <cellStyle name="Normal 5 2 2 3 2 3 6" xfId="14822" xr:uid="{00000000-0005-0000-0000-0000191D0000}"/>
    <cellStyle name="Normal 5 2 2 3 2 3 7" xfId="7566" xr:uid="{00000000-0005-0000-0000-00001A1D0000}"/>
    <cellStyle name="Normal 5 2 2 3 2 4" xfId="785" xr:uid="{00000000-0005-0000-0000-00001B1D0000}"/>
    <cellStyle name="Normal 5 2 2 3 2 4 2" xfId="1693" xr:uid="{00000000-0005-0000-0000-00001C1D0000}"/>
    <cellStyle name="Normal 5 2 2 3 2 4 2 2" xfId="3507" xr:uid="{00000000-0005-0000-0000-00001D1D0000}"/>
    <cellStyle name="Normal 5 2 2 3 2 4 2 2 2" xfId="7135" xr:uid="{00000000-0005-0000-0000-00001E1D0000}"/>
    <cellStyle name="Normal 5 2 2 3 2 4 2 2 2 2" xfId="21647" xr:uid="{00000000-0005-0000-0000-00001F1D0000}"/>
    <cellStyle name="Normal 5 2 2 3 2 4 2 2 2 3" xfId="14391" xr:uid="{00000000-0005-0000-0000-0000201D0000}"/>
    <cellStyle name="Normal 5 2 2 3 2 4 2 2 3" xfId="18019" xr:uid="{00000000-0005-0000-0000-0000211D0000}"/>
    <cellStyle name="Normal 5 2 2 3 2 4 2 2 4" xfId="10763" xr:uid="{00000000-0005-0000-0000-0000221D0000}"/>
    <cellStyle name="Normal 5 2 2 3 2 4 2 3" xfId="5321" xr:uid="{00000000-0005-0000-0000-0000231D0000}"/>
    <cellStyle name="Normal 5 2 2 3 2 4 2 3 2" xfId="19833" xr:uid="{00000000-0005-0000-0000-0000241D0000}"/>
    <cellStyle name="Normal 5 2 2 3 2 4 2 3 3" xfId="12577" xr:uid="{00000000-0005-0000-0000-0000251D0000}"/>
    <cellStyle name="Normal 5 2 2 3 2 4 2 4" xfId="16205" xr:uid="{00000000-0005-0000-0000-0000261D0000}"/>
    <cellStyle name="Normal 5 2 2 3 2 4 2 5" xfId="8949" xr:uid="{00000000-0005-0000-0000-0000271D0000}"/>
    <cellStyle name="Normal 5 2 2 3 2 4 3" xfId="2600" xr:uid="{00000000-0005-0000-0000-0000281D0000}"/>
    <cellStyle name="Normal 5 2 2 3 2 4 3 2" xfId="6228" xr:uid="{00000000-0005-0000-0000-0000291D0000}"/>
    <cellStyle name="Normal 5 2 2 3 2 4 3 2 2" xfId="20740" xr:uid="{00000000-0005-0000-0000-00002A1D0000}"/>
    <cellStyle name="Normal 5 2 2 3 2 4 3 2 3" xfId="13484" xr:uid="{00000000-0005-0000-0000-00002B1D0000}"/>
    <cellStyle name="Normal 5 2 2 3 2 4 3 3" xfId="17112" xr:uid="{00000000-0005-0000-0000-00002C1D0000}"/>
    <cellStyle name="Normal 5 2 2 3 2 4 3 4" xfId="9856" xr:uid="{00000000-0005-0000-0000-00002D1D0000}"/>
    <cellStyle name="Normal 5 2 2 3 2 4 4" xfId="4414" xr:uid="{00000000-0005-0000-0000-00002E1D0000}"/>
    <cellStyle name="Normal 5 2 2 3 2 4 4 2" xfId="18926" xr:uid="{00000000-0005-0000-0000-00002F1D0000}"/>
    <cellStyle name="Normal 5 2 2 3 2 4 4 3" xfId="11670" xr:uid="{00000000-0005-0000-0000-0000301D0000}"/>
    <cellStyle name="Normal 5 2 2 3 2 4 5" xfId="15298" xr:uid="{00000000-0005-0000-0000-0000311D0000}"/>
    <cellStyle name="Normal 5 2 2 3 2 4 6" xfId="8042" xr:uid="{00000000-0005-0000-0000-0000321D0000}"/>
    <cellStyle name="Normal 5 2 2 3 2 5" xfId="439" xr:uid="{00000000-0005-0000-0000-0000331D0000}"/>
    <cellStyle name="Normal 5 2 2 3 2 5 2" xfId="1347" xr:uid="{00000000-0005-0000-0000-0000341D0000}"/>
    <cellStyle name="Normal 5 2 2 3 2 5 2 2" xfId="3161" xr:uid="{00000000-0005-0000-0000-0000351D0000}"/>
    <cellStyle name="Normal 5 2 2 3 2 5 2 2 2" xfId="6789" xr:uid="{00000000-0005-0000-0000-0000361D0000}"/>
    <cellStyle name="Normal 5 2 2 3 2 5 2 2 2 2" xfId="21301" xr:uid="{00000000-0005-0000-0000-0000371D0000}"/>
    <cellStyle name="Normal 5 2 2 3 2 5 2 2 2 3" xfId="14045" xr:uid="{00000000-0005-0000-0000-0000381D0000}"/>
    <cellStyle name="Normal 5 2 2 3 2 5 2 2 3" xfId="17673" xr:uid="{00000000-0005-0000-0000-0000391D0000}"/>
    <cellStyle name="Normal 5 2 2 3 2 5 2 2 4" xfId="10417" xr:uid="{00000000-0005-0000-0000-00003A1D0000}"/>
    <cellStyle name="Normal 5 2 2 3 2 5 2 3" xfId="4975" xr:uid="{00000000-0005-0000-0000-00003B1D0000}"/>
    <cellStyle name="Normal 5 2 2 3 2 5 2 3 2" xfId="19487" xr:uid="{00000000-0005-0000-0000-00003C1D0000}"/>
    <cellStyle name="Normal 5 2 2 3 2 5 2 3 3" xfId="12231" xr:uid="{00000000-0005-0000-0000-00003D1D0000}"/>
    <cellStyle name="Normal 5 2 2 3 2 5 2 4" xfId="15859" xr:uid="{00000000-0005-0000-0000-00003E1D0000}"/>
    <cellStyle name="Normal 5 2 2 3 2 5 2 5" xfId="8603" xr:uid="{00000000-0005-0000-0000-00003F1D0000}"/>
    <cellStyle name="Normal 5 2 2 3 2 5 3" xfId="2254" xr:uid="{00000000-0005-0000-0000-0000401D0000}"/>
    <cellStyle name="Normal 5 2 2 3 2 5 3 2" xfId="5882" xr:uid="{00000000-0005-0000-0000-0000411D0000}"/>
    <cellStyle name="Normal 5 2 2 3 2 5 3 2 2" xfId="20394" xr:uid="{00000000-0005-0000-0000-0000421D0000}"/>
    <cellStyle name="Normal 5 2 2 3 2 5 3 2 3" xfId="13138" xr:uid="{00000000-0005-0000-0000-0000431D0000}"/>
    <cellStyle name="Normal 5 2 2 3 2 5 3 3" xfId="16766" xr:uid="{00000000-0005-0000-0000-0000441D0000}"/>
    <cellStyle name="Normal 5 2 2 3 2 5 3 4" xfId="9510" xr:uid="{00000000-0005-0000-0000-0000451D0000}"/>
    <cellStyle name="Normal 5 2 2 3 2 5 4" xfId="4068" xr:uid="{00000000-0005-0000-0000-0000461D0000}"/>
    <cellStyle name="Normal 5 2 2 3 2 5 4 2" xfId="18580" xr:uid="{00000000-0005-0000-0000-0000471D0000}"/>
    <cellStyle name="Normal 5 2 2 3 2 5 4 3" xfId="11324" xr:uid="{00000000-0005-0000-0000-0000481D0000}"/>
    <cellStyle name="Normal 5 2 2 3 2 5 5" xfId="14952" xr:uid="{00000000-0005-0000-0000-0000491D0000}"/>
    <cellStyle name="Normal 5 2 2 3 2 5 6" xfId="7696" xr:uid="{00000000-0005-0000-0000-00004A1D0000}"/>
    <cellStyle name="Normal 5 2 2 3 2 6" xfId="921" xr:uid="{00000000-0005-0000-0000-00004B1D0000}"/>
    <cellStyle name="Normal 5 2 2 3 2 6 2" xfId="1828" xr:uid="{00000000-0005-0000-0000-00004C1D0000}"/>
    <cellStyle name="Normal 5 2 2 3 2 6 2 2" xfId="3642" xr:uid="{00000000-0005-0000-0000-00004D1D0000}"/>
    <cellStyle name="Normal 5 2 2 3 2 6 2 2 2" xfId="7270" xr:uid="{00000000-0005-0000-0000-00004E1D0000}"/>
    <cellStyle name="Normal 5 2 2 3 2 6 2 2 2 2" xfId="21782" xr:uid="{00000000-0005-0000-0000-00004F1D0000}"/>
    <cellStyle name="Normal 5 2 2 3 2 6 2 2 2 3" xfId="14526" xr:uid="{00000000-0005-0000-0000-0000501D0000}"/>
    <cellStyle name="Normal 5 2 2 3 2 6 2 2 3" xfId="18154" xr:uid="{00000000-0005-0000-0000-0000511D0000}"/>
    <cellStyle name="Normal 5 2 2 3 2 6 2 2 4" xfId="10898" xr:uid="{00000000-0005-0000-0000-0000521D0000}"/>
    <cellStyle name="Normal 5 2 2 3 2 6 2 3" xfId="5456" xr:uid="{00000000-0005-0000-0000-0000531D0000}"/>
    <cellStyle name="Normal 5 2 2 3 2 6 2 3 2" xfId="19968" xr:uid="{00000000-0005-0000-0000-0000541D0000}"/>
    <cellStyle name="Normal 5 2 2 3 2 6 2 3 3" xfId="12712" xr:uid="{00000000-0005-0000-0000-0000551D0000}"/>
    <cellStyle name="Normal 5 2 2 3 2 6 2 4" xfId="16340" xr:uid="{00000000-0005-0000-0000-0000561D0000}"/>
    <cellStyle name="Normal 5 2 2 3 2 6 2 5" xfId="9084" xr:uid="{00000000-0005-0000-0000-0000571D0000}"/>
    <cellStyle name="Normal 5 2 2 3 2 6 3" xfId="2735" xr:uid="{00000000-0005-0000-0000-0000581D0000}"/>
    <cellStyle name="Normal 5 2 2 3 2 6 3 2" xfId="6363" xr:uid="{00000000-0005-0000-0000-0000591D0000}"/>
    <cellStyle name="Normal 5 2 2 3 2 6 3 2 2" xfId="20875" xr:uid="{00000000-0005-0000-0000-00005A1D0000}"/>
    <cellStyle name="Normal 5 2 2 3 2 6 3 2 3" xfId="13619" xr:uid="{00000000-0005-0000-0000-00005B1D0000}"/>
    <cellStyle name="Normal 5 2 2 3 2 6 3 3" xfId="17247" xr:uid="{00000000-0005-0000-0000-00005C1D0000}"/>
    <cellStyle name="Normal 5 2 2 3 2 6 3 4" xfId="9991" xr:uid="{00000000-0005-0000-0000-00005D1D0000}"/>
    <cellStyle name="Normal 5 2 2 3 2 6 4" xfId="4549" xr:uid="{00000000-0005-0000-0000-00005E1D0000}"/>
    <cellStyle name="Normal 5 2 2 3 2 6 4 2" xfId="19061" xr:uid="{00000000-0005-0000-0000-00005F1D0000}"/>
    <cellStyle name="Normal 5 2 2 3 2 6 4 3" xfId="11805" xr:uid="{00000000-0005-0000-0000-0000601D0000}"/>
    <cellStyle name="Normal 5 2 2 3 2 6 5" xfId="15433" xr:uid="{00000000-0005-0000-0000-0000611D0000}"/>
    <cellStyle name="Normal 5 2 2 3 2 6 6" xfId="8177" xr:uid="{00000000-0005-0000-0000-0000621D0000}"/>
    <cellStyle name="Normal 5 2 2 3 2 7" xfId="1001" xr:uid="{00000000-0005-0000-0000-0000631D0000}"/>
    <cellStyle name="Normal 5 2 2 3 2 7 2" xfId="2815" xr:uid="{00000000-0005-0000-0000-0000641D0000}"/>
    <cellStyle name="Normal 5 2 2 3 2 7 2 2" xfId="6443" xr:uid="{00000000-0005-0000-0000-0000651D0000}"/>
    <cellStyle name="Normal 5 2 2 3 2 7 2 2 2" xfId="20955" xr:uid="{00000000-0005-0000-0000-0000661D0000}"/>
    <cellStyle name="Normal 5 2 2 3 2 7 2 2 3" xfId="13699" xr:uid="{00000000-0005-0000-0000-0000671D0000}"/>
    <cellStyle name="Normal 5 2 2 3 2 7 2 3" xfId="17327" xr:uid="{00000000-0005-0000-0000-0000681D0000}"/>
    <cellStyle name="Normal 5 2 2 3 2 7 2 4" xfId="10071" xr:uid="{00000000-0005-0000-0000-0000691D0000}"/>
    <cellStyle name="Normal 5 2 2 3 2 7 3" xfId="4629" xr:uid="{00000000-0005-0000-0000-00006A1D0000}"/>
    <cellStyle name="Normal 5 2 2 3 2 7 3 2" xfId="19141" xr:uid="{00000000-0005-0000-0000-00006B1D0000}"/>
    <cellStyle name="Normal 5 2 2 3 2 7 3 3" xfId="11885" xr:uid="{00000000-0005-0000-0000-00006C1D0000}"/>
    <cellStyle name="Normal 5 2 2 3 2 7 4" xfId="15513" xr:uid="{00000000-0005-0000-0000-00006D1D0000}"/>
    <cellStyle name="Normal 5 2 2 3 2 7 5" xfId="8257" xr:uid="{00000000-0005-0000-0000-00006E1D0000}"/>
    <cellStyle name="Normal 5 2 2 3 2 8" xfId="1908" xr:uid="{00000000-0005-0000-0000-00006F1D0000}"/>
    <cellStyle name="Normal 5 2 2 3 2 8 2" xfId="5536" xr:uid="{00000000-0005-0000-0000-0000701D0000}"/>
    <cellStyle name="Normal 5 2 2 3 2 8 2 2" xfId="20048" xr:uid="{00000000-0005-0000-0000-0000711D0000}"/>
    <cellStyle name="Normal 5 2 2 3 2 8 2 3" xfId="12792" xr:uid="{00000000-0005-0000-0000-0000721D0000}"/>
    <cellStyle name="Normal 5 2 2 3 2 8 3" xfId="16420" xr:uid="{00000000-0005-0000-0000-0000731D0000}"/>
    <cellStyle name="Normal 5 2 2 3 2 8 4" xfId="9164" xr:uid="{00000000-0005-0000-0000-0000741D0000}"/>
    <cellStyle name="Normal 5 2 2 3 2 9" xfId="3722" xr:uid="{00000000-0005-0000-0000-0000751D0000}"/>
    <cellStyle name="Normal 5 2 2 3 2 9 2" xfId="18234" xr:uid="{00000000-0005-0000-0000-0000761D0000}"/>
    <cellStyle name="Normal 5 2 2 3 2 9 3" xfId="10978" xr:uid="{00000000-0005-0000-0000-0000771D0000}"/>
    <cellStyle name="Normal 5 2 2 3 3" xfId="223" xr:uid="{00000000-0005-0000-0000-0000781D0000}"/>
    <cellStyle name="Normal 5 2 2 3 3 2" xfId="353" xr:uid="{00000000-0005-0000-0000-0000791D0000}"/>
    <cellStyle name="Normal 5 2 2 3 3 2 2" xfId="699" xr:uid="{00000000-0005-0000-0000-00007A1D0000}"/>
    <cellStyle name="Normal 5 2 2 3 3 2 2 2" xfId="1607" xr:uid="{00000000-0005-0000-0000-00007B1D0000}"/>
    <cellStyle name="Normal 5 2 2 3 3 2 2 2 2" xfId="3421" xr:uid="{00000000-0005-0000-0000-00007C1D0000}"/>
    <cellStyle name="Normal 5 2 2 3 3 2 2 2 2 2" xfId="7049" xr:uid="{00000000-0005-0000-0000-00007D1D0000}"/>
    <cellStyle name="Normal 5 2 2 3 3 2 2 2 2 2 2" xfId="21561" xr:uid="{00000000-0005-0000-0000-00007E1D0000}"/>
    <cellStyle name="Normal 5 2 2 3 3 2 2 2 2 2 3" xfId="14305" xr:uid="{00000000-0005-0000-0000-00007F1D0000}"/>
    <cellStyle name="Normal 5 2 2 3 3 2 2 2 2 3" xfId="17933" xr:uid="{00000000-0005-0000-0000-0000801D0000}"/>
    <cellStyle name="Normal 5 2 2 3 3 2 2 2 2 4" xfId="10677" xr:uid="{00000000-0005-0000-0000-0000811D0000}"/>
    <cellStyle name="Normal 5 2 2 3 3 2 2 2 3" xfId="5235" xr:uid="{00000000-0005-0000-0000-0000821D0000}"/>
    <cellStyle name="Normal 5 2 2 3 3 2 2 2 3 2" xfId="19747" xr:uid="{00000000-0005-0000-0000-0000831D0000}"/>
    <cellStyle name="Normal 5 2 2 3 3 2 2 2 3 3" xfId="12491" xr:uid="{00000000-0005-0000-0000-0000841D0000}"/>
    <cellStyle name="Normal 5 2 2 3 3 2 2 2 4" xfId="16119" xr:uid="{00000000-0005-0000-0000-0000851D0000}"/>
    <cellStyle name="Normal 5 2 2 3 3 2 2 2 5" xfId="8863" xr:uid="{00000000-0005-0000-0000-0000861D0000}"/>
    <cellStyle name="Normal 5 2 2 3 3 2 2 3" xfId="2514" xr:uid="{00000000-0005-0000-0000-0000871D0000}"/>
    <cellStyle name="Normal 5 2 2 3 3 2 2 3 2" xfId="6142" xr:uid="{00000000-0005-0000-0000-0000881D0000}"/>
    <cellStyle name="Normal 5 2 2 3 3 2 2 3 2 2" xfId="20654" xr:uid="{00000000-0005-0000-0000-0000891D0000}"/>
    <cellStyle name="Normal 5 2 2 3 3 2 2 3 2 3" xfId="13398" xr:uid="{00000000-0005-0000-0000-00008A1D0000}"/>
    <cellStyle name="Normal 5 2 2 3 3 2 2 3 3" xfId="17026" xr:uid="{00000000-0005-0000-0000-00008B1D0000}"/>
    <cellStyle name="Normal 5 2 2 3 3 2 2 3 4" xfId="9770" xr:uid="{00000000-0005-0000-0000-00008C1D0000}"/>
    <cellStyle name="Normal 5 2 2 3 3 2 2 4" xfId="4328" xr:uid="{00000000-0005-0000-0000-00008D1D0000}"/>
    <cellStyle name="Normal 5 2 2 3 3 2 2 4 2" xfId="18840" xr:uid="{00000000-0005-0000-0000-00008E1D0000}"/>
    <cellStyle name="Normal 5 2 2 3 3 2 2 4 3" xfId="11584" xr:uid="{00000000-0005-0000-0000-00008F1D0000}"/>
    <cellStyle name="Normal 5 2 2 3 3 2 2 5" xfId="15212" xr:uid="{00000000-0005-0000-0000-0000901D0000}"/>
    <cellStyle name="Normal 5 2 2 3 3 2 2 6" xfId="7956" xr:uid="{00000000-0005-0000-0000-0000911D0000}"/>
    <cellStyle name="Normal 5 2 2 3 3 2 3" xfId="1261" xr:uid="{00000000-0005-0000-0000-0000921D0000}"/>
    <cellStyle name="Normal 5 2 2 3 3 2 3 2" xfId="3075" xr:uid="{00000000-0005-0000-0000-0000931D0000}"/>
    <cellStyle name="Normal 5 2 2 3 3 2 3 2 2" xfId="6703" xr:uid="{00000000-0005-0000-0000-0000941D0000}"/>
    <cellStyle name="Normal 5 2 2 3 3 2 3 2 2 2" xfId="21215" xr:uid="{00000000-0005-0000-0000-0000951D0000}"/>
    <cellStyle name="Normal 5 2 2 3 3 2 3 2 2 3" xfId="13959" xr:uid="{00000000-0005-0000-0000-0000961D0000}"/>
    <cellStyle name="Normal 5 2 2 3 3 2 3 2 3" xfId="17587" xr:uid="{00000000-0005-0000-0000-0000971D0000}"/>
    <cellStyle name="Normal 5 2 2 3 3 2 3 2 4" xfId="10331" xr:uid="{00000000-0005-0000-0000-0000981D0000}"/>
    <cellStyle name="Normal 5 2 2 3 3 2 3 3" xfId="4889" xr:uid="{00000000-0005-0000-0000-0000991D0000}"/>
    <cellStyle name="Normal 5 2 2 3 3 2 3 3 2" xfId="19401" xr:uid="{00000000-0005-0000-0000-00009A1D0000}"/>
    <cellStyle name="Normal 5 2 2 3 3 2 3 3 3" xfId="12145" xr:uid="{00000000-0005-0000-0000-00009B1D0000}"/>
    <cellStyle name="Normal 5 2 2 3 3 2 3 4" xfId="15773" xr:uid="{00000000-0005-0000-0000-00009C1D0000}"/>
    <cellStyle name="Normal 5 2 2 3 3 2 3 5" xfId="8517" xr:uid="{00000000-0005-0000-0000-00009D1D0000}"/>
    <cellStyle name="Normal 5 2 2 3 3 2 4" xfId="2168" xr:uid="{00000000-0005-0000-0000-00009E1D0000}"/>
    <cellStyle name="Normal 5 2 2 3 3 2 4 2" xfId="5796" xr:uid="{00000000-0005-0000-0000-00009F1D0000}"/>
    <cellStyle name="Normal 5 2 2 3 3 2 4 2 2" xfId="20308" xr:uid="{00000000-0005-0000-0000-0000A01D0000}"/>
    <cellStyle name="Normal 5 2 2 3 3 2 4 2 3" xfId="13052" xr:uid="{00000000-0005-0000-0000-0000A11D0000}"/>
    <cellStyle name="Normal 5 2 2 3 3 2 4 3" xfId="16680" xr:uid="{00000000-0005-0000-0000-0000A21D0000}"/>
    <cellStyle name="Normal 5 2 2 3 3 2 4 4" xfId="9424" xr:uid="{00000000-0005-0000-0000-0000A31D0000}"/>
    <cellStyle name="Normal 5 2 2 3 3 2 5" xfId="3982" xr:uid="{00000000-0005-0000-0000-0000A41D0000}"/>
    <cellStyle name="Normal 5 2 2 3 3 2 5 2" xfId="18494" xr:uid="{00000000-0005-0000-0000-0000A51D0000}"/>
    <cellStyle name="Normal 5 2 2 3 3 2 5 3" xfId="11238" xr:uid="{00000000-0005-0000-0000-0000A61D0000}"/>
    <cellStyle name="Normal 5 2 2 3 3 2 6" xfId="14866" xr:uid="{00000000-0005-0000-0000-0000A71D0000}"/>
    <cellStyle name="Normal 5 2 2 3 3 2 7" xfId="7610" xr:uid="{00000000-0005-0000-0000-0000A81D0000}"/>
    <cellStyle name="Normal 5 2 2 3 3 3" xfId="829" xr:uid="{00000000-0005-0000-0000-0000A91D0000}"/>
    <cellStyle name="Normal 5 2 2 3 3 3 2" xfId="1737" xr:uid="{00000000-0005-0000-0000-0000AA1D0000}"/>
    <cellStyle name="Normal 5 2 2 3 3 3 2 2" xfId="3551" xr:uid="{00000000-0005-0000-0000-0000AB1D0000}"/>
    <cellStyle name="Normal 5 2 2 3 3 3 2 2 2" xfId="7179" xr:uid="{00000000-0005-0000-0000-0000AC1D0000}"/>
    <cellStyle name="Normal 5 2 2 3 3 3 2 2 2 2" xfId="21691" xr:uid="{00000000-0005-0000-0000-0000AD1D0000}"/>
    <cellStyle name="Normal 5 2 2 3 3 3 2 2 2 3" xfId="14435" xr:uid="{00000000-0005-0000-0000-0000AE1D0000}"/>
    <cellStyle name="Normal 5 2 2 3 3 3 2 2 3" xfId="18063" xr:uid="{00000000-0005-0000-0000-0000AF1D0000}"/>
    <cellStyle name="Normal 5 2 2 3 3 3 2 2 4" xfId="10807" xr:uid="{00000000-0005-0000-0000-0000B01D0000}"/>
    <cellStyle name="Normal 5 2 2 3 3 3 2 3" xfId="5365" xr:uid="{00000000-0005-0000-0000-0000B11D0000}"/>
    <cellStyle name="Normal 5 2 2 3 3 3 2 3 2" xfId="19877" xr:uid="{00000000-0005-0000-0000-0000B21D0000}"/>
    <cellStyle name="Normal 5 2 2 3 3 3 2 3 3" xfId="12621" xr:uid="{00000000-0005-0000-0000-0000B31D0000}"/>
    <cellStyle name="Normal 5 2 2 3 3 3 2 4" xfId="16249" xr:uid="{00000000-0005-0000-0000-0000B41D0000}"/>
    <cellStyle name="Normal 5 2 2 3 3 3 2 5" xfId="8993" xr:uid="{00000000-0005-0000-0000-0000B51D0000}"/>
    <cellStyle name="Normal 5 2 2 3 3 3 3" xfId="2644" xr:uid="{00000000-0005-0000-0000-0000B61D0000}"/>
    <cellStyle name="Normal 5 2 2 3 3 3 3 2" xfId="6272" xr:uid="{00000000-0005-0000-0000-0000B71D0000}"/>
    <cellStyle name="Normal 5 2 2 3 3 3 3 2 2" xfId="20784" xr:uid="{00000000-0005-0000-0000-0000B81D0000}"/>
    <cellStyle name="Normal 5 2 2 3 3 3 3 2 3" xfId="13528" xr:uid="{00000000-0005-0000-0000-0000B91D0000}"/>
    <cellStyle name="Normal 5 2 2 3 3 3 3 3" xfId="17156" xr:uid="{00000000-0005-0000-0000-0000BA1D0000}"/>
    <cellStyle name="Normal 5 2 2 3 3 3 3 4" xfId="9900" xr:uid="{00000000-0005-0000-0000-0000BB1D0000}"/>
    <cellStyle name="Normal 5 2 2 3 3 3 4" xfId="4458" xr:uid="{00000000-0005-0000-0000-0000BC1D0000}"/>
    <cellStyle name="Normal 5 2 2 3 3 3 4 2" xfId="18970" xr:uid="{00000000-0005-0000-0000-0000BD1D0000}"/>
    <cellStyle name="Normal 5 2 2 3 3 3 4 3" xfId="11714" xr:uid="{00000000-0005-0000-0000-0000BE1D0000}"/>
    <cellStyle name="Normal 5 2 2 3 3 3 5" xfId="15342" xr:uid="{00000000-0005-0000-0000-0000BF1D0000}"/>
    <cellStyle name="Normal 5 2 2 3 3 3 6" xfId="8086" xr:uid="{00000000-0005-0000-0000-0000C01D0000}"/>
    <cellStyle name="Normal 5 2 2 3 3 4" xfId="569" xr:uid="{00000000-0005-0000-0000-0000C11D0000}"/>
    <cellStyle name="Normal 5 2 2 3 3 4 2" xfId="1477" xr:uid="{00000000-0005-0000-0000-0000C21D0000}"/>
    <cellStyle name="Normal 5 2 2 3 3 4 2 2" xfId="3291" xr:uid="{00000000-0005-0000-0000-0000C31D0000}"/>
    <cellStyle name="Normal 5 2 2 3 3 4 2 2 2" xfId="6919" xr:uid="{00000000-0005-0000-0000-0000C41D0000}"/>
    <cellStyle name="Normal 5 2 2 3 3 4 2 2 2 2" xfId="21431" xr:uid="{00000000-0005-0000-0000-0000C51D0000}"/>
    <cellStyle name="Normal 5 2 2 3 3 4 2 2 2 3" xfId="14175" xr:uid="{00000000-0005-0000-0000-0000C61D0000}"/>
    <cellStyle name="Normal 5 2 2 3 3 4 2 2 3" xfId="17803" xr:uid="{00000000-0005-0000-0000-0000C71D0000}"/>
    <cellStyle name="Normal 5 2 2 3 3 4 2 2 4" xfId="10547" xr:uid="{00000000-0005-0000-0000-0000C81D0000}"/>
    <cellStyle name="Normal 5 2 2 3 3 4 2 3" xfId="5105" xr:uid="{00000000-0005-0000-0000-0000C91D0000}"/>
    <cellStyle name="Normal 5 2 2 3 3 4 2 3 2" xfId="19617" xr:uid="{00000000-0005-0000-0000-0000CA1D0000}"/>
    <cellStyle name="Normal 5 2 2 3 3 4 2 3 3" xfId="12361" xr:uid="{00000000-0005-0000-0000-0000CB1D0000}"/>
    <cellStyle name="Normal 5 2 2 3 3 4 2 4" xfId="15989" xr:uid="{00000000-0005-0000-0000-0000CC1D0000}"/>
    <cellStyle name="Normal 5 2 2 3 3 4 2 5" xfId="8733" xr:uid="{00000000-0005-0000-0000-0000CD1D0000}"/>
    <cellStyle name="Normal 5 2 2 3 3 4 3" xfId="2384" xr:uid="{00000000-0005-0000-0000-0000CE1D0000}"/>
    <cellStyle name="Normal 5 2 2 3 3 4 3 2" xfId="6012" xr:uid="{00000000-0005-0000-0000-0000CF1D0000}"/>
    <cellStyle name="Normal 5 2 2 3 3 4 3 2 2" xfId="20524" xr:uid="{00000000-0005-0000-0000-0000D01D0000}"/>
    <cellStyle name="Normal 5 2 2 3 3 4 3 2 3" xfId="13268" xr:uid="{00000000-0005-0000-0000-0000D11D0000}"/>
    <cellStyle name="Normal 5 2 2 3 3 4 3 3" xfId="16896" xr:uid="{00000000-0005-0000-0000-0000D21D0000}"/>
    <cellStyle name="Normal 5 2 2 3 3 4 3 4" xfId="9640" xr:uid="{00000000-0005-0000-0000-0000D31D0000}"/>
    <cellStyle name="Normal 5 2 2 3 3 4 4" xfId="4198" xr:uid="{00000000-0005-0000-0000-0000D41D0000}"/>
    <cellStyle name="Normal 5 2 2 3 3 4 4 2" xfId="18710" xr:uid="{00000000-0005-0000-0000-0000D51D0000}"/>
    <cellStyle name="Normal 5 2 2 3 3 4 4 3" xfId="11454" xr:uid="{00000000-0005-0000-0000-0000D61D0000}"/>
    <cellStyle name="Normal 5 2 2 3 3 4 5" xfId="15082" xr:uid="{00000000-0005-0000-0000-0000D71D0000}"/>
    <cellStyle name="Normal 5 2 2 3 3 4 6" xfId="7826" xr:uid="{00000000-0005-0000-0000-0000D81D0000}"/>
    <cellStyle name="Normal 5 2 2 3 3 5" xfId="1131" xr:uid="{00000000-0005-0000-0000-0000D91D0000}"/>
    <cellStyle name="Normal 5 2 2 3 3 5 2" xfId="2945" xr:uid="{00000000-0005-0000-0000-0000DA1D0000}"/>
    <cellStyle name="Normal 5 2 2 3 3 5 2 2" xfId="6573" xr:uid="{00000000-0005-0000-0000-0000DB1D0000}"/>
    <cellStyle name="Normal 5 2 2 3 3 5 2 2 2" xfId="21085" xr:uid="{00000000-0005-0000-0000-0000DC1D0000}"/>
    <cellStyle name="Normal 5 2 2 3 3 5 2 2 3" xfId="13829" xr:uid="{00000000-0005-0000-0000-0000DD1D0000}"/>
    <cellStyle name="Normal 5 2 2 3 3 5 2 3" xfId="17457" xr:uid="{00000000-0005-0000-0000-0000DE1D0000}"/>
    <cellStyle name="Normal 5 2 2 3 3 5 2 4" xfId="10201" xr:uid="{00000000-0005-0000-0000-0000DF1D0000}"/>
    <cellStyle name="Normal 5 2 2 3 3 5 3" xfId="4759" xr:uid="{00000000-0005-0000-0000-0000E01D0000}"/>
    <cellStyle name="Normal 5 2 2 3 3 5 3 2" xfId="19271" xr:uid="{00000000-0005-0000-0000-0000E11D0000}"/>
    <cellStyle name="Normal 5 2 2 3 3 5 3 3" xfId="12015" xr:uid="{00000000-0005-0000-0000-0000E21D0000}"/>
    <cellStyle name="Normal 5 2 2 3 3 5 4" xfId="15643" xr:uid="{00000000-0005-0000-0000-0000E31D0000}"/>
    <cellStyle name="Normal 5 2 2 3 3 5 5" xfId="8387" xr:uid="{00000000-0005-0000-0000-0000E41D0000}"/>
    <cellStyle name="Normal 5 2 2 3 3 6" xfId="2038" xr:uid="{00000000-0005-0000-0000-0000E51D0000}"/>
    <cellStyle name="Normal 5 2 2 3 3 6 2" xfId="5666" xr:uid="{00000000-0005-0000-0000-0000E61D0000}"/>
    <cellStyle name="Normal 5 2 2 3 3 6 2 2" xfId="20178" xr:uid="{00000000-0005-0000-0000-0000E71D0000}"/>
    <cellStyle name="Normal 5 2 2 3 3 6 2 3" xfId="12922" xr:uid="{00000000-0005-0000-0000-0000E81D0000}"/>
    <cellStyle name="Normal 5 2 2 3 3 6 3" xfId="16550" xr:uid="{00000000-0005-0000-0000-0000E91D0000}"/>
    <cellStyle name="Normal 5 2 2 3 3 6 4" xfId="9294" xr:uid="{00000000-0005-0000-0000-0000EA1D0000}"/>
    <cellStyle name="Normal 5 2 2 3 3 7" xfId="3852" xr:uid="{00000000-0005-0000-0000-0000EB1D0000}"/>
    <cellStyle name="Normal 5 2 2 3 3 7 2" xfId="18364" xr:uid="{00000000-0005-0000-0000-0000EC1D0000}"/>
    <cellStyle name="Normal 5 2 2 3 3 7 3" xfId="11108" xr:uid="{00000000-0005-0000-0000-0000ED1D0000}"/>
    <cellStyle name="Normal 5 2 2 3 3 8" xfId="14736" xr:uid="{00000000-0005-0000-0000-0000EE1D0000}"/>
    <cellStyle name="Normal 5 2 2 3 3 9" xfId="7480" xr:uid="{00000000-0005-0000-0000-0000EF1D0000}"/>
    <cellStyle name="Normal 5 2 2 3 4" xfId="137" xr:uid="{00000000-0005-0000-0000-0000F01D0000}"/>
    <cellStyle name="Normal 5 2 2 3 4 2" xfId="483" xr:uid="{00000000-0005-0000-0000-0000F11D0000}"/>
    <cellStyle name="Normal 5 2 2 3 4 2 2" xfId="1391" xr:uid="{00000000-0005-0000-0000-0000F21D0000}"/>
    <cellStyle name="Normal 5 2 2 3 4 2 2 2" xfId="3205" xr:uid="{00000000-0005-0000-0000-0000F31D0000}"/>
    <cellStyle name="Normal 5 2 2 3 4 2 2 2 2" xfId="6833" xr:uid="{00000000-0005-0000-0000-0000F41D0000}"/>
    <cellStyle name="Normal 5 2 2 3 4 2 2 2 2 2" xfId="21345" xr:uid="{00000000-0005-0000-0000-0000F51D0000}"/>
    <cellStyle name="Normal 5 2 2 3 4 2 2 2 2 3" xfId="14089" xr:uid="{00000000-0005-0000-0000-0000F61D0000}"/>
    <cellStyle name="Normal 5 2 2 3 4 2 2 2 3" xfId="17717" xr:uid="{00000000-0005-0000-0000-0000F71D0000}"/>
    <cellStyle name="Normal 5 2 2 3 4 2 2 2 4" xfId="10461" xr:uid="{00000000-0005-0000-0000-0000F81D0000}"/>
    <cellStyle name="Normal 5 2 2 3 4 2 2 3" xfId="5019" xr:uid="{00000000-0005-0000-0000-0000F91D0000}"/>
    <cellStyle name="Normal 5 2 2 3 4 2 2 3 2" xfId="19531" xr:uid="{00000000-0005-0000-0000-0000FA1D0000}"/>
    <cellStyle name="Normal 5 2 2 3 4 2 2 3 3" xfId="12275" xr:uid="{00000000-0005-0000-0000-0000FB1D0000}"/>
    <cellStyle name="Normal 5 2 2 3 4 2 2 4" xfId="15903" xr:uid="{00000000-0005-0000-0000-0000FC1D0000}"/>
    <cellStyle name="Normal 5 2 2 3 4 2 2 5" xfId="8647" xr:uid="{00000000-0005-0000-0000-0000FD1D0000}"/>
    <cellStyle name="Normal 5 2 2 3 4 2 3" xfId="2298" xr:uid="{00000000-0005-0000-0000-0000FE1D0000}"/>
    <cellStyle name="Normal 5 2 2 3 4 2 3 2" xfId="5926" xr:uid="{00000000-0005-0000-0000-0000FF1D0000}"/>
    <cellStyle name="Normal 5 2 2 3 4 2 3 2 2" xfId="20438" xr:uid="{00000000-0005-0000-0000-0000001E0000}"/>
    <cellStyle name="Normal 5 2 2 3 4 2 3 2 3" xfId="13182" xr:uid="{00000000-0005-0000-0000-0000011E0000}"/>
    <cellStyle name="Normal 5 2 2 3 4 2 3 3" xfId="16810" xr:uid="{00000000-0005-0000-0000-0000021E0000}"/>
    <cellStyle name="Normal 5 2 2 3 4 2 3 4" xfId="9554" xr:uid="{00000000-0005-0000-0000-0000031E0000}"/>
    <cellStyle name="Normal 5 2 2 3 4 2 4" xfId="4112" xr:uid="{00000000-0005-0000-0000-0000041E0000}"/>
    <cellStyle name="Normal 5 2 2 3 4 2 4 2" xfId="18624" xr:uid="{00000000-0005-0000-0000-0000051E0000}"/>
    <cellStyle name="Normal 5 2 2 3 4 2 4 3" xfId="11368" xr:uid="{00000000-0005-0000-0000-0000061E0000}"/>
    <cellStyle name="Normal 5 2 2 3 4 2 5" xfId="14996" xr:uid="{00000000-0005-0000-0000-0000071E0000}"/>
    <cellStyle name="Normal 5 2 2 3 4 2 6" xfId="7740" xr:uid="{00000000-0005-0000-0000-0000081E0000}"/>
    <cellStyle name="Normal 5 2 2 3 4 3" xfId="1045" xr:uid="{00000000-0005-0000-0000-0000091E0000}"/>
    <cellStyle name="Normal 5 2 2 3 4 3 2" xfId="2859" xr:uid="{00000000-0005-0000-0000-00000A1E0000}"/>
    <cellStyle name="Normal 5 2 2 3 4 3 2 2" xfId="6487" xr:uid="{00000000-0005-0000-0000-00000B1E0000}"/>
    <cellStyle name="Normal 5 2 2 3 4 3 2 2 2" xfId="20999" xr:uid="{00000000-0005-0000-0000-00000C1E0000}"/>
    <cellStyle name="Normal 5 2 2 3 4 3 2 2 3" xfId="13743" xr:uid="{00000000-0005-0000-0000-00000D1E0000}"/>
    <cellStyle name="Normal 5 2 2 3 4 3 2 3" xfId="17371" xr:uid="{00000000-0005-0000-0000-00000E1E0000}"/>
    <cellStyle name="Normal 5 2 2 3 4 3 2 4" xfId="10115" xr:uid="{00000000-0005-0000-0000-00000F1E0000}"/>
    <cellStyle name="Normal 5 2 2 3 4 3 3" xfId="4673" xr:uid="{00000000-0005-0000-0000-0000101E0000}"/>
    <cellStyle name="Normal 5 2 2 3 4 3 3 2" xfId="19185" xr:uid="{00000000-0005-0000-0000-0000111E0000}"/>
    <cellStyle name="Normal 5 2 2 3 4 3 3 3" xfId="11929" xr:uid="{00000000-0005-0000-0000-0000121E0000}"/>
    <cellStyle name="Normal 5 2 2 3 4 3 4" xfId="15557" xr:uid="{00000000-0005-0000-0000-0000131E0000}"/>
    <cellStyle name="Normal 5 2 2 3 4 3 5" xfId="8301" xr:uid="{00000000-0005-0000-0000-0000141E0000}"/>
    <cellStyle name="Normal 5 2 2 3 4 4" xfId="1952" xr:uid="{00000000-0005-0000-0000-0000151E0000}"/>
    <cellStyle name="Normal 5 2 2 3 4 4 2" xfId="5580" xr:uid="{00000000-0005-0000-0000-0000161E0000}"/>
    <cellStyle name="Normal 5 2 2 3 4 4 2 2" xfId="20092" xr:uid="{00000000-0005-0000-0000-0000171E0000}"/>
    <cellStyle name="Normal 5 2 2 3 4 4 2 3" xfId="12836" xr:uid="{00000000-0005-0000-0000-0000181E0000}"/>
    <cellStyle name="Normal 5 2 2 3 4 4 3" xfId="16464" xr:uid="{00000000-0005-0000-0000-0000191E0000}"/>
    <cellStyle name="Normal 5 2 2 3 4 4 4" xfId="9208" xr:uid="{00000000-0005-0000-0000-00001A1E0000}"/>
    <cellStyle name="Normal 5 2 2 3 4 5" xfId="3766" xr:uid="{00000000-0005-0000-0000-00001B1E0000}"/>
    <cellStyle name="Normal 5 2 2 3 4 5 2" xfId="18278" xr:uid="{00000000-0005-0000-0000-00001C1E0000}"/>
    <cellStyle name="Normal 5 2 2 3 4 5 3" xfId="11022" xr:uid="{00000000-0005-0000-0000-00001D1E0000}"/>
    <cellStyle name="Normal 5 2 2 3 4 6" xfId="14650" xr:uid="{00000000-0005-0000-0000-00001E1E0000}"/>
    <cellStyle name="Normal 5 2 2 3 4 7" xfId="7394" xr:uid="{00000000-0005-0000-0000-00001F1E0000}"/>
    <cellStyle name="Normal 5 2 2 3 5" xfId="267" xr:uid="{00000000-0005-0000-0000-0000201E0000}"/>
    <cellStyle name="Normal 5 2 2 3 5 2" xfId="613" xr:uid="{00000000-0005-0000-0000-0000211E0000}"/>
    <cellStyle name="Normal 5 2 2 3 5 2 2" xfId="1521" xr:uid="{00000000-0005-0000-0000-0000221E0000}"/>
    <cellStyle name="Normal 5 2 2 3 5 2 2 2" xfId="3335" xr:uid="{00000000-0005-0000-0000-0000231E0000}"/>
    <cellStyle name="Normal 5 2 2 3 5 2 2 2 2" xfId="6963" xr:uid="{00000000-0005-0000-0000-0000241E0000}"/>
    <cellStyle name="Normal 5 2 2 3 5 2 2 2 2 2" xfId="21475" xr:uid="{00000000-0005-0000-0000-0000251E0000}"/>
    <cellStyle name="Normal 5 2 2 3 5 2 2 2 2 3" xfId="14219" xr:uid="{00000000-0005-0000-0000-0000261E0000}"/>
    <cellStyle name="Normal 5 2 2 3 5 2 2 2 3" xfId="17847" xr:uid="{00000000-0005-0000-0000-0000271E0000}"/>
    <cellStyle name="Normal 5 2 2 3 5 2 2 2 4" xfId="10591" xr:uid="{00000000-0005-0000-0000-0000281E0000}"/>
    <cellStyle name="Normal 5 2 2 3 5 2 2 3" xfId="5149" xr:uid="{00000000-0005-0000-0000-0000291E0000}"/>
    <cellStyle name="Normal 5 2 2 3 5 2 2 3 2" xfId="19661" xr:uid="{00000000-0005-0000-0000-00002A1E0000}"/>
    <cellStyle name="Normal 5 2 2 3 5 2 2 3 3" xfId="12405" xr:uid="{00000000-0005-0000-0000-00002B1E0000}"/>
    <cellStyle name="Normal 5 2 2 3 5 2 2 4" xfId="16033" xr:uid="{00000000-0005-0000-0000-00002C1E0000}"/>
    <cellStyle name="Normal 5 2 2 3 5 2 2 5" xfId="8777" xr:uid="{00000000-0005-0000-0000-00002D1E0000}"/>
    <cellStyle name="Normal 5 2 2 3 5 2 3" xfId="2428" xr:uid="{00000000-0005-0000-0000-00002E1E0000}"/>
    <cellStyle name="Normal 5 2 2 3 5 2 3 2" xfId="6056" xr:uid="{00000000-0005-0000-0000-00002F1E0000}"/>
    <cellStyle name="Normal 5 2 2 3 5 2 3 2 2" xfId="20568" xr:uid="{00000000-0005-0000-0000-0000301E0000}"/>
    <cellStyle name="Normal 5 2 2 3 5 2 3 2 3" xfId="13312" xr:uid="{00000000-0005-0000-0000-0000311E0000}"/>
    <cellStyle name="Normal 5 2 2 3 5 2 3 3" xfId="16940" xr:uid="{00000000-0005-0000-0000-0000321E0000}"/>
    <cellStyle name="Normal 5 2 2 3 5 2 3 4" xfId="9684" xr:uid="{00000000-0005-0000-0000-0000331E0000}"/>
    <cellStyle name="Normal 5 2 2 3 5 2 4" xfId="4242" xr:uid="{00000000-0005-0000-0000-0000341E0000}"/>
    <cellStyle name="Normal 5 2 2 3 5 2 4 2" xfId="18754" xr:uid="{00000000-0005-0000-0000-0000351E0000}"/>
    <cellStyle name="Normal 5 2 2 3 5 2 4 3" xfId="11498" xr:uid="{00000000-0005-0000-0000-0000361E0000}"/>
    <cellStyle name="Normal 5 2 2 3 5 2 5" xfId="15126" xr:uid="{00000000-0005-0000-0000-0000371E0000}"/>
    <cellStyle name="Normal 5 2 2 3 5 2 6" xfId="7870" xr:uid="{00000000-0005-0000-0000-0000381E0000}"/>
    <cellStyle name="Normal 5 2 2 3 5 3" xfId="1175" xr:uid="{00000000-0005-0000-0000-0000391E0000}"/>
    <cellStyle name="Normal 5 2 2 3 5 3 2" xfId="2989" xr:uid="{00000000-0005-0000-0000-00003A1E0000}"/>
    <cellStyle name="Normal 5 2 2 3 5 3 2 2" xfId="6617" xr:uid="{00000000-0005-0000-0000-00003B1E0000}"/>
    <cellStyle name="Normal 5 2 2 3 5 3 2 2 2" xfId="21129" xr:uid="{00000000-0005-0000-0000-00003C1E0000}"/>
    <cellStyle name="Normal 5 2 2 3 5 3 2 2 3" xfId="13873" xr:uid="{00000000-0005-0000-0000-00003D1E0000}"/>
    <cellStyle name="Normal 5 2 2 3 5 3 2 3" xfId="17501" xr:uid="{00000000-0005-0000-0000-00003E1E0000}"/>
    <cellStyle name="Normal 5 2 2 3 5 3 2 4" xfId="10245" xr:uid="{00000000-0005-0000-0000-00003F1E0000}"/>
    <cellStyle name="Normal 5 2 2 3 5 3 3" xfId="4803" xr:uid="{00000000-0005-0000-0000-0000401E0000}"/>
    <cellStyle name="Normal 5 2 2 3 5 3 3 2" xfId="19315" xr:uid="{00000000-0005-0000-0000-0000411E0000}"/>
    <cellStyle name="Normal 5 2 2 3 5 3 3 3" xfId="12059" xr:uid="{00000000-0005-0000-0000-0000421E0000}"/>
    <cellStyle name="Normal 5 2 2 3 5 3 4" xfId="15687" xr:uid="{00000000-0005-0000-0000-0000431E0000}"/>
    <cellStyle name="Normal 5 2 2 3 5 3 5" xfId="8431" xr:uid="{00000000-0005-0000-0000-0000441E0000}"/>
    <cellStyle name="Normal 5 2 2 3 5 4" xfId="2082" xr:uid="{00000000-0005-0000-0000-0000451E0000}"/>
    <cellStyle name="Normal 5 2 2 3 5 4 2" xfId="5710" xr:uid="{00000000-0005-0000-0000-0000461E0000}"/>
    <cellStyle name="Normal 5 2 2 3 5 4 2 2" xfId="20222" xr:uid="{00000000-0005-0000-0000-0000471E0000}"/>
    <cellStyle name="Normal 5 2 2 3 5 4 2 3" xfId="12966" xr:uid="{00000000-0005-0000-0000-0000481E0000}"/>
    <cellStyle name="Normal 5 2 2 3 5 4 3" xfId="16594" xr:uid="{00000000-0005-0000-0000-0000491E0000}"/>
    <cellStyle name="Normal 5 2 2 3 5 4 4" xfId="9338" xr:uid="{00000000-0005-0000-0000-00004A1E0000}"/>
    <cellStyle name="Normal 5 2 2 3 5 5" xfId="3896" xr:uid="{00000000-0005-0000-0000-00004B1E0000}"/>
    <cellStyle name="Normal 5 2 2 3 5 5 2" xfId="18408" xr:uid="{00000000-0005-0000-0000-00004C1E0000}"/>
    <cellStyle name="Normal 5 2 2 3 5 5 3" xfId="11152" xr:uid="{00000000-0005-0000-0000-00004D1E0000}"/>
    <cellStyle name="Normal 5 2 2 3 5 6" xfId="14780" xr:uid="{00000000-0005-0000-0000-00004E1E0000}"/>
    <cellStyle name="Normal 5 2 2 3 5 7" xfId="7524" xr:uid="{00000000-0005-0000-0000-00004F1E0000}"/>
    <cellStyle name="Normal 5 2 2 3 6" xfId="743" xr:uid="{00000000-0005-0000-0000-0000501E0000}"/>
    <cellStyle name="Normal 5 2 2 3 6 2" xfId="1651" xr:uid="{00000000-0005-0000-0000-0000511E0000}"/>
    <cellStyle name="Normal 5 2 2 3 6 2 2" xfId="3465" xr:uid="{00000000-0005-0000-0000-0000521E0000}"/>
    <cellStyle name="Normal 5 2 2 3 6 2 2 2" xfId="7093" xr:uid="{00000000-0005-0000-0000-0000531E0000}"/>
    <cellStyle name="Normal 5 2 2 3 6 2 2 2 2" xfId="21605" xr:uid="{00000000-0005-0000-0000-0000541E0000}"/>
    <cellStyle name="Normal 5 2 2 3 6 2 2 2 3" xfId="14349" xr:uid="{00000000-0005-0000-0000-0000551E0000}"/>
    <cellStyle name="Normal 5 2 2 3 6 2 2 3" xfId="17977" xr:uid="{00000000-0005-0000-0000-0000561E0000}"/>
    <cellStyle name="Normal 5 2 2 3 6 2 2 4" xfId="10721" xr:uid="{00000000-0005-0000-0000-0000571E0000}"/>
    <cellStyle name="Normal 5 2 2 3 6 2 3" xfId="5279" xr:uid="{00000000-0005-0000-0000-0000581E0000}"/>
    <cellStyle name="Normal 5 2 2 3 6 2 3 2" xfId="19791" xr:uid="{00000000-0005-0000-0000-0000591E0000}"/>
    <cellStyle name="Normal 5 2 2 3 6 2 3 3" xfId="12535" xr:uid="{00000000-0005-0000-0000-00005A1E0000}"/>
    <cellStyle name="Normal 5 2 2 3 6 2 4" xfId="16163" xr:uid="{00000000-0005-0000-0000-00005B1E0000}"/>
    <cellStyle name="Normal 5 2 2 3 6 2 5" xfId="8907" xr:uid="{00000000-0005-0000-0000-00005C1E0000}"/>
    <cellStyle name="Normal 5 2 2 3 6 3" xfId="2558" xr:uid="{00000000-0005-0000-0000-00005D1E0000}"/>
    <cellStyle name="Normal 5 2 2 3 6 3 2" xfId="6186" xr:uid="{00000000-0005-0000-0000-00005E1E0000}"/>
    <cellStyle name="Normal 5 2 2 3 6 3 2 2" xfId="20698" xr:uid="{00000000-0005-0000-0000-00005F1E0000}"/>
    <cellStyle name="Normal 5 2 2 3 6 3 2 3" xfId="13442" xr:uid="{00000000-0005-0000-0000-0000601E0000}"/>
    <cellStyle name="Normal 5 2 2 3 6 3 3" xfId="17070" xr:uid="{00000000-0005-0000-0000-0000611E0000}"/>
    <cellStyle name="Normal 5 2 2 3 6 3 4" xfId="9814" xr:uid="{00000000-0005-0000-0000-0000621E0000}"/>
    <cellStyle name="Normal 5 2 2 3 6 4" xfId="4372" xr:uid="{00000000-0005-0000-0000-0000631E0000}"/>
    <cellStyle name="Normal 5 2 2 3 6 4 2" xfId="18884" xr:uid="{00000000-0005-0000-0000-0000641E0000}"/>
    <cellStyle name="Normal 5 2 2 3 6 4 3" xfId="11628" xr:uid="{00000000-0005-0000-0000-0000651E0000}"/>
    <cellStyle name="Normal 5 2 2 3 6 5" xfId="15256" xr:uid="{00000000-0005-0000-0000-0000661E0000}"/>
    <cellStyle name="Normal 5 2 2 3 6 6" xfId="8000" xr:uid="{00000000-0005-0000-0000-0000671E0000}"/>
    <cellStyle name="Normal 5 2 2 3 7" xfId="397" xr:uid="{00000000-0005-0000-0000-0000681E0000}"/>
    <cellStyle name="Normal 5 2 2 3 7 2" xfId="1305" xr:uid="{00000000-0005-0000-0000-0000691E0000}"/>
    <cellStyle name="Normal 5 2 2 3 7 2 2" xfId="3119" xr:uid="{00000000-0005-0000-0000-00006A1E0000}"/>
    <cellStyle name="Normal 5 2 2 3 7 2 2 2" xfId="6747" xr:uid="{00000000-0005-0000-0000-00006B1E0000}"/>
    <cellStyle name="Normal 5 2 2 3 7 2 2 2 2" xfId="21259" xr:uid="{00000000-0005-0000-0000-00006C1E0000}"/>
    <cellStyle name="Normal 5 2 2 3 7 2 2 2 3" xfId="14003" xr:uid="{00000000-0005-0000-0000-00006D1E0000}"/>
    <cellStyle name="Normal 5 2 2 3 7 2 2 3" xfId="17631" xr:uid="{00000000-0005-0000-0000-00006E1E0000}"/>
    <cellStyle name="Normal 5 2 2 3 7 2 2 4" xfId="10375" xr:uid="{00000000-0005-0000-0000-00006F1E0000}"/>
    <cellStyle name="Normal 5 2 2 3 7 2 3" xfId="4933" xr:uid="{00000000-0005-0000-0000-0000701E0000}"/>
    <cellStyle name="Normal 5 2 2 3 7 2 3 2" xfId="19445" xr:uid="{00000000-0005-0000-0000-0000711E0000}"/>
    <cellStyle name="Normal 5 2 2 3 7 2 3 3" xfId="12189" xr:uid="{00000000-0005-0000-0000-0000721E0000}"/>
    <cellStyle name="Normal 5 2 2 3 7 2 4" xfId="15817" xr:uid="{00000000-0005-0000-0000-0000731E0000}"/>
    <cellStyle name="Normal 5 2 2 3 7 2 5" xfId="8561" xr:uid="{00000000-0005-0000-0000-0000741E0000}"/>
    <cellStyle name="Normal 5 2 2 3 7 3" xfId="2212" xr:uid="{00000000-0005-0000-0000-0000751E0000}"/>
    <cellStyle name="Normal 5 2 2 3 7 3 2" xfId="5840" xr:uid="{00000000-0005-0000-0000-0000761E0000}"/>
    <cellStyle name="Normal 5 2 2 3 7 3 2 2" xfId="20352" xr:uid="{00000000-0005-0000-0000-0000771E0000}"/>
    <cellStyle name="Normal 5 2 2 3 7 3 2 3" xfId="13096" xr:uid="{00000000-0005-0000-0000-0000781E0000}"/>
    <cellStyle name="Normal 5 2 2 3 7 3 3" xfId="16724" xr:uid="{00000000-0005-0000-0000-0000791E0000}"/>
    <cellStyle name="Normal 5 2 2 3 7 3 4" xfId="9468" xr:uid="{00000000-0005-0000-0000-00007A1E0000}"/>
    <cellStyle name="Normal 5 2 2 3 7 4" xfId="4026" xr:uid="{00000000-0005-0000-0000-00007B1E0000}"/>
    <cellStyle name="Normal 5 2 2 3 7 4 2" xfId="18538" xr:uid="{00000000-0005-0000-0000-00007C1E0000}"/>
    <cellStyle name="Normal 5 2 2 3 7 4 3" xfId="11282" xr:uid="{00000000-0005-0000-0000-00007D1E0000}"/>
    <cellStyle name="Normal 5 2 2 3 7 5" xfId="14910" xr:uid="{00000000-0005-0000-0000-00007E1E0000}"/>
    <cellStyle name="Normal 5 2 2 3 7 6" xfId="7654" xr:uid="{00000000-0005-0000-0000-00007F1E0000}"/>
    <cellStyle name="Normal 5 2 2 3 8" xfId="877" xr:uid="{00000000-0005-0000-0000-0000801E0000}"/>
    <cellStyle name="Normal 5 2 2 3 8 2" xfId="1785" xr:uid="{00000000-0005-0000-0000-0000811E0000}"/>
    <cellStyle name="Normal 5 2 2 3 8 2 2" xfId="3599" xr:uid="{00000000-0005-0000-0000-0000821E0000}"/>
    <cellStyle name="Normal 5 2 2 3 8 2 2 2" xfId="7227" xr:uid="{00000000-0005-0000-0000-0000831E0000}"/>
    <cellStyle name="Normal 5 2 2 3 8 2 2 2 2" xfId="21739" xr:uid="{00000000-0005-0000-0000-0000841E0000}"/>
    <cellStyle name="Normal 5 2 2 3 8 2 2 2 3" xfId="14483" xr:uid="{00000000-0005-0000-0000-0000851E0000}"/>
    <cellStyle name="Normal 5 2 2 3 8 2 2 3" xfId="18111" xr:uid="{00000000-0005-0000-0000-0000861E0000}"/>
    <cellStyle name="Normal 5 2 2 3 8 2 2 4" xfId="10855" xr:uid="{00000000-0005-0000-0000-0000871E0000}"/>
    <cellStyle name="Normal 5 2 2 3 8 2 3" xfId="5413" xr:uid="{00000000-0005-0000-0000-0000881E0000}"/>
    <cellStyle name="Normal 5 2 2 3 8 2 3 2" xfId="19925" xr:uid="{00000000-0005-0000-0000-0000891E0000}"/>
    <cellStyle name="Normal 5 2 2 3 8 2 3 3" xfId="12669" xr:uid="{00000000-0005-0000-0000-00008A1E0000}"/>
    <cellStyle name="Normal 5 2 2 3 8 2 4" xfId="16297" xr:uid="{00000000-0005-0000-0000-00008B1E0000}"/>
    <cellStyle name="Normal 5 2 2 3 8 2 5" xfId="9041" xr:uid="{00000000-0005-0000-0000-00008C1E0000}"/>
    <cellStyle name="Normal 5 2 2 3 8 3" xfId="2692" xr:uid="{00000000-0005-0000-0000-00008D1E0000}"/>
    <cellStyle name="Normal 5 2 2 3 8 3 2" xfId="6320" xr:uid="{00000000-0005-0000-0000-00008E1E0000}"/>
    <cellStyle name="Normal 5 2 2 3 8 3 2 2" xfId="20832" xr:uid="{00000000-0005-0000-0000-00008F1E0000}"/>
    <cellStyle name="Normal 5 2 2 3 8 3 2 3" xfId="13576" xr:uid="{00000000-0005-0000-0000-0000901E0000}"/>
    <cellStyle name="Normal 5 2 2 3 8 3 3" xfId="17204" xr:uid="{00000000-0005-0000-0000-0000911E0000}"/>
    <cellStyle name="Normal 5 2 2 3 8 3 4" xfId="9948" xr:uid="{00000000-0005-0000-0000-0000921E0000}"/>
    <cellStyle name="Normal 5 2 2 3 8 4" xfId="4506" xr:uid="{00000000-0005-0000-0000-0000931E0000}"/>
    <cellStyle name="Normal 5 2 2 3 8 4 2" xfId="19018" xr:uid="{00000000-0005-0000-0000-0000941E0000}"/>
    <cellStyle name="Normal 5 2 2 3 8 4 3" xfId="11762" xr:uid="{00000000-0005-0000-0000-0000951E0000}"/>
    <cellStyle name="Normal 5 2 2 3 8 5" xfId="15390" xr:uid="{00000000-0005-0000-0000-0000961E0000}"/>
    <cellStyle name="Normal 5 2 2 3 8 6" xfId="8134" xr:uid="{00000000-0005-0000-0000-0000971E0000}"/>
    <cellStyle name="Normal 5 2 2 3 9" xfId="959" xr:uid="{00000000-0005-0000-0000-0000981E0000}"/>
    <cellStyle name="Normal 5 2 2 3 9 2" xfId="2773" xr:uid="{00000000-0005-0000-0000-0000991E0000}"/>
    <cellStyle name="Normal 5 2 2 3 9 2 2" xfId="6401" xr:uid="{00000000-0005-0000-0000-00009A1E0000}"/>
    <cellStyle name="Normal 5 2 2 3 9 2 2 2" xfId="20913" xr:uid="{00000000-0005-0000-0000-00009B1E0000}"/>
    <cellStyle name="Normal 5 2 2 3 9 2 2 3" xfId="13657" xr:uid="{00000000-0005-0000-0000-00009C1E0000}"/>
    <cellStyle name="Normal 5 2 2 3 9 2 3" xfId="17285" xr:uid="{00000000-0005-0000-0000-00009D1E0000}"/>
    <cellStyle name="Normal 5 2 2 3 9 2 4" xfId="10029" xr:uid="{00000000-0005-0000-0000-00009E1E0000}"/>
    <cellStyle name="Normal 5 2 2 3 9 3" xfId="4587" xr:uid="{00000000-0005-0000-0000-00009F1E0000}"/>
    <cellStyle name="Normal 5 2 2 3 9 3 2" xfId="19099" xr:uid="{00000000-0005-0000-0000-0000A01E0000}"/>
    <cellStyle name="Normal 5 2 2 3 9 3 3" xfId="11843" xr:uid="{00000000-0005-0000-0000-0000A11E0000}"/>
    <cellStyle name="Normal 5 2 2 3 9 4" xfId="15471" xr:uid="{00000000-0005-0000-0000-0000A21E0000}"/>
    <cellStyle name="Normal 5 2 2 3 9 5" xfId="8215" xr:uid="{00000000-0005-0000-0000-0000A31E0000}"/>
    <cellStyle name="Normal 5 2 2 4" xfId="70" xr:uid="{00000000-0005-0000-0000-0000A41E0000}"/>
    <cellStyle name="Normal 5 2 2 4 10" xfId="14585" xr:uid="{00000000-0005-0000-0000-0000A51E0000}"/>
    <cellStyle name="Normal 5 2 2 4 11" xfId="7329" xr:uid="{00000000-0005-0000-0000-0000A61E0000}"/>
    <cellStyle name="Normal 5 2 2 4 2" xfId="158" xr:uid="{00000000-0005-0000-0000-0000A71E0000}"/>
    <cellStyle name="Normal 5 2 2 4 2 2" xfId="504" xr:uid="{00000000-0005-0000-0000-0000A81E0000}"/>
    <cellStyle name="Normal 5 2 2 4 2 2 2" xfId="1412" xr:uid="{00000000-0005-0000-0000-0000A91E0000}"/>
    <cellStyle name="Normal 5 2 2 4 2 2 2 2" xfId="3226" xr:uid="{00000000-0005-0000-0000-0000AA1E0000}"/>
    <cellStyle name="Normal 5 2 2 4 2 2 2 2 2" xfId="6854" xr:uid="{00000000-0005-0000-0000-0000AB1E0000}"/>
    <cellStyle name="Normal 5 2 2 4 2 2 2 2 2 2" xfId="21366" xr:uid="{00000000-0005-0000-0000-0000AC1E0000}"/>
    <cellStyle name="Normal 5 2 2 4 2 2 2 2 2 3" xfId="14110" xr:uid="{00000000-0005-0000-0000-0000AD1E0000}"/>
    <cellStyle name="Normal 5 2 2 4 2 2 2 2 3" xfId="17738" xr:uid="{00000000-0005-0000-0000-0000AE1E0000}"/>
    <cellStyle name="Normal 5 2 2 4 2 2 2 2 4" xfId="10482" xr:uid="{00000000-0005-0000-0000-0000AF1E0000}"/>
    <cellStyle name="Normal 5 2 2 4 2 2 2 3" xfId="5040" xr:uid="{00000000-0005-0000-0000-0000B01E0000}"/>
    <cellStyle name="Normal 5 2 2 4 2 2 2 3 2" xfId="19552" xr:uid="{00000000-0005-0000-0000-0000B11E0000}"/>
    <cellStyle name="Normal 5 2 2 4 2 2 2 3 3" xfId="12296" xr:uid="{00000000-0005-0000-0000-0000B21E0000}"/>
    <cellStyle name="Normal 5 2 2 4 2 2 2 4" xfId="15924" xr:uid="{00000000-0005-0000-0000-0000B31E0000}"/>
    <cellStyle name="Normal 5 2 2 4 2 2 2 5" xfId="8668" xr:uid="{00000000-0005-0000-0000-0000B41E0000}"/>
    <cellStyle name="Normal 5 2 2 4 2 2 3" xfId="2319" xr:uid="{00000000-0005-0000-0000-0000B51E0000}"/>
    <cellStyle name="Normal 5 2 2 4 2 2 3 2" xfId="5947" xr:uid="{00000000-0005-0000-0000-0000B61E0000}"/>
    <cellStyle name="Normal 5 2 2 4 2 2 3 2 2" xfId="20459" xr:uid="{00000000-0005-0000-0000-0000B71E0000}"/>
    <cellStyle name="Normal 5 2 2 4 2 2 3 2 3" xfId="13203" xr:uid="{00000000-0005-0000-0000-0000B81E0000}"/>
    <cellStyle name="Normal 5 2 2 4 2 2 3 3" xfId="16831" xr:uid="{00000000-0005-0000-0000-0000B91E0000}"/>
    <cellStyle name="Normal 5 2 2 4 2 2 3 4" xfId="9575" xr:uid="{00000000-0005-0000-0000-0000BA1E0000}"/>
    <cellStyle name="Normal 5 2 2 4 2 2 4" xfId="4133" xr:uid="{00000000-0005-0000-0000-0000BB1E0000}"/>
    <cellStyle name="Normal 5 2 2 4 2 2 4 2" xfId="18645" xr:uid="{00000000-0005-0000-0000-0000BC1E0000}"/>
    <cellStyle name="Normal 5 2 2 4 2 2 4 3" xfId="11389" xr:uid="{00000000-0005-0000-0000-0000BD1E0000}"/>
    <cellStyle name="Normal 5 2 2 4 2 2 5" xfId="15017" xr:uid="{00000000-0005-0000-0000-0000BE1E0000}"/>
    <cellStyle name="Normal 5 2 2 4 2 2 6" xfId="7761" xr:uid="{00000000-0005-0000-0000-0000BF1E0000}"/>
    <cellStyle name="Normal 5 2 2 4 2 3" xfId="1066" xr:uid="{00000000-0005-0000-0000-0000C01E0000}"/>
    <cellStyle name="Normal 5 2 2 4 2 3 2" xfId="2880" xr:uid="{00000000-0005-0000-0000-0000C11E0000}"/>
    <cellStyle name="Normal 5 2 2 4 2 3 2 2" xfId="6508" xr:uid="{00000000-0005-0000-0000-0000C21E0000}"/>
    <cellStyle name="Normal 5 2 2 4 2 3 2 2 2" xfId="21020" xr:uid="{00000000-0005-0000-0000-0000C31E0000}"/>
    <cellStyle name="Normal 5 2 2 4 2 3 2 2 3" xfId="13764" xr:uid="{00000000-0005-0000-0000-0000C41E0000}"/>
    <cellStyle name="Normal 5 2 2 4 2 3 2 3" xfId="17392" xr:uid="{00000000-0005-0000-0000-0000C51E0000}"/>
    <cellStyle name="Normal 5 2 2 4 2 3 2 4" xfId="10136" xr:uid="{00000000-0005-0000-0000-0000C61E0000}"/>
    <cellStyle name="Normal 5 2 2 4 2 3 3" xfId="4694" xr:uid="{00000000-0005-0000-0000-0000C71E0000}"/>
    <cellStyle name="Normal 5 2 2 4 2 3 3 2" xfId="19206" xr:uid="{00000000-0005-0000-0000-0000C81E0000}"/>
    <cellStyle name="Normal 5 2 2 4 2 3 3 3" xfId="11950" xr:uid="{00000000-0005-0000-0000-0000C91E0000}"/>
    <cellStyle name="Normal 5 2 2 4 2 3 4" xfId="15578" xr:uid="{00000000-0005-0000-0000-0000CA1E0000}"/>
    <cellStyle name="Normal 5 2 2 4 2 3 5" xfId="8322" xr:uid="{00000000-0005-0000-0000-0000CB1E0000}"/>
    <cellStyle name="Normal 5 2 2 4 2 4" xfId="1973" xr:uid="{00000000-0005-0000-0000-0000CC1E0000}"/>
    <cellStyle name="Normal 5 2 2 4 2 4 2" xfId="5601" xr:uid="{00000000-0005-0000-0000-0000CD1E0000}"/>
    <cellStyle name="Normal 5 2 2 4 2 4 2 2" xfId="20113" xr:uid="{00000000-0005-0000-0000-0000CE1E0000}"/>
    <cellStyle name="Normal 5 2 2 4 2 4 2 3" xfId="12857" xr:uid="{00000000-0005-0000-0000-0000CF1E0000}"/>
    <cellStyle name="Normal 5 2 2 4 2 4 3" xfId="16485" xr:uid="{00000000-0005-0000-0000-0000D01E0000}"/>
    <cellStyle name="Normal 5 2 2 4 2 4 4" xfId="9229" xr:uid="{00000000-0005-0000-0000-0000D11E0000}"/>
    <cellStyle name="Normal 5 2 2 4 2 5" xfId="3787" xr:uid="{00000000-0005-0000-0000-0000D21E0000}"/>
    <cellStyle name="Normal 5 2 2 4 2 5 2" xfId="18299" xr:uid="{00000000-0005-0000-0000-0000D31E0000}"/>
    <cellStyle name="Normal 5 2 2 4 2 5 3" xfId="11043" xr:uid="{00000000-0005-0000-0000-0000D41E0000}"/>
    <cellStyle name="Normal 5 2 2 4 2 6" xfId="14671" xr:uid="{00000000-0005-0000-0000-0000D51E0000}"/>
    <cellStyle name="Normal 5 2 2 4 2 7" xfId="7415" xr:uid="{00000000-0005-0000-0000-0000D61E0000}"/>
    <cellStyle name="Normal 5 2 2 4 3" xfId="288" xr:uid="{00000000-0005-0000-0000-0000D71E0000}"/>
    <cellStyle name="Normal 5 2 2 4 3 2" xfId="634" xr:uid="{00000000-0005-0000-0000-0000D81E0000}"/>
    <cellStyle name="Normal 5 2 2 4 3 2 2" xfId="1542" xr:uid="{00000000-0005-0000-0000-0000D91E0000}"/>
    <cellStyle name="Normal 5 2 2 4 3 2 2 2" xfId="3356" xr:uid="{00000000-0005-0000-0000-0000DA1E0000}"/>
    <cellStyle name="Normal 5 2 2 4 3 2 2 2 2" xfId="6984" xr:uid="{00000000-0005-0000-0000-0000DB1E0000}"/>
    <cellStyle name="Normal 5 2 2 4 3 2 2 2 2 2" xfId="21496" xr:uid="{00000000-0005-0000-0000-0000DC1E0000}"/>
    <cellStyle name="Normal 5 2 2 4 3 2 2 2 2 3" xfId="14240" xr:uid="{00000000-0005-0000-0000-0000DD1E0000}"/>
    <cellStyle name="Normal 5 2 2 4 3 2 2 2 3" xfId="17868" xr:uid="{00000000-0005-0000-0000-0000DE1E0000}"/>
    <cellStyle name="Normal 5 2 2 4 3 2 2 2 4" xfId="10612" xr:uid="{00000000-0005-0000-0000-0000DF1E0000}"/>
    <cellStyle name="Normal 5 2 2 4 3 2 2 3" xfId="5170" xr:uid="{00000000-0005-0000-0000-0000E01E0000}"/>
    <cellStyle name="Normal 5 2 2 4 3 2 2 3 2" xfId="19682" xr:uid="{00000000-0005-0000-0000-0000E11E0000}"/>
    <cellStyle name="Normal 5 2 2 4 3 2 2 3 3" xfId="12426" xr:uid="{00000000-0005-0000-0000-0000E21E0000}"/>
    <cellStyle name="Normal 5 2 2 4 3 2 2 4" xfId="16054" xr:uid="{00000000-0005-0000-0000-0000E31E0000}"/>
    <cellStyle name="Normal 5 2 2 4 3 2 2 5" xfId="8798" xr:uid="{00000000-0005-0000-0000-0000E41E0000}"/>
    <cellStyle name="Normal 5 2 2 4 3 2 3" xfId="2449" xr:uid="{00000000-0005-0000-0000-0000E51E0000}"/>
    <cellStyle name="Normal 5 2 2 4 3 2 3 2" xfId="6077" xr:uid="{00000000-0005-0000-0000-0000E61E0000}"/>
    <cellStyle name="Normal 5 2 2 4 3 2 3 2 2" xfId="20589" xr:uid="{00000000-0005-0000-0000-0000E71E0000}"/>
    <cellStyle name="Normal 5 2 2 4 3 2 3 2 3" xfId="13333" xr:uid="{00000000-0005-0000-0000-0000E81E0000}"/>
    <cellStyle name="Normal 5 2 2 4 3 2 3 3" xfId="16961" xr:uid="{00000000-0005-0000-0000-0000E91E0000}"/>
    <cellStyle name="Normal 5 2 2 4 3 2 3 4" xfId="9705" xr:uid="{00000000-0005-0000-0000-0000EA1E0000}"/>
    <cellStyle name="Normal 5 2 2 4 3 2 4" xfId="4263" xr:uid="{00000000-0005-0000-0000-0000EB1E0000}"/>
    <cellStyle name="Normal 5 2 2 4 3 2 4 2" xfId="18775" xr:uid="{00000000-0005-0000-0000-0000EC1E0000}"/>
    <cellStyle name="Normal 5 2 2 4 3 2 4 3" xfId="11519" xr:uid="{00000000-0005-0000-0000-0000ED1E0000}"/>
    <cellStyle name="Normal 5 2 2 4 3 2 5" xfId="15147" xr:uid="{00000000-0005-0000-0000-0000EE1E0000}"/>
    <cellStyle name="Normal 5 2 2 4 3 2 6" xfId="7891" xr:uid="{00000000-0005-0000-0000-0000EF1E0000}"/>
    <cellStyle name="Normal 5 2 2 4 3 3" xfId="1196" xr:uid="{00000000-0005-0000-0000-0000F01E0000}"/>
    <cellStyle name="Normal 5 2 2 4 3 3 2" xfId="3010" xr:uid="{00000000-0005-0000-0000-0000F11E0000}"/>
    <cellStyle name="Normal 5 2 2 4 3 3 2 2" xfId="6638" xr:uid="{00000000-0005-0000-0000-0000F21E0000}"/>
    <cellStyle name="Normal 5 2 2 4 3 3 2 2 2" xfId="21150" xr:uid="{00000000-0005-0000-0000-0000F31E0000}"/>
    <cellStyle name="Normal 5 2 2 4 3 3 2 2 3" xfId="13894" xr:uid="{00000000-0005-0000-0000-0000F41E0000}"/>
    <cellStyle name="Normal 5 2 2 4 3 3 2 3" xfId="17522" xr:uid="{00000000-0005-0000-0000-0000F51E0000}"/>
    <cellStyle name="Normal 5 2 2 4 3 3 2 4" xfId="10266" xr:uid="{00000000-0005-0000-0000-0000F61E0000}"/>
    <cellStyle name="Normal 5 2 2 4 3 3 3" xfId="4824" xr:uid="{00000000-0005-0000-0000-0000F71E0000}"/>
    <cellStyle name="Normal 5 2 2 4 3 3 3 2" xfId="19336" xr:uid="{00000000-0005-0000-0000-0000F81E0000}"/>
    <cellStyle name="Normal 5 2 2 4 3 3 3 3" xfId="12080" xr:uid="{00000000-0005-0000-0000-0000F91E0000}"/>
    <cellStyle name="Normal 5 2 2 4 3 3 4" xfId="15708" xr:uid="{00000000-0005-0000-0000-0000FA1E0000}"/>
    <cellStyle name="Normal 5 2 2 4 3 3 5" xfId="8452" xr:uid="{00000000-0005-0000-0000-0000FB1E0000}"/>
    <cellStyle name="Normal 5 2 2 4 3 4" xfId="2103" xr:uid="{00000000-0005-0000-0000-0000FC1E0000}"/>
    <cellStyle name="Normal 5 2 2 4 3 4 2" xfId="5731" xr:uid="{00000000-0005-0000-0000-0000FD1E0000}"/>
    <cellStyle name="Normal 5 2 2 4 3 4 2 2" xfId="20243" xr:uid="{00000000-0005-0000-0000-0000FE1E0000}"/>
    <cellStyle name="Normal 5 2 2 4 3 4 2 3" xfId="12987" xr:uid="{00000000-0005-0000-0000-0000FF1E0000}"/>
    <cellStyle name="Normal 5 2 2 4 3 4 3" xfId="16615" xr:uid="{00000000-0005-0000-0000-0000001F0000}"/>
    <cellStyle name="Normal 5 2 2 4 3 4 4" xfId="9359" xr:uid="{00000000-0005-0000-0000-0000011F0000}"/>
    <cellStyle name="Normal 5 2 2 4 3 5" xfId="3917" xr:uid="{00000000-0005-0000-0000-0000021F0000}"/>
    <cellStyle name="Normal 5 2 2 4 3 5 2" xfId="18429" xr:uid="{00000000-0005-0000-0000-0000031F0000}"/>
    <cellStyle name="Normal 5 2 2 4 3 5 3" xfId="11173" xr:uid="{00000000-0005-0000-0000-0000041F0000}"/>
    <cellStyle name="Normal 5 2 2 4 3 6" xfId="14801" xr:uid="{00000000-0005-0000-0000-0000051F0000}"/>
    <cellStyle name="Normal 5 2 2 4 3 7" xfId="7545" xr:uid="{00000000-0005-0000-0000-0000061F0000}"/>
    <cellStyle name="Normal 5 2 2 4 4" xfId="764" xr:uid="{00000000-0005-0000-0000-0000071F0000}"/>
    <cellStyle name="Normal 5 2 2 4 4 2" xfId="1672" xr:uid="{00000000-0005-0000-0000-0000081F0000}"/>
    <cellStyle name="Normal 5 2 2 4 4 2 2" xfId="3486" xr:uid="{00000000-0005-0000-0000-0000091F0000}"/>
    <cellStyle name="Normal 5 2 2 4 4 2 2 2" xfId="7114" xr:uid="{00000000-0005-0000-0000-00000A1F0000}"/>
    <cellStyle name="Normal 5 2 2 4 4 2 2 2 2" xfId="21626" xr:uid="{00000000-0005-0000-0000-00000B1F0000}"/>
    <cellStyle name="Normal 5 2 2 4 4 2 2 2 3" xfId="14370" xr:uid="{00000000-0005-0000-0000-00000C1F0000}"/>
    <cellStyle name="Normal 5 2 2 4 4 2 2 3" xfId="17998" xr:uid="{00000000-0005-0000-0000-00000D1F0000}"/>
    <cellStyle name="Normal 5 2 2 4 4 2 2 4" xfId="10742" xr:uid="{00000000-0005-0000-0000-00000E1F0000}"/>
    <cellStyle name="Normal 5 2 2 4 4 2 3" xfId="5300" xr:uid="{00000000-0005-0000-0000-00000F1F0000}"/>
    <cellStyle name="Normal 5 2 2 4 4 2 3 2" xfId="19812" xr:uid="{00000000-0005-0000-0000-0000101F0000}"/>
    <cellStyle name="Normal 5 2 2 4 4 2 3 3" xfId="12556" xr:uid="{00000000-0005-0000-0000-0000111F0000}"/>
    <cellStyle name="Normal 5 2 2 4 4 2 4" xfId="16184" xr:uid="{00000000-0005-0000-0000-0000121F0000}"/>
    <cellStyle name="Normal 5 2 2 4 4 2 5" xfId="8928" xr:uid="{00000000-0005-0000-0000-0000131F0000}"/>
    <cellStyle name="Normal 5 2 2 4 4 3" xfId="2579" xr:uid="{00000000-0005-0000-0000-0000141F0000}"/>
    <cellStyle name="Normal 5 2 2 4 4 3 2" xfId="6207" xr:uid="{00000000-0005-0000-0000-0000151F0000}"/>
    <cellStyle name="Normal 5 2 2 4 4 3 2 2" xfId="20719" xr:uid="{00000000-0005-0000-0000-0000161F0000}"/>
    <cellStyle name="Normal 5 2 2 4 4 3 2 3" xfId="13463" xr:uid="{00000000-0005-0000-0000-0000171F0000}"/>
    <cellStyle name="Normal 5 2 2 4 4 3 3" xfId="17091" xr:uid="{00000000-0005-0000-0000-0000181F0000}"/>
    <cellStyle name="Normal 5 2 2 4 4 3 4" xfId="9835" xr:uid="{00000000-0005-0000-0000-0000191F0000}"/>
    <cellStyle name="Normal 5 2 2 4 4 4" xfId="4393" xr:uid="{00000000-0005-0000-0000-00001A1F0000}"/>
    <cellStyle name="Normal 5 2 2 4 4 4 2" xfId="18905" xr:uid="{00000000-0005-0000-0000-00001B1F0000}"/>
    <cellStyle name="Normal 5 2 2 4 4 4 3" xfId="11649" xr:uid="{00000000-0005-0000-0000-00001C1F0000}"/>
    <cellStyle name="Normal 5 2 2 4 4 5" xfId="15277" xr:uid="{00000000-0005-0000-0000-00001D1F0000}"/>
    <cellStyle name="Normal 5 2 2 4 4 6" xfId="8021" xr:uid="{00000000-0005-0000-0000-00001E1F0000}"/>
    <cellStyle name="Normal 5 2 2 4 5" xfId="418" xr:uid="{00000000-0005-0000-0000-00001F1F0000}"/>
    <cellStyle name="Normal 5 2 2 4 5 2" xfId="1326" xr:uid="{00000000-0005-0000-0000-0000201F0000}"/>
    <cellStyle name="Normal 5 2 2 4 5 2 2" xfId="3140" xr:uid="{00000000-0005-0000-0000-0000211F0000}"/>
    <cellStyle name="Normal 5 2 2 4 5 2 2 2" xfId="6768" xr:uid="{00000000-0005-0000-0000-0000221F0000}"/>
    <cellStyle name="Normal 5 2 2 4 5 2 2 2 2" xfId="21280" xr:uid="{00000000-0005-0000-0000-0000231F0000}"/>
    <cellStyle name="Normal 5 2 2 4 5 2 2 2 3" xfId="14024" xr:uid="{00000000-0005-0000-0000-0000241F0000}"/>
    <cellStyle name="Normal 5 2 2 4 5 2 2 3" xfId="17652" xr:uid="{00000000-0005-0000-0000-0000251F0000}"/>
    <cellStyle name="Normal 5 2 2 4 5 2 2 4" xfId="10396" xr:uid="{00000000-0005-0000-0000-0000261F0000}"/>
    <cellStyle name="Normal 5 2 2 4 5 2 3" xfId="4954" xr:uid="{00000000-0005-0000-0000-0000271F0000}"/>
    <cellStyle name="Normal 5 2 2 4 5 2 3 2" xfId="19466" xr:uid="{00000000-0005-0000-0000-0000281F0000}"/>
    <cellStyle name="Normal 5 2 2 4 5 2 3 3" xfId="12210" xr:uid="{00000000-0005-0000-0000-0000291F0000}"/>
    <cellStyle name="Normal 5 2 2 4 5 2 4" xfId="15838" xr:uid="{00000000-0005-0000-0000-00002A1F0000}"/>
    <cellStyle name="Normal 5 2 2 4 5 2 5" xfId="8582" xr:uid="{00000000-0005-0000-0000-00002B1F0000}"/>
    <cellStyle name="Normal 5 2 2 4 5 3" xfId="2233" xr:uid="{00000000-0005-0000-0000-00002C1F0000}"/>
    <cellStyle name="Normal 5 2 2 4 5 3 2" xfId="5861" xr:uid="{00000000-0005-0000-0000-00002D1F0000}"/>
    <cellStyle name="Normal 5 2 2 4 5 3 2 2" xfId="20373" xr:uid="{00000000-0005-0000-0000-00002E1F0000}"/>
    <cellStyle name="Normal 5 2 2 4 5 3 2 3" xfId="13117" xr:uid="{00000000-0005-0000-0000-00002F1F0000}"/>
    <cellStyle name="Normal 5 2 2 4 5 3 3" xfId="16745" xr:uid="{00000000-0005-0000-0000-0000301F0000}"/>
    <cellStyle name="Normal 5 2 2 4 5 3 4" xfId="9489" xr:uid="{00000000-0005-0000-0000-0000311F0000}"/>
    <cellStyle name="Normal 5 2 2 4 5 4" xfId="4047" xr:uid="{00000000-0005-0000-0000-0000321F0000}"/>
    <cellStyle name="Normal 5 2 2 4 5 4 2" xfId="18559" xr:uid="{00000000-0005-0000-0000-0000331F0000}"/>
    <cellStyle name="Normal 5 2 2 4 5 4 3" xfId="11303" xr:uid="{00000000-0005-0000-0000-0000341F0000}"/>
    <cellStyle name="Normal 5 2 2 4 5 5" xfId="14931" xr:uid="{00000000-0005-0000-0000-0000351F0000}"/>
    <cellStyle name="Normal 5 2 2 4 5 6" xfId="7675" xr:uid="{00000000-0005-0000-0000-0000361F0000}"/>
    <cellStyle name="Normal 5 2 2 4 6" xfId="895" xr:uid="{00000000-0005-0000-0000-0000371F0000}"/>
    <cellStyle name="Normal 5 2 2 4 6 2" xfId="1803" xr:uid="{00000000-0005-0000-0000-0000381F0000}"/>
    <cellStyle name="Normal 5 2 2 4 6 2 2" xfId="3617" xr:uid="{00000000-0005-0000-0000-0000391F0000}"/>
    <cellStyle name="Normal 5 2 2 4 6 2 2 2" xfId="7245" xr:uid="{00000000-0005-0000-0000-00003A1F0000}"/>
    <cellStyle name="Normal 5 2 2 4 6 2 2 2 2" xfId="21757" xr:uid="{00000000-0005-0000-0000-00003B1F0000}"/>
    <cellStyle name="Normal 5 2 2 4 6 2 2 2 3" xfId="14501" xr:uid="{00000000-0005-0000-0000-00003C1F0000}"/>
    <cellStyle name="Normal 5 2 2 4 6 2 2 3" xfId="18129" xr:uid="{00000000-0005-0000-0000-00003D1F0000}"/>
    <cellStyle name="Normal 5 2 2 4 6 2 2 4" xfId="10873" xr:uid="{00000000-0005-0000-0000-00003E1F0000}"/>
    <cellStyle name="Normal 5 2 2 4 6 2 3" xfId="5431" xr:uid="{00000000-0005-0000-0000-00003F1F0000}"/>
    <cellStyle name="Normal 5 2 2 4 6 2 3 2" xfId="19943" xr:uid="{00000000-0005-0000-0000-0000401F0000}"/>
    <cellStyle name="Normal 5 2 2 4 6 2 3 3" xfId="12687" xr:uid="{00000000-0005-0000-0000-0000411F0000}"/>
    <cellStyle name="Normal 5 2 2 4 6 2 4" xfId="16315" xr:uid="{00000000-0005-0000-0000-0000421F0000}"/>
    <cellStyle name="Normal 5 2 2 4 6 2 5" xfId="9059" xr:uid="{00000000-0005-0000-0000-0000431F0000}"/>
    <cellStyle name="Normal 5 2 2 4 6 3" xfId="2710" xr:uid="{00000000-0005-0000-0000-0000441F0000}"/>
    <cellStyle name="Normal 5 2 2 4 6 3 2" xfId="6338" xr:uid="{00000000-0005-0000-0000-0000451F0000}"/>
    <cellStyle name="Normal 5 2 2 4 6 3 2 2" xfId="20850" xr:uid="{00000000-0005-0000-0000-0000461F0000}"/>
    <cellStyle name="Normal 5 2 2 4 6 3 2 3" xfId="13594" xr:uid="{00000000-0005-0000-0000-0000471F0000}"/>
    <cellStyle name="Normal 5 2 2 4 6 3 3" xfId="17222" xr:uid="{00000000-0005-0000-0000-0000481F0000}"/>
    <cellStyle name="Normal 5 2 2 4 6 3 4" xfId="9966" xr:uid="{00000000-0005-0000-0000-0000491F0000}"/>
    <cellStyle name="Normal 5 2 2 4 6 4" xfId="4524" xr:uid="{00000000-0005-0000-0000-00004A1F0000}"/>
    <cellStyle name="Normal 5 2 2 4 6 4 2" xfId="19036" xr:uid="{00000000-0005-0000-0000-00004B1F0000}"/>
    <cellStyle name="Normal 5 2 2 4 6 4 3" xfId="11780" xr:uid="{00000000-0005-0000-0000-00004C1F0000}"/>
    <cellStyle name="Normal 5 2 2 4 6 5" xfId="15408" xr:uid="{00000000-0005-0000-0000-00004D1F0000}"/>
    <cellStyle name="Normal 5 2 2 4 6 6" xfId="8152" xr:uid="{00000000-0005-0000-0000-00004E1F0000}"/>
    <cellStyle name="Normal 5 2 2 4 7" xfId="980" xr:uid="{00000000-0005-0000-0000-00004F1F0000}"/>
    <cellStyle name="Normal 5 2 2 4 7 2" xfId="2794" xr:uid="{00000000-0005-0000-0000-0000501F0000}"/>
    <cellStyle name="Normal 5 2 2 4 7 2 2" xfId="6422" xr:uid="{00000000-0005-0000-0000-0000511F0000}"/>
    <cellStyle name="Normal 5 2 2 4 7 2 2 2" xfId="20934" xr:uid="{00000000-0005-0000-0000-0000521F0000}"/>
    <cellStyle name="Normal 5 2 2 4 7 2 2 3" xfId="13678" xr:uid="{00000000-0005-0000-0000-0000531F0000}"/>
    <cellStyle name="Normal 5 2 2 4 7 2 3" xfId="17306" xr:uid="{00000000-0005-0000-0000-0000541F0000}"/>
    <cellStyle name="Normal 5 2 2 4 7 2 4" xfId="10050" xr:uid="{00000000-0005-0000-0000-0000551F0000}"/>
    <cellStyle name="Normal 5 2 2 4 7 3" xfId="4608" xr:uid="{00000000-0005-0000-0000-0000561F0000}"/>
    <cellStyle name="Normal 5 2 2 4 7 3 2" xfId="19120" xr:uid="{00000000-0005-0000-0000-0000571F0000}"/>
    <cellStyle name="Normal 5 2 2 4 7 3 3" xfId="11864" xr:uid="{00000000-0005-0000-0000-0000581F0000}"/>
    <cellStyle name="Normal 5 2 2 4 7 4" xfId="15492" xr:uid="{00000000-0005-0000-0000-0000591F0000}"/>
    <cellStyle name="Normal 5 2 2 4 7 5" xfId="8236" xr:uid="{00000000-0005-0000-0000-00005A1F0000}"/>
    <cellStyle name="Normal 5 2 2 4 8" xfId="1887" xr:uid="{00000000-0005-0000-0000-00005B1F0000}"/>
    <cellStyle name="Normal 5 2 2 4 8 2" xfId="5515" xr:uid="{00000000-0005-0000-0000-00005C1F0000}"/>
    <cellStyle name="Normal 5 2 2 4 8 2 2" xfId="20027" xr:uid="{00000000-0005-0000-0000-00005D1F0000}"/>
    <cellStyle name="Normal 5 2 2 4 8 2 3" xfId="12771" xr:uid="{00000000-0005-0000-0000-00005E1F0000}"/>
    <cellStyle name="Normal 5 2 2 4 8 3" xfId="16399" xr:uid="{00000000-0005-0000-0000-00005F1F0000}"/>
    <cellStyle name="Normal 5 2 2 4 8 4" xfId="9143" xr:uid="{00000000-0005-0000-0000-0000601F0000}"/>
    <cellStyle name="Normal 5 2 2 4 9" xfId="3701" xr:uid="{00000000-0005-0000-0000-0000611F0000}"/>
    <cellStyle name="Normal 5 2 2 4 9 2" xfId="18213" xr:uid="{00000000-0005-0000-0000-0000621F0000}"/>
    <cellStyle name="Normal 5 2 2 4 9 3" xfId="10957" xr:uid="{00000000-0005-0000-0000-0000631F0000}"/>
    <cellStyle name="Normal 5 2 2 5" xfId="202" xr:uid="{00000000-0005-0000-0000-0000641F0000}"/>
    <cellStyle name="Normal 5 2 2 5 2" xfId="332" xr:uid="{00000000-0005-0000-0000-0000651F0000}"/>
    <cellStyle name="Normal 5 2 2 5 2 2" xfId="678" xr:uid="{00000000-0005-0000-0000-0000661F0000}"/>
    <cellStyle name="Normal 5 2 2 5 2 2 2" xfId="1586" xr:uid="{00000000-0005-0000-0000-0000671F0000}"/>
    <cellStyle name="Normal 5 2 2 5 2 2 2 2" xfId="3400" xr:uid="{00000000-0005-0000-0000-0000681F0000}"/>
    <cellStyle name="Normal 5 2 2 5 2 2 2 2 2" xfId="7028" xr:uid="{00000000-0005-0000-0000-0000691F0000}"/>
    <cellStyle name="Normal 5 2 2 5 2 2 2 2 2 2" xfId="21540" xr:uid="{00000000-0005-0000-0000-00006A1F0000}"/>
    <cellStyle name="Normal 5 2 2 5 2 2 2 2 2 3" xfId="14284" xr:uid="{00000000-0005-0000-0000-00006B1F0000}"/>
    <cellStyle name="Normal 5 2 2 5 2 2 2 2 3" xfId="17912" xr:uid="{00000000-0005-0000-0000-00006C1F0000}"/>
    <cellStyle name="Normal 5 2 2 5 2 2 2 2 4" xfId="10656" xr:uid="{00000000-0005-0000-0000-00006D1F0000}"/>
    <cellStyle name="Normal 5 2 2 5 2 2 2 3" xfId="5214" xr:uid="{00000000-0005-0000-0000-00006E1F0000}"/>
    <cellStyle name="Normal 5 2 2 5 2 2 2 3 2" xfId="19726" xr:uid="{00000000-0005-0000-0000-00006F1F0000}"/>
    <cellStyle name="Normal 5 2 2 5 2 2 2 3 3" xfId="12470" xr:uid="{00000000-0005-0000-0000-0000701F0000}"/>
    <cellStyle name="Normal 5 2 2 5 2 2 2 4" xfId="16098" xr:uid="{00000000-0005-0000-0000-0000711F0000}"/>
    <cellStyle name="Normal 5 2 2 5 2 2 2 5" xfId="8842" xr:uid="{00000000-0005-0000-0000-0000721F0000}"/>
    <cellStyle name="Normal 5 2 2 5 2 2 3" xfId="2493" xr:uid="{00000000-0005-0000-0000-0000731F0000}"/>
    <cellStyle name="Normal 5 2 2 5 2 2 3 2" xfId="6121" xr:uid="{00000000-0005-0000-0000-0000741F0000}"/>
    <cellStyle name="Normal 5 2 2 5 2 2 3 2 2" xfId="20633" xr:uid="{00000000-0005-0000-0000-0000751F0000}"/>
    <cellStyle name="Normal 5 2 2 5 2 2 3 2 3" xfId="13377" xr:uid="{00000000-0005-0000-0000-0000761F0000}"/>
    <cellStyle name="Normal 5 2 2 5 2 2 3 3" xfId="17005" xr:uid="{00000000-0005-0000-0000-0000771F0000}"/>
    <cellStyle name="Normal 5 2 2 5 2 2 3 4" xfId="9749" xr:uid="{00000000-0005-0000-0000-0000781F0000}"/>
    <cellStyle name="Normal 5 2 2 5 2 2 4" xfId="4307" xr:uid="{00000000-0005-0000-0000-0000791F0000}"/>
    <cellStyle name="Normal 5 2 2 5 2 2 4 2" xfId="18819" xr:uid="{00000000-0005-0000-0000-00007A1F0000}"/>
    <cellStyle name="Normal 5 2 2 5 2 2 4 3" xfId="11563" xr:uid="{00000000-0005-0000-0000-00007B1F0000}"/>
    <cellStyle name="Normal 5 2 2 5 2 2 5" xfId="15191" xr:uid="{00000000-0005-0000-0000-00007C1F0000}"/>
    <cellStyle name="Normal 5 2 2 5 2 2 6" xfId="7935" xr:uid="{00000000-0005-0000-0000-00007D1F0000}"/>
    <cellStyle name="Normal 5 2 2 5 2 3" xfId="1240" xr:uid="{00000000-0005-0000-0000-00007E1F0000}"/>
    <cellStyle name="Normal 5 2 2 5 2 3 2" xfId="3054" xr:uid="{00000000-0005-0000-0000-00007F1F0000}"/>
    <cellStyle name="Normal 5 2 2 5 2 3 2 2" xfId="6682" xr:uid="{00000000-0005-0000-0000-0000801F0000}"/>
    <cellStyle name="Normal 5 2 2 5 2 3 2 2 2" xfId="21194" xr:uid="{00000000-0005-0000-0000-0000811F0000}"/>
    <cellStyle name="Normal 5 2 2 5 2 3 2 2 3" xfId="13938" xr:uid="{00000000-0005-0000-0000-0000821F0000}"/>
    <cellStyle name="Normal 5 2 2 5 2 3 2 3" xfId="17566" xr:uid="{00000000-0005-0000-0000-0000831F0000}"/>
    <cellStyle name="Normal 5 2 2 5 2 3 2 4" xfId="10310" xr:uid="{00000000-0005-0000-0000-0000841F0000}"/>
    <cellStyle name="Normal 5 2 2 5 2 3 3" xfId="4868" xr:uid="{00000000-0005-0000-0000-0000851F0000}"/>
    <cellStyle name="Normal 5 2 2 5 2 3 3 2" xfId="19380" xr:uid="{00000000-0005-0000-0000-0000861F0000}"/>
    <cellStyle name="Normal 5 2 2 5 2 3 3 3" xfId="12124" xr:uid="{00000000-0005-0000-0000-0000871F0000}"/>
    <cellStyle name="Normal 5 2 2 5 2 3 4" xfId="15752" xr:uid="{00000000-0005-0000-0000-0000881F0000}"/>
    <cellStyle name="Normal 5 2 2 5 2 3 5" xfId="8496" xr:uid="{00000000-0005-0000-0000-0000891F0000}"/>
    <cellStyle name="Normal 5 2 2 5 2 4" xfId="2147" xr:uid="{00000000-0005-0000-0000-00008A1F0000}"/>
    <cellStyle name="Normal 5 2 2 5 2 4 2" xfId="5775" xr:uid="{00000000-0005-0000-0000-00008B1F0000}"/>
    <cellStyle name="Normal 5 2 2 5 2 4 2 2" xfId="20287" xr:uid="{00000000-0005-0000-0000-00008C1F0000}"/>
    <cellStyle name="Normal 5 2 2 5 2 4 2 3" xfId="13031" xr:uid="{00000000-0005-0000-0000-00008D1F0000}"/>
    <cellStyle name="Normal 5 2 2 5 2 4 3" xfId="16659" xr:uid="{00000000-0005-0000-0000-00008E1F0000}"/>
    <cellStyle name="Normal 5 2 2 5 2 4 4" xfId="9403" xr:uid="{00000000-0005-0000-0000-00008F1F0000}"/>
    <cellStyle name="Normal 5 2 2 5 2 5" xfId="3961" xr:uid="{00000000-0005-0000-0000-0000901F0000}"/>
    <cellStyle name="Normal 5 2 2 5 2 5 2" xfId="18473" xr:uid="{00000000-0005-0000-0000-0000911F0000}"/>
    <cellStyle name="Normal 5 2 2 5 2 5 3" xfId="11217" xr:uid="{00000000-0005-0000-0000-0000921F0000}"/>
    <cellStyle name="Normal 5 2 2 5 2 6" xfId="14845" xr:uid="{00000000-0005-0000-0000-0000931F0000}"/>
    <cellStyle name="Normal 5 2 2 5 2 7" xfId="7589" xr:uid="{00000000-0005-0000-0000-0000941F0000}"/>
    <cellStyle name="Normal 5 2 2 5 3" xfId="808" xr:uid="{00000000-0005-0000-0000-0000951F0000}"/>
    <cellStyle name="Normal 5 2 2 5 3 2" xfId="1716" xr:uid="{00000000-0005-0000-0000-0000961F0000}"/>
    <cellStyle name="Normal 5 2 2 5 3 2 2" xfId="3530" xr:uid="{00000000-0005-0000-0000-0000971F0000}"/>
    <cellStyle name="Normal 5 2 2 5 3 2 2 2" xfId="7158" xr:uid="{00000000-0005-0000-0000-0000981F0000}"/>
    <cellStyle name="Normal 5 2 2 5 3 2 2 2 2" xfId="21670" xr:uid="{00000000-0005-0000-0000-0000991F0000}"/>
    <cellStyle name="Normal 5 2 2 5 3 2 2 2 3" xfId="14414" xr:uid="{00000000-0005-0000-0000-00009A1F0000}"/>
    <cellStyle name="Normal 5 2 2 5 3 2 2 3" xfId="18042" xr:uid="{00000000-0005-0000-0000-00009B1F0000}"/>
    <cellStyle name="Normal 5 2 2 5 3 2 2 4" xfId="10786" xr:uid="{00000000-0005-0000-0000-00009C1F0000}"/>
    <cellStyle name="Normal 5 2 2 5 3 2 3" xfId="5344" xr:uid="{00000000-0005-0000-0000-00009D1F0000}"/>
    <cellStyle name="Normal 5 2 2 5 3 2 3 2" xfId="19856" xr:uid="{00000000-0005-0000-0000-00009E1F0000}"/>
    <cellStyle name="Normal 5 2 2 5 3 2 3 3" xfId="12600" xr:uid="{00000000-0005-0000-0000-00009F1F0000}"/>
    <cellStyle name="Normal 5 2 2 5 3 2 4" xfId="16228" xr:uid="{00000000-0005-0000-0000-0000A01F0000}"/>
    <cellStyle name="Normal 5 2 2 5 3 2 5" xfId="8972" xr:uid="{00000000-0005-0000-0000-0000A11F0000}"/>
    <cellStyle name="Normal 5 2 2 5 3 3" xfId="2623" xr:uid="{00000000-0005-0000-0000-0000A21F0000}"/>
    <cellStyle name="Normal 5 2 2 5 3 3 2" xfId="6251" xr:uid="{00000000-0005-0000-0000-0000A31F0000}"/>
    <cellStyle name="Normal 5 2 2 5 3 3 2 2" xfId="20763" xr:uid="{00000000-0005-0000-0000-0000A41F0000}"/>
    <cellStyle name="Normal 5 2 2 5 3 3 2 3" xfId="13507" xr:uid="{00000000-0005-0000-0000-0000A51F0000}"/>
    <cellStyle name="Normal 5 2 2 5 3 3 3" xfId="17135" xr:uid="{00000000-0005-0000-0000-0000A61F0000}"/>
    <cellStyle name="Normal 5 2 2 5 3 3 4" xfId="9879" xr:uid="{00000000-0005-0000-0000-0000A71F0000}"/>
    <cellStyle name="Normal 5 2 2 5 3 4" xfId="4437" xr:uid="{00000000-0005-0000-0000-0000A81F0000}"/>
    <cellStyle name="Normal 5 2 2 5 3 4 2" xfId="18949" xr:uid="{00000000-0005-0000-0000-0000A91F0000}"/>
    <cellStyle name="Normal 5 2 2 5 3 4 3" xfId="11693" xr:uid="{00000000-0005-0000-0000-0000AA1F0000}"/>
    <cellStyle name="Normal 5 2 2 5 3 5" xfId="15321" xr:uid="{00000000-0005-0000-0000-0000AB1F0000}"/>
    <cellStyle name="Normal 5 2 2 5 3 6" xfId="8065" xr:uid="{00000000-0005-0000-0000-0000AC1F0000}"/>
    <cellStyle name="Normal 5 2 2 5 4" xfId="548" xr:uid="{00000000-0005-0000-0000-0000AD1F0000}"/>
    <cellStyle name="Normal 5 2 2 5 4 2" xfId="1456" xr:uid="{00000000-0005-0000-0000-0000AE1F0000}"/>
    <cellStyle name="Normal 5 2 2 5 4 2 2" xfId="3270" xr:uid="{00000000-0005-0000-0000-0000AF1F0000}"/>
    <cellStyle name="Normal 5 2 2 5 4 2 2 2" xfId="6898" xr:uid="{00000000-0005-0000-0000-0000B01F0000}"/>
    <cellStyle name="Normal 5 2 2 5 4 2 2 2 2" xfId="21410" xr:uid="{00000000-0005-0000-0000-0000B11F0000}"/>
    <cellStyle name="Normal 5 2 2 5 4 2 2 2 3" xfId="14154" xr:uid="{00000000-0005-0000-0000-0000B21F0000}"/>
    <cellStyle name="Normal 5 2 2 5 4 2 2 3" xfId="17782" xr:uid="{00000000-0005-0000-0000-0000B31F0000}"/>
    <cellStyle name="Normal 5 2 2 5 4 2 2 4" xfId="10526" xr:uid="{00000000-0005-0000-0000-0000B41F0000}"/>
    <cellStyle name="Normal 5 2 2 5 4 2 3" xfId="5084" xr:uid="{00000000-0005-0000-0000-0000B51F0000}"/>
    <cellStyle name="Normal 5 2 2 5 4 2 3 2" xfId="19596" xr:uid="{00000000-0005-0000-0000-0000B61F0000}"/>
    <cellStyle name="Normal 5 2 2 5 4 2 3 3" xfId="12340" xr:uid="{00000000-0005-0000-0000-0000B71F0000}"/>
    <cellStyle name="Normal 5 2 2 5 4 2 4" xfId="15968" xr:uid="{00000000-0005-0000-0000-0000B81F0000}"/>
    <cellStyle name="Normal 5 2 2 5 4 2 5" xfId="8712" xr:uid="{00000000-0005-0000-0000-0000B91F0000}"/>
    <cellStyle name="Normal 5 2 2 5 4 3" xfId="2363" xr:uid="{00000000-0005-0000-0000-0000BA1F0000}"/>
    <cellStyle name="Normal 5 2 2 5 4 3 2" xfId="5991" xr:uid="{00000000-0005-0000-0000-0000BB1F0000}"/>
    <cellStyle name="Normal 5 2 2 5 4 3 2 2" xfId="20503" xr:uid="{00000000-0005-0000-0000-0000BC1F0000}"/>
    <cellStyle name="Normal 5 2 2 5 4 3 2 3" xfId="13247" xr:uid="{00000000-0005-0000-0000-0000BD1F0000}"/>
    <cellStyle name="Normal 5 2 2 5 4 3 3" xfId="16875" xr:uid="{00000000-0005-0000-0000-0000BE1F0000}"/>
    <cellStyle name="Normal 5 2 2 5 4 3 4" xfId="9619" xr:uid="{00000000-0005-0000-0000-0000BF1F0000}"/>
    <cellStyle name="Normal 5 2 2 5 4 4" xfId="4177" xr:uid="{00000000-0005-0000-0000-0000C01F0000}"/>
    <cellStyle name="Normal 5 2 2 5 4 4 2" xfId="18689" xr:uid="{00000000-0005-0000-0000-0000C11F0000}"/>
    <cellStyle name="Normal 5 2 2 5 4 4 3" xfId="11433" xr:uid="{00000000-0005-0000-0000-0000C21F0000}"/>
    <cellStyle name="Normal 5 2 2 5 4 5" xfId="15061" xr:uid="{00000000-0005-0000-0000-0000C31F0000}"/>
    <cellStyle name="Normal 5 2 2 5 4 6" xfId="7805" xr:uid="{00000000-0005-0000-0000-0000C41F0000}"/>
    <cellStyle name="Normal 5 2 2 5 5" xfId="1110" xr:uid="{00000000-0005-0000-0000-0000C51F0000}"/>
    <cellStyle name="Normal 5 2 2 5 5 2" xfId="2924" xr:uid="{00000000-0005-0000-0000-0000C61F0000}"/>
    <cellStyle name="Normal 5 2 2 5 5 2 2" xfId="6552" xr:uid="{00000000-0005-0000-0000-0000C71F0000}"/>
    <cellStyle name="Normal 5 2 2 5 5 2 2 2" xfId="21064" xr:uid="{00000000-0005-0000-0000-0000C81F0000}"/>
    <cellStyle name="Normal 5 2 2 5 5 2 2 3" xfId="13808" xr:uid="{00000000-0005-0000-0000-0000C91F0000}"/>
    <cellStyle name="Normal 5 2 2 5 5 2 3" xfId="17436" xr:uid="{00000000-0005-0000-0000-0000CA1F0000}"/>
    <cellStyle name="Normal 5 2 2 5 5 2 4" xfId="10180" xr:uid="{00000000-0005-0000-0000-0000CB1F0000}"/>
    <cellStyle name="Normal 5 2 2 5 5 3" xfId="4738" xr:uid="{00000000-0005-0000-0000-0000CC1F0000}"/>
    <cellStyle name="Normal 5 2 2 5 5 3 2" xfId="19250" xr:uid="{00000000-0005-0000-0000-0000CD1F0000}"/>
    <cellStyle name="Normal 5 2 2 5 5 3 3" xfId="11994" xr:uid="{00000000-0005-0000-0000-0000CE1F0000}"/>
    <cellStyle name="Normal 5 2 2 5 5 4" xfId="15622" xr:uid="{00000000-0005-0000-0000-0000CF1F0000}"/>
    <cellStyle name="Normal 5 2 2 5 5 5" xfId="8366" xr:uid="{00000000-0005-0000-0000-0000D01F0000}"/>
    <cellStyle name="Normal 5 2 2 5 6" xfId="2017" xr:uid="{00000000-0005-0000-0000-0000D11F0000}"/>
    <cellStyle name="Normal 5 2 2 5 6 2" xfId="5645" xr:uid="{00000000-0005-0000-0000-0000D21F0000}"/>
    <cellStyle name="Normal 5 2 2 5 6 2 2" xfId="20157" xr:uid="{00000000-0005-0000-0000-0000D31F0000}"/>
    <cellStyle name="Normal 5 2 2 5 6 2 3" xfId="12901" xr:uid="{00000000-0005-0000-0000-0000D41F0000}"/>
    <cellStyle name="Normal 5 2 2 5 6 3" xfId="16529" xr:uid="{00000000-0005-0000-0000-0000D51F0000}"/>
    <cellStyle name="Normal 5 2 2 5 6 4" xfId="9273" xr:uid="{00000000-0005-0000-0000-0000D61F0000}"/>
    <cellStyle name="Normal 5 2 2 5 7" xfId="3831" xr:uid="{00000000-0005-0000-0000-0000D71F0000}"/>
    <cellStyle name="Normal 5 2 2 5 7 2" xfId="18343" xr:uid="{00000000-0005-0000-0000-0000D81F0000}"/>
    <cellStyle name="Normal 5 2 2 5 7 3" xfId="11087" xr:uid="{00000000-0005-0000-0000-0000D91F0000}"/>
    <cellStyle name="Normal 5 2 2 5 8" xfId="14715" xr:uid="{00000000-0005-0000-0000-0000DA1F0000}"/>
    <cellStyle name="Normal 5 2 2 5 9" xfId="7459" xr:uid="{00000000-0005-0000-0000-0000DB1F0000}"/>
    <cellStyle name="Normal 5 2 2 6" xfId="116" xr:uid="{00000000-0005-0000-0000-0000DC1F0000}"/>
    <cellStyle name="Normal 5 2 2 6 2" xfId="462" xr:uid="{00000000-0005-0000-0000-0000DD1F0000}"/>
    <cellStyle name="Normal 5 2 2 6 2 2" xfId="1370" xr:uid="{00000000-0005-0000-0000-0000DE1F0000}"/>
    <cellStyle name="Normal 5 2 2 6 2 2 2" xfId="3184" xr:uid="{00000000-0005-0000-0000-0000DF1F0000}"/>
    <cellStyle name="Normal 5 2 2 6 2 2 2 2" xfId="6812" xr:uid="{00000000-0005-0000-0000-0000E01F0000}"/>
    <cellStyle name="Normal 5 2 2 6 2 2 2 2 2" xfId="21324" xr:uid="{00000000-0005-0000-0000-0000E11F0000}"/>
    <cellStyle name="Normal 5 2 2 6 2 2 2 2 3" xfId="14068" xr:uid="{00000000-0005-0000-0000-0000E21F0000}"/>
    <cellStyle name="Normal 5 2 2 6 2 2 2 3" xfId="17696" xr:uid="{00000000-0005-0000-0000-0000E31F0000}"/>
    <cellStyle name="Normal 5 2 2 6 2 2 2 4" xfId="10440" xr:uid="{00000000-0005-0000-0000-0000E41F0000}"/>
    <cellStyle name="Normal 5 2 2 6 2 2 3" xfId="4998" xr:uid="{00000000-0005-0000-0000-0000E51F0000}"/>
    <cellStyle name="Normal 5 2 2 6 2 2 3 2" xfId="19510" xr:uid="{00000000-0005-0000-0000-0000E61F0000}"/>
    <cellStyle name="Normal 5 2 2 6 2 2 3 3" xfId="12254" xr:uid="{00000000-0005-0000-0000-0000E71F0000}"/>
    <cellStyle name="Normal 5 2 2 6 2 2 4" xfId="15882" xr:uid="{00000000-0005-0000-0000-0000E81F0000}"/>
    <cellStyle name="Normal 5 2 2 6 2 2 5" xfId="8626" xr:uid="{00000000-0005-0000-0000-0000E91F0000}"/>
    <cellStyle name="Normal 5 2 2 6 2 3" xfId="2277" xr:uid="{00000000-0005-0000-0000-0000EA1F0000}"/>
    <cellStyle name="Normal 5 2 2 6 2 3 2" xfId="5905" xr:uid="{00000000-0005-0000-0000-0000EB1F0000}"/>
    <cellStyle name="Normal 5 2 2 6 2 3 2 2" xfId="20417" xr:uid="{00000000-0005-0000-0000-0000EC1F0000}"/>
    <cellStyle name="Normal 5 2 2 6 2 3 2 3" xfId="13161" xr:uid="{00000000-0005-0000-0000-0000ED1F0000}"/>
    <cellStyle name="Normal 5 2 2 6 2 3 3" xfId="16789" xr:uid="{00000000-0005-0000-0000-0000EE1F0000}"/>
    <cellStyle name="Normal 5 2 2 6 2 3 4" xfId="9533" xr:uid="{00000000-0005-0000-0000-0000EF1F0000}"/>
    <cellStyle name="Normal 5 2 2 6 2 4" xfId="4091" xr:uid="{00000000-0005-0000-0000-0000F01F0000}"/>
    <cellStyle name="Normal 5 2 2 6 2 4 2" xfId="18603" xr:uid="{00000000-0005-0000-0000-0000F11F0000}"/>
    <cellStyle name="Normal 5 2 2 6 2 4 3" xfId="11347" xr:uid="{00000000-0005-0000-0000-0000F21F0000}"/>
    <cellStyle name="Normal 5 2 2 6 2 5" xfId="14975" xr:uid="{00000000-0005-0000-0000-0000F31F0000}"/>
    <cellStyle name="Normal 5 2 2 6 2 6" xfId="7719" xr:uid="{00000000-0005-0000-0000-0000F41F0000}"/>
    <cellStyle name="Normal 5 2 2 6 3" xfId="1024" xr:uid="{00000000-0005-0000-0000-0000F51F0000}"/>
    <cellStyle name="Normal 5 2 2 6 3 2" xfId="2838" xr:uid="{00000000-0005-0000-0000-0000F61F0000}"/>
    <cellStyle name="Normal 5 2 2 6 3 2 2" xfId="6466" xr:uid="{00000000-0005-0000-0000-0000F71F0000}"/>
    <cellStyle name="Normal 5 2 2 6 3 2 2 2" xfId="20978" xr:uid="{00000000-0005-0000-0000-0000F81F0000}"/>
    <cellStyle name="Normal 5 2 2 6 3 2 2 3" xfId="13722" xr:uid="{00000000-0005-0000-0000-0000F91F0000}"/>
    <cellStyle name="Normal 5 2 2 6 3 2 3" xfId="17350" xr:uid="{00000000-0005-0000-0000-0000FA1F0000}"/>
    <cellStyle name="Normal 5 2 2 6 3 2 4" xfId="10094" xr:uid="{00000000-0005-0000-0000-0000FB1F0000}"/>
    <cellStyle name="Normal 5 2 2 6 3 3" xfId="4652" xr:uid="{00000000-0005-0000-0000-0000FC1F0000}"/>
    <cellStyle name="Normal 5 2 2 6 3 3 2" xfId="19164" xr:uid="{00000000-0005-0000-0000-0000FD1F0000}"/>
    <cellStyle name="Normal 5 2 2 6 3 3 3" xfId="11908" xr:uid="{00000000-0005-0000-0000-0000FE1F0000}"/>
    <cellStyle name="Normal 5 2 2 6 3 4" xfId="15536" xr:uid="{00000000-0005-0000-0000-0000FF1F0000}"/>
    <cellStyle name="Normal 5 2 2 6 3 5" xfId="8280" xr:uid="{00000000-0005-0000-0000-000000200000}"/>
    <cellStyle name="Normal 5 2 2 6 4" xfId="1931" xr:uid="{00000000-0005-0000-0000-000001200000}"/>
    <cellStyle name="Normal 5 2 2 6 4 2" xfId="5559" xr:uid="{00000000-0005-0000-0000-000002200000}"/>
    <cellStyle name="Normal 5 2 2 6 4 2 2" xfId="20071" xr:uid="{00000000-0005-0000-0000-000003200000}"/>
    <cellStyle name="Normal 5 2 2 6 4 2 3" xfId="12815" xr:uid="{00000000-0005-0000-0000-000004200000}"/>
    <cellStyle name="Normal 5 2 2 6 4 3" xfId="16443" xr:uid="{00000000-0005-0000-0000-000005200000}"/>
    <cellStyle name="Normal 5 2 2 6 4 4" xfId="9187" xr:uid="{00000000-0005-0000-0000-000006200000}"/>
    <cellStyle name="Normal 5 2 2 6 5" xfId="3745" xr:uid="{00000000-0005-0000-0000-000007200000}"/>
    <cellStyle name="Normal 5 2 2 6 5 2" xfId="18257" xr:uid="{00000000-0005-0000-0000-000008200000}"/>
    <cellStyle name="Normal 5 2 2 6 5 3" xfId="11001" xr:uid="{00000000-0005-0000-0000-000009200000}"/>
    <cellStyle name="Normal 5 2 2 6 6" xfId="14629" xr:uid="{00000000-0005-0000-0000-00000A200000}"/>
    <cellStyle name="Normal 5 2 2 6 7" xfId="7373" xr:uid="{00000000-0005-0000-0000-00000B200000}"/>
    <cellStyle name="Normal 5 2 2 7" xfId="246" xr:uid="{00000000-0005-0000-0000-00000C200000}"/>
    <cellStyle name="Normal 5 2 2 7 2" xfId="592" xr:uid="{00000000-0005-0000-0000-00000D200000}"/>
    <cellStyle name="Normal 5 2 2 7 2 2" xfId="1500" xr:uid="{00000000-0005-0000-0000-00000E200000}"/>
    <cellStyle name="Normal 5 2 2 7 2 2 2" xfId="3314" xr:uid="{00000000-0005-0000-0000-00000F200000}"/>
    <cellStyle name="Normal 5 2 2 7 2 2 2 2" xfId="6942" xr:uid="{00000000-0005-0000-0000-000010200000}"/>
    <cellStyle name="Normal 5 2 2 7 2 2 2 2 2" xfId="21454" xr:uid="{00000000-0005-0000-0000-000011200000}"/>
    <cellStyle name="Normal 5 2 2 7 2 2 2 2 3" xfId="14198" xr:uid="{00000000-0005-0000-0000-000012200000}"/>
    <cellStyle name="Normal 5 2 2 7 2 2 2 3" xfId="17826" xr:uid="{00000000-0005-0000-0000-000013200000}"/>
    <cellStyle name="Normal 5 2 2 7 2 2 2 4" xfId="10570" xr:uid="{00000000-0005-0000-0000-000014200000}"/>
    <cellStyle name="Normal 5 2 2 7 2 2 3" xfId="5128" xr:uid="{00000000-0005-0000-0000-000015200000}"/>
    <cellStyle name="Normal 5 2 2 7 2 2 3 2" xfId="19640" xr:uid="{00000000-0005-0000-0000-000016200000}"/>
    <cellStyle name="Normal 5 2 2 7 2 2 3 3" xfId="12384" xr:uid="{00000000-0005-0000-0000-000017200000}"/>
    <cellStyle name="Normal 5 2 2 7 2 2 4" xfId="16012" xr:uid="{00000000-0005-0000-0000-000018200000}"/>
    <cellStyle name="Normal 5 2 2 7 2 2 5" xfId="8756" xr:uid="{00000000-0005-0000-0000-000019200000}"/>
    <cellStyle name="Normal 5 2 2 7 2 3" xfId="2407" xr:uid="{00000000-0005-0000-0000-00001A200000}"/>
    <cellStyle name="Normal 5 2 2 7 2 3 2" xfId="6035" xr:uid="{00000000-0005-0000-0000-00001B200000}"/>
    <cellStyle name="Normal 5 2 2 7 2 3 2 2" xfId="20547" xr:uid="{00000000-0005-0000-0000-00001C200000}"/>
    <cellStyle name="Normal 5 2 2 7 2 3 2 3" xfId="13291" xr:uid="{00000000-0005-0000-0000-00001D200000}"/>
    <cellStyle name="Normal 5 2 2 7 2 3 3" xfId="16919" xr:uid="{00000000-0005-0000-0000-00001E200000}"/>
    <cellStyle name="Normal 5 2 2 7 2 3 4" xfId="9663" xr:uid="{00000000-0005-0000-0000-00001F200000}"/>
    <cellStyle name="Normal 5 2 2 7 2 4" xfId="4221" xr:uid="{00000000-0005-0000-0000-000020200000}"/>
    <cellStyle name="Normal 5 2 2 7 2 4 2" xfId="18733" xr:uid="{00000000-0005-0000-0000-000021200000}"/>
    <cellStyle name="Normal 5 2 2 7 2 4 3" xfId="11477" xr:uid="{00000000-0005-0000-0000-000022200000}"/>
    <cellStyle name="Normal 5 2 2 7 2 5" xfId="15105" xr:uid="{00000000-0005-0000-0000-000023200000}"/>
    <cellStyle name="Normal 5 2 2 7 2 6" xfId="7849" xr:uid="{00000000-0005-0000-0000-000024200000}"/>
    <cellStyle name="Normal 5 2 2 7 3" xfId="1154" xr:uid="{00000000-0005-0000-0000-000025200000}"/>
    <cellStyle name="Normal 5 2 2 7 3 2" xfId="2968" xr:uid="{00000000-0005-0000-0000-000026200000}"/>
    <cellStyle name="Normal 5 2 2 7 3 2 2" xfId="6596" xr:uid="{00000000-0005-0000-0000-000027200000}"/>
    <cellStyle name="Normal 5 2 2 7 3 2 2 2" xfId="21108" xr:uid="{00000000-0005-0000-0000-000028200000}"/>
    <cellStyle name="Normal 5 2 2 7 3 2 2 3" xfId="13852" xr:uid="{00000000-0005-0000-0000-000029200000}"/>
    <cellStyle name="Normal 5 2 2 7 3 2 3" xfId="17480" xr:uid="{00000000-0005-0000-0000-00002A200000}"/>
    <cellStyle name="Normal 5 2 2 7 3 2 4" xfId="10224" xr:uid="{00000000-0005-0000-0000-00002B200000}"/>
    <cellStyle name="Normal 5 2 2 7 3 3" xfId="4782" xr:uid="{00000000-0005-0000-0000-00002C200000}"/>
    <cellStyle name="Normal 5 2 2 7 3 3 2" xfId="19294" xr:uid="{00000000-0005-0000-0000-00002D200000}"/>
    <cellStyle name="Normal 5 2 2 7 3 3 3" xfId="12038" xr:uid="{00000000-0005-0000-0000-00002E200000}"/>
    <cellStyle name="Normal 5 2 2 7 3 4" xfId="15666" xr:uid="{00000000-0005-0000-0000-00002F200000}"/>
    <cellStyle name="Normal 5 2 2 7 3 5" xfId="8410" xr:uid="{00000000-0005-0000-0000-000030200000}"/>
    <cellStyle name="Normal 5 2 2 7 4" xfId="2061" xr:uid="{00000000-0005-0000-0000-000031200000}"/>
    <cellStyle name="Normal 5 2 2 7 4 2" xfId="5689" xr:uid="{00000000-0005-0000-0000-000032200000}"/>
    <cellStyle name="Normal 5 2 2 7 4 2 2" xfId="20201" xr:uid="{00000000-0005-0000-0000-000033200000}"/>
    <cellStyle name="Normal 5 2 2 7 4 2 3" xfId="12945" xr:uid="{00000000-0005-0000-0000-000034200000}"/>
    <cellStyle name="Normal 5 2 2 7 4 3" xfId="16573" xr:uid="{00000000-0005-0000-0000-000035200000}"/>
    <cellStyle name="Normal 5 2 2 7 4 4" xfId="9317" xr:uid="{00000000-0005-0000-0000-000036200000}"/>
    <cellStyle name="Normal 5 2 2 7 5" xfId="3875" xr:uid="{00000000-0005-0000-0000-000037200000}"/>
    <cellStyle name="Normal 5 2 2 7 5 2" xfId="18387" xr:uid="{00000000-0005-0000-0000-000038200000}"/>
    <cellStyle name="Normal 5 2 2 7 5 3" xfId="11131" xr:uid="{00000000-0005-0000-0000-000039200000}"/>
    <cellStyle name="Normal 5 2 2 7 6" xfId="14759" xr:uid="{00000000-0005-0000-0000-00003A200000}"/>
    <cellStyle name="Normal 5 2 2 7 7" xfId="7503" xr:uid="{00000000-0005-0000-0000-00003B200000}"/>
    <cellStyle name="Normal 5 2 2 8" xfId="722" xr:uid="{00000000-0005-0000-0000-00003C200000}"/>
    <cellStyle name="Normal 5 2 2 8 2" xfId="1630" xr:uid="{00000000-0005-0000-0000-00003D200000}"/>
    <cellStyle name="Normal 5 2 2 8 2 2" xfId="3444" xr:uid="{00000000-0005-0000-0000-00003E200000}"/>
    <cellStyle name="Normal 5 2 2 8 2 2 2" xfId="7072" xr:uid="{00000000-0005-0000-0000-00003F200000}"/>
    <cellStyle name="Normal 5 2 2 8 2 2 2 2" xfId="21584" xr:uid="{00000000-0005-0000-0000-000040200000}"/>
    <cellStyle name="Normal 5 2 2 8 2 2 2 3" xfId="14328" xr:uid="{00000000-0005-0000-0000-000041200000}"/>
    <cellStyle name="Normal 5 2 2 8 2 2 3" xfId="17956" xr:uid="{00000000-0005-0000-0000-000042200000}"/>
    <cellStyle name="Normal 5 2 2 8 2 2 4" xfId="10700" xr:uid="{00000000-0005-0000-0000-000043200000}"/>
    <cellStyle name="Normal 5 2 2 8 2 3" xfId="5258" xr:uid="{00000000-0005-0000-0000-000044200000}"/>
    <cellStyle name="Normal 5 2 2 8 2 3 2" xfId="19770" xr:uid="{00000000-0005-0000-0000-000045200000}"/>
    <cellStyle name="Normal 5 2 2 8 2 3 3" xfId="12514" xr:uid="{00000000-0005-0000-0000-000046200000}"/>
    <cellStyle name="Normal 5 2 2 8 2 4" xfId="16142" xr:uid="{00000000-0005-0000-0000-000047200000}"/>
    <cellStyle name="Normal 5 2 2 8 2 5" xfId="8886" xr:uid="{00000000-0005-0000-0000-000048200000}"/>
    <cellStyle name="Normal 5 2 2 8 3" xfId="2537" xr:uid="{00000000-0005-0000-0000-000049200000}"/>
    <cellStyle name="Normal 5 2 2 8 3 2" xfId="6165" xr:uid="{00000000-0005-0000-0000-00004A200000}"/>
    <cellStyle name="Normal 5 2 2 8 3 2 2" xfId="20677" xr:uid="{00000000-0005-0000-0000-00004B200000}"/>
    <cellStyle name="Normal 5 2 2 8 3 2 3" xfId="13421" xr:uid="{00000000-0005-0000-0000-00004C200000}"/>
    <cellStyle name="Normal 5 2 2 8 3 3" xfId="17049" xr:uid="{00000000-0005-0000-0000-00004D200000}"/>
    <cellStyle name="Normal 5 2 2 8 3 4" xfId="9793" xr:uid="{00000000-0005-0000-0000-00004E200000}"/>
    <cellStyle name="Normal 5 2 2 8 4" xfId="4351" xr:uid="{00000000-0005-0000-0000-00004F200000}"/>
    <cellStyle name="Normal 5 2 2 8 4 2" xfId="18863" xr:uid="{00000000-0005-0000-0000-000050200000}"/>
    <cellStyle name="Normal 5 2 2 8 4 3" xfId="11607" xr:uid="{00000000-0005-0000-0000-000051200000}"/>
    <cellStyle name="Normal 5 2 2 8 5" xfId="15235" xr:uid="{00000000-0005-0000-0000-000052200000}"/>
    <cellStyle name="Normal 5 2 2 8 6" xfId="7979" xr:uid="{00000000-0005-0000-0000-000053200000}"/>
    <cellStyle name="Normal 5 2 2 9" xfId="376" xr:uid="{00000000-0005-0000-0000-000054200000}"/>
    <cellStyle name="Normal 5 2 2 9 2" xfId="1284" xr:uid="{00000000-0005-0000-0000-000055200000}"/>
    <cellStyle name="Normal 5 2 2 9 2 2" xfId="3098" xr:uid="{00000000-0005-0000-0000-000056200000}"/>
    <cellStyle name="Normal 5 2 2 9 2 2 2" xfId="6726" xr:uid="{00000000-0005-0000-0000-000057200000}"/>
    <cellStyle name="Normal 5 2 2 9 2 2 2 2" xfId="21238" xr:uid="{00000000-0005-0000-0000-000058200000}"/>
    <cellStyle name="Normal 5 2 2 9 2 2 2 3" xfId="13982" xr:uid="{00000000-0005-0000-0000-000059200000}"/>
    <cellStyle name="Normal 5 2 2 9 2 2 3" xfId="17610" xr:uid="{00000000-0005-0000-0000-00005A200000}"/>
    <cellStyle name="Normal 5 2 2 9 2 2 4" xfId="10354" xr:uid="{00000000-0005-0000-0000-00005B200000}"/>
    <cellStyle name="Normal 5 2 2 9 2 3" xfId="4912" xr:uid="{00000000-0005-0000-0000-00005C200000}"/>
    <cellStyle name="Normal 5 2 2 9 2 3 2" xfId="19424" xr:uid="{00000000-0005-0000-0000-00005D200000}"/>
    <cellStyle name="Normal 5 2 2 9 2 3 3" xfId="12168" xr:uid="{00000000-0005-0000-0000-00005E200000}"/>
    <cellStyle name="Normal 5 2 2 9 2 4" xfId="15796" xr:uid="{00000000-0005-0000-0000-00005F200000}"/>
    <cellStyle name="Normal 5 2 2 9 2 5" xfId="8540" xr:uid="{00000000-0005-0000-0000-000060200000}"/>
    <cellStyle name="Normal 5 2 2 9 3" xfId="2191" xr:uid="{00000000-0005-0000-0000-000061200000}"/>
    <cellStyle name="Normal 5 2 2 9 3 2" xfId="5819" xr:uid="{00000000-0005-0000-0000-000062200000}"/>
    <cellStyle name="Normal 5 2 2 9 3 2 2" xfId="20331" xr:uid="{00000000-0005-0000-0000-000063200000}"/>
    <cellStyle name="Normal 5 2 2 9 3 2 3" xfId="13075" xr:uid="{00000000-0005-0000-0000-000064200000}"/>
    <cellStyle name="Normal 5 2 2 9 3 3" xfId="16703" xr:uid="{00000000-0005-0000-0000-000065200000}"/>
    <cellStyle name="Normal 5 2 2 9 3 4" xfId="9447" xr:uid="{00000000-0005-0000-0000-000066200000}"/>
    <cellStyle name="Normal 5 2 2 9 4" xfId="4005" xr:uid="{00000000-0005-0000-0000-000067200000}"/>
    <cellStyle name="Normal 5 2 2 9 4 2" xfId="18517" xr:uid="{00000000-0005-0000-0000-000068200000}"/>
    <cellStyle name="Normal 5 2 2 9 4 3" xfId="11261" xr:uid="{00000000-0005-0000-0000-000069200000}"/>
    <cellStyle name="Normal 5 2 2 9 5" xfId="14889" xr:uid="{00000000-0005-0000-0000-00006A200000}"/>
    <cellStyle name="Normal 5 2 2 9 6" xfId="7633" xr:uid="{00000000-0005-0000-0000-00006B200000}"/>
    <cellStyle name="Normal 5 2 3" xfId="35" xr:uid="{00000000-0005-0000-0000-00006C200000}"/>
    <cellStyle name="Normal 5 2 3 10" xfId="946" xr:uid="{00000000-0005-0000-0000-00006D200000}"/>
    <cellStyle name="Normal 5 2 3 10 2" xfId="2760" xr:uid="{00000000-0005-0000-0000-00006E200000}"/>
    <cellStyle name="Normal 5 2 3 10 2 2" xfId="6388" xr:uid="{00000000-0005-0000-0000-00006F200000}"/>
    <cellStyle name="Normal 5 2 3 10 2 2 2" xfId="20900" xr:uid="{00000000-0005-0000-0000-000070200000}"/>
    <cellStyle name="Normal 5 2 3 10 2 2 3" xfId="13644" xr:uid="{00000000-0005-0000-0000-000071200000}"/>
    <cellStyle name="Normal 5 2 3 10 2 3" xfId="17272" xr:uid="{00000000-0005-0000-0000-000072200000}"/>
    <cellStyle name="Normal 5 2 3 10 2 4" xfId="10016" xr:uid="{00000000-0005-0000-0000-000073200000}"/>
    <cellStyle name="Normal 5 2 3 10 3" xfId="4574" xr:uid="{00000000-0005-0000-0000-000074200000}"/>
    <cellStyle name="Normal 5 2 3 10 3 2" xfId="19086" xr:uid="{00000000-0005-0000-0000-000075200000}"/>
    <cellStyle name="Normal 5 2 3 10 3 3" xfId="11830" xr:uid="{00000000-0005-0000-0000-000076200000}"/>
    <cellStyle name="Normal 5 2 3 10 4" xfId="15458" xr:uid="{00000000-0005-0000-0000-000077200000}"/>
    <cellStyle name="Normal 5 2 3 10 5" xfId="8202" xr:uid="{00000000-0005-0000-0000-000078200000}"/>
    <cellStyle name="Normal 5 2 3 11" xfId="1853" xr:uid="{00000000-0005-0000-0000-000079200000}"/>
    <cellStyle name="Normal 5 2 3 11 2" xfId="5481" xr:uid="{00000000-0005-0000-0000-00007A200000}"/>
    <cellStyle name="Normal 5 2 3 11 2 2" xfId="19993" xr:uid="{00000000-0005-0000-0000-00007B200000}"/>
    <cellStyle name="Normal 5 2 3 11 2 3" xfId="12737" xr:uid="{00000000-0005-0000-0000-00007C200000}"/>
    <cellStyle name="Normal 5 2 3 11 3" xfId="16365" xr:uid="{00000000-0005-0000-0000-00007D200000}"/>
    <cellStyle name="Normal 5 2 3 11 4" xfId="9109" xr:uid="{00000000-0005-0000-0000-00007E200000}"/>
    <cellStyle name="Normal 5 2 3 12" xfId="3667" xr:uid="{00000000-0005-0000-0000-00007F200000}"/>
    <cellStyle name="Normal 5 2 3 12 2" xfId="18179" xr:uid="{00000000-0005-0000-0000-000080200000}"/>
    <cellStyle name="Normal 5 2 3 12 3" xfId="10923" xr:uid="{00000000-0005-0000-0000-000081200000}"/>
    <cellStyle name="Normal 5 2 3 13" xfId="14551" xr:uid="{00000000-0005-0000-0000-000082200000}"/>
    <cellStyle name="Normal 5 2 3 14" xfId="7295" xr:uid="{00000000-0005-0000-0000-000083200000}"/>
    <cellStyle name="Normal 5 2 3 2" xfId="57" xr:uid="{00000000-0005-0000-0000-000084200000}"/>
    <cellStyle name="Normal 5 2 3 2 10" xfId="1874" xr:uid="{00000000-0005-0000-0000-000085200000}"/>
    <cellStyle name="Normal 5 2 3 2 10 2" xfId="5502" xr:uid="{00000000-0005-0000-0000-000086200000}"/>
    <cellStyle name="Normal 5 2 3 2 10 2 2" xfId="20014" xr:uid="{00000000-0005-0000-0000-000087200000}"/>
    <cellStyle name="Normal 5 2 3 2 10 2 3" xfId="12758" xr:uid="{00000000-0005-0000-0000-000088200000}"/>
    <cellStyle name="Normal 5 2 3 2 10 3" xfId="16386" xr:uid="{00000000-0005-0000-0000-000089200000}"/>
    <cellStyle name="Normal 5 2 3 2 10 4" xfId="9130" xr:uid="{00000000-0005-0000-0000-00008A200000}"/>
    <cellStyle name="Normal 5 2 3 2 11" xfId="3688" xr:uid="{00000000-0005-0000-0000-00008B200000}"/>
    <cellStyle name="Normal 5 2 3 2 11 2" xfId="18200" xr:uid="{00000000-0005-0000-0000-00008C200000}"/>
    <cellStyle name="Normal 5 2 3 2 11 3" xfId="10944" xr:uid="{00000000-0005-0000-0000-00008D200000}"/>
    <cellStyle name="Normal 5 2 3 2 12" xfId="14572" xr:uid="{00000000-0005-0000-0000-00008E200000}"/>
    <cellStyle name="Normal 5 2 3 2 13" xfId="7316" xr:uid="{00000000-0005-0000-0000-00008F200000}"/>
    <cellStyle name="Normal 5 2 3 2 2" xfId="99" xr:uid="{00000000-0005-0000-0000-000090200000}"/>
    <cellStyle name="Normal 5 2 3 2 2 10" xfId="14614" xr:uid="{00000000-0005-0000-0000-000091200000}"/>
    <cellStyle name="Normal 5 2 3 2 2 11" xfId="7358" xr:uid="{00000000-0005-0000-0000-000092200000}"/>
    <cellStyle name="Normal 5 2 3 2 2 2" xfId="187" xr:uid="{00000000-0005-0000-0000-000093200000}"/>
    <cellStyle name="Normal 5 2 3 2 2 2 2" xfId="533" xr:uid="{00000000-0005-0000-0000-000094200000}"/>
    <cellStyle name="Normal 5 2 3 2 2 2 2 2" xfId="1441" xr:uid="{00000000-0005-0000-0000-000095200000}"/>
    <cellStyle name="Normal 5 2 3 2 2 2 2 2 2" xfId="3255" xr:uid="{00000000-0005-0000-0000-000096200000}"/>
    <cellStyle name="Normal 5 2 3 2 2 2 2 2 2 2" xfId="6883" xr:uid="{00000000-0005-0000-0000-000097200000}"/>
    <cellStyle name="Normal 5 2 3 2 2 2 2 2 2 2 2" xfId="21395" xr:uid="{00000000-0005-0000-0000-000098200000}"/>
    <cellStyle name="Normal 5 2 3 2 2 2 2 2 2 2 3" xfId="14139" xr:uid="{00000000-0005-0000-0000-000099200000}"/>
    <cellStyle name="Normal 5 2 3 2 2 2 2 2 2 3" xfId="17767" xr:uid="{00000000-0005-0000-0000-00009A200000}"/>
    <cellStyle name="Normal 5 2 3 2 2 2 2 2 2 4" xfId="10511" xr:uid="{00000000-0005-0000-0000-00009B200000}"/>
    <cellStyle name="Normal 5 2 3 2 2 2 2 2 3" xfId="5069" xr:uid="{00000000-0005-0000-0000-00009C200000}"/>
    <cellStyle name="Normal 5 2 3 2 2 2 2 2 3 2" xfId="19581" xr:uid="{00000000-0005-0000-0000-00009D200000}"/>
    <cellStyle name="Normal 5 2 3 2 2 2 2 2 3 3" xfId="12325" xr:uid="{00000000-0005-0000-0000-00009E200000}"/>
    <cellStyle name="Normal 5 2 3 2 2 2 2 2 4" xfId="15953" xr:uid="{00000000-0005-0000-0000-00009F200000}"/>
    <cellStyle name="Normal 5 2 3 2 2 2 2 2 5" xfId="8697" xr:uid="{00000000-0005-0000-0000-0000A0200000}"/>
    <cellStyle name="Normal 5 2 3 2 2 2 2 3" xfId="2348" xr:uid="{00000000-0005-0000-0000-0000A1200000}"/>
    <cellStyle name="Normal 5 2 3 2 2 2 2 3 2" xfId="5976" xr:uid="{00000000-0005-0000-0000-0000A2200000}"/>
    <cellStyle name="Normal 5 2 3 2 2 2 2 3 2 2" xfId="20488" xr:uid="{00000000-0005-0000-0000-0000A3200000}"/>
    <cellStyle name="Normal 5 2 3 2 2 2 2 3 2 3" xfId="13232" xr:uid="{00000000-0005-0000-0000-0000A4200000}"/>
    <cellStyle name="Normal 5 2 3 2 2 2 2 3 3" xfId="16860" xr:uid="{00000000-0005-0000-0000-0000A5200000}"/>
    <cellStyle name="Normal 5 2 3 2 2 2 2 3 4" xfId="9604" xr:uid="{00000000-0005-0000-0000-0000A6200000}"/>
    <cellStyle name="Normal 5 2 3 2 2 2 2 4" xfId="4162" xr:uid="{00000000-0005-0000-0000-0000A7200000}"/>
    <cellStyle name="Normal 5 2 3 2 2 2 2 4 2" xfId="18674" xr:uid="{00000000-0005-0000-0000-0000A8200000}"/>
    <cellStyle name="Normal 5 2 3 2 2 2 2 4 3" xfId="11418" xr:uid="{00000000-0005-0000-0000-0000A9200000}"/>
    <cellStyle name="Normal 5 2 3 2 2 2 2 5" xfId="15046" xr:uid="{00000000-0005-0000-0000-0000AA200000}"/>
    <cellStyle name="Normal 5 2 3 2 2 2 2 6" xfId="7790" xr:uid="{00000000-0005-0000-0000-0000AB200000}"/>
    <cellStyle name="Normal 5 2 3 2 2 2 3" xfId="1095" xr:uid="{00000000-0005-0000-0000-0000AC200000}"/>
    <cellStyle name="Normal 5 2 3 2 2 2 3 2" xfId="2909" xr:uid="{00000000-0005-0000-0000-0000AD200000}"/>
    <cellStyle name="Normal 5 2 3 2 2 2 3 2 2" xfId="6537" xr:uid="{00000000-0005-0000-0000-0000AE200000}"/>
    <cellStyle name="Normal 5 2 3 2 2 2 3 2 2 2" xfId="21049" xr:uid="{00000000-0005-0000-0000-0000AF200000}"/>
    <cellStyle name="Normal 5 2 3 2 2 2 3 2 2 3" xfId="13793" xr:uid="{00000000-0005-0000-0000-0000B0200000}"/>
    <cellStyle name="Normal 5 2 3 2 2 2 3 2 3" xfId="17421" xr:uid="{00000000-0005-0000-0000-0000B1200000}"/>
    <cellStyle name="Normal 5 2 3 2 2 2 3 2 4" xfId="10165" xr:uid="{00000000-0005-0000-0000-0000B2200000}"/>
    <cellStyle name="Normal 5 2 3 2 2 2 3 3" xfId="4723" xr:uid="{00000000-0005-0000-0000-0000B3200000}"/>
    <cellStyle name="Normal 5 2 3 2 2 2 3 3 2" xfId="19235" xr:uid="{00000000-0005-0000-0000-0000B4200000}"/>
    <cellStyle name="Normal 5 2 3 2 2 2 3 3 3" xfId="11979" xr:uid="{00000000-0005-0000-0000-0000B5200000}"/>
    <cellStyle name="Normal 5 2 3 2 2 2 3 4" xfId="15607" xr:uid="{00000000-0005-0000-0000-0000B6200000}"/>
    <cellStyle name="Normal 5 2 3 2 2 2 3 5" xfId="8351" xr:uid="{00000000-0005-0000-0000-0000B7200000}"/>
    <cellStyle name="Normal 5 2 3 2 2 2 4" xfId="2002" xr:uid="{00000000-0005-0000-0000-0000B8200000}"/>
    <cellStyle name="Normal 5 2 3 2 2 2 4 2" xfId="5630" xr:uid="{00000000-0005-0000-0000-0000B9200000}"/>
    <cellStyle name="Normal 5 2 3 2 2 2 4 2 2" xfId="20142" xr:uid="{00000000-0005-0000-0000-0000BA200000}"/>
    <cellStyle name="Normal 5 2 3 2 2 2 4 2 3" xfId="12886" xr:uid="{00000000-0005-0000-0000-0000BB200000}"/>
    <cellStyle name="Normal 5 2 3 2 2 2 4 3" xfId="16514" xr:uid="{00000000-0005-0000-0000-0000BC200000}"/>
    <cellStyle name="Normal 5 2 3 2 2 2 4 4" xfId="9258" xr:uid="{00000000-0005-0000-0000-0000BD200000}"/>
    <cellStyle name="Normal 5 2 3 2 2 2 5" xfId="3816" xr:uid="{00000000-0005-0000-0000-0000BE200000}"/>
    <cellStyle name="Normal 5 2 3 2 2 2 5 2" xfId="18328" xr:uid="{00000000-0005-0000-0000-0000BF200000}"/>
    <cellStyle name="Normal 5 2 3 2 2 2 5 3" xfId="11072" xr:uid="{00000000-0005-0000-0000-0000C0200000}"/>
    <cellStyle name="Normal 5 2 3 2 2 2 6" xfId="14700" xr:uid="{00000000-0005-0000-0000-0000C1200000}"/>
    <cellStyle name="Normal 5 2 3 2 2 2 7" xfId="7444" xr:uid="{00000000-0005-0000-0000-0000C2200000}"/>
    <cellStyle name="Normal 5 2 3 2 2 3" xfId="317" xr:uid="{00000000-0005-0000-0000-0000C3200000}"/>
    <cellStyle name="Normal 5 2 3 2 2 3 2" xfId="663" xr:uid="{00000000-0005-0000-0000-0000C4200000}"/>
    <cellStyle name="Normal 5 2 3 2 2 3 2 2" xfId="1571" xr:uid="{00000000-0005-0000-0000-0000C5200000}"/>
    <cellStyle name="Normal 5 2 3 2 2 3 2 2 2" xfId="3385" xr:uid="{00000000-0005-0000-0000-0000C6200000}"/>
    <cellStyle name="Normal 5 2 3 2 2 3 2 2 2 2" xfId="7013" xr:uid="{00000000-0005-0000-0000-0000C7200000}"/>
    <cellStyle name="Normal 5 2 3 2 2 3 2 2 2 2 2" xfId="21525" xr:uid="{00000000-0005-0000-0000-0000C8200000}"/>
    <cellStyle name="Normal 5 2 3 2 2 3 2 2 2 2 3" xfId="14269" xr:uid="{00000000-0005-0000-0000-0000C9200000}"/>
    <cellStyle name="Normal 5 2 3 2 2 3 2 2 2 3" xfId="17897" xr:uid="{00000000-0005-0000-0000-0000CA200000}"/>
    <cellStyle name="Normal 5 2 3 2 2 3 2 2 2 4" xfId="10641" xr:uid="{00000000-0005-0000-0000-0000CB200000}"/>
    <cellStyle name="Normal 5 2 3 2 2 3 2 2 3" xfId="5199" xr:uid="{00000000-0005-0000-0000-0000CC200000}"/>
    <cellStyle name="Normal 5 2 3 2 2 3 2 2 3 2" xfId="19711" xr:uid="{00000000-0005-0000-0000-0000CD200000}"/>
    <cellStyle name="Normal 5 2 3 2 2 3 2 2 3 3" xfId="12455" xr:uid="{00000000-0005-0000-0000-0000CE200000}"/>
    <cellStyle name="Normal 5 2 3 2 2 3 2 2 4" xfId="16083" xr:uid="{00000000-0005-0000-0000-0000CF200000}"/>
    <cellStyle name="Normal 5 2 3 2 2 3 2 2 5" xfId="8827" xr:uid="{00000000-0005-0000-0000-0000D0200000}"/>
    <cellStyle name="Normal 5 2 3 2 2 3 2 3" xfId="2478" xr:uid="{00000000-0005-0000-0000-0000D1200000}"/>
    <cellStyle name="Normal 5 2 3 2 2 3 2 3 2" xfId="6106" xr:uid="{00000000-0005-0000-0000-0000D2200000}"/>
    <cellStyle name="Normal 5 2 3 2 2 3 2 3 2 2" xfId="20618" xr:uid="{00000000-0005-0000-0000-0000D3200000}"/>
    <cellStyle name="Normal 5 2 3 2 2 3 2 3 2 3" xfId="13362" xr:uid="{00000000-0005-0000-0000-0000D4200000}"/>
    <cellStyle name="Normal 5 2 3 2 2 3 2 3 3" xfId="16990" xr:uid="{00000000-0005-0000-0000-0000D5200000}"/>
    <cellStyle name="Normal 5 2 3 2 2 3 2 3 4" xfId="9734" xr:uid="{00000000-0005-0000-0000-0000D6200000}"/>
    <cellStyle name="Normal 5 2 3 2 2 3 2 4" xfId="4292" xr:uid="{00000000-0005-0000-0000-0000D7200000}"/>
    <cellStyle name="Normal 5 2 3 2 2 3 2 4 2" xfId="18804" xr:uid="{00000000-0005-0000-0000-0000D8200000}"/>
    <cellStyle name="Normal 5 2 3 2 2 3 2 4 3" xfId="11548" xr:uid="{00000000-0005-0000-0000-0000D9200000}"/>
    <cellStyle name="Normal 5 2 3 2 2 3 2 5" xfId="15176" xr:uid="{00000000-0005-0000-0000-0000DA200000}"/>
    <cellStyle name="Normal 5 2 3 2 2 3 2 6" xfId="7920" xr:uid="{00000000-0005-0000-0000-0000DB200000}"/>
    <cellStyle name="Normal 5 2 3 2 2 3 3" xfId="1225" xr:uid="{00000000-0005-0000-0000-0000DC200000}"/>
    <cellStyle name="Normal 5 2 3 2 2 3 3 2" xfId="3039" xr:uid="{00000000-0005-0000-0000-0000DD200000}"/>
    <cellStyle name="Normal 5 2 3 2 2 3 3 2 2" xfId="6667" xr:uid="{00000000-0005-0000-0000-0000DE200000}"/>
    <cellStyle name="Normal 5 2 3 2 2 3 3 2 2 2" xfId="21179" xr:uid="{00000000-0005-0000-0000-0000DF200000}"/>
    <cellStyle name="Normal 5 2 3 2 2 3 3 2 2 3" xfId="13923" xr:uid="{00000000-0005-0000-0000-0000E0200000}"/>
    <cellStyle name="Normal 5 2 3 2 2 3 3 2 3" xfId="17551" xr:uid="{00000000-0005-0000-0000-0000E1200000}"/>
    <cellStyle name="Normal 5 2 3 2 2 3 3 2 4" xfId="10295" xr:uid="{00000000-0005-0000-0000-0000E2200000}"/>
    <cellStyle name="Normal 5 2 3 2 2 3 3 3" xfId="4853" xr:uid="{00000000-0005-0000-0000-0000E3200000}"/>
    <cellStyle name="Normal 5 2 3 2 2 3 3 3 2" xfId="19365" xr:uid="{00000000-0005-0000-0000-0000E4200000}"/>
    <cellStyle name="Normal 5 2 3 2 2 3 3 3 3" xfId="12109" xr:uid="{00000000-0005-0000-0000-0000E5200000}"/>
    <cellStyle name="Normal 5 2 3 2 2 3 3 4" xfId="15737" xr:uid="{00000000-0005-0000-0000-0000E6200000}"/>
    <cellStyle name="Normal 5 2 3 2 2 3 3 5" xfId="8481" xr:uid="{00000000-0005-0000-0000-0000E7200000}"/>
    <cellStyle name="Normal 5 2 3 2 2 3 4" xfId="2132" xr:uid="{00000000-0005-0000-0000-0000E8200000}"/>
    <cellStyle name="Normal 5 2 3 2 2 3 4 2" xfId="5760" xr:uid="{00000000-0005-0000-0000-0000E9200000}"/>
    <cellStyle name="Normal 5 2 3 2 2 3 4 2 2" xfId="20272" xr:uid="{00000000-0005-0000-0000-0000EA200000}"/>
    <cellStyle name="Normal 5 2 3 2 2 3 4 2 3" xfId="13016" xr:uid="{00000000-0005-0000-0000-0000EB200000}"/>
    <cellStyle name="Normal 5 2 3 2 2 3 4 3" xfId="16644" xr:uid="{00000000-0005-0000-0000-0000EC200000}"/>
    <cellStyle name="Normal 5 2 3 2 2 3 4 4" xfId="9388" xr:uid="{00000000-0005-0000-0000-0000ED200000}"/>
    <cellStyle name="Normal 5 2 3 2 2 3 5" xfId="3946" xr:uid="{00000000-0005-0000-0000-0000EE200000}"/>
    <cellStyle name="Normal 5 2 3 2 2 3 5 2" xfId="18458" xr:uid="{00000000-0005-0000-0000-0000EF200000}"/>
    <cellStyle name="Normal 5 2 3 2 2 3 5 3" xfId="11202" xr:uid="{00000000-0005-0000-0000-0000F0200000}"/>
    <cellStyle name="Normal 5 2 3 2 2 3 6" xfId="14830" xr:uid="{00000000-0005-0000-0000-0000F1200000}"/>
    <cellStyle name="Normal 5 2 3 2 2 3 7" xfId="7574" xr:uid="{00000000-0005-0000-0000-0000F2200000}"/>
    <cellStyle name="Normal 5 2 3 2 2 4" xfId="793" xr:uid="{00000000-0005-0000-0000-0000F3200000}"/>
    <cellStyle name="Normal 5 2 3 2 2 4 2" xfId="1701" xr:uid="{00000000-0005-0000-0000-0000F4200000}"/>
    <cellStyle name="Normal 5 2 3 2 2 4 2 2" xfId="3515" xr:uid="{00000000-0005-0000-0000-0000F5200000}"/>
    <cellStyle name="Normal 5 2 3 2 2 4 2 2 2" xfId="7143" xr:uid="{00000000-0005-0000-0000-0000F6200000}"/>
    <cellStyle name="Normal 5 2 3 2 2 4 2 2 2 2" xfId="21655" xr:uid="{00000000-0005-0000-0000-0000F7200000}"/>
    <cellStyle name="Normal 5 2 3 2 2 4 2 2 2 3" xfId="14399" xr:uid="{00000000-0005-0000-0000-0000F8200000}"/>
    <cellStyle name="Normal 5 2 3 2 2 4 2 2 3" xfId="18027" xr:uid="{00000000-0005-0000-0000-0000F9200000}"/>
    <cellStyle name="Normal 5 2 3 2 2 4 2 2 4" xfId="10771" xr:uid="{00000000-0005-0000-0000-0000FA200000}"/>
    <cellStyle name="Normal 5 2 3 2 2 4 2 3" xfId="5329" xr:uid="{00000000-0005-0000-0000-0000FB200000}"/>
    <cellStyle name="Normal 5 2 3 2 2 4 2 3 2" xfId="19841" xr:uid="{00000000-0005-0000-0000-0000FC200000}"/>
    <cellStyle name="Normal 5 2 3 2 2 4 2 3 3" xfId="12585" xr:uid="{00000000-0005-0000-0000-0000FD200000}"/>
    <cellStyle name="Normal 5 2 3 2 2 4 2 4" xfId="16213" xr:uid="{00000000-0005-0000-0000-0000FE200000}"/>
    <cellStyle name="Normal 5 2 3 2 2 4 2 5" xfId="8957" xr:uid="{00000000-0005-0000-0000-0000FF200000}"/>
    <cellStyle name="Normal 5 2 3 2 2 4 3" xfId="2608" xr:uid="{00000000-0005-0000-0000-000000210000}"/>
    <cellStyle name="Normal 5 2 3 2 2 4 3 2" xfId="6236" xr:uid="{00000000-0005-0000-0000-000001210000}"/>
    <cellStyle name="Normal 5 2 3 2 2 4 3 2 2" xfId="20748" xr:uid="{00000000-0005-0000-0000-000002210000}"/>
    <cellStyle name="Normal 5 2 3 2 2 4 3 2 3" xfId="13492" xr:uid="{00000000-0005-0000-0000-000003210000}"/>
    <cellStyle name="Normal 5 2 3 2 2 4 3 3" xfId="17120" xr:uid="{00000000-0005-0000-0000-000004210000}"/>
    <cellStyle name="Normal 5 2 3 2 2 4 3 4" xfId="9864" xr:uid="{00000000-0005-0000-0000-000005210000}"/>
    <cellStyle name="Normal 5 2 3 2 2 4 4" xfId="4422" xr:uid="{00000000-0005-0000-0000-000006210000}"/>
    <cellStyle name="Normal 5 2 3 2 2 4 4 2" xfId="18934" xr:uid="{00000000-0005-0000-0000-000007210000}"/>
    <cellStyle name="Normal 5 2 3 2 2 4 4 3" xfId="11678" xr:uid="{00000000-0005-0000-0000-000008210000}"/>
    <cellStyle name="Normal 5 2 3 2 2 4 5" xfId="15306" xr:uid="{00000000-0005-0000-0000-000009210000}"/>
    <cellStyle name="Normal 5 2 3 2 2 4 6" xfId="8050" xr:uid="{00000000-0005-0000-0000-00000A210000}"/>
    <cellStyle name="Normal 5 2 3 2 2 5" xfId="447" xr:uid="{00000000-0005-0000-0000-00000B210000}"/>
    <cellStyle name="Normal 5 2 3 2 2 5 2" xfId="1355" xr:uid="{00000000-0005-0000-0000-00000C210000}"/>
    <cellStyle name="Normal 5 2 3 2 2 5 2 2" xfId="3169" xr:uid="{00000000-0005-0000-0000-00000D210000}"/>
    <cellStyle name="Normal 5 2 3 2 2 5 2 2 2" xfId="6797" xr:uid="{00000000-0005-0000-0000-00000E210000}"/>
    <cellStyle name="Normal 5 2 3 2 2 5 2 2 2 2" xfId="21309" xr:uid="{00000000-0005-0000-0000-00000F210000}"/>
    <cellStyle name="Normal 5 2 3 2 2 5 2 2 2 3" xfId="14053" xr:uid="{00000000-0005-0000-0000-000010210000}"/>
    <cellStyle name="Normal 5 2 3 2 2 5 2 2 3" xfId="17681" xr:uid="{00000000-0005-0000-0000-000011210000}"/>
    <cellStyle name="Normal 5 2 3 2 2 5 2 2 4" xfId="10425" xr:uid="{00000000-0005-0000-0000-000012210000}"/>
    <cellStyle name="Normal 5 2 3 2 2 5 2 3" xfId="4983" xr:uid="{00000000-0005-0000-0000-000013210000}"/>
    <cellStyle name="Normal 5 2 3 2 2 5 2 3 2" xfId="19495" xr:uid="{00000000-0005-0000-0000-000014210000}"/>
    <cellStyle name="Normal 5 2 3 2 2 5 2 3 3" xfId="12239" xr:uid="{00000000-0005-0000-0000-000015210000}"/>
    <cellStyle name="Normal 5 2 3 2 2 5 2 4" xfId="15867" xr:uid="{00000000-0005-0000-0000-000016210000}"/>
    <cellStyle name="Normal 5 2 3 2 2 5 2 5" xfId="8611" xr:uid="{00000000-0005-0000-0000-000017210000}"/>
    <cellStyle name="Normal 5 2 3 2 2 5 3" xfId="2262" xr:uid="{00000000-0005-0000-0000-000018210000}"/>
    <cellStyle name="Normal 5 2 3 2 2 5 3 2" xfId="5890" xr:uid="{00000000-0005-0000-0000-000019210000}"/>
    <cellStyle name="Normal 5 2 3 2 2 5 3 2 2" xfId="20402" xr:uid="{00000000-0005-0000-0000-00001A210000}"/>
    <cellStyle name="Normal 5 2 3 2 2 5 3 2 3" xfId="13146" xr:uid="{00000000-0005-0000-0000-00001B210000}"/>
    <cellStyle name="Normal 5 2 3 2 2 5 3 3" xfId="16774" xr:uid="{00000000-0005-0000-0000-00001C210000}"/>
    <cellStyle name="Normal 5 2 3 2 2 5 3 4" xfId="9518" xr:uid="{00000000-0005-0000-0000-00001D210000}"/>
    <cellStyle name="Normal 5 2 3 2 2 5 4" xfId="4076" xr:uid="{00000000-0005-0000-0000-00001E210000}"/>
    <cellStyle name="Normal 5 2 3 2 2 5 4 2" xfId="18588" xr:uid="{00000000-0005-0000-0000-00001F210000}"/>
    <cellStyle name="Normal 5 2 3 2 2 5 4 3" xfId="11332" xr:uid="{00000000-0005-0000-0000-000020210000}"/>
    <cellStyle name="Normal 5 2 3 2 2 5 5" xfId="14960" xr:uid="{00000000-0005-0000-0000-000021210000}"/>
    <cellStyle name="Normal 5 2 3 2 2 5 6" xfId="7704" xr:uid="{00000000-0005-0000-0000-000022210000}"/>
    <cellStyle name="Normal 5 2 3 2 2 6" xfId="923" xr:uid="{00000000-0005-0000-0000-000023210000}"/>
    <cellStyle name="Normal 5 2 3 2 2 6 2" xfId="1830" xr:uid="{00000000-0005-0000-0000-000024210000}"/>
    <cellStyle name="Normal 5 2 3 2 2 6 2 2" xfId="3644" xr:uid="{00000000-0005-0000-0000-000025210000}"/>
    <cellStyle name="Normal 5 2 3 2 2 6 2 2 2" xfId="7272" xr:uid="{00000000-0005-0000-0000-000026210000}"/>
    <cellStyle name="Normal 5 2 3 2 2 6 2 2 2 2" xfId="21784" xr:uid="{00000000-0005-0000-0000-000027210000}"/>
    <cellStyle name="Normal 5 2 3 2 2 6 2 2 2 3" xfId="14528" xr:uid="{00000000-0005-0000-0000-000028210000}"/>
    <cellStyle name="Normal 5 2 3 2 2 6 2 2 3" xfId="18156" xr:uid="{00000000-0005-0000-0000-000029210000}"/>
    <cellStyle name="Normal 5 2 3 2 2 6 2 2 4" xfId="10900" xr:uid="{00000000-0005-0000-0000-00002A210000}"/>
    <cellStyle name="Normal 5 2 3 2 2 6 2 3" xfId="5458" xr:uid="{00000000-0005-0000-0000-00002B210000}"/>
    <cellStyle name="Normal 5 2 3 2 2 6 2 3 2" xfId="19970" xr:uid="{00000000-0005-0000-0000-00002C210000}"/>
    <cellStyle name="Normal 5 2 3 2 2 6 2 3 3" xfId="12714" xr:uid="{00000000-0005-0000-0000-00002D210000}"/>
    <cellStyle name="Normal 5 2 3 2 2 6 2 4" xfId="16342" xr:uid="{00000000-0005-0000-0000-00002E210000}"/>
    <cellStyle name="Normal 5 2 3 2 2 6 2 5" xfId="9086" xr:uid="{00000000-0005-0000-0000-00002F210000}"/>
    <cellStyle name="Normal 5 2 3 2 2 6 3" xfId="2737" xr:uid="{00000000-0005-0000-0000-000030210000}"/>
    <cellStyle name="Normal 5 2 3 2 2 6 3 2" xfId="6365" xr:uid="{00000000-0005-0000-0000-000031210000}"/>
    <cellStyle name="Normal 5 2 3 2 2 6 3 2 2" xfId="20877" xr:uid="{00000000-0005-0000-0000-000032210000}"/>
    <cellStyle name="Normal 5 2 3 2 2 6 3 2 3" xfId="13621" xr:uid="{00000000-0005-0000-0000-000033210000}"/>
    <cellStyle name="Normal 5 2 3 2 2 6 3 3" xfId="17249" xr:uid="{00000000-0005-0000-0000-000034210000}"/>
    <cellStyle name="Normal 5 2 3 2 2 6 3 4" xfId="9993" xr:uid="{00000000-0005-0000-0000-000035210000}"/>
    <cellStyle name="Normal 5 2 3 2 2 6 4" xfId="4551" xr:uid="{00000000-0005-0000-0000-000036210000}"/>
    <cellStyle name="Normal 5 2 3 2 2 6 4 2" xfId="19063" xr:uid="{00000000-0005-0000-0000-000037210000}"/>
    <cellStyle name="Normal 5 2 3 2 2 6 4 3" xfId="11807" xr:uid="{00000000-0005-0000-0000-000038210000}"/>
    <cellStyle name="Normal 5 2 3 2 2 6 5" xfId="15435" xr:uid="{00000000-0005-0000-0000-000039210000}"/>
    <cellStyle name="Normal 5 2 3 2 2 6 6" xfId="8179" xr:uid="{00000000-0005-0000-0000-00003A210000}"/>
    <cellStyle name="Normal 5 2 3 2 2 7" xfId="1009" xr:uid="{00000000-0005-0000-0000-00003B210000}"/>
    <cellStyle name="Normal 5 2 3 2 2 7 2" xfId="2823" xr:uid="{00000000-0005-0000-0000-00003C210000}"/>
    <cellStyle name="Normal 5 2 3 2 2 7 2 2" xfId="6451" xr:uid="{00000000-0005-0000-0000-00003D210000}"/>
    <cellStyle name="Normal 5 2 3 2 2 7 2 2 2" xfId="20963" xr:uid="{00000000-0005-0000-0000-00003E210000}"/>
    <cellStyle name="Normal 5 2 3 2 2 7 2 2 3" xfId="13707" xr:uid="{00000000-0005-0000-0000-00003F210000}"/>
    <cellStyle name="Normal 5 2 3 2 2 7 2 3" xfId="17335" xr:uid="{00000000-0005-0000-0000-000040210000}"/>
    <cellStyle name="Normal 5 2 3 2 2 7 2 4" xfId="10079" xr:uid="{00000000-0005-0000-0000-000041210000}"/>
    <cellStyle name="Normal 5 2 3 2 2 7 3" xfId="4637" xr:uid="{00000000-0005-0000-0000-000042210000}"/>
    <cellStyle name="Normal 5 2 3 2 2 7 3 2" xfId="19149" xr:uid="{00000000-0005-0000-0000-000043210000}"/>
    <cellStyle name="Normal 5 2 3 2 2 7 3 3" xfId="11893" xr:uid="{00000000-0005-0000-0000-000044210000}"/>
    <cellStyle name="Normal 5 2 3 2 2 7 4" xfId="15521" xr:uid="{00000000-0005-0000-0000-000045210000}"/>
    <cellStyle name="Normal 5 2 3 2 2 7 5" xfId="8265" xr:uid="{00000000-0005-0000-0000-000046210000}"/>
    <cellStyle name="Normal 5 2 3 2 2 8" xfId="1916" xr:uid="{00000000-0005-0000-0000-000047210000}"/>
    <cellStyle name="Normal 5 2 3 2 2 8 2" xfId="5544" xr:uid="{00000000-0005-0000-0000-000048210000}"/>
    <cellStyle name="Normal 5 2 3 2 2 8 2 2" xfId="20056" xr:uid="{00000000-0005-0000-0000-000049210000}"/>
    <cellStyle name="Normal 5 2 3 2 2 8 2 3" xfId="12800" xr:uid="{00000000-0005-0000-0000-00004A210000}"/>
    <cellStyle name="Normal 5 2 3 2 2 8 3" xfId="16428" xr:uid="{00000000-0005-0000-0000-00004B210000}"/>
    <cellStyle name="Normal 5 2 3 2 2 8 4" xfId="9172" xr:uid="{00000000-0005-0000-0000-00004C210000}"/>
    <cellStyle name="Normal 5 2 3 2 2 9" xfId="3730" xr:uid="{00000000-0005-0000-0000-00004D210000}"/>
    <cellStyle name="Normal 5 2 3 2 2 9 2" xfId="18242" xr:uid="{00000000-0005-0000-0000-00004E210000}"/>
    <cellStyle name="Normal 5 2 3 2 2 9 3" xfId="10986" xr:uid="{00000000-0005-0000-0000-00004F210000}"/>
    <cellStyle name="Normal 5 2 3 2 3" xfId="231" xr:uid="{00000000-0005-0000-0000-000050210000}"/>
    <cellStyle name="Normal 5 2 3 2 3 2" xfId="361" xr:uid="{00000000-0005-0000-0000-000051210000}"/>
    <cellStyle name="Normal 5 2 3 2 3 2 2" xfId="707" xr:uid="{00000000-0005-0000-0000-000052210000}"/>
    <cellStyle name="Normal 5 2 3 2 3 2 2 2" xfId="1615" xr:uid="{00000000-0005-0000-0000-000053210000}"/>
    <cellStyle name="Normal 5 2 3 2 3 2 2 2 2" xfId="3429" xr:uid="{00000000-0005-0000-0000-000054210000}"/>
    <cellStyle name="Normal 5 2 3 2 3 2 2 2 2 2" xfId="7057" xr:uid="{00000000-0005-0000-0000-000055210000}"/>
    <cellStyle name="Normal 5 2 3 2 3 2 2 2 2 2 2" xfId="21569" xr:uid="{00000000-0005-0000-0000-000056210000}"/>
    <cellStyle name="Normal 5 2 3 2 3 2 2 2 2 2 3" xfId="14313" xr:uid="{00000000-0005-0000-0000-000057210000}"/>
    <cellStyle name="Normal 5 2 3 2 3 2 2 2 2 3" xfId="17941" xr:uid="{00000000-0005-0000-0000-000058210000}"/>
    <cellStyle name="Normal 5 2 3 2 3 2 2 2 2 4" xfId="10685" xr:uid="{00000000-0005-0000-0000-000059210000}"/>
    <cellStyle name="Normal 5 2 3 2 3 2 2 2 3" xfId="5243" xr:uid="{00000000-0005-0000-0000-00005A210000}"/>
    <cellStyle name="Normal 5 2 3 2 3 2 2 2 3 2" xfId="19755" xr:uid="{00000000-0005-0000-0000-00005B210000}"/>
    <cellStyle name="Normal 5 2 3 2 3 2 2 2 3 3" xfId="12499" xr:uid="{00000000-0005-0000-0000-00005C210000}"/>
    <cellStyle name="Normal 5 2 3 2 3 2 2 2 4" xfId="16127" xr:uid="{00000000-0005-0000-0000-00005D210000}"/>
    <cellStyle name="Normal 5 2 3 2 3 2 2 2 5" xfId="8871" xr:uid="{00000000-0005-0000-0000-00005E210000}"/>
    <cellStyle name="Normal 5 2 3 2 3 2 2 3" xfId="2522" xr:uid="{00000000-0005-0000-0000-00005F210000}"/>
    <cellStyle name="Normal 5 2 3 2 3 2 2 3 2" xfId="6150" xr:uid="{00000000-0005-0000-0000-000060210000}"/>
    <cellStyle name="Normal 5 2 3 2 3 2 2 3 2 2" xfId="20662" xr:uid="{00000000-0005-0000-0000-000061210000}"/>
    <cellStyle name="Normal 5 2 3 2 3 2 2 3 2 3" xfId="13406" xr:uid="{00000000-0005-0000-0000-000062210000}"/>
    <cellStyle name="Normal 5 2 3 2 3 2 2 3 3" xfId="17034" xr:uid="{00000000-0005-0000-0000-000063210000}"/>
    <cellStyle name="Normal 5 2 3 2 3 2 2 3 4" xfId="9778" xr:uid="{00000000-0005-0000-0000-000064210000}"/>
    <cellStyle name="Normal 5 2 3 2 3 2 2 4" xfId="4336" xr:uid="{00000000-0005-0000-0000-000065210000}"/>
    <cellStyle name="Normal 5 2 3 2 3 2 2 4 2" xfId="18848" xr:uid="{00000000-0005-0000-0000-000066210000}"/>
    <cellStyle name="Normal 5 2 3 2 3 2 2 4 3" xfId="11592" xr:uid="{00000000-0005-0000-0000-000067210000}"/>
    <cellStyle name="Normal 5 2 3 2 3 2 2 5" xfId="15220" xr:uid="{00000000-0005-0000-0000-000068210000}"/>
    <cellStyle name="Normal 5 2 3 2 3 2 2 6" xfId="7964" xr:uid="{00000000-0005-0000-0000-000069210000}"/>
    <cellStyle name="Normal 5 2 3 2 3 2 3" xfId="1269" xr:uid="{00000000-0005-0000-0000-00006A210000}"/>
    <cellStyle name="Normal 5 2 3 2 3 2 3 2" xfId="3083" xr:uid="{00000000-0005-0000-0000-00006B210000}"/>
    <cellStyle name="Normal 5 2 3 2 3 2 3 2 2" xfId="6711" xr:uid="{00000000-0005-0000-0000-00006C210000}"/>
    <cellStyle name="Normal 5 2 3 2 3 2 3 2 2 2" xfId="21223" xr:uid="{00000000-0005-0000-0000-00006D210000}"/>
    <cellStyle name="Normal 5 2 3 2 3 2 3 2 2 3" xfId="13967" xr:uid="{00000000-0005-0000-0000-00006E210000}"/>
    <cellStyle name="Normal 5 2 3 2 3 2 3 2 3" xfId="17595" xr:uid="{00000000-0005-0000-0000-00006F210000}"/>
    <cellStyle name="Normal 5 2 3 2 3 2 3 2 4" xfId="10339" xr:uid="{00000000-0005-0000-0000-000070210000}"/>
    <cellStyle name="Normal 5 2 3 2 3 2 3 3" xfId="4897" xr:uid="{00000000-0005-0000-0000-000071210000}"/>
    <cellStyle name="Normal 5 2 3 2 3 2 3 3 2" xfId="19409" xr:uid="{00000000-0005-0000-0000-000072210000}"/>
    <cellStyle name="Normal 5 2 3 2 3 2 3 3 3" xfId="12153" xr:uid="{00000000-0005-0000-0000-000073210000}"/>
    <cellStyle name="Normal 5 2 3 2 3 2 3 4" xfId="15781" xr:uid="{00000000-0005-0000-0000-000074210000}"/>
    <cellStyle name="Normal 5 2 3 2 3 2 3 5" xfId="8525" xr:uid="{00000000-0005-0000-0000-000075210000}"/>
    <cellStyle name="Normal 5 2 3 2 3 2 4" xfId="2176" xr:uid="{00000000-0005-0000-0000-000076210000}"/>
    <cellStyle name="Normal 5 2 3 2 3 2 4 2" xfId="5804" xr:uid="{00000000-0005-0000-0000-000077210000}"/>
    <cellStyle name="Normal 5 2 3 2 3 2 4 2 2" xfId="20316" xr:uid="{00000000-0005-0000-0000-000078210000}"/>
    <cellStyle name="Normal 5 2 3 2 3 2 4 2 3" xfId="13060" xr:uid="{00000000-0005-0000-0000-000079210000}"/>
    <cellStyle name="Normal 5 2 3 2 3 2 4 3" xfId="16688" xr:uid="{00000000-0005-0000-0000-00007A210000}"/>
    <cellStyle name="Normal 5 2 3 2 3 2 4 4" xfId="9432" xr:uid="{00000000-0005-0000-0000-00007B210000}"/>
    <cellStyle name="Normal 5 2 3 2 3 2 5" xfId="3990" xr:uid="{00000000-0005-0000-0000-00007C210000}"/>
    <cellStyle name="Normal 5 2 3 2 3 2 5 2" xfId="18502" xr:uid="{00000000-0005-0000-0000-00007D210000}"/>
    <cellStyle name="Normal 5 2 3 2 3 2 5 3" xfId="11246" xr:uid="{00000000-0005-0000-0000-00007E210000}"/>
    <cellStyle name="Normal 5 2 3 2 3 2 6" xfId="14874" xr:uid="{00000000-0005-0000-0000-00007F210000}"/>
    <cellStyle name="Normal 5 2 3 2 3 2 7" xfId="7618" xr:uid="{00000000-0005-0000-0000-000080210000}"/>
    <cellStyle name="Normal 5 2 3 2 3 3" xfId="837" xr:uid="{00000000-0005-0000-0000-000081210000}"/>
    <cellStyle name="Normal 5 2 3 2 3 3 2" xfId="1745" xr:uid="{00000000-0005-0000-0000-000082210000}"/>
    <cellStyle name="Normal 5 2 3 2 3 3 2 2" xfId="3559" xr:uid="{00000000-0005-0000-0000-000083210000}"/>
    <cellStyle name="Normal 5 2 3 2 3 3 2 2 2" xfId="7187" xr:uid="{00000000-0005-0000-0000-000084210000}"/>
    <cellStyle name="Normal 5 2 3 2 3 3 2 2 2 2" xfId="21699" xr:uid="{00000000-0005-0000-0000-000085210000}"/>
    <cellStyle name="Normal 5 2 3 2 3 3 2 2 2 3" xfId="14443" xr:uid="{00000000-0005-0000-0000-000086210000}"/>
    <cellStyle name="Normal 5 2 3 2 3 3 2 2 3" xfId="18071" xr:uid="{00000000-0005-0000-0000-000087210000}"/>
    <cellStyle name="Normal 5 2 3 2 3 3 2 2 4" xfId="10815" xr:uid="{00000000-0005-0000-0000-000088210000}"/>
    <cellStyle name="Normal 5 2 3 2 3 3 2 3" xfId="5373" xr:uid="{00000000-0005-0000-0000-000089210000}"/>
    <cellStyle name="Normal 5 2 3 2 3 3 2 3 2" xfId="19885" xr:uid="{00000000-0005-0000-0000-00008A210000}"/>
    <cellStyle name="Normal 5 2 3 2 3 3 2 3 3" xfId="12629" xr:uid="{00000000-0005-0000-0000-00008B210000}"/>
    <cellStyle name="Normal 5 2 3 2 3 3 2 4" xfId="16257" xr:uid="{00000000-0005-0000-0000-00008C210000}"/>
    <cellStyle name="Normal 5 2 3 2 3 3 2 5" xfId="9001" xr:uid="{00000000-0005-0000-0000-00008D210000}"/>
    <cellStyle name="Normal 5 2 3 2 3 3 3" xfId="2652" xr:uid="{00000000-0005-0000-0000-00008E210000}"/>
    <cellStyle name="Normal 5 2 3 2 3 3 3 2" xfId="6280" xr:uid="{00000000-0005-0000-0000-00008F210000}"/>
    <cellStyle name="Normal 5 2 3 2 3 3 3 2 2" xfId="20792" xr:uid="{00000000-0005-0000-0000-000090210000}"/>
    <cellStyle name="Normal 5 2 3 2 3 3 3 2 3" xfId="13536" xr:uid="{00000000-0005-0000-0000-000091210000}"/>
    <cellStyle name="Normal 5 2 3 2 3 3 3 3" xfId="17164" xr:uid="{00000000-0005-0000-0000-000092210000}"/>
    <cellStyle name="Normal 5 2 3 2 3 3 3 4" xfId="9908" xr:uid="{00000000-0005-0000-0000-000093210000}"/>
    <cellStyle name="Normal 5 2 3 2 3 3 4" xfId="4466" xr:uid="{00000000-0005-0000-0000-000094210000}"/>
    <cellStyle name="Normal 5 2 3 2 3 3 4 2" xfId="18978" xr:uid="{00000000-0005-0000-0000-000095210000}"/>
    <cellStyle name="Normal 5 2 3 2 3 3 4 3" xfId="11722" xr:uid="{00000000-0005-0000-0000-000096210000}"/>
    <cellStyle name="Normal 5 2 3 2 3 3 5" xfId="15350" xr:uid="{00000000-0005-0000-0000-000097210000}"/>
    <cellStyle name="Normal 5 2 3 2 3 3 6" xfId="8094" xr:uid="{00000000-0005-0000-0000-000098210000}"/>
    <cellStyle name="Normal 5 2 3 2 3 4" xfId="577" xr:uid="{00000000-0005-0000-0000-000099210000}"/>
    <cellStyle name="Normal 5 2 3 2 3 4 2" xfId="1485" xr:uid="{00000000-0005-0000-0000-00009A210000}"/>
    <cellStyle name="Normal 5 2 3 2 3 4 2 2" xfId="3299" xr:uid="{00000000-0005-0000-0000-00009B210000}"/>
    <cellStyle name="Normal 5 2 3 2 3 4 2 2 2" xfId="6927" xr:uid="{00000000-0005-0000-0000-00009C210000}"/>
    <cellStyle name="Normal 5 2 3 2 3 4 2 2 2 2" xfId="21439" xr:uid="{00000000-0005-0000-0000-00009D210000}"/>
    <cellStyle name="Normal 5 2 3 2 3 4 2 2 2 3" xfId="14183" xr:uid="{00000000-0005-0000-0000-00009E210000}"/>
    <cellStyle name="Normal 5 2 3 2 3 4 2 2 3" xfId="17811" xr:uid="{00000000-0005-0000-0000-00009F210000}"/>
    <cellStyle name="Normal 5 2 3 2 3 4 2 2 4" xfId="10555" xr:uid="{00000000-0005-0000-0000-0000A0210000}"/>
    <cellStyle name="Normal 5 2 3 2 3 4 2 3" xfId="5113" xr:uid="{00000000-0005-0000-0000-0000A1210000}"/>
    <cellStyle name="Normal 5 2 3 2 3 4 2 3 2" xfId="19625" xr:uid="{00000000-0005-0000-0000-0000A2210000}"/>
    <cellStyle name="Normal 5 2 3 2 3 4 2 3 3" xfId="12369" xr:uid="{00000000-0005-0000-0000-0000A3210000}"/>
    <cellStyle name="Normal 5 2 3 2 3 4 2 4" xfId="15997" xr:uid="{00000000-0005-0000-0000-0000A4210000}"/>
    <cellStyle name="Normal 5 2 3 2 3 4 2 5" xfId="8741" xr:uid="{00000000-0005-0000-0000-0000A5210000}"/>
    <cellStyle name="Normal 5 2 3 2 3 4 3" xfId="2392" xr:uid="{00000000-0005-0000-0000-0000A6210000}"/>
    <cellStyle name="Normal 5 2 3 2 3 4 3 2" xfId="6020" xr:uid="{00000000-0005-0000-0000-0000A7210000}"/>
    <cellStyle name="Normal 5 2 3 2 3 4 3 2 2" xfId="20532" xr:uid="{00000000-0005-0000-0000-0000A8210000}"/>
    <cellStyle name="Normal 5 2 3 2 3 4 3 2 3" xfId="13276" xr:uid="{00000000-0005-0000-0000-0000A9210000}"/>
    <cellStyle name="Normal 5 2 3 2 3 4 3 3" xfId="16904" xr:uid="{00000000-0005-0000-0000-0000AA210000}"/>
    <cellStyle name="Normal 5 2 3 2 3 4 3 4" xfId="9648" xr:uid="{00000000-0005-0000-0000-0000AB210000}"/>
    <cellStyle name="Normal 5 2 3 2 3 4 4" xfId="4206" xr:uid="{00000000-0005-0000-0000-0000AC210000}"/>
    <cellStyle name="Normal 5 2 3 2 3 4 4 2" xfId="18718" xr:uid="{00000000-0005-0000-0000-0000AD210000}"/>
    <cellStyle name="Normal 5 2 3 2 3 4 4 3" xfId="11462" xr:uid="{00000000-0005-0000-0000-0000AE210000}"/>
    <cellStyle name="Normal 5 2 3 2 3 4 5" xfId="15090" xr:uid="{00000000-0005-0000-0000-0000AF210000}"/>
    <cellStyle name="Normal 5 2 3 2 3 4 6" xfId="7834" xr:uid="{00000000-0005-0000-0000-0000B0210000}"/>
    <cellStyle name="Normal 5 2 3 2 3 5" xfId="1139" xr:uid="{00000000-0005-0000-0000-0000B1210000}"/>
    <cellStyle name="Normal 5 2 3 2 3 5 2" xfId="2953" xr:uid="{00000000-0005-0000-0000-0000B2210000}"/>
    <cellStyle name="Normal 5 2 3 2 3 5 2 2" xfId="6581" xr:uid="{00000000-0005-0000-0000-0000B3210000}"/>
    <cellStyle name="Normal 5 2 3 2 3 5 2 2 2" xfId="21093" xr:uid="{00000000-0005-0000-0000-0000B4210000}"/>
    <cellStyle name="Normal 5 2 3 2 3 5 2 2 3" xfId="13837" xr:uid="{00000000-0005-0000-0000-0000B5210000}"/>
    <cellStyle name="Normal 5 2 3 2 3 5 2 3" xfId="17465" xr:uid="{00000000-0005-0000-0000-0000B6210000}"/>
    <cellStyle name="Normal 5 2 3 2 3 5 2 4" xfId="10209" xr:uid="{00000000-0005-0000-0000-0000B7210000}"/>
    <cellStyle name="Normal 5 2 3 2 3 5 3" xfId="4767" xr:uid="{00000000-0005-0000-0000-0000B8210000}"/>
    <cellStyle name="Normal 5 2 3 2 3 5 3 2" xfId="19279" xr:uid="{00000000-0005-0000-0000-0000B9210000}"/>
    <cellStyle name="Normal 5 2 3 2 3 5 3 3" xfId="12023" xr:uid="{00000000-0005-0000-0000-0000BA210000}"/>
    <cellStyle name="Normal 5 2 3 2 3 5 4" xfId="15651" xr:uid="{00000000-0005-0000-0000-0000BB210000}"/>
    <cellStyle name="Normal 5 2 3 2 3 5 5" xfId="8395" xr:uid="{00000000-0005-0000-0000-0000BC210000}"/>
    <cellStyle name="Normal 5 2 3 2 3 6" xfId="2046" xr:uid="{00000000-0005-0000-0000-0000BD210000}"/>
    <cellStyle name="Normal 5 2 3 2 3 6 2" xfId="5674" xr:uid="{00000000-0005-0000-0000-0000BE210000}"/>
    <cellStyle name="Normal 5 2 3 2 3 6 2 2" xfId="20186" xr:uid="{00000000-0005-0000-0000-0000BF210000}"/>
    <cellStyle name="Normal 5 2 3 2 3 6 2 3" xfId="12930" xr:uid="{00000000-0005-0000-0000-0000C0210000}"/>
    <cellStyle name="Normal 5 2 3 2 3 6 3" xfId="16558" xr:uid="{00000000-0005-0000-0000-0000C1210000}"/>
    <cellStyle name="Normal 5 2 3 2 3 6 4" xfId="9302" xr:uid="{00000000-0005-0000-0000-0000C2210000}"/>
    <cellStyle name="Normal 5 2 3 2 3 7" xfId="3860" xr:uid="{00000000-0005-0000-0000-0000C3210000}"/>
    <cellStyle name="Normal 5 2 3 2 3 7 2" xfId="18372" xr:uid="{00000000-0005-0000-0000-0000C4210000}"/>
    <cellStyle name="Normal 5 2 3 2 3 7 3" xfId="11116" xr:uid="{00000000-0005-0000-0000-0000C5210000}"/>
    <cellStyle name="Normal 5 2 3 2 3 8" xfId="14744" xr:uid="{00000000-0005-0000-0000-0000C6210000}"/>
    <cellStyle name="Normal 5 2 3 2 3 9" xfId="7488" xr:uid="{00000000-0005-0000-0000-0000C7210000}"/>
    <cellStyle name="Normal 5 2 3 2 4" xfId="145" xr:uid="{00000000-0005-0000-0000-0000C8210000}"/>
    <cellStyle name="Normal 5 2 3 2 4 2" xfId="491" xr:uid="{00000000-0005-0000-0000-0000C9210000}"/>
    <cellStyle name="Normal 5 2 3 2 4 2 2" xfId="1399" xr:uid="{00000000-0005-0000-0000-0000CA210000}"/>
    <cellStyle name="Normal 5 2 3 2 4 2 2 2" xfId="3213" xr:uid="{00000000-0005-0000-0000-0000CB210000}"/>
    <cellStyle name="Normal 5 2 3 2 4 2 2 2 2" xfId="6841" xr:uid="{00000000-0005-0000-0000-0000CC210000}"/>
    <cellStyle name="Normal 5 2 3 2 4 2 2 2 2 2" xfId="21353" xr:uid="{00000000-0005-0000-0000-0000CD210000}"/>
    <cellStyle name="Normal 5 2 3 2 4 2 2 2 2 3" xfId="14097" xr:uid="{00000000-0005-0000-0000-0000CE210000}"/>
    <cellStyle name="Normal 5 2 3 2 4 2 2 2 3" xfId="17725" xr:uid="{00000000-0005-0000-0000-0000CF210000}"/>
    <cellStyle name="Normal 5 2 3 2 4 2 2 2 4" xfId="10469" xr:uid="{00000000-0005-0000-0000-0000D0210000}"/>
    <cellStyle name="Normal 5 2 3 2 4 2 2 3" xfId="5027" xr:uid="{00000000-0005-0000-0000-0000D1210000}"/>
    <cellStyle name="Normal 5 2 3 2 4 2 2 3 2" xfId="19539" xr:uid="{00000000-0005-0000-0000-0000D2210000}"/>
    <cellStyle name="Normal 5 2 3 2 4 2 2 3 3" xfId="12283" xr:uid="{00000000-0005-0000-0000-0000D3210000}"/>
    <cellStyle name="Normal 5 2 3 2 4 2 2 4" xfId="15911" xr:uid="{00000000-0005-0000-0000-0000D4210000}"/>
    <cellStyle name="Normal 5 2 3 2 4 2 2 5" xfId="8655" xr:uid="{00000000-0005-0000-0000-0000D5210000}"/>
    <cellStyle name="Normal 5 2 3 2 4 2 3" xfId="2306" xr:uid="{00000000-0005-0000-0000-0000D6210000}"/>
    <cellStyle name="Normal 5 2 3 2 4 2 3 2" xfId="5934" xr:uid="{00000000-0005-0000-0000-0000D7210000}"/>
    <cellStyle name="Normal 5 2 3 2 4 2 3 2 2" xfId="20446" xr:uid="{00000000-0005-0000-0000-0000D8210000}"/>
    <cellStyle name="Normal 5 2 3 2 4 2 3 2 3" xfId="13190" xr:uid="{00000000-0005-0000-0000-0000D9210000}"/>
    <cellStyle name="Normal 5 2 3 2 4 2 3 3" xfId="16818" xr:uid="{00000000-0005-0000-0000-0000DA210000}"/>
    <cellStyle name="Normal 5 2 3 2 4 2 3 4" xfId="9562" xr:uid="{00000000-0005-0000-0000-0000DB210000}"/>
    <cellStyle name="Normal 5 2 3 2 4 2 4" xfId="4120" xr:uid="{00000000-0005-0000-0000-0000DC210000}"/>
    <cellStyle name="Normal 5 2 3 2 4 2 4 2" xfId="18632" xr:uid="{00000000-0005-0000-0000-0000DD210000}"/>
    <cellStyle name="Normal 5 2 3 2 4 2 4 3" xfId="11376" xr:uid="{00000000-0005-0000-0000-0000DE210000}"/>
    <cellStyle name="Normal 5 2 3 2 4 2 5" xfId="15004" xr:uid="{00000000-0005-0000-0000-0000DF210000}"/>
    <cellStyle name="Normal 5 2 3 2 4 2 6" xfId="7748" xr:uid="{00000000-0005-0000-0000-0000E0210000}"/>
    <cellStyle name="Normal 5 2 3 2 4 3" xfId="1053" xr:uid="{00000000-0005-0000-0000-0000E1210000}"/>
    <cellStyle name="Normal 5 2 3 2 4 3 2" xfId="2867" xr:uid="{00000000-0005-0000-0000-0000E2210000}"/>
    <cellStyle name="Normal 5 2 3 2 4 3 2 2" xfId="6495" xr:uid="{00000000-0005-0000-0000-0000E3210000}"/>
    <cellStyle name="Normal 5 2 3 2 4 3 2 2 2" xfId="21007" xr:uid="{00000000-0005-0000-0000-0000E4210000}"/>
    <cellStyle name="Normal 5 2 3 2 4 3 2 2 3" xfId="13751" xr:uid="{00000000-0005-0000-0000-0000E5210000}"/>
    <cellStyle name="Normal 5 2 3 2 4 3 2 3" xfId="17379" xr:uid="{00000000-0005-0000-0000-0000E6210000}"/>
    <cellStyle name="Normal 5 2 3 2 4 3 2 4" xfId="10123" xr:uid="{00000000-0005-0000-0000-0000E7210000}"/>
    <cellStyle name="Normal 5 2 3 2 4 3 3" xfId="4681" xr:uid="{00000000-0005-0000-0000-0000E8210000}"/>
    <cellStyle name="Normal 5 2 3 2 4 3 3 2" xfId="19193" xr:uid="{00000000-0005-0000-0000-0000E9210000}"/>
    <cellStyle name="Normal 5 2 3 2 4 3 3 3" xfId="11937" xr:uid="{00000000-0005-0000-0000-0000EA210000}"/>
    <cellStyle name="Normal 5 2 3 2 4 3 4" xfId="15565" xr:uid="{00000000-0005-0000-0000-0000EB210000}"/>
    <cellStyle name="Normal 5 2 3 2 4 3 5" xfId="8309" xr:uid="{00000000-0005-0000-0000-0000EC210000}"/>
    <cellStyle name="Normal 5 2 3 2 4 4" xfId="1960" xr:uid="{00000000-0005-0000-0000-0000ED210000}"/>
    <cellStyle name="Normal 5 2 3 2 4 4 2" xfId="5588" xr:uid="{00000000-0005-0000-0000-0000EE210000}"/>
    <cellStyle name="Normal 5 2 3 2 4 4 2 2" xfId="20100" xr:uid="{00000000-0005-0000-0000-0000EF210000}"/>
    <cellStyle name="Normal 5 2 3 2 4 4 2 3" xfId="12844" xr:uid="{00000000-0005-0000-0000-0000F0210000}"/>
    <cellStyle name="Normal 5 2 3 2 4 4 3" xfId="16472" xr:uid="{00000000-0005-0000-0000-0000F1210000}"/>
    <cellStyle name="Normal 5 2 3 2 4 4 4" xfId="9216" xr:uid="{00000000-0005-0000-0000-0000F2210000}"/>
    <cellStyle name="Normal 5 2 3 2 4 5" xfId="3774" xr:uid="{00000000-0005-0000-0000-0000F3210000}"/>
    <cellStyle name="Normal 5 2 3 2 4 5 2" xfId="18286" xr:uid="{00000000-0005-0000-0000-0000F4210000}"/>
    <cellStyle name="Normal 5 2 3 2 4 5 3" xfId="11030" xr:uid="{00000000-0005-0000-0000-0000F5210000}"/>
    <cellStyle name="Normal 5 2 3 2 4 6" xfId="14658" xr:uid="{00000000-0005-0000-0000-0000F6210000}"/>
    <cellStyle name="Normal 5 2 3 2 4 7" xfId="7402" xr:uid="{00000000-0005-0000-0000-0000F7210000}"/>
    <cellStyle name="Normal 5 2 3 2 5" xfId="275" xr:uid="{00000000-0005-0000-0000-0000F8210000}"/>
    <cellStyle name="Normal 5 2 3 2 5 2" xfId="621" xr:uid="{00000000-0005-0000-0000-0000F9210000}"/>
    <cellStyle name="Normal 5 2 3 2 5 2 2" xfId="1529" xr:uid="{00000000-0005-0000-0000-0000FA210000}"/>
    <cellStyle name="Normal 5 2 3 2 5 2 2 2" xfId="3343" xr:uid="{00000000-0005-0000-0000-0000FB210000}"/>
    <cellStyle name="Normal 5 2 3 2 5 2 2 2 2" xfId="6971" xr:uid="{00000000-0005-0000-0000-0000FC210000}"/>
    <cellStyle name="Normal 5 2 3 2 5 2 2 2 2 2" xfId="21483" xr:uid="{00000000-0005-0000-0000-0000FD210000}"/>
    <cellStyle name="Normal 5 2 3 2 5 2 2 2 2 3" xfId="14227" xr:uid="{00000000-0005-0000-0000-0000FE210000}"/>
    <cellStyle name="Normal 5 2 3 2 5 2 2 2 3" xfId="17855" xr:uid="{00000000-0005-0000-0000-0000FF210000}"/>
    <cellStyle name="Normal 5 2 3 2 5 2 2 2 4" xfId="10599" xr:uid="{00000000-0005-0000-0000-000000220000}"/>
    <cellStyle name="Normal 5 2 3 2 5 2 2 3" xfId="5157" xr:uid="{00000000-0005-0000-0000-000001220000}"/>
    <cellStyle name="Normal 5 2 3 2 5 2 2 3 2" xfId="19669" xr:uid="{00000000-0005-0000-0000-000002220000}"/>
    <cellStyle name="Normal 5 2 3 2 5 2 2 3 3" xfId="12413" xr:uid="{00000000-0005-0000-0000-000003220000}"/>
    <cellStyle name="Normal 5 2 3 2 5 2 2 4" xfId="16041" xr:uid="{00000000-0005-0000-0000-000004220000}"/>
    <cellStyle name="Normal 5 2 3 2 5 2 2 5" xfId="8785" xr:uid="{00000000-0005-0000-0000-000005220000}"/>
    <cellStyle name="Normal 5 2 3 2 5 2 3" xfId="2436" xr:uid="{00000000-0005-0000-0000-000006220000}"/>
    <cellStyle name="Normal 5 2 3 2 5 2 3 2" xfId="6064" xr:uid="{00000000-0005-0000-0000-000007220000}"/>
    <cellStyle name="Normal 5 2 3 2 5 2 3 2 2" xfId="20576" xr:uid="{00000000-0005-0000-0000-000008220000}"/>
    <cellStyle name="Normal 5 2 3 2 5 2 3 2 3" xfId="13320" xr:uid="{00000000-0005-0000-0000-000009220000}"/>
    <cellStyle name="Normal 5 2 3 2 5 2 3 3" xfId="16948" xr:uid="{00000000-0005-0000-0000-00000A220000}"/>
    <cellStyle name="Normal 5 2 3 2 5 2 3 4" xfId="9692" xr:uid="{00000000-0005-0000-0000-00000B220000}"/>
    <cellStyle name="Normal 5 2 3 2 5 2 4" xfId="4250" xr:uid="{00000000-0005-0000-0000-00000C220000}"/>
    <cellStyle name="Normal 5 2 3 2 5 2 4 2" xfId="18762" xr:uid="{00000000-0005-0000-0000-00000D220000}"/>
    <cellStyle name="Normal 5 2 3 2 5 2 4 3" xfId="11506" xr:uid="{00000000-0005-0000-0000-00000E220000}"/>
    <cellStyle name="Normal 5 2 3 2 5 2 5" xfId="15134" xr:uid="{00000000-0005-0000-0000-00000F220000}"/>
    <cellStyle name="Normal 5 2 3 2 5 2 6" xfId="7878" xr:uid="{00000000-0005-0000-0000-000010220000}"/>
    <cellStyle name="Normal 5 2 3 2 5 3" xfId="1183" xr:uid="{00000000-0005-0000-0000-000011220000}"/>
    <cellStyle name="Normal 5 2 3 2 5 3 2" xfId="2997" xr:uid="{00000000-0005-0000-0000-000012220000}"/>
    <cellStyle name="Normal 5 2 3 2 5 3 2 2" xfId="6625" xr:uid="{00000000-0005-0000-0000-000013220000}"/>
    <cellStyle name="Normal 5 2 3 2 5 3 2 2 2" xfId="21137" xr:uid="{00000000-0005-0000-0000-000014220000}"/>
    <cellStyle name="Normal 5 2 3 2 5 3 2 2 3" xfId="13881" xr:uid="{00000000-0005-0000-0000-000015220000}"/>
    <cellStyle name="Normal 5 2 3 2 5 3 2 3" xfId="17509" xr:uid="{00000000-0005-0000-0000-000016220000}"/>
    <cellStyle name="Normal 5 2 3 2 5 3 2 4" xfId="10253" xr:uid="{00000000-0005-0000-0000-000017220000}"/>
    <cellStyle name="Normal 5 2 3 2 5 3 3" xfId="4811" xr:uid="{00000000-0005-0000-0000-000018220000}"/>
    <cellStyle name="Normal 5 2 3 2 5 3 3 2" xfId="19323" xr:uid="{00000000-0005-0000-0000-000019220000}"/>
    <cellStyle name="Normal 5 2 3 2 5 3 3 3" xfId="12067" xr:uid="{00000000-0005-0000-0000-00001A220000}"/>
    <cellStyle name="Normal 5 2 3 2 5 3 4" xfId="15695" xr:uid="{00000000-0005-0000-0000-00001B220000}"/>
    <cellStyle name="Normal 5 2 3 2 5 3 5" xfId="8439" xr:uid="{00000000-0005-0000-0000-00001C220000}"/>
    <cellStyle name="Normal 5 2 3 2 5 4" xfId="2090" xr:uid="{00000000-0005-0000-0000-00001D220000}"/>
    <cellStyle name="Normal 5 2 3 2 5 4 2" xfId="5718" xr:uid="{00000000-0005-0000-0000-00001E220000}"/>
    <cellStyle name="Normal 5 2 3 2 5 4 2 2" xfId="20230" xr:uid="{00000000-0005-0000-0000-00001F220000}"/>
    <cellStyle name="Normal 5 2 3 2 5 4 2 3" xfId="12974" xr:uid="{00000000-0005-0000-0000-000020220000}"/>
    <cellStyle name="Normal 5 2 3 2 5 4 3" xfId="16602" xr:uid="{00000000-0005-0000-0000-000021220000}"/>
    <cellStyle name="Normal 5 2 3 2 5 4 4" xfId="9346" xr:uid="{00000000-0005-0000-0000-000022220000}"/>
    <cellStyle name="Normal 5 2 3 2 5 5" xfId="3904" xr:uid="{00000000-0005-0000-0000-000023220000}"/>
    <cellStyle name="Normal 5 2 3 2 5 5 2" xfId="18416" xr:uid="{00000000-0005-0000-0000-000024220000}"/>
    <cellStyle name="Normal 5 2 3 2 5 5 3" xfId="11160" xr:uid="{00000000-0005-0000-0000-000025220000}"/>
    <cellStyle name="Normal 5 2 3 2 5 6" xfId="14788" xr:uid="{00000000-0005-0000-0000-000026220000}"/>
    <cellStyle name="Normal 5 2 3 2 5 7" xfId="7532" xr:uid="{00000000-0005-0000-0000-000027220000}"/>
    <cellStyle name="Normal 5 2 3 2 6" xfId="751" xr:uid="{00000000-0005-0000-0000-000028220000}"/>
    <cellStyle name="Normal 5 2 3 2 6 2" xfId="1659" xr:uid="{00000000-0005-0000-0000-000029220000}"/>
    <cellStyle name="Normal 5 2 3 2 6 2 2" xfId="3473" xr:uid="{00000000-0005-0000-0000-00002A220000}"/>
    <cellStyle name="Normal 5 2 3 2 6 2 2 2" xfId="7101" xr:uid="{00000000-0005-0000-0000-00002B220000}"/>
    <cellStyle name="Normal 5 2 3 2 6 2 2 2 2" xfId="21613" xr:uid="{00000000-0005-0000-0000-00002C220000}"/>
    <cellStyle name="Normal 5 2 3 2 6 2 2 2 3" xfId="14357" xr:uid="{00000000-0005-0000-0000-00002D220000}"/>
    <cellStyle name="Normal 5 2 3 2 6 2 2 3" xfId="17985" xr:uid="{00000000-0005-0000-0000-00002E220000}"/>
    <cellStyle name="Normal 5 2 3 2 6 2 2 4" xfId="10729" xr:uid="{00000000-0005-0000-0000-00002F220000}"/>
    <cellStyle name="Normal 5 2 3 2 6 2 3" xfId="5287" xr:uid="{00000000-0005-0000-0000-000030220000}"/>
    <cellStyle name="Normal 5 2 3 2 6 2 3 2" xfId="19799" xr:uid="{00000000-0005-0000-0000-000031220000}"/>
    <cellStyle name="Normal 5 2 3 2 6 2 3 3" xfId="12543" xr:uid="{00000000-0005-0000-0000-000032220000}"/>
    <cellStyle name="Normal 5 2 3 2 6 2 4" xfId="16171" xr:uid="{00000000-0005-0000-0000-000033220000}"/>
    <cellStyle name="Normal 5 2 3 2 6 2 5" xfId="8915" xr:uid="{00000000-0005-0000-0000-000034220000}"/>
    <cellStyle name="Normal 5 2 3 2 6 3" xfId="2566" xr:uid="{00000000-0005-0000-0000-000035220000}"/>
    <cellStyle name="Normal 5 2 3 2 6 3 2" xfId="6194" xr:uid="{00000000-0005-0000-0000-000036220000}"/>
    <cellStyle name="Normal 5 2 3 2 6 3 2 2" xfId="20706" xr:uid="{00000000-0005-0000-0000-000037220000}"/>
    <cellStyle name="Normal 5 2 3 2 6 3 2 3" xfId="13450" xr:uid="{00000000-0005-0000-0000-000038220000}"/>
    <cellStyle name="Normal 5 2 3 2 6 3 3" xfId="17078" xr:uid="{00000000-0005-0000-0000-000039220000}"/>
    <cellStyle name="Normal 5 2 3 2 6 3 4" xfId="9822" xr:uid="{00000000-0005-0000-0000-00003A220000}"/>
    <cellStyle name="Normal 5 2 3 2 6 4" xfId="4380" xr:uid="{00000000-0005-0000-0000-00003B220000}"/>
    <cellStyle name="Normal 5 2 3 2 6 4 2" xfId="18892" xr:uid="{00000000-0005-0000-0000-00003C220000}"/>
    <cellStyle name="Normal 5 2 3 2 6 4 3" xfId="11636" xr:uid="{00000000-0005-0000-0000-00003D220000}"/>
    <cellStyle name="Normal 5 2 3 2 6 5" xfId="15264" xr:uid="{00000000-0005-0000-0000-00003E220000}"/>
    <cellStyle name="Normal 5 2 3 2 6 6" xfId="8008" xr:uid="{00000000-0005-0000-0000-00003F220000}"/>
    <cellStyle name="Normal 5 2 3 2 7" xfId="405" xr:uid="{00000000-0005-0000-0000-000040220000}"/>
    <cellStyle name="Normal 5 2 3 2 7 2" xfId="1313" xr:uid="{00000000-0005-0000-0000-000041220000}"/>
    <cellStyle name="Normal 5 2 3 2 7 2 2" xfId="3127" xr:uid="{00000000-0005-0000-0000-000042220000}"/>
    <cellStyle name="Normal 5 2 3 2 7 2 2 2" xfId="6755" xr:uid="{00000000-0005-0000-0000-000043220000}"/>
    <cellStyle name="Normal 5 2 3 2 7 2 2 2 2" xfId="21267" xr:uid="{00000000-0005-0000-0000-000044220000}"/>
    <cellStyle name="Normal 5 2 3 2 7 2 2 2 3" xfId="14011" xr:uid="{00000000-0005-0000-0000-000045220000}"/>
    <cellStyle name="Normal 5 2 3 2 7 2 2 3" xfId="17639" xr:uid="{00000000-0005-0000-0000-000046220000}"/>
    <cellStyle name="Normal 5 2 3 2 7 2 2 4" xfId="10383" xr:uid="{00000000-0005-0000-0000-000047220000}"/>
    <cellStyle name="Normal 5 2 3 2 7 2 3" xfId="4941" xr:uid="{00000000-0005-0000-0000-000048220000}"/>
    <cellStyle name="Normal 5 2 3 2 7 2 3 2" xfId="19453" xr:uid="{00000000-0005-0000-0000-000049220000}"/>
    <cellStyle name="Normal 5 2 3 2 7 2 3 3" xfId="12197" xr:uid="{00000000-0005-0000-0000-00004A220000}"/>
    <cellStyle name="Normal 5 2 3 2 7 2 4" xfId="15825" xr:uid="{00000000-0005-0000-0000-00004B220000}"/>
    <cellStyle name="Normal 5 2 3 2 7 2 5" xfId="8569" xr:uid="{00000000-0005-0000-0000-00004C220000}"/>
    <cellStyle name="Normal 5 2 3 2 7 3" xfId="2220" xr:uid="{00000000-0005-0000-0000-00004D220000}"/>
    <cellStyle name="Normal 5 2 3 2 7 3 2" xfId="5848" xr:uid="{00000000-0005-0000-0000-00004E220000}"/>
    <cellStyle name="Normal 5 2 3 2 7 3 2 2" xfId="20360" xr:uid="{00000000-0005-0000-0000-00004F220000}"/>
    <cellStyle name="Normal 5 2 3 2 7 3 2 3" xfId="13104" xr:uid="{00000000-0005-0000-0000-000050220000}"/>
    <cellStyle name="Normal 5 2 3 2 7 3 3" xfId="16732" xr:uid="{00000000-0005-0000-0000-000051220000}"/>
    <cellStyle name="Normal 5 2 3 2 7 3 4" xfId="9476" xr:uid="{00000000-0005-0000-0000-000052220000}"/>
    <cellStyle name="Normal 5 2 3 2 7 4" xfId="4034" xr:uid="{00000000-0005-0000-0000-000053220000}"/>
    <cellStyle name="Normal 5 2 3 2 7 4 2" xfId="18546" xr:uid="{00000000-0005-0000-0000-000054220000}"/>
    <cellStyle name="Normal 5 2 3 2 7 4 3" xfId="11290" xr:uid="{00000000-0005-0000-0000-000055220000}"/>
    <cellStyle name="Normal 5 2 3 2 7 5" xfId="14918" xr:uid="{00000000-0005-0000-0000-000056220000}"/>
    <cellStyle name="Normal 5 2 3 2 7 6" xfId="7662" xr:uid="{00000000-0005-0000-0000-000057220000}"/>
    <cellStyle name="Normal 5 2 3 2 8" xfId="879" xr:uid="{00000000-0005-0000-0000-000058220000}"/>
    <cellStyle name="Normal 5 2 3 2 8 2" xfId="1787" xr:uid="{00000000-0005-0000-0000-000059220000}"/>
    <cellStyle name="Normal 5 2 3 2 8 2 2" xfId="3601" xr:uid="{00000000-0005-0000-0000-00005A220000}"/>
    <cellStyle name="Normal 5 2 3 2 8 2 2 2" xfId="7229" xr:uid="{00000000-0005-0000-0000-00005B220000}"/>
    <cellStyle name="Normal 5 2 3 2 8 2 2 2 2" xfId="21741" xr:uid="{00000000-0005-0000-0000-00005C220000}"/>
    <cellStyle name="Normal 5 2 3 2 8 2 2 2 3" xfId="14485" xr:uid="{00000000-0005-0000-0000-00005D220000}"/>
    <cellStyle name="Normal 5 2 3 2 8 2 2 3" xfId="18113" xr:uid="{00000000-0005-0000-0000-00005E220000}"/>
    <cellStyle name="Normal 5 2 3 2 8 2 2 4" xfId="10857" xr:uid="{00000000-0005-0000-0000-00005F220000}"/>
    <cellStyle name="Normal 5 2 3 2 8 2 3" xfId="5415" xr:uid="{00000000-0005-0000-0000-000060220000}"/>
    <cellStyle name="Normal 5 2 3 2 8 2 3 2" xfId="19927" xr:uid="{00000000-0005-0000-0000-000061220000}"/>
    <cellStyle name="Normal 5 2 3 2 8 2 3 3" xfId="12671" xr:uid="{00000000-0005-0000-0000-000062220000}"/>
    <cellStyle name="Normal 5 2 3 2 8 2 4" xfId="16299" xr:uid="{00000000-0005-0000-0000-000063220000}"/>
    <cellStyle name="Normal 5 2 3 2 8 2 5" xfId="9043" xr:uid="{00000000-0005-0000-0000-000064220000}"/>
    <cellStyle name="Normal 5 2 3 2 8 3" xfId="2694" xr:uid="{00000000-0005-0000-0000-000065220000}"/>
    <cellStyle name="Normal 5 2 3 2 8 3 2" xfId="6322" xr:uid="{00000000-0005-0000-0000-000066220000}"/>
    <cellStyle name="Normal 5 2 3 2 8 3 2 2" xfId="20834" xr:uid="{00000000-0005-0000-0000-000067220000}"/>
    <cellStyle name="Normal 5 2 3 2 8 3 2 3" xfId="13578" xr:uid="{00000000-0005-0000-0000-000068220000}"/>
    <cellStyle name="Normal 5 2 3 2 8 3 3" xfId="17206" xr:uid="{00000000-0005-0000-0000-000069220000}"/>
    <cellStyle name="Normal 5 2 3 2 8 3 4" xfId="9950" xr:uid="{00000000-0005-0000-0000-00006A220000}"/>
    <cellStyle name="Normal 5 2 3 2 8 4" xfId="4508" xr:uid="{00000000-0005-0000-0000-00006B220000}"/>
    <cellStyle name="Normal 5 2 3 2 8 4 2" xfId="19020" xr:uid="{00000000-0005-0000-0000-00006C220000}"/>
    <cellStyle name="Normal 5 2 3 2 8 4 3" xfId="11764" xr:uid="{00000000-0005-0000-0000-00006D220000}"/>
    <cellStyle name="Normal 5 2 3 2 8 5" xfId="15392" xr:uid="{00000000-0005-0000-0000-00006E220000}"/>
    <cellStyle name="Normal 5 2 3 2 8 6" xfId="8136" xr:uid="{00000000-0005-0000-0000-00006F220000}"/>
    <cellStyle name="Normal 5 2 3 2 9" xfId="967" xr:uid="{00000000-0005-0000-0000-000070220000}"/>
    <cellStyle name="Normal 5 2 3 2 9 2" xfId="2781" xr:uid="{00000000-0005-0000-0000-000071220000}"/>
    <cellStyle name="Normal 5 2 3 2 9 2 2" xfId="6409" xr:uid="{00000000-0005-0000-0000-000072220000}"/>
    <cellStyle name="Normal 5 2 3 2 9 2 2 2" xfId="20921" xr:uid="{00000000-0005-0000-0000-000073220000}"/>
    <cellStyle name="Normal 5 2 3 2 9 2 2 3" xfId="13665" xr:uid="{00000000-0005-0000-0000-000074220000}"/>
    <cellStyle name="Normal 5 2 3 2 9 2 3" xfId="17293" xr:uid="{00000000-0005-0000-0000-000075220000}"/>
    <cellStyle name="Normal 5 2 3 2 9 2 4" xfId="10037" xr:uid="{00000000-0005-0000-0000-000076220000}"/>
    <cellStyle name="Normal 5 2 3 2 9 3" xfId="4595" xr:uid="{00000000-0005-0000-0000-000077220000}"/>
    <cellStyle name="Normal 5 2 3 2 9 3 2" xfId="19107" xr:uid="{00000000-0005-0000-0000-000078220000}"/>
    <cellStyle name="Normal 5 2 3 2 9 3 3" xfId="11851" xr:uid="{00000000-0005-0000-0000-000079220000}"/>
    <cellStyle name="Normal 5 2 3 2 9 4" xfId="15479" xr:uid="{00000000-0005-0000-0000-00007A220000}"/>
    <cellStyle name="Normal 5 2 3 2 9 5" xfId="8223" xr:uid="{00000000-0005-0000-0000-00007B220000}"/>
    <cellStyle name="Normal 5 2 3 3" xfId="78" xr:uid="{00000000-0005-0000-0000-00007C220000}"/>
    <cellStyle name="Normal 5 2 3 3 10" xfId="14593" xr:uid="{00000000-0005-0000-0000-00007D220000}"/>
    <cellStyle name="Normal 5 2 3 3 11" xfId="7337" xr:uid="{00000000-0005-0000-0000-00007E220000}"/>
    <cellStyle name="Normal 5 2 3 3 2" xfId="166" xr:uid="{00000000-0005-0000-0000-00007F220000}"/>
    <cellStyle name="Normal 5 2 3 3 2 2" xfId="512" xr:uid="{00000000-0005-0000-0000-000080220000}"/>
    <cellStyle name="Normal 5 2 3 3 2 2 2" xfId="1420" xr:uid="{00000000-0005-0000-0000-000081220000}"/>
    <cellStyle name="Normal 5 2 3 3 2 2 2 2" xfId="3234" xr:uid="{00000000-0005-0000-0000-000082220000}"/>
    <cellStyle name="Normal 5 2 3 3 2 2 2 2 2" xfId="6862" xr:uid="{00000000-0005-0000-0000-000083220000}"/>
    <cellStyle name="Normal 5 2 3 3 2 2 2 2 2 2" xfId="21374" xr:uid="{00000000-0005-0000-0000-000084220000}"/>
    <cellStyle name="Normal 5 2 3 3 2 2 2 2 2 3" xfId="14118" xr:uid="{00000000-0005-0000-0000-000085220000}"/>
    <cellStyle name="Normal 5 2 3 3 2 2 2 2 3" xfId="17746" xr:uid="{00000000-0005-0000-0000-000086220000}"/>
    <cellStyle name="Normal 5 2 3 3 2 2 2 2 4" xfId="10490" xr:uid="{00000000-0005-0000-0000-000087220000}"/>
    <cellStyle name="Normal 5 2 3 3 2 2 2 3" xfId="5048" xr:uid="{00000000-0005-0000-0000-000088220000}"/>
    <cellStyle name="Normal 5 2 3 3 2 2 2 3 2" xfId="19560" xr:uid="{00000000-0005-0000-0000-000089220000}"/>
    <cellStyle name="Normal 5 2 3 3 2 2 2 3 3" xfId="12304" xr:uid="{00000000-0005-0000-0000-00008A220000}"/>
    <cellStyle name="Normal 5 2 3 3 2 2 2 4" xfId="15932" xr:uid="{00000000-0005-0000-0000-00008B220000}"/>
    <cellStyle name="Normal 5 2 3 3 2 2 2 5" xfId="8676" xr:uid="{00000000-0005-0000-0000-00008C220000}"/>
    <cellStyle name="Normal 5 2 3 3 2 2 3" xfId="2327" xr:uid="{00000000-0005-0000-0000-00008D220000}"/>
    <cellStyle name="Normal 5 2 3 3 2 2 3 2" xfId="5955" xr:uid="{00000000-0005-0000-0000-00008E220000}"/>
    <cellStyle name="Normal 5 2 3 3 2 2 3 2 2" xfId="20467" xr:uid="{00000000-0005-0000-0000-00008F220000}"/>
    <cellStyle name="Normal 5 2 3 3 2 2 3 2 3" xfId="13211" xr:uid="{00000000-0005-0000-0000-000090220000}"/>
    <cellStyle name="Normal 5 2 3 3 2 2 3 3" xfId="16839" xr:uid="{00000000-0005-0000-0000-000091220000}"/>
    <cellStyle name="Normal 5 2 3 3 2 2 3 4" xfId="9583" xr:uid="{00000000-0005-0000-0000-000092220000}"/>
    <cellStyle name="Normal 5 2 3 3 2 2 4" xfId="4141" xr:uid="{00000000-0005-0000-0000-000093220000}"/>
    <cellStyle name="Normal 5 2 3 3 2 2 4 2" xfId="18653" xr:uid="{00000000-0005-0000-0000-000094220000}"/>
    <cellStyle name="Normal 5 2 3 3 2 2 4 3" xfId="11397" xr:uid="{00000000-0005-0000-0000-000095220000}"/>
    <cellStyle name="Normal 5 2 3 3 2 2 5" xfId="15025" xr:uid="{00000000-0005-0000-0000-000096220000}"/>
    <cellStyle name="Normal 5 2 3 3 2 2 6" xfId="7769" xr:uid="{00000000-0005-0000-0000-000097220000}"/>
    <cellStyle name="Normal 5 2 3 3 2 3" xfId="1074" xr:uid="{00000000-0005-0000-0000-000098220000}"/>
    <cellStyle name="Normal 5 2 3 3 2 3 2" xfId="2888" xr:uid="{00000000-0005-0000-0000-000099220000}"/>
    <cellStyle name="Normal 5 2 3 3 2 3 2 2" xfId="6516" xr:uid="{00000000-0005-0000-0000-00009A220000}"/>
    <cellStyle name="Normal 5 2 3 3 2 3 2 2 2" xfId="21028" xr:uid="{00000000-0005-0000-0000-00009B220000}"/>
    <cellStyle name="Normal 5 2 3 3 2 3 2 2 3" xfId="13772" xr:uid="{00000000-0005-0000-0000-00009C220000}"/>
    <cellStyle name="Normal 5 2 3 3 2 3 2 3" xfId="17400" xr:uid="{00000000-0005-0000-0000-00009D220000}"/>
    <cellStyle name="Normal 5 2 3 3 2 3 2 4" xfId="10144" xr:uid="{00000000-0005-0000-0000-00009E220000}"/>
    <cellStyle name="Normal 5 2 3 3 2 3 3" xfId="4702" xr:uid="{00000000-0005-0000-0000-00009F220000}"/>
    <cellStyle name="Normal 5 2 3 3 2 3 3 2" xfId="19214" xr:uid="{00000000-0005-0000-0000-0000A0220000}"/>
    <cellStyle name="Normal 5 2 3 3 2 3 3 3" xfId="11958" xr:uid="{00000000-0005-0000-0000-0000A1220000}"/>
    <cellStyle name="Normal 5 2 3 3 2 3 4" xfId="15586" xr:uid="{00000000-0005-0000-0000-0000A2220000}"/>
    <cellStyle name="Normal 5 2 3 3 2 3 5" xfId="8330" xr:uid="{00000000-0005-0000-0000-0000A3220000}"/>
    <cellStyle name="Normal 5 2 3 3 2 4" xfId="1981" xr:uid="{00000000-0005-0000-0000-0000A4220000}"/>
    <cellStyle name="Normal 5 2 3 3 2 4 2" xfId="5609" xr:uid="{00000000-0005-0000-0000-0000A5220000}"/>
    <cellStyle name="Normal 5 2 3 3 2 4 2 2" xfId="20121" xr:uid="{00000000-0005-0000-0000-0000A6220000}"/>
    <cellStyle name="Normal 5 2 3 3 2 4 2 3" xfId="12865" xr:uid="{00000000-0005-0000-0000-0000A7220000}"/>
    <cellStyle name="Normal 5 2 3 3 2 4 3" xfId="16493" xr:uid="{00000000-0005-0000-0000-0000A8220000}"/>
    <cellStyle name="Normal 5 2 3 3 2 4 4" xfId="9237" xr:uid="{00000000-0005-0000-0000-0000A9220000}"/>
    <cellStyle name="Normal 5 2 3 3 2 5" xfId="3795" xr:uid="{00000000-0005-0000-0000-0000AA220000}"/>
    <cellStyle name="Normal 5 2 3 3 2 5 2" xfId="18307" xr:uid="{00000000-0005-0000-0000-0000AB220000}"/>
    <cellStyle name="Normal 5 2 3 3 2 5 3" xfId="11051" xr:uid="{00000000-0005-0000-0000-0000AC220000}"/>
    <cellStyle name="Normal 5 2 3 3 2 6" xfId="14679" xr:uid="{00000000-0005-0000-0000-0000AD220000}"/>
    <cellStyle name="Normal 5 2 3 3 2 7" xfId="7423" xr:uid="{00000000-0005-0000-0000-0000AE220000}"/>
    <cellStyle name="Normal 5 2 3 3 3" xfId="296" xr:uid="{00000000-0005-0000-0000-0000AF220000}"/>
    <cellStyle name="Normal 5 2 3 3 3 2" xfId="642" xr:uid="{00000000-0005-0000-0000-0000B0220000}"/>
    <cellStyle name="Normal 5 2 3 3 3 2 2" xfId="1550" xr:uid="{00000000-0005-0000-0000-0000B1220000}"/>
    <cellStyle name="Normal 5 2 3 3 3 2 2 2" xfId="3364" xr:uid="{00000000-0005-0000-0000-0000B2220000}"/>
    <cellStyle name="Normal 5 2 3 3 3 2 2 2 2" xfId="6992" xr:uid="{00000000-0005-0000-0000-0000B3220000}"/>
    <cellStyle name="Normal 5 2 3 3 3 2 2 2 2 2" xfId="21504" xr:uid="{00000000-0005-0000-0000-0000B4220000}"/>
    <cellStyle name="Normal 5 2 3 3 3 2 2 2 2 3" xfId="14248" xr:uid="{00000000-0005-0000-0000-0000B5220000}"/>
    <cellStyle name="Normal 5 2 3 3 3 2 2 2 3" xfId="17876" xr:uid="{00000000-0005-0000-0000-0000B6220000}"/>
    <cellStyle name="Normal 5 2 3 3 3 2 2 2 4" xfId="10620" xr:uid="{00000000-0005-0000-0000-0000B7220000}"/>
    <cellStyle name="Normal 5 2 3 3 3 2 2 3" xfId="5178" xr:uid="{00000000-0005-0000-0000-0000B8220000}"/>
    <cellStyle name="Normal 5 2 3 3 3 2 2 3 2" xfId="19690" xr:uid="{00000000-0005-0000-0000-0000B9220000}"/>
    <cellStyle name="Normal 5 2 3 3 3 2 2 3 3" xfId="12434" xr:uid="{00000000-0005-0000-0000-0000BA220000}"/>
    <cellStyle name="Normal 5 2 3 3 3 2 2 4" xfId="16062" xr:uid="{00000000-0005-0000-0000-0000BB220000}"/>
    <cellStyle name="Normal 5 2 3 3 3 2 2 5" xfId="8806" xr:uid="{00000000-0005-0000-0000-0000BC220000}"/>
    <cellStyle name="Normal 5 2 3 3 3 2 3" xfId="2457" xr:uid="{00000000-0005-0000-0000-0000BD220000}"/>
    <cellStyle name="Normal 5 2 3 3 3 2 3 2" xfId="6085" xr:uid="{00000000-0005-0000-0000-0000BE220000}"/>
    <cellStyle name="Normal 5 2 3 3 3 2 3 2 2" xfId="20597" xr:uid="{00000000-0005-0000-0000-0000BF220000}"/>
    <cellStyle name="Normal 5 2 3 3 3 2 3 2 3" xfId="13341" xr:uid="{00000000-0005-0000-0000-0000C0220000}"/>
    <cellStyle name="Normal 5 2 3 3 3 2 3 3" xfId="16969" xr:uid="{00000000-0005-0000-0000-0000C1220000}"/>
    <cellStyle name="Normal 5 2 3 3 3 2 3 4" xfId="9713" xr:uid="{00000000-0005-0000-0000-0000C2220000}"/>
    <cellStyle name="Normal 5 2 3 3 3 2 4" xfId="4271" xr:uid="{00000000-0005-0000-0000-0000C3220000}"/>
    <cellStyle name="Normal 5 2 3 3 3 2 4 2" xfId="18783" xr:uid="{00000000-0005-0000-0000-0000C4220000}"/>
    <cellStyle name="Normal 5 2 3 3 3 2 4 3" xfId="11527" xr:uid="{00000000-0005-0000-0000-0000C5220000}"/>
    <cellStyle name="Normal 5 2 3 3 3 2 5" xfId="15155" xr:uid="{00000000-0005-0000-0000-0000C6220000}"/>
    <cellStyle name="Normal 5 2 3 3 3 2 6" xfId="7899" xr:uid="{00000000-0005-0000-0000-0000C7220000}"/>
    <cellStyle name="Normal 5 2 3 3 3 3" xfId="1204" xr:uid="{00000000-0005-0000-0000-0000C8220000}"/>
    <cellStyle name="Normal 5 2 3 3 3 3 2" xfId="3018" xr:uid="{00000000-0005-0000-0000-0000C9220000}"/>
    <cellStyle name="Normal 5 2 3 3 3 3 2 2" xfId="6646" xr:uid="{00000000-0005-0000-0000-0000CA220000}"/>
    <cellStyle name="Normal 5 2 3 3 3 3 2 2 2" xfId="21158" xr:uid="{00000000-0005-0000-0000-0000CB220000}"/>
    <cellStyle name="Normal 5 2 3 3 3 3 2 2 3" xfId="13902" xr:uid="{00000000-0005-0000-0000-0000CC220000}"/>
    <cellStyle name="Normal 5 2 3 3 3 3 2 3" xfId="17530" xr:uid="{00000000-0005-0000-0000-0000CD220000}"/>
    <cellStyle name="Normal 5 2 3 3 3 3 2 4" xfId="10274" xr:uid="{00000000-0005-0000-0000-0000CE220000}"/>
    <cellStyle name="Normal 5 2 3 3 3 3 3" xfId="4832" xr:uid="{00000000-0005-0000-0000-0000CF220000}"/>
    <cellStyle name="Normal 5 2 3 3 3 3 3 2" xfId="19344" xr:uid="{00000000-0005-0000-0000-0000D0220000}"/>
    <cellStyle name="Normal 5 2 3 3 3 3 3 3" xfId="12088" xr:uid="{00000000-0005-0000-0000-0000D1220000}"/>
    <cellStyle name="Normal 5 2 3 3 3 3 4" xfId="15716" xr:uid="{00000000-0005-0000-0000-0000D2220000}"/>
    <cellStyle name="Normal 5 2 3 3 3 3 5" xfId="8460" xr:uid="{00000000-0005-0000-0000-0000D3220000}"/>
    <cellStyle name="Normal 5 2 3 3 3 4" xfId="2111" xr:uid="{00000000-0005-0000-0000-0000D4220000}"/>
    <cellStyle name="Normal 5 2 3 3 3 4 2" xfId="5739" xr:uid="{00000000-0005-0000-0000-0000D5220000}"/>
    <cellStyle name="Normal 5 2 3 3 3 4 2 2" xfId="20251" xr:uid="{00000000-0005-0000-0000-0000D6220000}"/>
    <cellStyle name="Normal 5 2 3 3 3 4 2 3" xfId="12995" xr:uid="{00000000-0005-0000-0000-0000D7220000}"/>
    <cellStyle name="Normal 5 2 3 3 3 4 3" xfId="16623" xr:uid="{00000000-0005-0000-0000-0000D8220000}"/>
    <cellStyle name="Normal 5 2 3 3 3 4 4" xfId="9367" xr:uid="{00000000-0005-0000-0000-0000D9220000}"/>
    <cellStyle name="Normal 5 2 3 3 3 5" xfId="3925" xr:uid="{00000000-0005-0000-0000-0000DA220000}"/>
    <cellStyle name="Normal 5 2 3 3 3 5 2" xfId="18437" xr:uid="{00000000-0005-0000-0000-0000DB220000}"/>
    <cellStyle name="Normal 5 2 3 3 3 5 3" xfId="11181" xr:uid="{00000000-0005-0000-0000-0000DC220000}"/>
    <cellStyle name="Normal 5 2 3 3 3 6" xfId="14809" xr:uid="{00000000-0005-0000-0000-0000DD220000}"/>
    <cellStyle name="Normal 5 2 3 3 3 7" xfId="7553" xr:uid="{00000000-0005-0000-0000-0000DE220000}"/>
    <cellStyle name="Normal 5 2 3 3 4" xfId="772" xr:uid="{00000000-0005-0000-0000-0000DF220000}"/>
    <cellStyle name="Normal 5 2 3 3 4 2" xfId="1680" xr:uid="{00000000-0005-0000-0000-0000E0220000}"/>
    <cellStyle name="Normal 5 2 3 3 4 2 2" xfId="3494" xr:uid="{00000000-0005-0000-0000-0000E1220000}"/>
    <cellStyle name="Normal 5 2 3 3 4 2 2 2" xfId="7122" xr:uid="{00000000-0005-0000-0000-0000E2220000}"/>
    <cellStyle name="Normal 5 2 3 3 4 2 2 2 2" xfId="21634" xr:uid="{00000000-0005-0000-0000-0000E3220000}"/>
    <cellStyle name="Normal 5 2 3 3 4 2 2 2 3" xfId="14378" xr:uid="{00000000-0005-0000-0000-0000E4220000}"/>
    <cellStyle name="Normal 5 2 3 3 4 2 2 3" xfId="18006" xr:uid="{00000000-0005-0000-0000-0000E5220000}"/>
    <cellStyle name="Normal 5 2 3 3 4 2 2 4" xfId="10750" xr:uid="{00000000-0005-0000-0000-0000E6220000}"/>
    <cellStyle name="Normal 5 2 3 3 4 2 3" xfId="5308" xr:uid="{00000000-0005-0000-0000-0000E7220000}"/>
    <cellStyle name="Normal 5 2 3 3 4 2 3 2" xfId="19820" xr:uid="{00000000-0005-0000-0000-0000E8220000}"/>
    <cellStyle name="Normal 5 2 3 3 4 2 3 3" xfId="12564" xr:uid="{00000000-0005-0000-0000-0000E9220000}"/>
    <cellStyle name="Normal 5 2 3 3 4 2 4" xfId="16192" xr:uid="{00000000-0005-0000-0000-0000EA220000}"/>
    <cellStyle name="Normal 5 2 3 3 4 2 5" xfId="8936" xr:uid="{00000000-0005-0000-0000-0000EB220000}"/>
    <cellStyle name="Normal 5 2 3 3 4 3" xfId="2587" xr:uid="{00000000-0005-0000-0000-0000EC220000}"/>
    <cellStyle name="Normal 5 2 3 3 4 3 2" xfId="6215" xr:uid="{00000000-0005-0000-0000-0000ED220000}"/>
    <cellStyle name="Normal 5 2 3 3 4 3 2 2" xfId="20727" xr:uid="{00000000-0005-0000-0000-0000EE220000}"/>
    <cellStyle name="Normal 5 2 3 3 4 3 2 3" xfId="13471" xr:uid="{00000000-0005-0000-0000-0000EF220000}"/>
    <cellStyle name="Normal 5 2 3 3 4 3 3" xfId="17099" xr:uid="{00000000-0005-0000-0000-0000F0220000}"/>
    <cellStyle name="Normal 5 2 3 3 4 3 4" xfId="9843" xr:uid="{00000000-0005-0000-0000-0000F1220000}"/>
    <cellStyle name="Normal 5 2 3 3 4 4" xfId="4401" xr:uid="{00000000-0005-0000-0000-0000F2220000}"/>
    <cellStyle name="Normal 5 2 3 3 4 4 2" xfId="18913" xr:uid="{00000000-0005-0000-0000-0000F3220000}"/>
    <cellStyle name="Normal 5 2 3 3 4 4 3" xfId="11657" xr:uid="{00000000-0005-0000-0000-0000F4220000}"/>
    <cellStyle name="Normal 5 2 3 3 4 5" xfId="15285" xr:uid="{00000000-0005-0000-0000-0000F5220000}"/>
    <cellStyle name="Normal 5 2 3 3 4 6" xfId="8029" xr:uid="{00000000-0005-0000-0000-0000F6220000}"/>
    <cellStyle name="Normal 5 2 3 3 5" xfId="426" xr:uid="{00000000-0005-0000-0000-0000F7220000}"/>
    <cellStyle name="Normal 5 2 3 3 5 2" xfId="1334" xr:uid="{00000000-0005-0000-0000-0000F8220000}"/>
    <cellStyle name="Normal 5 2 3 3 5 2 2" xfId="3148" xr:uid="{00000000-0005-0000-0000-0000F9220000}"/>
    <cellStyle name="Normal 5 2 3 3 5 2 2 2" xfId="6776" xr:uid="{00000000-0005-0000-0000-0000FA220000}"/>
    <cellStyle name="Normal 5 2 3 3 5 2 2 2 2" xfId="21288" xr:uid="{00000000-0005-0000-0000-0000FB220000}"/>
    <cellStyle name="Normal 5 2 3 3 5 2 2 2 3" xfId="14032" xr:uid="{00000000-0005-0000-0000-0000FC220000}"/>
    <cellStyle name="Normal 5 2 3 3 5 2 2 3" xfId="17660" xr:uid="{00000000-0005-0000-0000-0000FD220000}"/>
    <cellStyle name="Normal 5 2 3 3 5 2 2 4" xfId="10404" xr:uid="{00000000-0005-0000-0000-0000FE220000}"/>
    <cellStyle name="Normal 5 2 3 3 5 2 3" xfId="4962" xr:uid="{00000000-0005-0000-0000-0000FF220000}"/>
    <cellStyle name="Normal 5 2 3 3 5 2 3 2" xfId="19474" xr:uid="{00000000-0005-0000-0000-000000230000}"/>
    <cellStyle name="Normal 5 2 3 3 5 2 3 3" xfId="12218" xr:uid="{00000000-0005-0000-0000-000001230000}"/>
    <cellStyle name="Normal 5 2 3 3 5 2 4" xfId="15846" xr:uid="{00000000-0005-0000-0000-000002230000}"/>
    <cellStyle name="Normal 5 2 3 3 5 2 5" xfId="8590" xr:uid="{00000000-0005-0000-0000-000003230000}"/>
    <cellStyle name="Normal 5 2 3 3 5 3" xfId="2241" xr:uid="{00000000-0005-0000-0000-000004230000}"/>
    <cellStyle name="Normal 5 2 3 3 5 3 2" xfId="5869" xr:uid="{00000000-0005-0000-0000-000005230000}"/>
    <cellStyle name="Normal 5 2 3 3 5 3 2 2" xfId="20381" xr:uid="{00000000-0005-0000-0000-000006230000}"/>
    <cellStyle name="Normal 5 2 3 3 5 3 2 3" xfId="13125" xr:uid="{00000000-0005-0000-0000-000007230000}"/>
    <cellStyle name="Normal 5 2 3 3 5 3 3" xfId="16753" xr:uid="{00000000-0005-0000-0000-000008230000}"/>
    <cellStyle name="Normal 5 2 3 3 5 3 4" xfId="9497" xr:uid="{00000000-0005-0000-0000-000009230000}"/>
    <cellStyle name="Normal 5 2 3 3 5 4" xfId="4055" xr:uid="{00000000-0005-0000-0000-00000A230000}"/>
    <cellStyle name="Normal 5 2 3 3 5 4 2" xfId="18567" xr:uid="{00000000-0005-0000-0000-00000B230000}"/>
    <cellStyle name="Normal 5 2 3 3 5 4 3" xfId="11311" xr:uid="{00000000-0005-0000-0000-00000C230000}"/>
    <cellStyle name="Normal 5 2 3 3 5 5" xfId="14939" xr:uid="{00000000-0005-0000-0000-00000D230000}"/>
    <cellStyle name="Normal 5 2 3 3 5 6" xfId="7683" xr:uid="{00000000-0005-0000-0000-00000E230000}"/>
    <cellStyle name="Normal 5 2 3 3 6" xfId="904" xr:uid="{00000000-0005-0000-0000-00000F230000}"/>
    <cellStyle name="Normal 5 2 3 3 6 2" xfId="1811" xr:uid="{00000000-0005-0000-0000-000010230000}"/>
    <cellStyle name="Normal 5 2 3 3 6 2 2" xfId="3625" xr:uid="{00000000-0005-0000-0000-000011230000}"/>
    <cellStyle name="Normal 5 2 3 3 6 2 2 2" xfId="7253" xr:uid="{00000000-0005-0000-0000-000012230000}"/>
    <cellStyle name="Normal 5 2 3 3 6 2 2 2 2" xfId="21765" xr:uid="{00000000-0005-0000-0000-000013230000}"/>
    <cellStyle name="Normal 5 2 3 3 6 2 2 2 3" xfId="14509" xr:uid="{00000000-0005-0000-0000-000014230000}"/>
    <cellStyle name="Normal 5 2 3 3 6 2 2 3" xfId="18137" xr:uid="{00000000-0005-0000-0000-000015230000}"/>
    <cellStyle name="Normal 5 2 3 3 6 2 2 4" xfId="10881" xr:uid="{00000000-0005-0000-0000-000016230000}"/>
    <cellStyle name="Normal 5 2 3 3 6 2 3" xfId="5439" xr:uid="{00000000-0005-0000-0000-000017230000}"/>
    <cellStyle name="Normal 5 2 3 3 6 2 3 2" xfId="19951" xr:uid="{00000000-0005-0000-0000-000018230000}"/>
    <cellStyle name="Normal 5 2 3 3 6 2 3 3" xfId="12695" xr:uid="{00000000-0005-0000-0000-000019230000}"/>
    <cellStyle name="Normal 5 2 3 3 6 2 4" xfId="16323" xr:uid="{00000000-0005-0000-0000-00001A230000}"/>
    <cellStyle name="Normal 5 2 3 3 6 2 5" xfId="9067" xr:uid="{00000000-0005-0000-0000-00001B230000}"/>
    <cellStyle name="Normal 5 2 3 3 6 3" xfId="2718" xr:uid="{00000000-0005-0000-0000-00001C230000}"/>
    <cellStyle name="Normal 5 2 3 3 6 3 2" xfId="6346" xr:uid="{00000000-0005-0000-0000-00001D230000}"/>
    <cellStyle name="Normal 5 2 3 3 6 3 2 2" xfId="20858" xr:uid="{00000000-0005-0000-0000-00001E230000}"/>
    <cellStyle name="Normal 5 2 3 3 6 3 2 3" xfId="13602" xr:uid="{00000000-0005-0000-0000-00001F230000}"/>
    <cellStyle name="Normal 5 2 3 3 6 3 3" xfId="17230" xr:uid="{00000000-0005-0000-0000-000020230000}"/>
    <cellStyle name="Normal 5 2 3 3 6 3 4" xfId="9974" xr:uid="{00000000-0005-0000-0000-000021230000}"/>
    <cellStyle name="Normal 5 2 3 3 6 4" xfId="4532" xr:uid="{00000000-0005-0000-0000-000022230000}"/>
    <cellStyle name="Normal 5 2 3 3 6 4 2" xfId="19044" xr:uid="{00000000-0005-0000-0000-000023230000}"/>
    <cellStyle name="Normal 5 2 3 3 6 4 3" xfId="11788" xr:uid="{00000000-0005-0000-0000-000024230000}"/>
    <cellStyle name="Normal 5 2 3 3 6 5" xfId="15416" xr:uid="{00000000-0005-0000-0000-000025230000}"/>
    <cellStyle name="Normal 5 2 3 3 6 6" xfId="8160" xr:uid="{00000000-0005-0000-0000-000026230000}"/>
    <cellStyle name="Normal 5 2 3 3 7" xfId="988" xr:uid="{00000000-0005-0000-0000-000027230000}"/>
    <cellStyle name="Normal 5 2 3 3 7 2" xfId="2802" xr:uid="{00000000-0005-0000-0000-000028230000}"/>
    <cellStyle name="Normal 5 2 3 3 7 2 2" xfId="6430" xr:uid="{00000000-0005-0000-0000-000029230000}"/>
    <cellStyle name="Normal 5 2 3 3 7 2 2 2" xfId="20942" xr:uid="{00000000-0005-0000-0000-00002A230000}"/>
    <cellStyle name="Normal 5 2 3 3 7 2 2 3" xfId="13686" xr:uid="{00000000-0005-0000-0000-00002B230000}"/>
    <cellStyle name="Normal 5 2 3 3 7 2 3" xfId="17314" xr:uid="{00000000-0005-0000-0000-00002C230000}"/>
    <cellStyle name="Normal 5 2 3 3 7 2 4" xfId="10058" xr:uid="{00000000-0005-0000-0000-00002D230000}"/>
    <cellStyle name="Normal 5 2 3 3 7 3" xfId="4616" xr:uid="{00000000-0005-0000-0000-00002E230000}"/>
    <cellStyle name="Normal 5 2 3 3 7 3 2" xfId="19128" xr:uid="{00000000-0005-0000-0000-00002F230000}"/>
    <cellStyle name="Normal 5 2 3 3 7 3 3" xfId="11872" xr:uid="{00000000-0005-0000-0000-000030230000}"/>
    <cellStyle name="Normal 5 2 3 3 7 4" xfId="15500" xr:uid="{00000000-0005-0000-0000-000031230000}"/>
    <cellStyle name="Normal 5 2 3 3 7 5" xfId="8244" xr:uid="{00000000-0005-0000-0000-000032230000}"/>
    <cellStyle name="Normal 5 2 3 3 8" xfId="1895" xr:uid="{00000000-0005-0000-0000-000033230000}"/>
    <cellStyle name="Normal 5 2 3 3 8 2" xfId="5523" xr:uid="{00000000-0005-0000-0000-000034230000}"/>
    <cellStyle name="Normal 5 2 3 3 8 2 2" xfId="20035" xr:uid="{00000000-0005-0000-0000-000035230000}"/>
    <cellStyle name="Normal 5 2 3 3 8 2 3" xfId="12779" xr:uid="{00000000-0005-0000-0000-000036230000}"/>
    <cellStyle name="Normal 5 2 3 3 8 3" xfId="16407" xr:uid="{00000000-0005-0000-0000-000037230000}"/>
    <cellStyle name="Normal 5 2 3 3 8 4" xfId="9151" xr:uid="{00000000-0005-0000-0000-000038230000}"/>
    <cellStyle name="Normal 5 2 3 3 9" xfId="3709" xr:uid="{00000000-0005-0000-0000-000039230000}"/>
    <cellStyle name="Normal 5 2 3 3 9 2" xfId="18221" xr:uid="{00000000-0005-0000-0000-00003A230000}"/>
    <cellStyle name="Normal 5 2 3 3 9 3" xfId="10965" xr:uid="{00000000-0005-0000-0000-00003B230000}"/>
    <cellStyle name="Normal 5 2 3 4" xfId="210" xr:uid="{00000000-0005-0000-0000-00003C230000}"/>
    <cellStyle name="Normal 5 2 3 4 2" xfId="340" xr:uid="{00000000-0005-0000-0000-00003D230000}"/>
    <cellStyle name="Normal 5 2 3 4 2 2" xfId="686" xr:uid="{00000000-0005-0000-0000-00003E230000}"/>
    <cellStyle name="Normal 5 2 3 4 2 2 2" xfId="1594" xr:uid="{00000000-0005-0000-0000-00003F230000}"/>
    <cellStyle name="Normal 5 2 3 4 2 2 2 2" xfId="3408" xr:uid="{00000000-0005-0000-0000-000040230000}"/>
    <cellStyle name="Normal 5 2 3 4 2 2 2 2 2" xfId="7036" xr:uid="{00000000-0005-0000-0000-000041230000}"/>
    <cellStyle name="Normal 5 2 3 4 2 2 2 2 2 2" xfId="21548" xr:uid="{00000000-0005-0000-0000-000042230000}"/>
    <cellStyle name="Normal 5 2 3 4 2 2 2 2 2 3" xfId="14292" xr:uid="{00000000-0005-0000-0000-000043230000}"/>
    <cellStyle name="Normal 5 2 3 4 2 2 2 2 3" xfId="17920" xr:uid="{00000000-0005-0000-0000-000044230000}"/>
    <cellStyle name="Normal 5 2 3 4 2 2 2 2 4" xfId="10664" xr:uid="{00000000-0005-0000-0000-000045230000}"/>
    <cellStyle name="Normal 5 2 3 4 2 2 2 3" xfId="5222" xr:uid="{00000000-0005-0000-0000-000046230000}"/>
    <cellStyle name="Normal 5 2 3 4 2 2 2 3 2" xfId="19734" xr:uid="{00000000-0005-0000-0000-000047230000}"/>
    <cellStyle name="Normal 5 2 3 4 2 2 2 3 3" xfId="12478" xr:uid="{00000000-0005-0000-0000-000048230000}"/>
    <cellStyle name="Normal 5 2 3 4 2 2 2 4" xfId="16106" xr:uid="{00000000-0005-0000-0000-000049230000}"/>
    <cellStyle name="Normal 5 2 3 4 2 2 2 5" xfId="8850" xr:uid="{00000000-0005-0000-0000-00004A230000}"/>
    <cellStyle name="Normal 5 2 3 4 2 2 3" xfId="2501" xr:uid="{00000000-0005-0000-0000-00004B230000}"/>
    <cellStyle name="Normal 5 2 3 4 2 2 3 2" xfId="6129" xr:uid="{00000000-0005-0000-0000-00004C230000}"/>
    <cellStyle name="Normal 5 2 3 4 2 2 3 2 2" xfId="20641" xr:uid="{00000000-0005-0000-0000-00004D230000}"/>
    <cellStyle name="Normal 5 2 3 4 2 2 3 2 3" xfId="13385" xr:uid="{00000000-0005-0000-0000-00004E230000}"/>
    <cellStyle name="Normal 5 2 3 4 2 2 3 3" xfId="17013" xr:uid="{00000000-0005-0000-0000-00004F230000}"/>
    <cellStyle name="Normal 5 2 3 4 2 2 3 4" xfId="9757" xr:uid="{00000000-0005-0000-0000-000050230000}"/>
    <cellStyle name="Normal 5 2 3 4 2 2 4" xfId="4315" xr:uid="{00000000-0005-0000-0000-000051230000}"/>
    <cellStyle name="Normal 5 2 3 4 2 2 4 2" xfId="18827" xr:uid="{00000000-0005-0000-0000-000052230000}"/>
    <cellStyle name="Normal 5 2 3 4 2 2 4 3" xfId="11571" xr:uid="{00000000-0005-0000-0000-000053230000}"/>
    <cellStyle name="Normal 5 2 3 4 2 2 5" xfId="15199" xr:uid="{00000000-0005-0000-0000-000054230000}"/>
    <cellStyle name="Normal 5 2 3 4 2 2 6" xfId="7943" xr:uid="{00000000-0005-0000-0000-000055230000}"/>
    <cellStyle name="Normal 5 2 3 4 2 3" xfId="1248" xr:uid="{00000000-0005-0000-0000-000056230000}"/>
    <cellStyle name="Normal 5 2 3 4 2 3 2" xfId="3062" xr:uid="{00000000-0005-0000-0000-000057230000}"/>
    <cellStyle name="Normal 5 2 3 4 2 3 2 2" xfId="6690" xr:uid="{00000000-0005-0000-0000-000058230000}"/>
    <cellStyle name="Normal 5 2 3 4 2 3 2 2 2" xfId="21202" xr:uid="{00000000-0005-0000-0000-000059230000}"/>
    <cellStyle name="Normal 5 2 3 4 2 3 2 2 3" xfId="13946" xr:uid="{00000000-0005-0000-0000-00005A230000}"/>
    <cellStyle name="Normal 5 2 3 4 2 3 2 3" xfId="17574" xr:uid="{00000000-0005-0000-0000-00005B230000}"/>
    <cellStyle name="Normal 5 2 3 4 2 3 2 4" xfId="10318" xr:uid="{00000000-0005-0000-0000-00005C230000}"/>
    <cellStyle name="Normal 5 2 3 4 2 3 3" xfId="4876" xr:uid="{00000000-0005-0000-0000-00005D230000}"/>
    <cellStyle name="Normal 5 2 3 4 2 3 3 2" xfId="19388" xr:uid="{00000000-0005-0000-0000-00005E230000}"/>
    <cellStyle name="Normal 5 2 3 4 2 3 3 3" xfId="12132" xr:uid="{00000000-0005-0000-0000-00005F230000}"/>
    <cellStyle name="Normal 5 2 3 4 2 3 4" xfId="15760" xr:uid="{00000000-0005-0000-0000-000060230000}"/>
    <cellStyle name="Normal 5 2 3 4 2 3 5" xfId="8504" xr:uid="{00000000-0005-0000-0000-000061230000}"/>
    <cellStyle name="Normal 5 2 3 4 2 4" xfId="2155" xr:uid="{00000000-0005-0000-0000-000062230000}"/>
    <cellStyle name="Normal 5 2 3 4 2 4 2" xfId="5783" xr:uid="{00000000-0005-0000-0000-000063230000}"/>
    <cellStyle name="Normal 5 2 3 4 2 4 2 2" xfId="20295" xr:uid="{00000000-0005-0000-0000-000064230000}"/>
    <cellStyle name="Normal 5 2 3 4 2 4 2 3" xfId="13039" xr:uid="{00000000-0005-0000-0000-000065230000}"/>
    <cellStyle name="Normal 5 2 3 4 2 4 3" xfId="16667" xr:uid="{00000000-0005-0000-0000-000066230000}"/>
    <cellStyle name="Normal 5 2 3 4 2 4 4" xfId="9411" xr:uid="{00000000-0005-0000-0000-000067230000}"/>
    <cellStyle name="Normal 5 2 3 4 2 5" xfId="3969" xr:uid="{00000000-0005-0000-0000-000068230000}"/>
    <cellStyle name="Normal 5 2 3 4 2 5 2" xfId="18481" xr:uid="{00000000-0005-0000-0000-000069230000}"/>
    <cellStyle name="Normal 5 2 3 4 2 5 3" xfId="11225" xr:uid="{00000000-0005-0000-0000-00006A230000}"/>
    <cellStyle name="Normal 5 2 3 4 2 6" xfId="14853" xr:uid="{00000000-0005-0000-0000-00006B230000}"/>
    <cellStyle name="Normal 5 2 3 4 2 7" xfId="7597" xr:uid="{00000000-0005-0000-0000-00006C230000}"/>
    <cellStyle name="Normal 5 2 3 4 3" xfId="816" xr:uid="{00000000-0005-0000-0000-00006D230000}"/>
    <cellStyle name="Normal 5 2 3 4 3 2" xfId="1724" xr:uid="{00000000-0005-0000-0000-00006E230000}"/>
    <cellStyle name="Normal 5 2 3 4 3 2 2" xfId="3538" xr:uid="{00000000-0005-0000-0000-00006F230000}"/>
    <cellStyle name="Normal 5 2 3 4 3 2 2 2" xfId="7166" xr:uid="{00000000-0005-0000-0000-000070230000}"/>
    <cellStyle name="Normal 5 2 3 4 3 2 2 2 2" xfId="21678" xr:uid="{00000000-0005-0000-0000-000071230000}"/>
    <cellStyle name="Normal 5 2 3 4 3 2 2 2 3" xfId="14422" xr:uid="{00000000-0005-0000-0000-000072230000}"/>
    <cellStyle name="Normal 5 2 3 4 3 2 2 3" xfId="18050" xr:uid="{00000000-0005-0000-0000-000073230000}"/>
    <cellStyle name="Normal 5 2 3 4 3 2 2 4" xfId="10794" xr:uid="{00000000-0005-0000-0000-000074230000}"/>
    <cellStyle name="Normal 5 2 3 4 3 2 3" xfId="5352" xr:uid="{00000000-0005-0000-0000-000075230000}"/>
    <cellStyle name="Normal 5 2 3 4 3 2 3 2" xfId="19864" xr:uid="{00000000-0005-0000-0000-000076230000}"/>
    <cellStyle name="Normal 5 2 3 4 3 2 3 3" xfId="12608" xr:uid="{00000000-0005-0000-0000-000077230000}"/>
    <cellStyle name="Normal 5 2 3 4 3 2 4" xfId="16236" xr:uid="{00000000-0005-0000-0000-000078230000}"/>
    <cellStyle name="Normal 5 2 3 4 3 2 5" xfId="8980" xr:uid="{00000000-0005-0000-0000-000079230000}"/>
    <cellStyle name="Normal 5 2 3 4 3 3" xfId="2631" xr:uid="{00000000-0005-0000-0000-00007A230000}"/>
    <cellStyle name="Normal 5 2 3 4 3 3 2" xfId="6259" xr:uid="{00000000-0005-0000-0000-00007B230000}"/>
    <cellStyle name="Normal 5 2 3 4 3 3 2 2" xfId="20771" xr:uid="{00000000-0005-0000-0000-00007C230000}"/>
    <cellStyle name="Normal 5 2 3 4 3 3 2 3" xfId="13515" xr:uid="{00000000-0005-0000-0000-00007D230000}"/>
    <cellStyle name="Normal 5 2 3 4 3 3 3" xfId="17143" xr:uid="{00000000-0005-0000-0000-00007E230000}"/>
    <cellStyle name="Normal 5 2 3 4 3 3 4" xfId="9887" xr:uid="{00000000-0005-0000-0000-00007F230000}"/>
    <cellStyle name="Normal 5 2 3 4 3 4" xfId="4445" xr:uid="{00000000-0005-0000-0000-000080230000}"/>
    <cellStyle name="Normal 5 2 3 4 3 4 2" xfId="18957" xr:uid="{00000000-0005-0000-0000-000081230000}"/>
    <cellStyle name="Normal 5 2 3 4 3 4 3" xfId="11701" xr:uid="{00000000-0005-0000-0000-000082230000}"/>
    <cellStyle name="Normal 5 2 3 4 3 5" xfId="15329" xr:uid="{00000000-0005-0000-0000-000083230000}"/>
    <cellStyle name="Normal 5 2 3 4 3 6" xfId="8073" xr:uid="{00000000-0005-0000-0000-000084230000}"/>
    <cellStyle name="Normal 5 2 3 4 4" xfId="556" xr:uid="{00000000-0005-0000-0000-000085230000}"/>
    <cellStyle name="Normal 5 2 3 4 4 2" xfId="1464" xr:uid="{00000000-0005-0000-0000-000086230000}"/>
    <cellStyle name="Normal 5 2 3 4 4 2 2" xfId="3278" xr:uid="{00000000-0005-0000-0000-000087230000}"/>
    <cellStyle name="Normal 5 2 3 4 4 2 2 2" xfId="6906" xr:uid="{00000000-0005-0000-0000-000088230000}"/>
    <cellStyle name="Normal 5 2 3 4 4 2 2 2 2" xfId="21418" xr:uid="{00000000-0005-0000-0000-000089230000}"/>
    <cellStyle name="Normal 5 2 3 4 4 2 2 2 3" xfId="14162" xr:uid="{00000000-0005-0000-0000-00008A230000}"/>
    <cellStyle name="Normal 5 2 3 4 4 2 2 3" xfId="17790" xr:uid="{00000000-0005-0000-0000-00008B230000}"/>
    <cellStyle name="Normal 5 2 3 4 4 2 2 4" xfId="10534" xr:uid="{00000000-0005-0000-0000-00008C230000}"/>
    <cellStyle name="Normal 5 2 3 4 4 2 3" xfId="5092" xr:uid="{00000000-0005-0000-0000-00008D230000}"/>
    <cellStyle name="Normal 5 2 3 4 4 2 3 2" xfId="19604" xr:uid="{00000000-0005-0000-0000-00008E230000}"/>
    <cellStyle name="Normal 5 2 3 4 4 2 3 3" xfId="12348" xr:uid="{00000000-0005-0000-0000-00008F230000}"/>
    <cellStyle name="Normal 5 2 3 4 4 2 4" xfId="15976" xr:uid="{00000000-0005-0000-0000-000090230000}"/>
    <cellStyle name="Normal 5 2 3 4 4 2 5" xfId="8720" xr:uid="{00000000-0005-0000-0000-000091230000}"/>
    <cellStyle name="Normal 5 2 3 4 4 3" xfId="2371" xr:uid="{00000000-0005-0000-0000-000092230000}"/>
    <cellStyle name="Normal 5 2 3 4 4 3 2" xfId="5999" xr:uid="{00000000-0005-0000-0000-000093230000}"/>
    <cellStyle name="Normal 5 2 3 4 4 3 2 2" xfId="20511" xr:uid="{00000000-0005-0000-0000-000094230000}"/>
    <cellStyle name="Normal 5 2 3 4 4 3 2 3" xfId="13255" xr:uid="{00000000-0005-0000-0000-000095230000}"/>
    <cellStyle name="Normal 5 2 3 4 4 3 3" xfId="16883" xr:uid="{00000000-0005-0000-0000-000096230000}"/>
    <cellStyle name="Normal 5 2 3 4 4 3 4" xfId="9627" xr:uid="{00000000-0005-0000-0000-000097230000}"/>
    <cellStyle name="Normal 5 2 3 4 4 4" xfId="4185" xr:uid="{00000000-0005-0000-0000-000098230000}"/>
    <cellStyle name="Normal 5 2 3 4 4 4 2" xfId="18697" xr:uid="{00000000-0005-0000-0000-000099230000}"/>
    <cellStyle name="Normal 5 2 3 4 4 4 3" xfId="11441" xr:uid="{00000000-0005-0000-0000-00009A230000}"/>
    <cellStyle name="Normal 5 2 3 4 4 5" xfId="15069" xr:uid="{00000000-0005-0000-0000-00009B230000}"/>
    <cellStyle name="Normal 5 2 3 4 4 6" xfId="7813" xr:uid="{00000000-0005-0000-0000-00009C230000}"/>
    <cellStyle name="Normal 5 2 3 4 5" xfId="1118" xr:uid="{00000000-0005-0000-0000-00009D230000}"/>
    <cellStyle name="Normal 5 2 3 4 5 2" xfId="2932" xr:uid="{00000000-0005-0000-0000-00009E230000}"/>
    <cellStyle name="Normal 5 2 3 4 5 2 2" xfId="6560" xr:uid="{00000000-0005-0000-0000-00009F230000}"/>
    <cellStyle name="Normal 5 2 3 4 5 2 2 2" xfId="21072" xr:uid="{00000000-0005-0000-0000-0000A0230000}"/>
    <cellStyle name="Normal 5 2 3 4 5 2 2 3" xfId="13816" xr:uid="{00000000-0005-0000-0000-0000A1230000}"/>
    <cellStyle name="Normal 5 2 3 4 5 2 3" xfId="17444" xr:uid="{00000000-0005-0000-0000-0000A2230000}"/>
    <cellStyle name="Normal 5 2 3 4 5 2 4" xfId="10188" xr:uid="{00000000-0005-0000-0000-0000A3230000}"/>
    <cellStyle name="Normal 5 2 3 4 5 3" xfId="4746" xr:uid="{00000000-0005-0000-0000-0000A4230000}"/>
    <cellStyle name="Normal 5 2 3 4 5 3 2" xfId="19258" xr:uid="{00000000-0005-0000-0000-0000A5230000}"/>
    <cellStyle name="Normal 5 2 3 4 5 3 3" xfId="12002" xr:uid="{00000000-0005-0000-0000-0000A6230000}"/>
    <cellStyle name="Normal 5 2 3 4 5 4" xfId="15630" xr:uid="{00000000-0005-0000-0000-0000A7230000}"/>
    <cellStyle name="Normal 5 2 3 4 5 5" xfId="8374" xr:uid="{00000000-0005-0000-0000-0000A8230000}"/>
    <cellStyle name="Normal 5 2 3 4 6" xfId="2025" xr:uid="{00000000-0005-0000-0000-0000A9230000}"/>
    <cellStyle name="Normal 5 2 3 4 6 2" xfId="5653" xr:uid="{00000000-0005-0000-0000-0000AA230000}"/>
    <cellStyle name="Normal 5 2 3 4 6 2 2" xfId="20165" xr:uid="{00000000-0005-0000-0000-0000AB230000}"/>
    <cellStyle name="Normal 5 2 3 4 6 2 3" xfId="12909" xr:uid="{00000000-0005-0000-0000-0000AC230000}"/>
    <cellStyle name="Normal 5 2 3 4 6 3" xfId="16537" xr:uid="{00000000-0005-0000-0000-0000AD230000}"/>
    <cellStyle name="Normal 5 2 3 4 6 4" xfId="9281" xr:uid="{00000000-0005-0000-0000-0000AE230000}"/>
    <cellStyle name="Normal 5 2 3 4 7" xfId="3839" xr:uid="{00000000-0005-0000-0000-0000AF230000}"/>
    <cellStyle name="Normal 5 2 3 4 7 2" xfId="18351" xr:uid="{00000000-0005-0000-0000-0000B0230000}"/>
    <cellStyle name="Normal 5 2 3 4 7 3" xfId="11095" xr:uid="{00000000-0005-0000-0000-0000B1230000}"/>
    <cellStyle name="Normal 5 2 3 4 8" xfId="14723" xr:uid="{00000000-0005-0000-0000-0000B2230000}"/>
    <cellStyle name="Normal 5 2 3 4 9" xfId="7467" xr:uid="{00000000-0005-0000-0000-0000B3230000}"/>
    <cellStyle name="Normal 5 2 3 5" xfId="124" xr:uid="{00000000-0005-0000-0000-0000B4230000}"/>
    <cellStyle name="Normal 5 2 3 5 2" xfId="470" xr:uid="{00000000-0005-0000-0000-0000B5230000}"/>
    <cellStyle name="Normal 5 2 3 5 2 2" xfId="1378" xr:uid="{00000000-0005-0000-0000-0000B6230000}"/>
    <cellStyle name="Normal 5 2 3 5 2 2 2" xfId="3192" xr:uid="{00000000-0005-0000-0000-0000B7230000}"/>
    <cellStyle name="Normal 5 2 3 5 2 2 2 2" xfId="6820" xr:uid="{00000000-0005-0000-0000-0000B8230000}"/>
    <cellStyle name="Normal 5 2 3 5 2 2 2 2 2" xfId="21332" xr:uid="{00000000-0005-0000-0000-0000B9230000}"/>
    <cellStyle name="Normal 5 2 3 5 2 2 2 2 3" xfId="14076" xr:uid="{00000000-0005-0000-0000-0000BA230000}"/>
    <cellStyle name="Normal 5 2 3 5 2 2 2 3" xfId="17704" xr:uid="{00000000-0005-0000-0000-0000BB230000}"/>
    <cellStyle name="Normal 5 2 3 5 2 2 2 4" xfId="10448" xr:uid="{00000000-0005-0000-0000-0000BC230000}"/>
    <cellStyle name="Normal 5 2 3 5 2 2 3" xfId="5006" xr:uid="{00000000-0005-0000-0000-0000BD230000}"/>
    <cellStyle name="Normal 5 2 3 5 2 2 3 2" xfId="19518" xr:uid="{00000000-0005-0000-0000-0000BE230000}"/>
    <cellStyle name="Normal 5 2 3 5 2 2 3 3" xfId="12262" xr:uid="{00000000-0005-0000-0000-0000BF230000}"/>
    <cellStyle name="Normal 5 2 3 5 2 2 4" xfId="15890" xr:uid="{00000000-0005-0000-0000-0000C0230000}"/>
    <cellStyle name="Normal 5 2 3 5 2 2 5" xfId="8634" xr:uid="{00000000-0005-0000-0000-0000C1230000}"/>
    <cellStyle name="Normal 5 2 3 5 2 3" xfId="2285" xr:uid="{00000000-0005-0000-0000-0000C2230000}"/>
    <cellStyle name="Normal 5 2 3 5 2 3 2" xfId="5913" xr:uid="{00000000-0005-0000-0000-0000C3230000}"/>
    <cellStyle name="Normal 5 2 3 5 2 3 2 2" xfId="20425" xr:uid="{00000000-0005-0000-0000-0000C4230000}"/>
    <cellStyle name="Normal 5 2 3 5 2 3 2 3" xfId="13169" xr:uid="{00000000-0005-0000-0000-0000C5230000}"/>
    <cellStyle name="Normal 5 2 3 5 2 3 3" xfId="16797" xr:uid="{00000000-0005-0000-0000-0000C6230000}"/>
    <cellStyle name="Normal 5 2 3 5 2 3 4" xfId="9541" xr:uid="{00000000-0005-0000-0000-0000C7230000}"/>
    <cellStyle name="Normal 5 2 3 5 2 4" xfId="4099" xr:uid="{00000000-0005-0000-0000-0000C8230000}"/>
    <cellStyle name="Normal 5 2 3 5 2 4 2" xfId="18611" xr:uid="{00000000-0005-0000-0000-0000C9230000}"/>
    <cellStyle name="Normal 5 2 3 5 2 4 3" xfId="11355" xr:uid="{00000000-0005-0000-0000-0000CA230000}"/>
    <cellStyle name="Normal 5 2 3 5 2 5" xfId="14983" xr:uid="{00000000-0005-0000-0000-0000CB230000}"/>
    <cellStyle name="Normal 5 2 3 5 2 6" xfId="7727" xr:uid="{00000000-0005-0000-0000-0000CC230000}"/>
    <cellStyle name="Normal 5 2 3 5 3" xfId="1032" xr:uid="{00000000-0005-0000-0000-0000CD230000}"/>
    <cellStyle name="Normal 5 2 3 5 3 2" xfId="2846" xr:uid="{00000000-0005-0000-0000-0000CE230000}"/>
    <cellStyle name="Normal 5 2 3 5 3 2 2" xfId="6474" xr:uid="{00000000-0005-0000-0000-0000CF230000}"/>
    <cellStyle name="Normal 5 2 3 5 3 2 2 2" xfId="20986" xr:uid="{00000000-0005-0000-0000-0000D0230000}"/>
    <cellStyle name="Normal 5 2 3 5 3 2 2 3" xfId="13730" xr:uid="{00000000-0005-0000-0000-0000D1230000}"/>
    <cellStyle name="Normal 5 2 3 5 3 2 3" xfId="17358" xr:uid="{00000000-0005-0000-0000-0000D2230000}"/>
    <cellStyle name="Normal 5 2 3 5 3 2 4" xfId="10102" xr:uid="{00000000-0005-0000-0000-0000D3230000}"/>
    <cellStyle name="Normal 5 2 3 5 3 3" xfId="4660" xr:uid="{00000000-0005-0000-0000-0000D4230000}"/>
    <cellStyle name="Normal 5 2 3 5 3 3 2" xfId="19172" xr:uid="{00000000-0005-0000-0000-0000D5230000}"/>
    <cellStyle name="Normal 5 2 3 5 3 3 3" xfId="11916" xr:uid="{00000000-0005-0000-0000-0000D6230000}"/>
    <cellStyle name="Normal 5 2 3 5 3 4" xfId="15544" xr:uid="{00000000-0005-0000-0000-0000D7230000}"/>
    <cellStyle name="Normal 5 2 3 5 3 5" xfId="8288" xr:uid="{00000000-0005-0000-0000-0000D8230000}"/>
    <cellStyle name="Normal 5 2 3 5 4" xfId="1939" xr:uid="{00000000-0005-0000-0000-0000D9230000}"/>
    <cellStyle name="Normal 5 2 3 5 4 2" xfId="5567" xr:uid="{00000000-0005-0000-0000-0000DA230000}"/>
    <cellStyle name="Normal 5 2 3 5 4 2 2" xfId="20079" xr:uid="{00000000-0005-0000-0000-0000DB230000}"/>
    <cellStyle name="Normal 5 2 3 5 4 2 3" xfId="12823" xr:uid="{00000000-0005-0000-0000-0000DC230000}"/>
    <cellStyle name="Normal 5 2 3 5 4 3" xfId="16451" xr:uid="{00000000-0005-0000-0000-0000DD230000}"/>
    <cellStyle name="Normal 5 2 3 5 4 4" xfId="9195" xr:uid="{00000000-0005-0000-0000-0000DE230000}"/>
    <cellStyle name="Normal 5 2 3 5 5" xfId="3753" xr:uid="{00000000-0005-0000-0000-0000DF230000}"/>
    <cellStyle name="Normal 5 2 3 5 5 2" xfId="18265" xr:uid="{00000000-0005-0000-0000-0000E0230000}"/>
    <cellStyle name="Normal 5 2 3 5 5 3" xfId="11009" xr:uid="{00000000-0005-0000-0000-0000E1230000}"/>
    <cellStyle name="Normal 5 2 3 5 6" xfId="14637" xr:uid="{00000000-0005-0000-0000-0000E2230000}"/>
    <cellStyle name="Normal 5 2 3 5 7" xfId="7381" xr:uid="{00000000-0005-0000-0000-0000E3230000}"/>
    <cellStyle name="Normal 5 2 3 6" xfId="254" xr:uid="{00000000-0005-0000-0000-0000E4230000}"/>
    <cellStyle name="Normal 5 2 3 6 2" xfId="600" xr:uid="{00000000-0005-0000-0000-0000E5230000}"/>
    <cellStyle name="Normal 5 2 3 6 2 2" xfId="1508" xr:uid="{00000000-0005-0000-0000-0000E6230000}"/>
    <cellStyle name="Normal 5 2 3 6 2 2 2" xfId="3322" xr:uid="{00000000-0005-0000-0000-0000E7230000}"/>
    <cellStyle name="Normal 5 2 3 6 2 2 2 2" xfId="6950" xr:uid="{00000000-0005-0000-0000-0000E8230000}"/>
    <cellStyle name="Normal 5 2 3 6 2 2 2 2 2" xfId="21462" xr:uid="{00000000-0005-0000-0000-0000E9230000}"/>
    <cellStyle name="Normal 5 2 3 6 2 2 2 2 3" xfId="14206" xr:uid="{00000000-0005-0000-0000-0000EA230000}"/>
    <cellStyle name="Normal 5 2 3 6 2 2 2 3" xfId="17834" xr:uid="{00000000-0005-0000-0000-0000EB230000}"/>
    <cellStyle name="Normal 5 2 3 6 2 2 2 4" xfId="10578" xr:uid="{00000000-0005-0000-0000-0000EC230000}"/>
    <cellStyle name="Normal 5 2 3 6 2 2 3" xfId="5136" xr:uid="{00000000-0005-0000-0000-0000ED230000}"/>
    <cellStyle name="Normal 5 2 3 6 2 2 3 2" xfId="19648" xr:uid="{00000000-0005-0000-0000-0000EE230000}"/>
    <cellStyle name="Normal 5 2 3 6 2 2 3 3" xfId="12392" xr:uid="{00000000-0005-0000-0000-0000EF230000}"/>
    <cellStyle name="Normal 5 2 3 6 2 2 4" xfId="16020" xr:uid="{00000000-0005-0000-0000-0000F0230000}"/>
    <cellStyle name="Normal 5 2 3 6 2 2 5" xfId="8764" xr:uid="{00000000-0005-0000-0000-0000F1230000}"/>
    <cellStyle name="Normal 5 2 3 6 2 3" xfId="2415" xr:uid="{00000000-0005-0000-0000-0000F2230000}"/>
    <cellStyle name="Normal 5 2 3 6 2 3 2" xfId="6043" xr:uid="{00000000-0005-0000-0000-0000F3230000}"/>
    <cellStyle name="Normal 5 2 3 6 2 3 2 2" xfId="20555" xr:uid="{00000000-0005-0000-0000-0000F4230000}"/>
    <cellStyle name="Normal 5 2 3 6 2 3 2 3" xfId="13299" xr:uid="{00000000-0005-0000-0000-0000F5230000}"/>
    <cellStyle name="Normal 5 2 3 6 2 3 3" xfId="16927" xr:uid="{00000000-0005-0000-0000-0000F6230000}"/>
    <cellStyle name="Normal 5 2 3 6 2 3 4" xfId="9671" xr:uid="{00000000-0005-0000-0000-0000F7230000}"/>
    <cellStyle name="Normal 5 2 3 6 2 4" xfId="4229" xr:uid="{00000000-0005-0000-0000-0000F8230000}"/>
    <cellStyle name="Normal 5 2 3 6 2 4 2" xfId="18741" xr:uid="{00000000-0005-0000-0000-0000F9230000}"/>
    <cellStyle name="Normal 5 2 3 6 2 4 3" xfId="11485" xr:uid="{00000000-0005-0000-0000-0000FA230000}"/>
    <cellStyle name="Normal 5 2 3 6 2 5" xfId="15113" xr:uid="{00000000-0005-0000-0000-0000FB230000}"/>
    <cellStyle name="Normal 5 2 3 6 2 6" xfId="7857" xr:uid="{00000000-0005-0000-0000-0000FC230000}"/>
    <cellStyle name="Normal 5 2 3 6 3" xfId="1162" xr:uid="{00000000-0005-0000-0000-0000FD230000}"/>
    <cellStyle name="Normal 5 2 3 6 3 2" xfId="2976" xr:uid="{00000000-0005-0000-0000-0000FE230000}"/>
    <cellStyle name="Normal 5 2 3 6 3 2 2" xfId="6604" xr:uid="{00000000-0005-0000-0000-0000FF230000}"/>
    <cellStyle name="Normal 5 2 3 6 3 2 2 2" xfId="21116" xr:uid="{00000000-0005-0000-0000-000000240000}"/>
    <cellStyle name="Normal 5 2 3 6 3 2 2 3" xfId="13860" xr:uid="{00000000-0005-0000-0000-000001240000}"/>
    <cellStyle name="Normal 5 2 3 6 3 2 3" xfId="17488" xr:uid="{00000000-0005-0000-0000-000002240000}"/>
    <cellStyle name="Normal 5 2 3 6 3 2 4" xfId="10232" xr:uid="{00000000-0005-0000-0000-000003240000}"/>
    <cellStyle name="Normal 5 2 3 6 3 3" xfId="4790" xr:uid="{00000000-0005-0000-0000-000004240000}"/>
    <cellStyle name="Normal 5 2 3 6 3 3 2" xfId="19302" xr:uid="{00000000-0005-0000-0000-000005240000}"/>
    <cellStyle name="Normal 5 2 3 6 3 3 3" xfId="12046" xr:uid="{00000000-0005-0000-0000-000006240000}"/>
    <cellStyle name="Normal 5 2 3 6 3 4" xfId="15674" xr:uid="{00000000-0005-0000-0000-000007240000}"/>
    <cellStyle name="Normal 5 2 3 6 3 5" xfId="8418" xr:uid="{00000000-0005-0000-0000-000008240000}"/>
    <cellStyle name="Normal 5 2 3 6 4" xfId="2069" xr:uid="{00000000-0005-0000-0000-000009240000}"/>
    <cellStyle name="Normal 5 2 3 6 4 2" xfId="5697" xr:uid="{00000000-0005-0000-0000-00000A240000}"/>
    <cellStyle name="Normal 5 2 3 6 4 2 2" xfId="20209" xr:uid="{00000000-0005-0000-0000-00000B240000}"/>
    <cellStyle name="Normal 5 2 3 6 4 2 3" xfId="12953" xr:uid="{00000000-0005-0000-0000-00000C240000}"/>
    <cellStyle name="Normal 5 2 3 6 4 3" xfId="16581" xr:uid="{00000000-0005-0000-0000-00000D240000}"/>
    <cellStyle name="Normal 5 2 3 6 4 4" xfId="9325" xr:uid="{00000000-0005-0000-0000-00000E240000}"/>
    <cellStyle name="Normal 5 2 3 6 5" xfId="3883" xr:uid="{00000000-0005-0000-0000-00000F240000}"/>
    <cellStyle name="Normal 5 2 3 6 5 2" xfId="18395" xr:uid="{00000000-0005-0000-0000-000010240000}"/>
    <cellStyle name="Normal 5 2 3 6 5 3" xfId="11139" xr:uid="{00000000-0005-0000-0000-000011240000}"/>
    <cellStyle name="Normal 5 2 3 6 6" xfId="14767" xr:uid="{00000000-0005-0000-0000-000012240000}"/>
    <cellStyle name="Normal 5 2 3 6 7" xfId="7511" xr:uid="{00000000-0005-0000-0000-000013240000}"/>
    <cellStyle name="Normal 5 2 3 7" xfId="730" xr:uid="{00000000-0005-0000-0000-000014240000}"/>
    <cellStyle name="Normal 5 2 3 7 2" xfId="1638" xr:uid="{00000000-0005-0000-0000-000015240000}"/>
    <cellStyle name="Normal 5 2 3 7 2 2" xfId="3452" xr:uid="{00000000-0005-0000-0000-000016240000}"/>
    <cellStyle name="Normal 5 2 3 7 2 2 2" xfId="7080" xr:uid="{00000000-0005-0000-0000-000017240000}"/>
    <cellStyle name="Normal 5 2 3 7 2 2 2 2" xfId="21592" xr:uid="{00000000-0005-0000-0000-000018240000}"/>
    <cellStyle name="Normal 5 2 3 7 2 2 2 3" xfId="14336" xr:uid="{00000000-0005-0000-0000-000019240000}"/>
    <cellStyle name="Normal 5 2 3 7 2 2 3" xfId="17964" xr:uid="{00000000-0005-0000-0000-00001A240000}"/>
    <cellStyle name="Normal 5 2 3 7 2 2 4" xfId="10708" xr:uid="{00000000-0005-0000-0000-00001B240000}"/>
    <cellStyle name="Normal 5 2 3 7 2 3" xfId="5266" xr:uid="{00000000-0005-0000-0000-00001C240000}"/>
    <cellStyle name="Normal 5 2 3 7 2 3 2" xfId="19778" xr:uid="{00000000-0005-0000-0000-00001D240000}"/>
    <cellStyle name="Normal 5 2 3 7 2 3 3" xfId="12522" xr:uid="{00000000-0005-0000-0000-00001E240000}"/>
    <cellStyle name="Normal 5 2 3 7 2 4" xfId="16150" xr:uid="{00000000-0005-0000-0000-00001F240000}"/>
    <cellStyle name="Normal 5 2 3 7 2 5" xfId="8894" xr:uid="{00000000-0005-0000-0000-000020240000}"/>
    <cellStyle name="Normal 5 2 3 7 3" xfId="2545" xr:uid="{00000000-0005-0000-0000-000021240000}"/>
    <cellStyle name="Normal 5 2 3 7 3 2" xfId="6173" xr:uid="{00000000-0005-0000-0000-000022240000}"/>
    <cellStyle name="Normal 5 2 3 7 3 2 2" xfId="20685" xr:uid="{00000000-0005-0000-0000-000023240000}"/>
    <cellStyle name="Normal 5 2 3 7 3 2 3" xfId="13429" xr:uid="{00000000-0005-0000-0000-000024240000}"/>
    <cellStyle name="Normal 5 2 3 7 3 3" xfId="17057" xr:uid="{00000000-0005-0000-0000-000025240000}"/>
    <cellStyle name="Normal 5 2 3 7 3 4" xfId="9801" xr:uid="{00000000-0005-0000-0000-000026240000}"/>
    <cellStyle name="Normal 5 2 3 7 4" xfId="4359" xr:uid="{00000000-0005-0000-0000-000027240000}"/>
    <cellStyle name="Normal 5 2 3 7 4 2" xfId="18871" xr:uid="{00000000-0005-0000-0000-000028240000}"/>
    <cellStyle name="Normal 5 2 3 7 4 3" xfId="11615" xr:uid="{00000000-0005-0000-0000-000029240000}"/>
    <cellStyle name="Normal 5 2 3 7 5" xfId="15243" xr:uid="{00000000-0005-0000-0000-00002A240000}"/>
    <cellStyle name="Normal 5 2 3 7 6" xfId="7987" xr:uid="{00000000-0005-0000-0000-00002B240000}"/>
    <cellStyle name="Normal 5 2 3 8" xfId="384" xr:uid="{00000000-0005-0000-0000-00002C240000}"/>
    <cellStyle name="Normal 5 2 3 8 2" xfId="1292" xr:uid="{00000000-0005-0000-0000-00002D240000}"/>
    <cellStyle name="Normal 5 2 3 8 2 2" xfId="3106" xr:uid="{00000000-0005-0000-0000-00002E240000}"/>
    <cellStyle name="Normal 5 2 3 8 2 2 2" xfId="6734" xr:uid="{00000000-0005-0000-0000-00002F240000}"/>
    <cellStyle name="Normal 5 2 3 8 2 2 2 2" xfId="21246" xr:uid="{00000000-0005-0000-0000-000030240000}"/>
    <cellStyle name="Normal 5 2 3 8 2 2 2 3" xfId="13990" xr:uid="{00000000-0005-0000-0000-000031240000}"/>
    <cellStyle name="Normal 5 2 3 8 2 2 3" xfId="17618" xr:uid="{00000000-0005-0000-0000-000032240000}"/>
    <cellStyle name="Normal 5 2 3 8 2 2 4" xfId="10362" xr:uid="{00000000-0005-0000-0000-000033240000}"/>
    <cellStyle name="Normal 5 2 3 8 2 3" xfId="4920" xr:uid="{00000000-0005-0000-0000-000034240000}"/>
    <cellStyle name="Normal 5 2 3 8 2 3 2" xfId="19432" xr:uid="{00000000-0005-0000-0000-000035240000}"/>
    <cellStyle name="Normal 5 2 3 8 2 3 3" xfId="12176" xr:uid="{00000000-0005-0000-0000-000036240000}"/>
    <cellStyle name="Normal 5 2 3 8 2 4" xfId="15804" xr:uid="{00000000-0005-0000-0000-000037240000}"/>
    <cellStyle name="Normal 5 2 3 8 2 5" xfId="8548" xr:uid="{00000000-0005-0000-0000-000038240000}"/>
    <cellStyle name="Normal 5 2 3 8 3" xfId="2199" xr:uid="{00000000-0005-0000-0000-000039240000}"/>
    <cellStyle name="Normal 5 2 3 8 3 2" xfId="5827" xr:uid="{00000000-0005-0000-0000-00003A240000}"/>
    <cellStyle name="Normal 5 2 3 8 3 2 2" xfId="20339" xr:uid="{00000000-0005-0000-0000-00003B240000}"/>
    <cellStyle name="Normal 5 2 3 8 3 2 3" xfId="13083" xr:uid="{00000000-0005-0000-0000-00003C240000}"/>
    <cellStyle name="Normal 5 2 3 8 3 3" xfId="16711" xr:uid="{00000000-0005-0000-0000-00003D240000}"/>
    <cellStyle name="Normal 5 2 3 8 3 4" xfId="9455" xr:uid="{00000000-0005-0000-0000-00003E240000}"/>
    <cellStyle name="Normal 5 2 3 8 4" xfId="4013" xr:uid="{00000000-0005-0000-0000-00003F240000}"/>
    <cellStyle name="Normal 5 2 3 8 4 2" xfId="18525" xr:uid="{00000000-0005-0000-0000-000040240000}"/>
    <cellStyle name="Normal 5 2 3 8 4 3" xfId="11269" xr:uid="{00000000-0005-0000-0000-000041240000}"/>
    <cellStyle name="Normal 5 2 3 8 5" xfId="14897" xr:uid="{00000000-0005-0000-0000-000042240000}"/>
    <cellStyle name="Normal 5 2 3 8 6" xfId="7641" xr:uid="{00000000-0005-0000-0000-000043240000}"/>
    <cellStyle name="Normal 5 2 3 9" xfId="860" xr:uid="{00000000-0005-0000-0000-000044240000}"/>
    <cellStyle name="Normal 5 2 3 9 2" xfId="1768" xr:uid="{00000000-0005-0000-0000-000045240000}"/>
    <cellStyle name="Normal 5 2 3 9 2 2" xfId="3582" xr:uid="{00000000-0005-0000-0000-000046240000}"/>
    <cellStyle name="Normal 5 2 3 9 2 2 2" xfId="7210" xr:uid="{00000000-0005-0000-0000-000047240000}"/>
    <cellStyle name="Normal 5 2 3 9 2 2 2 2" xfId="21722" xr:uid="{00000000-0005-0000-0000-000048240000}"/>
    <cellStyle name="Normal 5 2 3 9 2 2 2 3" xfId="14466" xr:uid="{00000000-0005-0000-0000-000049240000}"/>
    <cellStyle name="Normal 5 2 3 9 2 2 3" xfId="18094" xr:uid="{00000000-0005-0000-0000-00004A240000}"/>
    <cellStyle name="Normal 5 2 3 9 2 2 4" xfId="10838" xr:uid="{00000000-0005-0000-0000-00004B240000}"/>
    <cellStyle name="Normal 5 2 3 9 2 3" xfId="5396" xr:uid="{00000000-0005-0000-0000-00004C240000}"/>
    <cellStyle name="Normal 5 2 3 9 2 3 2" xfId="19908" xr:uid="{00000000-0005-0000-0000-00004D240000}"/>
    <cellStyle name="Normal 5 2 3 9 2 3 3" xfId="12652" xr:uid="{00000000-0005-0000-0000-00004E240000}"/>
    <cellStyle name="Normal 5 2 3 9 2 4" xfId="16280" xr:uid="{00000000-0005-0000-0000-00004F240000}"/>
    <cellStyle name="Normal 5 2 3 9 2 5" xfId="9024" xr:uid="{00000000-0005-0000-0000-000050240000}"/>
    <cellStyle name="Normal 5 2 3 9 3" xfId="2675" xr:uid="{00000000-0005-0000-0000-000051240000}"/>
    <cellStyle name="Normal 5 2 3 9 3 2" xfId="6303" xr:uid="{00000000-0005-0000-0000-000052240000}"/>
    <cellStyle name="Normal 5 2 3 9 3 2 2" xfId="20815" xr:uid="{00000000-0005-0000-0000-000053240000}"/>
    <cellStyle name="Normal 5 2 3 9 3 2 3" xfId="13559" xr:uid="{00000000-0005-0000-0000-000054240000}"/>
    <cellStyle name="Normal 5 2 3 9 3 3" xfId="17187" xr:uid="{00000000-0005-0000-0000-000055240000}"/>
    <cellStyle name="Normal 5 2 3 9 3 4" xfId="9931" xr:uid="{00000000-0005-0000-0000-000056240000}"/>
    <cellStyle name="Normal 5 2 3 9 4" xfId="4489" xr:uid="{00000000-0005-0000-0000-000057240000}"/>
    <cellStyle name="Normal 5 2 3 9 4 2" xfId="19001" xr:uid="{00000000-0005-0000-0000-000058240000}"/>
    <cellStyle name="Normal 5 2 3 9 4 3" xfId="11745" xr:uid="{00000000-0005-0000-0000-000059240000}"/>
    <cellStyle name="Normal 5 2 3 9 5" xfId="15373" xr:uid="{00000000-0005-0000-0000-00005A240000}"/>
    <cellStyle name="Normal 5 2 3 9 6" xfId="8117" xr:uid="{00000000-0005-0000-0000-00005B240000}"/>
    <cellStyle name="Normal 5 2 4" xfId="47" xr:uid="{00000000-0005-0000-0000-00005C240000}"/>
    <cellStyle name="Normal 5 2 4 10" xfId="1864" xr:uid="{00000000-0005-0000-0000-00005D240000}"/>
    <cellStyle name="Normal 5 2 4 10 2" xfId="5492" xr:uid="{00000000-0005-0000-0000-00005E240000}"/>
    <cellStyle name="Normal 5 2 4 10 2 2" xfId="20004" xr:uid="{00000000-0005-0000-0000-00005F240000}"/>
    <cellStyle name="Normal 5 2 4 10 2 3" xfId="12748" xr:uid="{00000000-0005-0000-0000-000060240000}"/>
    <cellStyle name="Normal 5 2 4 10 3" xfId="16376" xr:uid="{00000000-0005-0000-0000-000061240000}"/>
    <cellStyle name="Normal 5 2 4 10 4" xfId="9120" xr:uid="{00000000-0005-0000-0000-000062240000}"/>
    <cellStyle name="Normal 5 2 4 11" xfId="3678" xr:uid="{00000000-0005-0000-0000-000063240000}"/>
    <cellStyle name="Normal 5 2 4 11 2" xfId="18190" xr:uid="{00000000-0005-0000-0000-000064240000}"/>
    <cellStyle name="Normal 5 2 4 11 3" xfId="10934" xr:uid="{00000000-0005-0000-0000-000065240000}"/>
    <cellStyle name="Normal 5 2 4 12" xfId="14562" xr:uid="{00000000-0005-0000-0000-000066240000}"/>
    <cellStyle name="Normal 5 2 4 13" xfId="7306" xr:uid="{00000000-0005-0000-0000-000067240000}"/>
    <cellStyle name="Normal 5 2 4 2" xfId="89" xr:uid="{00000000-0005-0000-0000-000068240000}"/>
    <cellStyle name="Normal 5 2 4 2 10" xfId="14604" xr:uid="{00000000-0005-0000-0000-000069240000}"/>
    <cellStyle name="Normal 5 2 4 2 11" xfId="7348" xr:uid="{00000000-0005-0000-0000-00006A240000}"/>
    <cellStyle name="Normal 5 2 4 2 2" xfId="177" xr:uid="{00000000-0005-0000-0000-00006B240000}"/>
    <cellStyle name="Normal 5 2 4 2 2 2" xfId="523" xr:uid="{00000000-0005-0000-0000-00006C240000}"/>
    <cellStyle name="Normal 5 2 4 2 2 2 2" xfId="1431" xr:uid="{00000000-0005-0000-0000-00006D240000}"/>
    <cellStyle name="Normal 5 2 4 2 2 2 2 2" xfId="3245" xr:uid="{00000000-0005-0000-0000-00006E240000}"/>
    <cellStyle name="Normal 5 2 4 2 2 2 2 2 2" xfId="6873" xr:uid="{00000000-0005-0000-0000-00006F240000}"/>
    <cellStyle name="Normal 5 2 4 2 2 2 2 2 2 2" xfId="21385" xr:uid="{00000000-0005-0000-0000-000070240000}"/>
    <cellStyle name="Normal 5 2 4 2 2 2 2 2 2 3" xfId="14129" xr:uid="{00000000-0005-0000-0000-000071240000}"/>
    <cellStyle name="Normal 5 2 4 2 2 2 2 2 3" xfId="17757" xr:uid="{00000000-0005-0000-0000-000072240000}"/>
    <cellStyle name="Normal 5 2 4 2 2 2 2 2 4" xfId="10501" xr:uid="{00000000-0005-0000-0000-000073240000}"/>
    <cellStyle name="Normal 5 2 4 2 2 2 2 3" xfId="5059" xr:uid="{00000000-0005-0000-0000-000074240000}"/>
    <cellStyle name="Normal 5 2 4 2 2 2 2 3 2" xfId="19571" xr:uid="{00000000-0005-0000-0000-000075240000}"/>
    <cellStyle name="Normal 5 2 4 2 2 2 2 3 3" xfId="12315" xr:uid="{00000000-0005-0000-0000-000076240000}"/>
    <cellStyle name="Normal 5 2 4 2 2 2 2 4" xfId="15943" xr:uid="{00000000-0005-0000-0000-000077240000}"/>
    <cellStyle name="Normal 5 2 4 2 2 2 2 5" xfId="8687" xr:uid="{00000000-0005-0000-0000-000078240000}"/>
    <cellStyle name="Normal 5 2 4 2 2 2 3" xfId="2338" xr:uid="{00000000-0005-0000-0000-000079240000}"/>
    <cellStyle name="Normal 5 2 4 2 2 2 3 2" xfId="5966" xr:uid="{00000000-0005-0000-0000-00007A240000}"/>
    <cellStyle name="Normal 5 2 4 2 2 2 3 2 2" xfId="20478" xr:uid="{00000000-0005-0000-0000-00007B240000}"/>
    <cellStyle name="Normal 5 2 4 2 2 2 3 2 3" xfId="13222" xr:uid="{00000000-0005-0000-0000-00007C240000}"/>
    <cellStyle name="Normal 5 2 4 2 2 2 3 3" xfId="16850" xr:uid="{00000000-0005-0000-0000-00007D240000}"/>
    <cellStyle name="Normal 5 2 4 2 2 2 3 4" xfId="9594" xr:uid="{00000000-0005-0000-0000-00007E240000}"/>
    <cellStyle name="Normal 5 2 4 2 2 2 4" xfId="4152" xr:uid="{00000000-0005-0000-0000-00007F240000}"/>
    <cellStyle name="Normal 5 2 4 2 2 2 4 2" xfId="18664" xr:uid="{00000000-0005-0000-0000-000080240000}"/>
    <cellStyle name="Normal 5 2 4 2 2 2 4 3" xfId="11408" xr:uid="{00000000-0005-0000-0000-000081240000}"/>
    <cellStyle name="Normal 5 2 4 2 2 2 5" xfId="15036" xr:uid="{00000000-0005-0000-0000-000082240000}"/>
    <cellStyle name="Normal 5 2 4 2 2 2 6" xfId="7780" xr:uid="{00000000-0005-0000-0000-000083240000}"/>
    <cellStyle name="Normal 5 2 4 2 2 3" xfId="1085" xr:uid="{00000000-0005-0000-0000-000084240000}"/>
    <cellStyle name="Normal 5 2 4 2 2 3 2" xfId="2899" xr:uid="{00000000-0005-0000-0000-000085240000}"/>
    <cellStyle name="Normal 5 2 4 2 2 3 2 2" xfId="6527" xr:uid="{00000000-0005-0000-0000-000086240000}"/>
    <cellStyle name="Normal 5 2 4 2 2 3 2 2 2" xfId="21039" xr:uid="{00000000-0005-0000-0000-000087240000}"/>
    <cellStyle name="Normal 5 2 4 2 2 3 2 2 3" xfId="13783" xr:uid="{00000000-0005-0000-0000-000088240000}"/>
    <cellStyle name="Normal 5 2 4 2 2 3 2 3" xfId="17411" xr:uid="{00000000-0005-0000-0000-000089240000}"/>
    <cellStyle name="Normal 5 2 4 2 2 3 2 4" xfId="10155" xr:uid="{00000000-0005-0000-0000-00008A240000}"/>
    <cellStyle name="Normal 5 2 4 2 2 3 3" xfId="4713" xr:uid="{00000000-0005-0000-0000-00008B240000}"/>
    <cellStyle name="Normal 5 2 4 2 2 3 3 2" xfId="19225" xr:uid="{00000000-0005-0000-0000-00008C240000}"/>
    <cellStyle name="Normal 5 2 4 2 2 3 3 3" xfId="11969" xr:uid="{00000000-0005-0000-0000-00008D240000}"/>
    <cellStyle name="Normal 5 2 4 2 2 3 4" xfId="15597" xr:uid="{00000000-0005-0000-0000-00008E240000}"/>
    <cellStyle name="Normal 5 2 4 2 2 3 5" xfId="8341" xr:uid="{00000000-0005-0000-0000-00008F240000}"/>
    <cellStyle name="Normal 5 2 4 2 2 4" xfId="1992" xr:uid="{00000000-0005-0000-0000-000090240000}"/>
    <cellStyle name="Normal 5 2 4 2 2 4 2" xfId="5620" xr:uid="{00000000-0005-0000-0000-000091240000}"/>
    <cellStyle name="Normal 5 2 4 2 2 4 2 2" xfId="20132" xr:uid="{00000000-0005-0000-0000-000092240000}"/>
    <cellStyle name="Normal 5 2 4 2 2 4 2 3" xfId="12876" xr:uid="{00000000-0005-0000-0000-000093240000}"/>
    <cellStyle name="Normal 5 2 4 2 2 4 3" xfId="16504" xr:uid="{00000000-0005-0000-0000-000094240000}"/>
    <cellStyle name="Normal 5 2 4 2 2 4 4" xfId="9248" xr:uid="{00000000-0005-0000-0000-000095240000}"/>
    <cellStyle name="Normal 5 2 4 2 2 5" xfId="3806" xr:uid="{00000000-0005-0000-0000-000096240000}"/>
    <cellStyle name="Normal 5 2 4 2 2 5 2" xfId="18318" xr:uid="{00000000-0005-0000-0000-000097240000}"/>
    <cellStyle name="Normal 5 2 4 2 2 5 3" xfId="11062" xr:uid="{00000000-0005-0000-0000-000098240000}"/>
    <cellStyle name="Normal 5 2 4 2 2 6" xfId="14690" xr:uid="{00000000-0005-0000-0000-000099240000}"/>
    <cellStyle name="Normal 5 2 4 2 2 7" xfId="7434" xr:uid="{00000000-0005-0000-0000-00009A240000}"/>
    <cellStyle name="Normal 5 2 4 2 3" xfId="307" xr:uid="{00000000-0005-0000-0000-00009B240000}"/>
    <cellStyle name="Normal 5 2 4 2 3 2" xfId="653" xr:uid="{00000000-0005-0000-0000-00009C240000}"/>
    <cellStyle name="Normal 5 2 4 2 3 2 2" xfId="1561" xr:uid="{00000000-0005-0000-0000-00009D240000}"/>
    <cellStyle name="Normal 5 2 4 2 3 2 2 2" xfId="3375" xr:uid="{00000000-0005-0000-0000-00009E240000}"/>
    <cellStyle name="Normal 5 2 4 2 3 2 2 2 2" xfId="7003" xr:uid="{00000000-0005-0000-0000-00009F240000}"/>
    <cellStyle name="Normal 5 2 4 2 3 2 2 2 2 2" xfId="21515" xr:uid="{00000000-0005-0000-0000-0000A0240000}"/>
    <cellStyle name="Normal 5 2 4 2 3 2 2 2 2 3" xfId="14259" xr:uid="{00000000-0005-0000-0000-0000A1240000}"/>
    <cellStyle name="Normal 5 2 4 2 3 2 2 2 3" xfId="17887" xr:uid="{00000000-0005-0000-0000-0000A2240000}"/>
    <cellStyle name="Normal 5 2 4 2 3 2 2 2 4" xfId="10631" xr:uid="{00000000-0005-0000-0000-0000A3240000}"/>
    <cellStyle name="Normal 5 2 4 2 3 2 2 3" xfId="5189" xr:uid="{00000000-0005-0000-0000-0000A4240000}"/>
    <cellStyle name="Normal 5 2 4 2 3 2 2 3 2" xfId="19701" xr:uid="{00000000-0005-0000-0000-0000A5240000}"/>
    <cellStyle name="Normal 5 2 4 2 3 2 2 3 3" xfId="12445" xr:uid="{00000000-0005-0000-0000-0000A6240000}"/>
    <cellStyle name="Normal 5 2 4 2 3 2 2 4" xfId="16073" xr:uid="{00000000-0005-0000-0000-0000A7240000}"/>
    <cellStyle name="Normal 5 2 4 2 3 2 2 5" xfId="8817" xr:uid="{00000000-0005-0000-0000-0000A8240000}"/>
    <cellStyle name="Normal 5 2 4 2 3 2 3" xfId="2468" xr:uid="{00000000-0005-0000-0000-0000A9240000}"/>
    <cellStyle name="Normal 5 2 4 2 3 2 3 2" xfId="6096" xr:uid="{00000000-0005-0000-0000-0000AA240000}"/>
    <cellStyle name="Normal 5 2 4 2 3 2 3 2 2" xfId="20608" xr:uid="{00000000-0005-0000-0000-0000AB240000}"/>
    <cellStyle name="Normal 5 2 4 2 3 2 3 2 3" xfId="13352" xr:uid="{00000000-0005-0000-0000-0000AC240000}"/>
    <cellStyle name="Normal 5 2 4 2 3 2 3 3" xfId="16980" xr:uid="{00000000-0005-0000-0000-0000AD240000}"/>
    <cellStyle name="Normal 5 2 4 2 3 2 3 4" xfId="9724" xr:uid="{00000000-0005-0000-0000-0000AE240000}"/>
    <cellStyle name="Normal 5 2 4 2 3 2 4" xfId="4282" xr:uid="{00000000-0005-0000-0000-0000AF240000}"/>
    <cellStyle name="Normal 5 2 4 2 3 2 4 2" xfId="18794" xr:uid="{00000000-0005-0000-0000-0000B0240000}"/>
    <cellStyle name="Normal 5 2 4 2 3 2 4 3" xfId="11538" xr:uid="{00000000-0005-0000-0000-0000B1240000}"/>
    <cellStyle name="Normal 5 2 4 2 3 2 5" xfId="15166" xr:uid="{00000000-0005-0000-0000-0000B2240000}"/>
    <cellStyle name="Normal 5 2 4 2 3 2 6" xfId="7910" xr:uid="{00000000-0005-0000-0000-0000B3240000}"/>
    <cellStyle name="Normal 5 2 4 2 3 3" xfId="1215" xr:uid="{00000000-0005-0000-0000-0000B4240000}"/>
    <cellStyle name="Normal 5 2 4 2 3 3 2" xfId="3029" xr:uid="{00000000-0005-0000-0000-0000B5240000}"/>
    <cellStyle name="Normal 5 2 4 2 3 3 2 2" xfId="6657" xr:uid="{00000000-0005-0000-0000-0000B6240000}"/>
    <cellStyle name="Normal 5 2 4 2 3 3 2 2 2" xfId="21169" xr:uid="{00000000-0005-0000-0000-0000B7240000}"/>
    <cellStyle name="Normal 5 2 4 2 3 3 2 2 3" xfId="13913" xr:uid="{00000000-0005-0000-0000-0000B8240000}"/>
    <cellStyle name="Normal 5 2 4 2 3 3 2 3" xfId="17541" xr:uid="{00000000-0005-0000-0000-0000B9240000}"/>
    <cellStyle name="Normal 5 2 4 2 3 3 2 4" xfId="10285" xr:uid="{00000000-0005-0000-0000-0000BA240000}"/>
    <cellStyle name="Normal 5 2 4 2 3 3 3" xfId="4843" xr:uid="{00000000-0005-0000-0000-0000BB240000}"/>
    <cellStyle name="Normal 5 2 4 2 3 3 3 2" xfId="19355" xr:uid="{00000000-0005-0000-0000-0000BC240000}"/>
    <cellStyle name="Normal 5 2 4 2 3 3 3 3" xfId="12099" xr:uid="{00000000-0005-0000-0000-0000BD240000}"/>
    <cellStyle name="Normal 5 2 4 2 3 3 4" xfId="15727" xr:uid="{00000000-0005-0000-0000-0000BE240000}"/>
    <cellStyle name="Normal 5 2 4 2 3 3 5" xfId="8471" xr:uid="{00000000-0005-0000-0000-0000BF240000}"/>
    <cellStyle name="Normal 5 2 4 2 3 4" xfId="2122" xr:uid="{00000000-0005-0000-0000-0000C0240000}"/>
    <cellStyle name="Normal 5 2 4 2 3 4 2" xfId="5750" xr:uid="{00000000-0005-0000-0000-0000C1240000}"/>
    <cellStyle name="Normal 5 2 4 2 3 4 2 2" xfId="20262" xr:uid="{00000000-0005-0000-0000-0000C2240000}"/>
    <cellStyle name="Normal 5 2 4 2 3 4 2 3" xfId="13006" xr:uid="{00000000-0005-0000-0000-0000C3240000}"/>
    <cellStyle name="Normal 5 2 4 2 3 4 3" xfId="16634" xr:uid="{00000000-0005-0000-0000-0000C4240000}"/>
    <cellStyle name="Normal 5 2 4 2 3 4 4" xfId="9378" xr:uid="{00000000-0005-0000-0000-0000C5240000}"/>
    <cellStyle name="Normal 5 2 4 2 3 5" xfId="3936" xr:uid="{00000000-0005-0000-0000-0000C6240000}"/>
    <cellStyle name="Normal 5 2 4 2 3 5 2" xfId="18448" xr:uid="{00000000-0005-0000-0000-0000C7240000}"/>
    <cellStyle name="Normal 5 2 4 2 3 5 3" xfId="11192" xr:uid="{00000000-0005-0000-0000-0000C8240000}"/>
    <cellStyle name="Normal 5 2 4 2 3 6" xfId="14820" xr:uid="{00000000-0005-0000-0000-0000C9240000}"/>
    <cellStyle name="Normal 5 2 4 2 3 7" xfId="7564" xr:uid="{00000000-0005-0000-0000-0000CA240000}"/>
    <cellStyle name="Normal 5 2 4 2 4" xfId="783" xr:uid="{00000000-0005-0000-0000-0000CB240000}"/>
    <cellStyle name="Normal 5 2 4 2 4 2" xfId="1691" xr:uid="{00000000-0005-0000-0000-0000CC240000}"/>
    <cellStyle name="Normal 5 2 4 2 4 2 2" xfId="3505" xr:uid="{00000000-0005-0000-0000-0000CD240000}"/>
    <cellStyle name="Normal 5 2 4 2 4 2 2 2" xfId="7133" xr:uid="{00000000-0005-0000-0000-0000CE240000}"/>
    <cellStyle name="Normal 5 2 4 2 4 2 2 2 2" xfId="21645" xr:uid="{00000000-0005-0000-0000-0000CF240000}"/>
    <cellStyle name="Normal 5 2 4 2 4 2 2 2 3" xfId="14389" xr:uid="{00000000-0005-0000-0000-0000D0240000}"/>
    <cellStyle name="Normal 5 2 4 2 4 2 2 3" xfId="18017" xr:uid="{00000000-0005-0000-0000-0000D1240000}"/>
    <cellStyle name="Normal 5 2 4 2 4 2 2 4" xfId="10761" xr:uid="{00000000-0005-0000-0000-0000D2240000}"/>
    <cellStyle name="Normal 5 2 4 2 4 2 3" xfId="5319" xr:uid="{00000000-0005-0000-0000-0000D3240000}"/>
    <cellStyle name="Normal 5 2 4 2 4 2 3 2" xfId="19831" xr:uid="{00000000-0005-0000-0000-0000D4240000}"/>
    <cellStyle name="Normal 5 2 4 2 4 2 3 3" xfId="12575" xr:uid="{00000000-0005-0000-0000-0000D5240000}"/>
    <cellStyle name="Normal 5 2 4 2 4 2 4" xfId="16203" xr:uid="{00000000-0005-0000-0000-0000D6240000}"/>
    <cellStyle name="Normal 5 2 4 2 4 2 5" xfId="8947" xr:uid="{00000000-0005-0000-0000-0000D7240000}"/>
    <cellStyle name="Normal 5 2 4 2 4 3" xfId="2598" xr:uid="{00000000-0005-0000-0000-0000D8240000}"/>
    <cellStyle name="Normal 5 2 4 2 4 3 2" xfId="6226" xr:uid="{00000000-0005-0000-0000-0000D9240000}"/>
    <cellStyle name="Normal 5 2 4 2 4 3 2 2" xfId="20738" xr:uid="{00000000-0005-0000-0000-0000DA240000}"/>
    <cellStyle name="Normal 5 2 4 2 4 3 2 3" xfId="13482" xr:uid="{00000000-0005-0000-0000-0000DB240000}"/>
    <cellStyle name="Normal 5 2 4 2 4 3 3" xfId="17110" xr:uid="{00000000-0005-0000-0000-0000DC240000}"/>
    <cellStyle name="Normal 5 2 4 2 4 3 4" xfId="9854" xr:uid="{00000000-0005-0000-0000-0000DD240000}"/>
    <cellStyle name="Normal 5 2 4 2 4 4" xfId="4412" xr:uid="{00000000-0005-0000-0000-0000DE240000}"/>
    <cellStyle name="Normal 5 2 4 2 4 4 2" xfId="18924" xr:uid="{00000000-0005-0000-0000-0000DF240000}"/>
    <cellStyle name="Normal 5 2 4 2 4 4 3" xfId="11668" xr:uid="{00000000-0005-0000-0000-0000E0240000}"/>
    <cellStyle name="Normal 5 2 4 2 4 5" xfId="15296" xr:uid="{00000000-0005-0000-0000-0000E1240000}"/>
    <cellStyle name="Normal 5 2 4 2 4 6" xfId="8040" xr:uid="{00000000-0005-0000-0000-0000E2240000}"/>
    <cellStyle name="Normal 5 2 4 2 5" xfId="437" xr:uid="{00000000-0005-0000-0000-0000E3240000}"/>
    <cellStyle name="Normal 5 2 4 2 5 2" xfId="1345" xr:uid="{00000000-0005-0000-0000-0000E4240000}"/>
    <cellStyle name="Normal 5 2 4 2 5 2 2" xfId="3159" xr:uid="{00000000-0005-0000-0000-0000E5240000}"/>
    <cellStyle name="Normal 5 2 4 2 5 2 2 2" xfId="6787" xr:uid="{00000000-0005-0000-0000-0000E6240000}"/>
    <cellStyle name="Normal 5 2 4 2 5 2 2 2 2" xfId="21299" xr:uid="{00000000-0005-0000-0000-0000E7240000}"/>
    <cellStyle name="Normal 5 2 4 2 5 2 2 2 3" xfId="14043" xr:uid="{00000000-0005-0000-0000-0000E8240000}"/>
    <cellStyle name="Normal 5 2 4 2 5 2 2 3" xfId="17671" xr:uid="{00000000-0005-0000-0000-0000E9240000}"/>
    <cellStyle name="Normal 5 2 4 2 5 2 2 4" xfId="10415" xr:uid="{00000000-0005-0000-0000-0000EA240000}"/>
    <cellStyle name="Normal 5 2 4 2 5 2 3" xfId="4973" xr:uid="{00000000-0005-0000-0000-0000EB240000}"/>
    <cellStyle name="Normal 5 2 4 2 5 2 3 2" xfId="19485" xr:uid="{00000000-0005-0000-0000-0000EC240000}"/>
    <cellStyle name="Normal 5 2 4 2 5 2 3 3" xfId="12229" xr:uid="{00000000-0005-0000-0000-0000ED240000}"/>
    <cellStyle name="Normal 5 2 4 2 5 2 4" xfId="15857" xr:uid="{00000000-0005-0000-0000-0000EE240000}"/>
    <cellStyle name="Normal 5 2 4 2 5 2 5" xfId="8601" xr:uid="{00000000-0005-0000-0000-0000EF240000}"/>
    <cellStyle name="Normal 5 2 4 2 5 3" xfId="2252" xr:uid="{00000000-0005-0000-0000-0000F0240000}"/>
    <cellStyle name="Normal 5 2 4 2 5 3 2" xfId="5880" xr:uid="{00000000-0005-0000-0000-0000F1240000}"/>
    <cellStyle name="Normal 5 2 4 2 5 3 2 2" xfId="20392" xr:uid="{00000000-0005-0000-0000-0000F2240000}"/>
    <cellStyle name="Normal 5 2 4 2 5 3 2 3" xfId="13136" xr:uid="{00000000-0005-0000-0000-0000F3240000}"/>
    <cellStyle name="Normal 5 2 4 2 5 3 3" xfId="16764" xr:uid="{00000000-0005-0000-0000-0000F4240000}"/>
    <cellStyle name="Normal 5 2 4 2 5 3 4" xfId="9508" xr:uid="{00000000-0005-0000-0000-0000F5240000}"/>
    <cellStyle name="Normal 5 2 4 2 5 4" xfId="4066" xr:uid="{00000000-0005-0000-0000-0000F6240000}"/>
    <cellStyle name="Normal 5 2 4 2 5 4 2" xfId="18578" xr:uid="{00000000-0005-0000-0000-0000F7240000}"/>
    <cellStyle name="Normal 5 2 4 2 5 4 3" xfId="11322" xr:uid="{00000000-0005-0000-0000-0000F8240000}"/>
    <cellStyle name="Normal 5 2 4 2 5 5" xfId="14950" xr:uid="{00000000-0005-0000-0000-0000F9240000}"/>
    <cellStyle name="Normal 5 2 4 2 5 6" xfId="7694" xr:uid="{00000000-0005-0000-0000-0000FA240000}"/>
    <cellStyle name="Normal 5 2 4 2 6" xfId="920" xr:uid="{00000000-0005-0000-0000-0000FB240000}"/>
    <cellStyle name="Normal 5 2 4 2 6 2" xfId="1827" xr:uid="{00000000-0005-0000-0000-0000FC240000}"/>
    <cellStyle name="Normal 5 2 4 2 6 2 2" xfId="3641" xr:uid="{00000000-0005-0000-0000-0000FD240000}"/>
    <cellStyle name="Normal 5 2 4 2 6 2 2 2" xfId="7269" xr:uid="{00000000-0005-0000-0000-0000FE240000}"/>
    <cellStyle name="Normal 5 2 4 2 6 2 2 2 2" xfId="21781" xr:uid="{00000000-0005-0000-0000-0000FF240000}"/>
    <cellStyle name="Normal 5 2 4 2 6 2 2 2 3" xfId="14525" xr:uid="{00000000-0005-0000-0000-000000250000}"/>
    <cellStyle name="Normal 5 2 4 2 6 2 2 3" xfId="18153" xr:uid="{00000000-0005-0000-0000-000001250000}"/>
    <cellStyle name="Normal 5 2 4 2 6 2 2 4" xfId="10897" xr:uid="{00000000-0005-0000-0000-000002250000}"/>
    <cellStyle name="Normal 5 2 4 2 6 2 3" xfId="5455" xr:uid="{00000000-0005-0000-0000-000003250000}"/>
    <cellStyle name="Normal 5 2 4 2 6 2 3 2" xfId="19967" xr:uid="{00000000-0005-0000-0000-000004250000}"/>
    <cellStyle name="Normal 5 2 4 2 6 2 3 3" xfId="12711" xr:uid="{00000000-0005-0000-0000-000005250000}"/>
    <cellStyle name="Normal 5 2 4 2 6 2 4" xfId="16339" xr:uid="{00000000-0005-0000-0000-000006250000}"/>
    <cellStyle name="Normal 5 2 4 2 6 2 5" xfId="9083" xr:uid="{00000000-0005-0000-0000-000007250000}"/>
    <cellStyle name="Normal 5 2 4 2 6 3" xfId="2734" xr:uid="{00000000-0005-0000-0000-000008250000}"/>
    <cellStyle name="Normal 5 2 4 2 6 3 2" xfId="6362" xr:uid="{00000000-0005-0000-0000-000009250000}"/>
    <cellStyle name="Normal 5 2 4 2 6 3 2 2" xfId="20874" xr:uid="{00000000-0005-0000-0000-00000A250000}"/>
    <cellStyle name="Normal 5 2 4 2 6 3 2 3" xfId="13618" xr:uid="{00000000-0005-0000-0000-00000B250000}"/>
    <cellStyle name="Normal 5 2 4 2 6 3 3" xfId="17246" xr:uid="{00000000-0005-0000-0000-00000C250000}"/>
    <cellStyle name="Normal 5 2 4 2 6 3 4" xfId="9990" xr:uid="{00000000-0005-0000-0000-00000D250000}"/>
    <cellStyle name="Normal 5 2 4 2 6 4" xfId="4548" xr:uid="{00000000-0005-0000-0000-00000E250000}"/>
    <cellStyle name="Normal 5 2 4 2 6 4 2" xfId="19060" xr:uid="{00000000-0005-0000-0000-00000F250000}"/>
    <cellStyle name="Normal 5 2 4 2 6 4 3" xfId="11804" xr:uid="{00000000-0005-0000-0000-000010250000}"/>
    <cellStyle name="Normal 5 2 4 2 6 5" xfId="15432" xr:uid="{00000000-0005-0000-0000-000011250000}"/>
    <cellStyle name="Normal 5 2 4 2 6 6" xfId="8176" xr:uid="{00000000-0005-0000-0000-000012250000}"/>
    <cellStyle name="Normal 5 2 4 2 7" xfId="999" xr:uid="{00000000-0005-0000-0000-000013250000}"/>
    <cellStyle name="Normal 5 2 4 2 7 2" xfId="2813" xr:uid="{00000000-0005-0000-0000-000014250000}"/>
    <cellStyle name="Normal 5 2 4 2 7 2 2" xfId="6441" xr:uid="{00000000-0005-0000-0000-000015250000}"/>
    <cellStyle name="Normal 5 2 4 2 7 2 2 2" xfId="20953" xr:uid="{00000000-0005-0000-0000-000016250000}"/>
    <cellStyle name="Normal 5 2 4 2 7 2 2 3" xfId="13697" xr:uid="{00000000-0005-0000-0000-000017250000}"/>
    <cellStyle name="Normal 5 2 4 2 7 2 3" xfId="17325" xr:uid="{00000000-0005-0000-0000-000018250000}"/>
    <cellStyle name="Normal 5 2 4 2 7 2 4" xfId="10069" xr:uid="{00000000-0005-0000-0000-000019250000}"/>
    <cellStyle name="Normal 5 2 4 2 7 3" xfId="4627" xr:uid="{00000000-0005-0000-0000-00001A250000}"/>
    <cellStyle name="Normal 5 2 4 2 7 3 2" xfId="19139" xr:uid="{00000000-0005-0000-0000-00001B250000}"/>
    <cellStyle name="Normal 5 2 4 2 7 3 3" xfId="11883" xr:uid="{00000000-0005-0000-0000-00001C250000}"/>
    <cellStyle name="Normal 5 2 4 2 7 4" xfId="15511" xr:uid="{00000000-0005-0000-0000-00001D250000}"/>
    <cellStyle name="Normal 5 2 4 2 7 5" xfId="8255" xr:uid="{00000000-0005-0000-0000-00001E250000}"/>
    <cellStyle name="Normal 5 2 4 2 8" xfId="1906" xr:uid="{00000000-0005-0000-0000-00001F250000}"/>
    <cellStyle name="Normal 5 2 4 2 8 2" xfId="5534" xr:uid="{00000000-0005-0000-0000-000020250000}"/>
    <cellStyle name="Normal 5 2 4 2 8 2 2" xfId="20046" xr:uid="{00000000-0005-0000-0000-000021250000}"/>
    <cellStyle name="Normal 5 2 4 2 8 2 3" xfId="12790" xr:uid="{00000000-0005-0000-0000-000022250000}"/>
    <cellStyle name="Normal 5 2 4 2 8 3" xfId="16418" xr:uid="{00000000-0005-0000-0000-000023250000}"/>
    <cellStyle name="Normal 5 2 4 2 8 4" xfId="9162" xr:uid="{00000000-0005-0000-0000-000024250000}"/>
    <cellStyle name="Normal 5 2 4 2 9" xfId="3720" xr:uid="{00000000-0005-0000-0000-000025250000}"/>
    <cellStyle name="Normal 5 2 4 2 9 2" xfId="18232" xr:uid="{00000000-0005-0000-0000-000026250000}"/>
    <cellStyle name="Normal 5 2 4 2 9 3" xfId="10976" xr:uid="{00000000-0005-0000-0000-000027250000}"/>
    <cellStyle name="Normal 5 2 4 3" xfId="221" xr:uid="{00000000-0005-0000-0000-000028250000}"/>
    <cellStyle name="Normal 5 2 4 3 2" xfId="351" xr:uid="{00000000-0005-0000-0000-000029250000}"/>
    <cellStyle name="Normal 5 2 4 3 2 2" xfId="697" xr:uid="{00000000-0005-0000-0000-00002A250000}"/>
    <cellStyle name="Normal 5 2 4 3 2 2 2" xfId="1605" xr:uid="{00000000-0005-0000-0000-00002B250000}"/>
    <cellStyle name="Normal 5 2 4 3 2 2 2 2" xfId="3419" xr:uid="{00000000-0005-0000-0000-00002C250000}"/>
    <cellStyle name="Normal 5 2 4 3 2 2 2 2 2" xfId="7047" xr:uid="{00000000-0005-0000-0000-00002D250000}"/>
    <cellStyle name="Normal 5 2 4 3 2 2 2 2 2 2" xfId="21559" xr:uid="{00000000-0005-0000-0000-00002E250000}"/>
    <cellStyle name="Normal 5 2 4 3 2 2 2 2 2 3" xfId="14303" xr:uid="{00000000-0005-0000-0000-00002F250000}"/>
    <cellStyle name="Normal 5 2 4 3 2 2 2 2 3" xfId="17931" xr:uid="{00000000-0005-0000-0000-000030250000}"/>
    <cellStyle name="Normal 5 2 4 3 2 2 2 2 4" xfId="10675" xr:uid="{00000000-0005-0000-0000-000031250000}"/>
    <cellStyle name="Normal 5 2 4 3 2 2 2 3" xfId="5233" xr:uid="{00000000-0005-0000-0000-000032250000}"/>
    <cellStyle name="Normal 5 2 4 3 2 2 2 3 2" xfId="19745" xr:uid="{00000000-0005-0000-0000-000033250000}"/>
    <cellStyle name="Normal 5 2 4 3 2 2 2 3 3" xfId="12489" xr:uid="{00000000-0005-0000-0000-000034250000}"/>
    <cellStyle name="Normal 5 2 4 3 2 2 2 4" xfId="16117" xr:uid="{00000000-0005-0000-0000-000035250000}"/>
    <cellStyle name="Normal 5 2 4 3 2 2 2 5" xfId="8861" xr:uid="{00000000-0005-0000-0000-000036250000}"/>
    <cellStyle name="Normal 5 2 4 3 2 2 3" xfId="2512" xr:uid="{00000000-0005-0000-0000-000037250000}"/>
    <cellStyle name="Normal 5 2 4 3 2 2 3 2" xfId="6140" xr:uid="{00000000-0005-0000-0000-000038250000}"/>
    <cellStyle name="Normal 5 2 4 3 2 2 3 2 2" xfId="20652" xr:uid="{00000000-0005-0000-0000-000039250000}"/>
    <cellStyle name="Normal 5 2 4 3 2 2 3 2 3" xfId="13396" xr:uid="{00000000-0005-0000-0000-00003A250000}"/>
    <cellStyle name="Normal 5 2 4 3 2 2 3 3" xfId="17024" xr:uid="{00000000-0005-0000-0000-00003B250000}"/>
    <cellStyle name="Normal 5 2 4 3 2 2 3 4" xfId="9768" xr:uid="{00000000-0005-0000-0000-00003C250000}"/>
    <cellStyle name="Normal 5 2 4 3 2 2 4" xfId="4326" xr:uid="{00000000-0005-0000-0000-00003D250000}"/>
    <cellStyle name="Normal 5 2 4 3 2 2 4 2" xfId="18838" xr:uid="{00000000-0005-0000-0000-00003E250000}"/>
    <cellStyle name="Normal 5 2 4 3 2 2 4 3" xfId="11582" xr:uid="{00000000-0005-0000-0000-00003F250000}"/>
    <cellStyle name="Normal 5 2 4 3 2 2 5" xfId="15210" xr:uid="{00000000-0005-0000-0000-000040250000}"/>
    <cellStyle name="Normal 5 2 4 3 2 2 6" xfId="7954" xr:uid="{00000000-0005-0000-0000-000041250000}"/>
    <cellStyle name="Normal 5 2 4 3 2 3" xfId="1259" xr:uid="{00000000-0005-0000-0000-000042250000}"/>
    <cellStyle name="Normal 5 2 4 3 2 3 2" xfId="3073" xr:uid="{00000000-0005-0000-0000-000043250000}"/>
    <cellStyle name="Normal 5 2 4 3 2 3 2 2" xfId="6701" xr:uid="{00000000-0005-0000-0000-000044250000}"/>
    <cellStyle name="Normal 5 2 4 3 2 3 2 2 2" xfId="21213" xr:uid="{00000000-0005-0000-0000-000045250000}"/>
    <cellStyle name="Normal 5 2 4 3 2 3 2 2 3" xfId="13957" xr:uid="{00000000-0005-0000-0000-000046250000}"/>
    <cellStyle name="Normal 5 2 4 3 2 3 2 3" xfId="17585" xr:uid="{00000000-0005-0000-0000-000047250000}"/>
    <cellStyle name="Normal 5 2 4 3 2 3 2 4" xfId="10329" xr:uid="{00000000-0005-0000-0000-000048250000}"/>
    <cellStyle name="Normal 5 2 4 3 2 3 3" xfId="4887" xr:uid="{00000000-0005-0000-0000-000049250000}"/>
    <cellStyle name="Normal 5 2 4 3 2 3 3 2" xfId="19399" xr:uid="{00000000-0005-0000-0000-00004A250000}"/>
    <cellStyle name="Normal 5 2 4 3 2 3 3 3" xfId="12143" xr:uid="{00000000-0005-0000-0000-00004B250000}"/>
    <cellStyle name="Normal 5 2 4 3 2 3 4" xfId="15771" xr:uid="{00000000-0005-0000-0000-00004C250000}"/>
    <cellStyle name="Normal 5 2 4 3 2 3 5" xfId="8515" xr:uid="{00000000-0005-0000-0000-00004D250000}"/>
    <cellStyle name="Normal 5 2 4 3 2 4" xfId="2166" xr:uid="{00000000-0005-0000-0000-00004E250000}"/>
    <cellStyle name="Normal 5 2 4 3 2 4 2" xfId="5794" xr:uid="{00000000-0005-0000-0000-00004F250000}"/>
    <cellStyle name="Normal 5 2 4 3 2 4 2 2" xfId="20306" xr:uid="{00000000-0005-0000-0000-000050250000}"/>
    <cellStyle name="Normal 5 2 4 3 2 4 2 3" xfId="13050" xr:uid="{00000000-0005-0000-0000-000051250000}"/>
    <cellStyle name="Normal 5 2 4 3 2 4 3" xfId="16678" xr:uid="{00000000-0005-0000-0000-000052250000}"/>
    <cellStyle name="Normal 5 2 4 3 2 4 4" xfId="9422" xr:uid="{00000000-0005-0000-0000-000053250000}"/>
    <cellStyle name="Normal 5 2 4 3 2 5" xfId="3980" xr:uid="{00000000-0005-0000-0000-000054250000}"/>
    <cellStyle name="Normal 5 2 4 3 2 5 2" xfId="18492" xr:uid="{00000000-0005-0000-0000-000055250000}"/>
    <cellStyle name="Normal 5 2 4 3 2 5 3" xfId="11236" xr:uid="{00000000-0005-0000-0000-000056250000}"/>
    <cellStyle name="Normal 5 2 4 3 2 6" xfId="14864" xr:uid="{00000000-0005-0000-0000-000057250000}"/>
    <cellStyle name="Normal 5 2 4 3 2 7" xfId="7608" xr:uid="{00000000-0005-0000-0000-000058250000}"/>
    <cellStyle name="Normal 5 2 4 3 3" xfId="827" xr:uid="{00000000-0005-0000-0000-000059250000}"/>
    <cellStyle name="Normal 5 2 4 3 3 2" xfId="1735" xr:uid="{00000000-0005-0000-0000-00005A250000}"/>
    <cellStyle name="Normal 5 2 4 3 3 2 2" xfId="3549" xr:uid="{00000000-0005-0000-0000-00005B250000}"/>
    <cellStyle name="Normal 5 2 4 3 3 2 2 2" xfId="7177" xr:uid="{00000000-0005-0000-0000-00005C250000}"/>
    <cellStyle name="Normal 5 2 4 3 3 2 2 2 2" xfId="21689" xr:uid="{00000000-0005-0000-0000-00005D250000}"/>
    <cellStyle name="Normal 5 2 4 3 3 2 2 2 3" xfId="14433" xr:uid="{00000000-0005-0000-0000-00005E250000}"/>
    <cellStyle name="Normal 5 2 4 3 3 2 2 3" xfId="18061" xr:uid="{00000000-0005-0000-0000-00005F250000}"/>
    <cellStyle name="Normal 5 2 4 3 3 2 2 4" xfId="10805" xr:uid="{00000000-0005-0000-0000-000060250000}"/>
    <cellStyle name="Normal 5 2 4 3 3 2 3" xfId="5363" xr:uid="{00000000-0005-0000-0000-000061250000}"/>
    <cellStyle name="Normal 5 2 4 3 3 2 3 2" xfId="19875" xr:uid="{00000000-0005-0000-0000-000062250000}"/>
    <cellStyle name="Normal 5 2 4 3 3 2 3 3" xfId="12619" xr:uid="{00000000-0005-0000-0000-000063250000}"/>
    <cellStyle name="Normal 5 2 4 3 3 2 4" xfId="16247" xr:uid="{00000000-0005-0000-0000-000064250000}"/>
    <cellStyle name="Normal 5 2 4 3 3 2 5" xfId="8991" xr:uid="{00000000-0005-0000-0000-000065250000}"/>
    <cellStyle name="Normal 5 2 4 3 3 3" xfId="2642" xr:uid="{00000000-0005-0000-0000-000066250000}"/>
    <cellStyle name="Normal 5 2 4 3 3 3 2" xfId="6270" xr:uid="{00000000-0005-0000-0000-000067250000}"/>
    <cellStyle name="Normal 5 2 4 3 3 3 2 2" xfId="20782" xr:uid="{00000000-0005-0000-0000-000068250000}"/>
    <cellStyle name="Normal 5 2 4 3 3 3 2 3" xfId="13526" xr:uid="{00000000-0005-0000-0000-000069250000}"/>
    <cellStyle name="Normal 5 2 4 3 3 3 3" xfId="17154" xr:uid="{00000000-0005-0000-0000-00006A250000}"/>
    <cellStyle name="Normal 5 2 4 3 3 3 4" xfId="9898" xr:uid="{00000000-0005-0000-0000-00006B250000}"/>
    <cellStyle name="Normal 5 2 4 3 3 4" xfId="4456" xr:uid="{00000000-0005-0000-0000-00006C250000}"/>
    <cellStyle name="Normal 5 2 4 3 3 4 2" xfId="18968" xr:uid="{00000000-0005-0000-0000-00006D250000}"/>
    <cellStyle name="Normal 5 2 4 3 3 4 3" xfId="11712" xr:uid="{00000000-0005-0000-0000-00006E250000}"/>
    <cellStyle name="Normal 5 2 4 3 3 5" xfId="15340" xr:uid="{00000000-0005-0000-0000-00006F250000}"/>
    <cellStyle name="Normal 5 2 4 3 3 6" xfId="8084" xr:uid="{00000000-0005-0000-0000-000070250000}"/>
    <cellStyle name="Normal 5 2 4 3 4" xfId="567" xr:uid="{00000000-0005-0000-0000-000071250000}"/>
    <cellStyle name="Normal 5 2 4 3 4 2" xfId="1475" xr:uid="{00000000-0005-0000-0000-000072250000}"/>
    <cellStyle name="Normal 5 2 4 3 4 2 2" xfId="3289" xr:uid="{00000000-0005-0000-0000-000073250000}"/>
    <cellStyle name="Normal 5 2 4 3 4 2 2 2" xfId="6917" xr:uid="{00000000-0005-0000-0000-000074250000}"/>
    <cellStyle name="Normal 5 2 4 3 4 2 2 2 2" xfId="21429" xr:uid="{00000000-0005-0000-0000-000075250000}"/>
    <cellStyle name="Normal 5 2 4 3 4 2 2 2 3" xfId="14173" xr:uid="{00000000-0005-0000-0000-000076250000}"/>
    <cellStyle name="Normal 5 2 4 3 4 2 2 3" xfId="17801" xr:uid="{00000000-0005-0000-0000-000077250000}"/>
    <cellStyle name="Normal 5 2 4 3 4 2 2 4" xfId="10545" xr:uid="{00000000-0005-0000-0000-000078250000}"/>
    <cellStyle name="Normal 5 2 4 3 4 2 3" xfId="5103" xr:uid="{00000000-0005-0000-0000-000079250000}"/>
    <cellStyle name="Normal 5 2 4 3 4 2 3 2" xfId="19615" xr:uid="{00000000-0005-0000-0000-00007A250000}"/>
    <cellStyle name="Normal 5 2 4 3 4 2 3 3" xfId="12359" xr:uid="{00000000-0005-0000-0000-00007B250000}"/>
    <cellStyle name="Normal 5 2 4 3 4 2 4" xfId="15987" xr:uid="{00000000-0005-0000-0000-00007C250000}"/>
    <cellStyle name="Normal 5 2 4 3 4 2 5" xfId="8731" xr:uid="{00000000-0005-0000-0000-00007D250000}"/>
    <cellStyle name="Normal 5 2 4 3 4 3" xfId="2382" xr:uid="{00000000-0005-0000-0000-00007E250000}"/>
    <cellStyle name="Normal 5 2 4 3 4 3 2" xfId="6010" xr:uid="{00000000-0005-0000-0000-00007F250000}"/>
    <cellStyle name="Normal 5 2 4 3 4 3 2 2" xfId="20522" xr:uid="{00000000-0005-0000-0000-000080250000}"/>
    <cellStyle name="Normal 5 2 4 3 4 3 2 3" xfId="13266" xr:uid="{00000000-0005-0000-0000-000081250000}"/>
    <cellStyle name="Normal 5 2 4 3 4 3 3" xfId="16894" xr:uid="{00000000-0005-0000-0000-000082250000}"/>
    <cellStyle name="Normal 5 2 4 3 4 3 4" xfId="9638" xr:uid="{00000000-0005-0000-0000-000083250000}"/>
    <cellStyle name="Normal 5 2 4 3 4 4" xfId="4196" xr:uid="{00000000-0005-0000-0000-000084250000}"/>
    <cellStyle name="Normal 5 2 4 3 4 4 2" xfId="18708" xr:uid="{00000000-0005-0000-0000-000085250000}"/>
    <cellStyle name="Normal 5 2 4 3 4 4 3" xfId="11452" xr:uid="{00000000-0005-0000-0000-000086250000}"/>
    <cellStyle name="Normal 5 2 4 3 4 5" xfId="15080" xr:uid="{00000000-0005-0000-0000-000087250000}"/>
    <cellStyle name="Normal 5 2 4 3 4 6" xfId="7824" xr:uid="{00000000-0005-0000-0000-000088250000}"/>
    <cellStyle name="Normal 5 2 4 3 5" xfId="1129" xr:uid="{00000000-0005-0000-0000-000089250000}"/>
    <cellStyle name="Normal 5 2 4 3 5 2" xfId="2943" xr:uid="{00000000-0005-0000-0000-00008A250000}"/>
    <cellStyle name="Normal 5 2 4 3 5 2 2" xfId="6571" xr:uid="{00000000-0005-0000-0000-00008B250000}"/>
    <cellStyle name="Normal 5 2 4 3 5 2 2 2" xfId="21083" xr:uid="{00000000-0005-0000-0000-00008C250000}"/>
    <cellStyle name="Normal 5 2 4 3 5 2 2 3" xfId="13827" xr:uid="{00000000-0005-0000-0000-00008D250000}"/>
    <cellStyle name="Normal 5 2 4 3 5 2 3" xfId="17455" xr:uid="{00000000-0005-0000-0000-00008E250000}"/>
    <cellStyle name="Normal 5 2 4 3 5 2 4" xfId="10199" xr:uid="{00000000-0005-0000-0000-00008F250000}"/>
    <cellStyle name="Normal 5 2 4 3 5 3" xfId="4757" xr:uid="{00000000-0005-0000-0000-000090250000}"/>
    <cellStyle name="Normal 5 2 4 3 5 3 2" xfId="19269" xr:uid="{00000000-0005-0000-0000-000091250000}"/>
    <cellStyle name="Normal 5 2 4 3 5 3 3" xfId="12013" xr:uid="{00000000-0005-0000-0000-000092250000}"/>
    <cellStyle name="Normal 5 2 4 3 5 4" xfId="15641" xr:uid="{00000000-0005-0000-0000-000093250000}"/>
    <cellStyle name="Normal 5 2 4 3 5 5" xfId="8385" xr:uid="{00000000-0005-0000-0000-000094250000}"/>
    <cellStyle name="Normal 5 2 4 3 6" xfId="2036" xr:uid="{00000000-0005-0000-0000-000095250000}"/>
    <cellStyle name="Normal 5 2 4 3 6 2" xfId="5664" xr:uid="{00000000-0005-0000-0000-000096250000}"/>
    <cellStyle name="Normal 5 2 4 3 6 2 2" xfId="20176" xr:uid="{00000000-0005-0000-0000-000097250000}"/>
    <cellStyle name="Normal 5 2 4 3 6 2 3" xfId="12920" xr:uid="{00000000-0005-0000-0000-000098250000}"/>
    <cellStyle name="Normal 5 2 4 3 6 3" xfId="16548" xr:uid="{00000000-0005-0000-0000-000099250000}"/>
    <cellStyle name="Normal 5 2 4 3 6 4" xfId="9292" xr:uid="{00000000-0005-0000-0000-00009A250000}"/>
    <cellStyle name="Normal 5 2 4 3 7" xfId="3850" xr:uid="{00000000-0005-0000-0000-00009B250000}"/>
    <cellStyle name="Normal 5 2 4 3 7 2" xfId="18362" xr:uid="{00000000-0005-0000-0000-00009C250000}"/>
    <cellStyle name="Normal 5 2 4 3 7 3" xfId="11106" xr:uid="{00000000-0005-0000-0000-00009D250000}"/>
    <cellStyle name="Normal 5 2 4 3 8" xfId="14734" xr:uid="{00000000-0005-0000-0000-00009E250000}"/>
    <cellStyle name="Normal 5 2 4 3 9" xfId="7478" xr:uid="{00000000-0005-0000-0000-00009F250000}"/>
    <cellStyle name="Normal 5 2 4 4" xfId="135" xr:uid="{00000000-0005-0000-0000-0000A0250000}"/>
    <cellStyle name="Normal 5 2 4 4 2" xfId="481" xr:uid="{00000000-0005-0000-0000-0000A1250000}"/>
    <cellStyle name="Normal 5 2 4 4 2 2" xfId="1389" xr:uid="{00000000-0005-0000-0000-0000A2250000}"/>
    <cellStyle name="Normal 5 2 4 4 2 2 2" xfId="3203" xr:uid="{00000000-0005-0000-0000-0000A3250000}"/>
    <cellStyle name="Normal 5 2 4 4 2 2 2 2" xfId="6831" xr:uid="{00000000-0005-0000-0000-0000A4250000}"/>
    <cellStyle name="Normal 5 2 4 4 2 2 2 2 2" xfId="21343" xr:uid="{00000000-0005-0000-0000-0000A5250000}"/>
    <cellStyle name="Normal 5 2 4 4 2 2 2 2 3" xfId="14087" xr:uid="{00000000-0005-0000-0000-0000A6250000}"/>
    <cellStyle name="Normal 5 2 4 4 2 2 2 3" xfId="17715" xr:uid="{00000000-0005-0000-0000-0000A7250000}"/>
    <cellStyle name="Normal 5 2 4 4 2 2 2 4" xfId="10459" xr:uid="{00000000-0005-0000-0000-0000A8250000}"/>
    <cellStyle name="Normal 5 2 4 4 2 2 3" xfId="5017" xr:uid="{00000000-0005-0000-0000-0000A9250000}"/>
    <cellStyle name="Normal 5 2 4 4 2 2 3 2" xfId="19529" xr:uid="{00000000-0005-0000-0000-0000AA250000}"/>
    <cellStyle name="Normal 5 2 4 4 2 2 3 3" xfId="12273" xr:uid="{00000000-0005-0000-0000-0000AB250000}"/>
    <cellStyle name="Normal 5 2 4 4 2 2 4" xfId="15901" xr:uid="{00000000-0005-0000-0000-0000AC250000}"/>
    <cellStyle name="Normal 5 2 4 4 2 2 5" xfId="8645" xr:uid="{00000000-0005-0000-0000-0000AD250000}"/>
    <cellStyle name="Normal 5 2 4 4 2 3" xfId="2296" xr:uid="{00000000-0005-0000-0000-0000AE250000}"/>
    <cellStyle name="Normal 5 2 4 4 2 3 2" xfId="5924" xr:uid="{00000000-0005-0000-0000-0000AF250000}"/>
    <cellStyle name="Normal 5 2 4 4 2 3 2 2" xfId="20436" xr:uid="{00000000-0005-0000-0000-0000B0250000}"/>
    <cellStyle name="Normal 5 2 4 4 2 3 2 3" xfId="13180" xr:uid="{00000000-0005-0000-0000-0000B1250000}"/>
    <cellStyle name="Normal 5 2 4 4 2 3 3" xfId="16808" xr:uid="{00000000-0005-0000-0000-0000B2250000}"/>
    <cellStyle name="Normal 5 2 4 4 2 3 4" xfId="9552" xr:uid="{00000000-0005-0000-0000-0000B3250000}"/>
    <cellStyle name="Normal 5 2 4 4 2 4" xfId="4110" xr:uid="{00000000-0005-0000-0000-0000B4250000}"/>
    <cellStyle name="Normal 5 2 4 4 2 4 2" xfId="18622" xr:uid="{00000000-0005-0000-0000-0000B5250000}"/>
    <cellStyle name="Normal 5 2 4 4 2 4 3" xfId="11366" xr:uid="{00000000-0005-0000-0000-0000B6250000}"/>
    <cellStyle name="Normal 5 2 4 4 2 5" xfId="14994" xr:uid="{00000000-0005-0000-0000-0000B7250000}"/>
    <cellStyle name="Normal 5 2 4 4 2 6" xfId="7738" xr:uid="{00000000-0005-0000-0000-0000B8250000}"/>
    <cellStyle name="Normal 5 2 4 4 3" xfId="1043" xr:uid="{00000000-0005-0000-0000-0000B9250000}"/>
    <cellStyle name="Normal 5 2 4 4 3 2" xfId="2857" xr:uid="{00000000-0005-0000-0000-0000BA250000}"/>
    <cellStyle name="Normal 5 2 4 4 3 2 2" xfId="6485" xr:uid="{00000000-0005-0000-0000-0000BB250000}"/>
    <cellStyle name="Normal 5 2 4 4 3 2 2 2" xfId="20997" xr:uid="{00000000-0005-0000-0000-0000BC250000}"/>
    <cellStyle name="Normal 5 2 4 4 3 2 2 3" xfId="13741" xr:uid="{00000000-0005-0000-0000-0000BD250000}"/>
    <cellStyle name="Normal 5 2 4 4 3 2 3" xfId="17369" xr:uid="{00000000-0005-0000-0000-0000BE250000}"/>
    <cellStyle name="Normal 5 2 4 4 3 2 4" xfId="10113" xr:uid="{00000000-0005-0000-0000-0000BF250000}"/>
    <cellStyle name="Normal 5 2 4 4 3 3" xfId="4671" xr:uid="{00000000-0005-0000-0000-0000C0250000}"/>
    <cellStyle name="Normal 5 2 4 4 3 3 2" xfId="19183" xr:uid="{00000000-0005-0000-0000-0000C1250000}"/>
    <cellStyle name="Normal 5 2 4 4 3 3 3" xfId="11927" xr:uid="{00000000-0005-0000-0000-0000C2250000}"/>
    <cellStyle name="Normal 5 2 4 4 3 4" xfId="15555" xr:uid="{00000000-0005-0000-0000-0000C3250000}"/>
    <cellStyle name="Normal 5 2 4 4 3 5" xfId="8299" xr:uid="{00000000-0005-0000-0000-0000C4250000}"/>
    <cellStyle name="Normal 5 2 4 4 4" xfId="1950" xr:uid="{00000000-0005-0000-0000-0000C5250000}"/>
    <cellStyle name="Normal 5 2 4 4 4 2" xfId="5578" xr:uid="{00000000-0005-0000-0000-0000C6250000}"/>
    <cellStyle name="Normal 5 2 4 4 4 2 2" xfId="20090" xr:uid="{00000000-0005-0000-0000-0000C7250000}"/>
    <cellStyle name="Normal 5 2 4 4 4 2 3" xfId="12834" xr:uid="{00000000-0005-0000-0000-0000C8250000}"/>
    <cellStyle name="Normal 5 2 4 4 4 3" xfId="16462" xr:uid="{00000000-0005-0000-0000-0000C9250000}"/>
    <cellStyle name="Normal 5 2 4 4 4 4" xfId="9206" xr:uid="{00000000-0005-0000-0000-0000CA250000}"/>
    <cellStyle name="Normal 5 2 4 4 5" xfId="3764" xr:uid="{00000000-0005-0000-0000-0000CB250000}"/>
    <cellStyle name="Normal 5 2 4 4 5 2" xfId="18276" xr:uid="{00000000-0005-0000-0000-0000CC250000}"/>
    <cellStyle name="Normal 5 2 4 4 5 3" xfId="11020" xr:uid="{00000000-0005-0000-0000-0000CD250000}"/>
    <cellStyle name="Normal 5 2 4 4 6" xfId="14648" xr:uid="{00000000-0005-0000-0000-0000CE250000}"/>
    <cellStyle name="Normal 5 2 4 4 7" xfId="7392" xr:uid="{00000000-0005-0000-0000-0000CF250000}"/>
    <cellStyle name="Normal 5 2 4 5" xfId="265" xr:uid="{00000000-0005-0000-0000-0000D0250000}"/>
    <cellStyle name="Normal 5 2 4 5 2" xfId="611" xr:uid="{00000000-0005-0000-0000-0000D1250000}"/>
    <cellStyle name="Normal 5 2 4 5 2 2" xfId="1519" xr:uid="{00000000-0005-0000-0000-0000D2250000}"/>
    <cellStyle name="Normal 5 2 4 5 2 2 2" xfId="3333" xr:uid="{00000000-0005-0000-0000-0000D3250000}"/>
    <cellStyle name="Normal 5 2 4 5 2 2 2 2" xfId="6961" xr:uid="{00000000-0005-0000-0000-0000D4250000}"/>
    <cellStyle name="Normal 5 2 4 5 2 2 2 2 2" xfId="21473" xr:uid="{00000000-0005-0000-0000-0000D5250000}"/>
    <cellStyle name="Normal 5 2 4 5 2 2 2 2 3" xfId="14217" xr:uid="{00000000-0005-0000-0000-0000D6250000}"/>
    <cellStyle name="Normal 5 2 4 5 2 2 2 3" xfId="17845" xr:uid="{00000000-0005-0000-0000-0000D7250000}"/>
    <cellStyle name="Normal 5 2 4 5 2 2 2 4" xfId="10589" xr:uid="{00000000-0005-0000-0000-0000D8250000}"/>
    <cellStyle name="Normal 5 2 4 5 2 2 3" xfId="5147" xr:uid="{00000000-0005-0000-0000-0000D9250000}"/>
    <cellStyle name="Normal 5 2 4 5 2 2 3 2" xfId="19659" xr:uid="{00000000-0005-0000-0000-0000DA250000}"/>
    <cellStyle name="Normal 5 2 4 5 2 2 3 3" xfId="12403" xr:uid="{00000000-0005-0000-0000-0000DB250000}"/>
    <cellStyle name="Normal 5 2 4 5 2 2 4" xfId="16031" xr:uid="{00000000-0005-0000-0000-0000DC250000}"/>
    <cellStyle name="Normal 5 2 4 5 2 2 5" xfId="8775" xr:uid="{00000000-0005-0000-0000-0000DD250000}"/>
    <cellStyle name="Normal 5 2 4 5 2 3" xfId="2426" xr:uid="{00000000-0005-0000-0000-0000DE250000}"/>
    <cellStyle name="Normal 5 2 4 5 2 3 2" xfId="6054" xr:uid="{00000000-0005-0000-0000-0000DF250000}"/>
    <cellStyle name="Normal 5 2 4 5 2 3 2 2" xfId="20566" xr:uid="{00000000-0005-0000-0000-0000E0250000}"/>
    <cellStyle name="Normal 5 2 4 5 2 3 2 3" xfId="13310" xr:uid="{00000000-0005-0000-0000-0000E1250000}"/>
    <cellStyle name="Normal 5 2 4 5 2 3 3" xfId="16938" xr:uid="{00000000-0005-0000-0000-0000E2250000}"/>
    <cellStyle name="Normal 5 2 4 5 2 3 4" xfId="9682" xr:uid="{00000000-0005-0000-0000-0000E3250000}"/>
    <cellStyle name="Normal 5 2 4 5 2 4" xfId="4240" xr:uid="{00000000-0005-0000-0000-0000E4250000}"/>
    <cellStyle name="Normal 5 2 4 5 2 4 2" xfId="18752" xr:uid="{00000000-0005-0000-0000-0000E5250000}"/>
    <cellStyle name="Normal 5 2 4 5 2 4 3" xfId="11496" xr:uid="{00000000-0005-0000-0000-0000E6250000}"/>
    <cellStyle name="Normal 5 2 4 5 2 5" xfId="15124" xr:uid="{00000000-0005-0000-0000-0000E7250000}"/>
    <cellStyle name="Normal 5 2 4 5 2 6" xfId="7868" xr:uid="{00000000-0005-0000-0000-0000E8250000}"/>
    <cellStyle name="Normal 5 2 4 5 3" xfId="1173" xr:uid="{00000000-0005-0000-0000-0000E9250000}"/>
    <cellStyle name="Normal 5 2 4 5 3 2" xfId="2987" xr:uid="{00000000-0005-0000-0000-0000EA250000}"/>
    <cellStyle name="Normal 5 2 4 5 3 2 2" xfId="6615" xr:uid="{00000000-0005-0000-0000-0000EB250000}"/>
    <cellStyle name="Normal 5 2 4 5 3 2 2 2" xfId="21127" xr:uid="{00000000-0005-0000-0000-0000EC250000}"/>
    <cellStyle name="Normal 5 2 4 5 3 2 2 3" xfId="13871" xr:uid="{00000000-0005-0000-0000-0000ED250000}"/>
    <cellStyle name="Normal 5 2 4 5 3 2 3" xfId="17499" xr:uid="{00000000-0005-0000-0000-0000EE250000}"/>
    <cellStyle name="Normal 5 2 4 5 3 2 4" xfId="10243" xr:uid="{00000000-0005-0000-0000-0000EF250000}"/>
    <cellStyle name="Normal 5 2 4 5 3 3" xfId="4801" xr:uid="{00000000-0005-0000-0000-0000F0250000}"/>
    <cellStyle name="Normal 5 2 4 5 3 3 2" xfId="19313" xr:uid="{00000000-0005-0000-0000-0000F1250000}"/>
    <cellStyle name="Normal 5 2 4 5 3 3 3" xfId="12057" xr:uid="{00000000-0005-0000-0000-0000F2250000}"/>
    <cellStyle name="Normal 5 2 4 5 3 4" xfId="15685" xr:uid="{00000000-0005-0000-0000-0000F3250000}"/>
    <cellStyle name="Normal 5 2 4 5 3 5" xfId="8429" xr:uid="{00000000-0005-0000-0000-0000F4250000}"/>
    <cellStyle name="Normal 5 2 4 5 4" xfId="2080" xr:uid="{00000000-0005-0000-0000-0000F5250000}"/>
    <cellStyle name="Normal 5 2 4 5 4 2" xfId="5708" xr:uid="{00000000-0005-0000-0000-0000F6250000}"/>
    <cellStyle name="Normal 5 2 4 5 4 2 2" xfId="20220" xr:uid="{00000000-0005-0000-0000-0000F7250000}"/>
    <cellStyle name="Normal 5 2 4 5 4 2 3" xfId="12964" xr:uid="{00000000-0005-0000-0000-0000F8250000}"/>
    <cellStyle name="Normal 5 2 4 5 4 3" xfId="16592" xr:uid="{00000000-0005-0000-0000-0000F9250000}"/>
    <cellStyle name="Normal 5 2 4 5 4 4" xfId="9336" xr:uid="{00000000-0005-0000-0000-0000FA250000}"/>
    <cellStyle name="Normal 5 2 4 5 5" xfId="3894" xr:uid="{00000000-0005-0000-0000-0000FB250000}"/>
    <cellStyle name="Normal 5 2 4 5 5 2" xfId="18406" xr:uid="{00000000-0005-0000-0000-0000FC250000}"/>
    <cellStyle name="Normal 5 2 4 5 5 3" xfId="11150" xr:uid="{00000000-0005-0000-0000-0000FD250000}"/>
    <cellStyle name="Normal 5 2 4 5 6" xfId="14778" xr:uid="{00000000-0005-0000-0000-0000FE250000}"/>
    <cellStyle name="Normal 5 2 4 5 7" xfId="7522" xr:uid="{00000000-0005-0000-0000-0000FF250000}"/>
    <cellStyle name="Normal 5 2 4 6" xfId="741" xr:uid="{00000000-0005-0000-0000-000000260000}"/>
    <cellStyle name="Normal 5 2 4 6 2" xfId="1649" xr:uid="{00000000-0005-0000-0000-000001260000}"/>
    <cellStyle name="Normal 5 2 4 6 2 2" xfId="3463" xr:uid="{00000000-0005-0000-0000-000002260000}"/>
    <cellStyle name="Normal 5 2 4 6 2 2 2" xfId="7091" xr:uid="{00000000-0005-0000-0000-000003260000}"/>
    <cellStyle name="Normal 5 2 4 6 2 2 2 2" xfId="21603" xr:uid="{00000000-0005-0000-0000-000004260000}"/>
    <cellStyle name="Normal 5 2 4 6 2 2 2 3" xfId="14347" xr:uid="{00000000-0005-0000-0000-000005260000}"/>
    <cellStyle name="Normal 5 2 4 6 2 2 3" xfId="17975" xr:uid="{00000000-0005-0000-0000-000006260000}"/>
    <cellStyle name="Normal 5 2 4 6 2 2 4" xfId="10719" xr:uid="{00000000-0005-0000-0000-000007260000}"/>
    <cellStyle name="Normal 5 2 4 6 2 3" xfId="5277" xr:uid="{00000000-0005-0000-0000-000008260000}"/>
    <cellStyle name="Normal 5 2 4 6 2 3 2" xfId="19789" xr:uid="{00000000-0005-0000-0000-000009260000}"/>
    <cellStyle name="Normal 5 2 4 6 2 3 3" xfId="12533" xr:uid="{00000000-0005-0000-0000-00000A260000}"/>
    <cellStyle name="Normal 5 2 4 6 2 4" xfId="16161" xr:uid="{00000000-0005-0000-0000-00000B260000}"/>
    <cellStyle name="Normal 5 2 4 6 2 5" xfId="8905" xr:uid="{00000000-0005-0000-0000-00000C260000}"/>
    <cellStyle name="Normal 5 2 4 6 3" xfId="2556" xr:uid="{00000000-0005-0000-0000-00000D260000}"/>
    <cellStyle name="Normal 5 2 4 6 3 2" xfId="6184" xr:uid="{00000000-0005-0000-0000-00000E260000}"/>
    <cellStyle name="Normal 5 2 4 6 3 2 2" xfId="20696" xr:uid="{00000000-0005-0000-0000-00000F260000}"/>
    <cellStyle name="Normal 5 2 4 6 3 2 3" xfId="13440" xr:uid="{00000000-0005-0000-0000-000010260000}"/>
    <cellStyle name="Normal 5 2 4 6 3 3" xfId="17068" xr:uid="{00000000-0005-0000-0000-000011260000}"/>
    <cellStyle name="Normal 5 2 4 6 3 4" xfId="9812" xr:uid="{00000000-0005-0000-0000-000012260000}"/>
    <cellStyle name="Normal 5 2 4 6 4" xfId="4370" xr:uid="{00000000-0005-0000-0000-000013260000}"/>
    <cellStyle name="Normal 5 2 4 6 4 2" xfId="18882" xr:uid="{00000000-0005-0000-0000-000014260000}"/>
    <cellStyle name="Normal 5 2 4 6 4 3" xfId="11626" xr:uid="{00000000-0005-0000-0000-000015260000}"/>
    <cellStyle name="Normal 5 2 4 6 5" xfId="15254" xr:uid="{00000000-0005-0000-0000-000016260000}"/>
    <cellStyle name="Normal 5 2 4 6 6" xfId="7998" xr:uid="{00000000-0005-0000-0000-000017260000}"/>
    <cellStyle name="Normal 5 2 4 7" xfId="395" xr:uid="{00000000-0005-0000-0000-000018260000}"/>
    <cellStyle name="Normal 5 2 4 7 2" xfId="1303" xr:uid="{00000000-0005-0000-0000-000019260000}"/>
    <cellStyle name="Normal 5 2 4 7 2 2" xfId="3117" xr:uid="{00000000-0005-0000-0000-00001A260000}"/>
    <cellStyle name="Normal 5 2 4 7 2 2 2" xfId="6745" xr:uid="{00000000-0005-0000-0000-00001B260000}"/>
    <cellStyle name="Normal 5 2 4 7 2 2 2 2" xfId="21257" xr:uid="{00000000-0005-0000-0000-00001C260000}"/>
    <cellStyle name="Normal 5 2 4 7 2 2 2 3" xfId="14001" xr:uid="{00000000-0005-0000-0000-00001D260000}"/>
    <cellStyle name="Normal 5 2 4 7 2 2 3" xfId="17629" xr:uid="{00000000-0005-0000-0000-00001E260000}"/>
    <cellStyle name="Normal 5 2 4 7 2 2 4" xfId="10373" xr:uid="{00000000-0005-0000-0000-00001F260000}"/>
    <cellStyle name="Normal 5 2 4 7 2 3" xfId="4931" xr:uid="{00000000-0005-0000-0000-000020260000}"/>
    <cellStyle name="Normal 5 2 4 7 2 3 2" xfId="19443" xr:uid="{00000000-0005-0000-0000-000021260000}"/>
    <cellStyle name="Normal 5 2 4 7 2 3 3" xfId="12187" xr:uid="{00000000-0005-0000-0000-000022260000}"/>
    <cellStyle name="Normal 5 2 4 7 2 4" xfId="15815" xr:uid="{00000000-0005-0000-0000-000023260000}"/>
    <cellStyle name="Normal 5 2 4 7 2 5" xfId="8559" xr:uid="{00000000-0005-0000-0000-000024260000}"/>
    <cellStyle name="Normal 5 2 4 7 3" xfId="2210" xr:uid="{00000000-0005-0000-0000-000025260000}"/>
    <cellStyle name="Normal 5 2 4 7 3 2" xfId="5838" xr:uid="{00000000-0005-0000-0000-000026260000}"/>
    <cellStyle name="Normal 5 2 4 7 3 2 2" xfId="20350" xr:uid="{00000000-0005-0000-0000-000027260000}"/>
    <cellStyle name="Normal 5 2 4 7 3 2 3" xfId="13094" xr:uid="{00000000-0005-0000-0000-000028260000}"/>
    <cellStyle name="Normal 5 2 4 7 3 3" xfId="16722" xr:uid="{00000000-0005-0000-0000-000029260000}"/>
    <cellStyle name="Normal 5 2 4 7 3 4" xfId="9466" xr:uid="{00000000-0005-0000-0000-00002A260000}"/>
    <cellStyle name="Normal 5 2 4 7 4" xfId="4024" xr:uid="{00000000-0005-0000-0000-00002B260000}"/>
    <cellStyle name="Normal 5 2 4 7 4 2" xfId="18536" xr:uid="{00000000-0005-0000-0000-00002C260000}"/>
    <cellStyle name="Normal 5 2 4 7 4 3" xfId="11280" xr:uid="{00000000-0005-0000-0000-00002D260000}"/>
    <cellStyle name="Normal 5 2 4 7 5" xfId="14908" xr:uid="{00000000-0005-0000-0000-00002E260000}"/>
    <cellStyle name="Normal 5 2 4 7 6" xfId="7652" xr:uid="{00000000-0005-0000-0000-00002F260000}"/>
    <cellStyle name="Normal 5 2 4 8" xfId="876" xr:uid="{00000000-0005-0000-0000-000030260000}"/>
    <cellStyle name="Normal 5 2 4 8 2" xfId="1784" xr:uid="{00000000-0005-0000-0000-000031260000}"/>
    <cellStyle name="Normal 5 2 4 8 2 2" xfId="3598" xr:uid="{00000000-0005-0000-0000-000032260000}"/>
    <cellStyle name="Normal 5 2 4 8 2 2 2" xfId="7226" xr:uid="{00000000-0005-0000-0000-000033260000}"/>
    <cellStyle name="Normal 5 2 4 8 2 2 2 2" xfId="21738" xr:uid="{00000000-0005-0000-0000-000034260000}"/>
    <cellStyle name="Normal 5 2 4 8 2 2 2 3" xfId="14482" xr:uid="{00000000-0005-0000-0000-000035260000}"/>
    <cellStyle name="Normal 5 2 4 8 2 2 3" xfId="18110" xr:uid="{00000000-0005-0000-0000-000036260000}"/>
    <cellStyle name="Normal 5 2 4 8 2 2 4" xfId="10854" xr:uid="{00000000-0005-0000-0000-000037260000}"/>
    <cellStyle name="Normal 5 2 4 8 2 3" xfId="5412" xr:uid="{00000000-0005-0000-0000-000038260000}"/>
    <cellStyle name="Normal 5 2 4 8 2 3 2" xfId="19924" xr:uid="{00000000-0005-0000-0000-000039260000}"/>
    <cellStyle name="Normal 5 2 4 8 2 3 3" xfId="12668" xr:uid="{00000000-0005-0000-0000-00003A260000}"/>
    <cellStyle name="Normal 5 2 4 8 2 4" xfId="16296" xr:uid="{00000000-0005-0000-0000-00003B260000}"/>
    <cellStyle name="Normal 5 2 4 8 2 5" xfId="9040" xr:uid="{00000000-0005-0000-0000-00003C260000}"/>
    <cellStyle name="Normal 5 2 4 8 3" xfId="2691" xr:uid="{00000000-0005-0000-0000-00003D260000}"/>
    <cellStyle name="Normal 5 2 4 8 3 2" xfId="6319" xr:uid="{00000000-0005-0000-0000-00003E260000}"/>
    <cellStyle name="Normal 5 2 4 8 3 2 2" xfId="20831" xr:uid="{00000000-0005-0000-0000-00003F260000}"/>
    <cellStyle name="Normal 5 2 4 8 3 2 3" xfId="13575" xr:uid="{00000000-0005-0000-0000-000040260000}"/>
    <cellStyle name="Normal 5 2 4 8 3 3" xfId="17203" xr:uid="{00000000-0005-0000-0000-000041260000}"/>
    <cellStyle name="Normal 5 2 4 8 3 4" xfId="9947" xr:uid="{00000000-0005-0000-0000-000042260000}"/>
    <cellStyle name="Normal 5 2 4 8 4" xfId="4505" xr:uid="{00000000-0005-0000-0000-000043260000}"/>
    <cellStyle name="Normal 5 2 4 8 4 2" xfId="19017" xr:uid="{00000000-0005-0000-0000-000044260000}"/>
    <cellStyle name="Normal 5 2 4 8 4 3" xfId="11761" xr:uid="{00000000-0005-0000-0000-000045260000}"/>
    <cellStyle name="Normal 5 2 4 8 5" xfId="15389" xr:uid="{00000000-0005-0000-0000-000046260000}"/>
    <cellStyle name="Normal 5 2 4 8 6" xfId="8133" xr:uid="{00000000-0005-0000-0000-000047260000}"/>
    <cellStyle name="Normal 5 2 4 9" xfId="957" xr:uid="{00000000-0005-0000-0000-000048260000}"/>
    <cellStyle name="Normal 5 2 4 9 2" xfId="2771" xr:uid="{00000000-0005-0000-0000-000049260000}"/>
    <cellStyle name="Normal 5 2 4 9 2 2" xfId="6399" xr:uid="{00000000-0005-0000-0000-00004A260000}"/>
    <cellStyle name="Normal 5 2 4 9 2 2 2" xfId="20911" xr:uid="{00000000-0005-0000-0000-00004B260000}"/>
    <cellStyle name="Normal 5 2 4 9 2 2 3" xfId="13655" xr:uid="{00000000-0005-0000-0000-00004C260000}"/>
    <cellStyle name="Normal 5 2 4 9 2 3" xfId="17283" xr:uid="{00000000-0005-0000-0000-00004D260000}"/>
    <cellStyle name="Normal 5 2 4 9 2 4" xfId="10027" xr:uid="{00000000-0005-0000-0000-00004E260000}"/>
    <cellStyle name="Normal 5 2 4 9 3" xfId="4585" xr:uid="{00000000-0005-0000-0000-00004F260000}"/>
    <cellStyle name="Normal 5 2 4 9 3 2" xfId="19097" xr:uid="{00000000-0005-0000-0000-000050260000}"/>
    <cellStyle name="Normal 5 2 4 9 3 3" xfId="11841" xr:uid="{00000000-0005-0000-0000-000051260000}"/>
    <cellStyle name="Normal 5 2 4 9 4" xfId="15469" xr:uid="{00000000-0005-0000-0000-000052260000}"/>
    <cellStyle name="Normal 5 2 4 9 5" xfId="8213" xr:uid="{00000000-0005-0000-0000-000053260000}"/>
    <cellStyle name="Normal 5 2 5" xfId="68" xr:uid="{00000000-0005-0000-0000-000054260000}"/>
    <cellStyle name="Normal 5 2 5 10" xfId="14583" xr:uid="{00000000-0005-0000-0000-000055260000}"/>
    <cellStyle name="Normal 5 2 5 11" xfId="7327" xr:uid="{00000000-0005-0000-0000-000056260000}"/>
    <cellStyle name="Normal 5 2 5 2" xfId="156" xr:uid="{00000000-0005-0000-0000-000057260000}"/>
    <cellStyle name="Normal 5 2 5 2 2" xfId="502" xr:uid="{00000000-0005-0000-0000-000058260000}"/>
    <cellStyle name="Normal 5 2 5 2 2 2" xfId="1410" xr:uid="{00000000-0005-0000-0000-000059260000}"/>
    <cellStyle name="Normal 5 2 5 2 2 2 2" xfId="3224" xr:uid="{00000000-0005-0000-0000-00005A260000}"/>
    <cellStyle name="Normal 5 2 5 2 2 2 2 2" xfId="6852" xr:uid="{00000000-0005-0000-0000-00005B260000}"/>
    <cellStyle name="Normal 5 2 5 2 2 2 2 2 2" xfId="21364" xr:uid="{00000000-0005-0000-0000-00005C260000}"/>
    <cellStyle name="Normal 5 2 5 2 2 2 2 2 3" xfId="14108" xr:uid="{00000000-0005-0000-0000-00005D260000}"/>
    <cellStyle name="Normal 5 2 5 2 2 2 2 3" xfId="17736" xr:uid="{00000000-0005-0000-0000-00005E260000}"/>
    <cellStyle name="Normal 5 2 5 2 2 2 2 4" xfId="10480" xr:uid="{00000000-0005-0000-0000-00005F260000}"/>
    <cellStyle name="Normal 5 2 5 2 2 2 3" xfId="5038" xr:uid="{00000000-0005-0000-0000-000060260000}"/>
    <cellStyle name="Normal 5 2 5 2 2 2 3 2" xfId="19550" xr:uid="{00000000-0005-0000-0000-000061260000}"/>
    <cellStyle name="Normal 5 2 5 2 2 2 3 3" xfId="12294" xr:uid="{00000000-0005-0000-0000-000062260000}"/>
    <cellStyle name="Normal 5 2 5 2 2 2 4" xfId="15922" xr:uid="{00000000-0005-0000-0000-000063260000}"/>
    <cellStyle name="Normal 5 2 5 2 2 2 5" xfId="8666" xr:uid="{00000000-0005-0000-0000-000064260000}"/>
    <cellStyle name="Normal 5 2 5 2 2 3" xfId="2317" xr:uid="{00000000-0005-0000-0000-000065260000}"/>
    <cellStyle name="Normal 5 2 5 2 2 3 2" xfId="5945" xr:uid="{00000000-0005-0000-0000-000066260000}"/>
    <cellStyle name="Normal 5 2 5 2 2 3 2 2" xfId="20457" xr:uid="{00000000-0005-0000-0000-000067260000}"/>
    <cellStyle name="Normal 5 2 5 2 2 3 2 3" xfId="13201" xr:uid="{00000000-0005-0000-0000-000068260000}"/>
    <cellStyle name="Normal 5 2 5 2 2 3 3" xfId="16829" xr:uid="{00000000-0005-0000-0000-000069260000}"/>
    <cellStyle name="Normal 5 2 5 2 2 3 4" xfId="9573" xr:uid="{00000000-0005-0000-0000-00006A260000}"/>
    <cellStyle name="Normal 5 2 5 2 2 4" xfId="4131" xr:uid="{00000000-0005-0000-0000-00006B260000}"/>
    <cellStyle name="Normal 5 2 5 2 2 4 2" xfId="18643" xr:uid="{00000000-0005-0000-0000-00006C260000}"/>
    <cellStyle name="Normal 5 2 5 2 2 4 3" xfId="11387" xr:uid="{00000000-0005-0000-0000-00006D260000}"/>
    <cellStyle name="Normal 5 2 5 2 2 5" xfId="15015" xr:uid="{00000000-0005-0000-0000-00006E260000}"/>
    <cellStyle name="Normal 5 2 5 2 2 6" xfId="7759" xr:uid="{00000000-0005-0000-0000-00006F260000}"/>
    <cellStyle name="Normal 5 2 5 2 3" xfId="1064" xr:uid="{00000000-0005-0000-0000-000070260000}"/>
    <cellStyle name="Normal 5 2 5 2 3 2" xfId="2878" xr:uid="{00000000-0005-0000-0000-000071260000}"/>
    <cellStyle name="Normal 5 2 5 2 3 2 2" xfId="6506" xr:uid="{00000000-0005-0000-0000-000072260000}"/>
    <cellStyle name="Normal 5 2 5 2 3 2 2 2" xfId="21018" xr:uid="{00000000-0005-0000-0000-000073260000}"/>
    <cellStyle name="Normal 5 2 5 2 3 2 2 3" xfId="13762" xr:uid="{00000000-0005-0000-0000-000074260000}"/>
    <cellStyle name="Normal 5 2 5 2 3 2 3" xfId="17390" xr:uid="{00000000-0005-0000-0000-000075260000}"/>
    <cellStyle name="Normal 5 2 5 2 3 2 4" xfId="10134" xr:uid="{00000000-0005-0000-0000-000076260000}"/>
    <cellStyle name="Normal 5 2 5 2 3 3" xfId="4692" xr:uid="{00000000-0005-0000-0000-000077260000}"/>
    <cellStyle name="Normal 5 2 5 2 3 3 2" xfId="19204" xr:uid="{00000000-0005-0000-0000-000078260000}"/>
    <cellStyle name="Normal 5 2 5 2 3 3 3" xfId="11948" xr:uid="{00000000-0005-0000-0000-000079260000}"/>
    <cellStyle name="Normal 5 2 5 2 3 4" xfId="15576" xr:uid="{00000000-0005-0000-0000-00007A260000}"/>
    <cellStyle name="Normal 5 2 5 2 3 5" xfId="8320" xr:uid="{00000000-0005-0000-0000-00007B260000}"/>
    <cellStyle name="Normal 5 2 5 2 4" xfId="1971" xr:uid="{00000000-0005-0000-0000-00007C260000}"/>
    <cellStyle name="Normal 5 2 5 2 4 2" xfId="5599" xr:uid="{00000000-0005-0000-0000-00007D260000}"/>
    <cellStyle name="Normal 5 2 5 2 4 2 2" xfId="20111" xr:uid="{00000000-0005-0000-0000-00007E260000}"/>
    <cellStyle name="Normal 5 2 5 2 4 2 3" xfId="12855" xr:uid="{00000000-0005-0000-0000-00007F260000}"/>
    <cellStyle name="Normal 5 2 5 2 4 3" xfId="16483" xr:uid="{00000000-0005-0000-0000-000080260000}"/>
    <cellStyle name="Normal 5 2 5 2 4 4" xfId="9227" xr:uid="{00000000-0005-0000-0000-000081260000}"/>
    <cellStyle name="Normal 5 2 5 2 5" xfId="3785" xr:uid="{00000000-0005-0000-0000-000082260000}"/>
    <cellStyle name="Normal 5 2 5 2 5 2" xfId="18297" xr:uid="{00000000-0005-0000-0000-000083260000}"/>
    <cellStyle name="Normal 5 2 5 2 5 3" xfId="11041" xr:uid="{00000000-0005-0000-0000-000084260000}"/>
    <cellStyle name="Normal 5 2 5 2 6" xfId="14669" xr:uid="{00000000-0005-0000-0000-000085260000}"/>
    <cellStyle name="Normal 5 2 5 2 7" xfId="7413" xr:uid="{00000000-0005-0000-0000-000086260000}"/>
    <cellStyle name="Normal 5 2 5 3" xfId="286" xr:uid="{00000000-0005-0000-0000-000087260000}"/>
    <cellStyle name="Normal 5 2 5 3 2" xfId="632" xr:uid="{00000000-0005-0000-0000-000088260000}"/>
    <cellStyle name="Normal 5 2 5 3 2 2" xfId="1540" xr:uid="{00000000-0005-0000-0000-000089260000}"/>
    <cellStyle name="Normal 5 2 5 3 2 2 2" xfId="3354" xr:uid="{00000000-0005-0000-0000-00008A260000}"/>
    <cellStyle name="Normal 5 2 5 3 2 2 2 2" xfId="6982" xr:uid="{00000000-0005-0000-0000-00008B260000}"/>
    <cellStyle name="Normal 5 2 5 3 2 2 2 2 2" xfId="21494" xr:uid="{00000000-0005-0000-0000-00008C260000}"/>
    <cellStyle name="Normal 5 2 5 3 2 2 2 2 3" xfId="14238" xr:uid="{00000000-0005-0000-0000-00008D260000}"/>
    <cellStyle name="Normal 5 2 5 3 2 2 2 3" xfId="17866" xr:uid="{00000000-0005-0000-0000-00008E260000}"/>
    <cellStyle name="Normal 5 2 5 3 2 2 2 4" xfId="10610" xr:uid="{00000000-0005-0000-0000-00008F260000}"/>
    <cellStyle name="Normal 5 2 5 3 2 2 3" xfId="5168" xr:uid="{00000000-0005-0000-0000-000090260000}"/>
    <cellStyle name="Normal 5 2 5 3 2 2 3 2" xfId="19680" xr:uid="{00000000-0005-0000-0000-000091260000}"/>
    <cellStyle name="Normal 5 2 5 3 2 2 3 3" xfId="12424" xr:uid="{00000000-0005-0000-0000-000092260000}"/>
    <cellStyle name="Normal 5 2 5 3 2 2 4" xfId="16052" xr:uid="{00000000-0005-0000-0000-000093260000}"/>
    <cellStyle name="Normal 5 2 5 3 2 2 5" xfId="8796" xr:uid="{00000000-0005-0000-0000-000094260000}"/>
    <cellStyle name="Normal 5 2 5 3 2 3" xfId="2447" xr:uid="{00000000-0005-0000-0000-000095260000}"/>
    <cellStyle name="Normal 5 2 5 3 2 3 2" xfId="6075" xr:uid="{00000000-0005-0000-0000-000096260000}"/>
    <cellStyle name="Normal 5 2 5 3 2 3 2 2" xfId="20587" xr:uid="{00000000-0005-0000-0000-000097260000}"/>
    <cellStyle name="Normal 5 2 5 3 2 3 2 3" xfId="13331" xr:uid="{00000000-0005-0000-0000-000098260000}"/>
    <cellStyle name="Normal 5 2 5 3 2 3 3" xfId="16959" xr:uid="{00000000-0005-0000-0000-000099260000}"/>
    <cellStyle name="Normal 5 2 5 3 2 3 4" xfId="9703" xr:uid="{00000000-0005-0000-0000-00009A260000}"/>
    <cellStyle name="Normal 5 2 5 3 2 4" xfId="4261" xr:uid="{00000000-0005-0000-0000-00009B260000}"/>
    <cellStyle name="Normal 5 2 5 3 2 4 2" xfId="18773" xr:uid="{00000000-0005-0000-0000-00009C260000}"/>
    <cellStyle name="Normal 5 2 5 3 2 4 3" xfId="11517" xr:uid="{00000000-0005-0000-0000-00009D260000}"/>
    <cellStyle name="Normal 5 2 5 3 2 5" xfId="15145" xr:uid="{00000000-0005-0000-0000-00009E260000}"/>
    <cellStyle name="Normal 5 2 5 3 2 6" xfId="7889" xr:uid="{00000000-0005-0000-0000-00009F260000}"/>
    <cellStyle name="Normal 5 2 5 3 3" xfId="1194" xr:uid="{00000000-0005-0000-0000-0000A0260000}"/>
    <cellStyle name="Normal 5 2 5 3 3 2" xfId="3008" xr:uid="{00000000-0005-0000-0000-0000A1260000}"/>
    <cellStyle name="Normal 5 2 5 3 3 2 2" xfId="6636" xr:uid="{00000000-0005-0000-0000-0000A2260000}"/>
    <cellStyle name="Normal 5 2 5 3 3 2 2 2" xfId="21148" xr:uid="{00000000-0005-0000-0000-0000A3260000}"/>
    <cellStyle name="Normal 5 2 5 3 3 2 2 3" xfId="13892" xr:uid="{00000000-0005-0000-0000-0000A4260000}"/>
    <cellStyle name="Normal 5 2 5 3 3 2 3" xfId="17520" xr:uid="{00000000-0005-0000-0000-0000A5260000}"/>
    <cellStyle name="Normal 5 2 5 3 3 2 4" xfId="10264" xr:uid="{00000000-0005-0000-0000-0000A6260000}"/>
    <cellStyle name="Normal 5 2 5 3 3 3" xfId="4822" xr:uid="{00000000-0005-0000-0000-0000A7260000}"/>
    <cellStyle name="Normal 5 2 5 3 3 3 2" xfId="19334" xr:uid="{00000000-0005-0000-0000-0000A8260000}"/>
    <cellStyle name="Normal 5 2 5 3 3 3 3" xfId="12078" xr:uid="{00000000-0005-0000-0000-0000A9260000}"/>
    <cellStyle name="Normal 5 2 5 3 3 4" xfId="15706" xr:uid="{00000000-0005-0000-0000-0000AA260000}"/>
    <cellStyle name="Normal 5 2 5 3 3 5" xfId="8450" xr:uid="{00000000-0005-0000-0000-0000AB260000}"/>
    <cellStyle name="Normal 5 2 5 3 4" xfId="2101" xr:uid="{00000000-0005-0000-0000-0000AC260000}"/>
    <cellStyle name="Normal 5 2 5 3 4 2" xfId="5729" xr:uid="{00000000-0005-0000-0000-0000AD260000}"/>
    <cellStyle name="Normal 5 2 5 3 4 2 2" xfId="20241" xr:uid="{00000000-0005-0000-0000-0000AE260000}"/>
    <cellStyle name="Normal 5 2 5 3 4 2 3" xfId="12985" xr:uid="{00000000-0005-0000-0000-0000AF260000}"/>
    <cellStyle name="Normal 5 2 5 3 4 3" xfId="16613" xr:uid="{00000000-0005-0000-0000-0000B0260000}"/>
    <cellStyle name="Normal 5 2 5 3 4 4" xfId="9357" xr:uid="{00000000-0005-0000-0000-0000B1260000}"/>
    <cellStyle name="Normal 5 2 5 3 5" xfId="3915" xr:uid="{00000000-0005-0000-0000-0000B2260000}"/>
    <cellStyle name="Normal 5 2 5 3 5 2" xfId="18427" xr:uid="{00000000-0005-0000-0000-0000B3260000}"/>
    <cellStyle name="Normal 5 2 5 3 5 3" xfId="11171" xr:uid="{00000000-0005-0000-0000-0000B4260000}"/>
    <cellStyle name="Normal 5 2 5 3 6" xfId="14799" xr:uid="{00000000-0005-0000-0000-0000B5260000}"/>
    <cellStyle name="Normal 5 2 5 3 7" xfId="7543" xr:uid="{00000000-0005-0000-0000-0000B6260000}"/>
    <cellStyle name="Normal 5 2 5 4" xfId="762" xr:uid="{00000000-0005-0000-0000-0000B7260000}"/>
    <cellStyle name="Normal 5 2 5 4 2" xfId="1670" xr:uid="{00000000-0005-0000-0000-0000B8260000}"/>
    <cellStyle name="Normal 5 2 5 4 2 2" xfId="3484" xr:uid="{00000000-0005-0000-0000-0000B9260000}"/>
    <cellStyle name="Normal 5 2 5 4 2 2 2" xfId="7112" xr:uid="{00000000-0005-0000-0000-0000BA260000}"/>
    <cellStyle name="Normal 5 2 5 4 2 2 2 2" xfId="21624" xr:uid="{00000000-0005-0000-0000-0000BB260000}"/>
    <cellStyle name="Normal 5 2 5 4 2 2 2 3" xfId="14368" xr:uid="{00000000-0005-0000-0000-0000BC260000}"/>
    <cellStyle name="Normal 5 2 5 4 2 2 3" xfId="17996" xr:uid="{00000000-0005-0000-0000-0000BD260000}"/>
    <cellStyle name="Normal 5 2 5 4 2 2 4" xfId="10740" xr:uid="{00000000-0005-0000-0000-0000BE260000}"/>
    <cellStyle name="Normal 5 2 5 4 2 3" xfId="5298" xr:uid="{00000000-0005-0000-0000-0000BF260000}"/>
    <cellStyle name="Normal 5 2 5 4 2 3 2" xfId="19810" xr:uid="{00000000-0005-0000-0000-0000C0260000}"/>
    <cellStyle name="Normal 5 2 5 4 2 3 3" xfId="12554" xr:uid="{00000000-0005-0000-0000-0000C1260000}"/>
    <cellStyle name="Normal 5 2 5 4 2 4" xfId="16182" xr:uid="{00000000-0005-0000-0000-0000C2260000}"/>
    <cellStyle name="Normal 5 2 5 4 2 5" xfId="8926" xr:uid="{00000000-0005-0000-0000-0000C3260000}"/>
    <cellStyle name="Normal 5 2 5 4 3" xfId="2577" xr:uid="{00000000-0005-0000-0000-0000C4260000}"/>
    <cellStyle name="Normal 5 2 5 4 3 2" xfId="6205" xr:uid="{00000000-0005-0000-0000-0000C5260000}"/>
    <cellStyle name="Normal 5 2 5 4 3 2 2" xfId="20717" xr:uid="{00000000-0005-0000-0000-0000C6260000}"/>
    <cellStyle name="Normal 5 2 5 4 3 2 3" xfId="13461" xr:uid="{00000000-0005-0000-0000-0000C7260000}"/>
    <cellStyle name="Normal 5 2 5 4 3 3" xfId="17089" xr:uid="{00000000-0005-0000-0000-0000C8260000}"/>
    <cellStyle name="Normal 5 2 5 4 3 4" xfId="9833" xr:uid="{00000000-0005-0000-0000-0000C9260000}"/>
    <cellStyle name="Normal 5 2 5 4 4" xfId="4391" xr:uid="{00000000-0005-0000-0000-0000CA260000}"/>
    <cellStyle name="Normal 5 2 5 4 4 2" xfId="18903" xr:uid="{00000000-0005-0000-0000-0000CB260000}"/>
    <cellStyle name="Normal 5 2 5 4 4 3" xfId="11647" xr:uid="{00000000-0005-0000-0000-0000CC260000}"/>
    <cellStyle name="Normal 5 2 5 4 5" xfId="15275" xr:uid="{00000000-0005-0000-0000-0000CD260000}"/>
    <cellStyle name="Normal 5 2 5 4 6" xfId="8019" xr:uid="{00000000-0005-0000-0000-0000CE260000}"/>
    <cellStyle name="Normal 5 2 5 5" xfId="416" xr:uid="{00000000-0005-0000-0000-0000CF260000}"/>
    <cellStyle name="Normal 5 2 5 5 2" xfId="1324" xr:uid="{00000000-0005-0000-0000-0000D0260000}"/>
    <cellStyle name="Normal 5 2 5 5 2 2" xfId="3138" xr:uid="{00000000-0005-0000-0000-0000D1260000}"/>
    <cellStyle name="Normal 5 2 5 5 2 2 2" xfId="6766" xr:uid="{00000000-0005-0000-0000-0000D2260000}"/>
    <cellStyle name="Normal 5 2 5 5 2 2 2 2" xfId="21278" xr:uid="{00000000-0005-0000-0000-0000D3260000}"/>
    <cellStyle name="Normal 5 2 5 5 2 2 2 3" xfId="14022" xr:uid="{00000000-0005-0000-0000-0000D4260000}"/>
    <cellStyle name="Normal 5 2 5 5 2 2 3" xfId="17650" xr:uid="{00000000-0005-0000-0000-0000D5260000}"/>
    <cellStyle name="Normal 5 2 5 5 2 2 4" xfId="10394" xr:uid="{00000000-0005-0000-0000-0000D6260000}"/>
    <cellStyle name="Normal 5 2 5 5 2 3" xfId="4952" xr:uid="{00000000-0005-0000-0000-0000D7260000}"/>
    <cellStyle name="Normal 5 2 5 5 2 3 2" xfId="19464" xr:uid="{00000000-0005-0000-0000-0000D8260000}"/>
    <cellStyle name="Normal 5 2 5 5 2 3 3" xfId="12208" xr:uid="{00000000-0005-0000-0000-0000D9260000}"/>
    <cellStyle name="Normal 5 2 5 5 2 4" xfId="15836" xr:uid="{00000000-0005-0000-0000-0000DA260000}"/>
    <cellStyle name="Normal 5 2 5 5 2 5" xfId="8580" xr:uid="{00000000-0005-0000-0000-0000DB260000}"/>
    <cellStyle name="Normal 5 2 5 5 3" xfId="2231" xr:uid="{00000000-0005-0000-0000-0000DC260000}"/>
    <cellStyle name="Normal 5 2 5 5 3 2" xfId="5859" xr:uid="{00000000-0005-0000-0000-0000DD260000}"/>
    <cellStyle name="Normal 5 2 5 5 3 2 2" xfId="20371" xr:uid="{00000000-0005-0000-0000-0000DE260000}"/>
    <cellStyle name="Normal 5 2 5 5 3 2 3" xfId="13115" xr:uid="{00000000-0005-0000-0000-0000DF260000}"/>
    <cellStyle name="Normal 5 2 5 5 3 3" xfId="16743" xr:uid="{00000000-0005-0000-0000-0000E0260000}"/>
    <cellStyle name="Normal 5 2 5 5 3 4" xfId="9487" xr:uid="{00000000-0005-0000-0000-0000E1260000}"/>
    <cellStyle name="Normal 5 2 5 5 4" xfId="4045" xr:uid="{00000000-0005-0000-0000-0000E2260000}"/>
    <cellStyle name="Normal 5 2 5 5 4 2" xfId="18557" xr:uid="{00000000-0005-0000-0000-0000E3260000}"/>
    <cellStyle name="Normal 5 2 5 5 4 3" xfId="11301" xr:uid="{00000000-0005-0000-0000-0000E4260000}"/>
    <cellStyle name="Normal 5 2 5 5 5" xfId="14929" xr:uid="{00000000-0005-0000-0000-0000E5260000}"/>
    <cellStyle name="Normal 5 2 5 5 6" xfId="7673" xr:uid="{00000000-0005-0000-0000-0000E6260000}"/>
    <cellStyle name="Normal 5 2 5 6" xfId="893" xr:uid="{00000000-0005-0000-0000-0000E7260000}"/>
    <cellStyle name="Normal 5 2 5 6 2" xfId="1801" xr:uid="{00000000-0005-0000-0000-0000E8260000}"/>
    <cellStyle name="Normal 5 2 5 6 2 2" xfId="3615" xr:uid="{00000000-0005-0000-0000-0000E9260000}"/>
    <cellStyle name="Normal 5 2 5 6 2 2 2" xfId="7243" xr:uid="{00000000-0005-0000-0000-0000EA260000}"/>
    <cellStyle name="Normal 5 2 5 6 2 2 2 2" xfId="21755" xr:uid="{00000000-0005-0000-0000-0000EB260000}"/>
    <cellStyle name="Normal 5 2 5 6 2 2 2 3" xfId="14499" xr:uid="{00000000-0005-0000-0000-0000EC260000}"/>
    <cellStyle name="Normal 5 2 5 6 2 2 3" xfId="18127" xr:uid="{00000000-0005-0000-0000-0000ED260000}"/>
    <cellStyle name="Normal 5 2 5 6 2 2 4" xfId="10871" xr:uid="{00000000-0005-0000-0000-0000EE260000}"/>
    <cellStyle name="Normal 5 2 5 6 2 3" xfId="5429" xr:uid="{00000000-0005-0000-0000-0000EF260000}"/>
    <cellStyle name="Normal 5 2 5 6 2 3 2" xfId="19941" xr:uid="{00000000-0005-0000-0000-0000F0260000}"/>
    <cellStyle name="Normal 5 2 5 6 2 3 3" xfId="12685" xr:uid="{00000000-0005-0000-0000-0000F1260000}"/>
    <cellStyle name="Normal 5 2 5 6 2 4" xfId="16313" xr:uid="{00000000-0005-0000-0000-0000F2260000}"/>
    <cellStyle name="Normal 5 2 5 6 2 5" xfId="9057" xr:uid="{00000000-0005-0000-0000-0000F3260000}"/>
    <cellStyle name="Normal 5 2 5 6 3" xfId="2708" xr:uid="{00000000-0005-0000-0000-0000F4260000}"/>
    <cellStyle name="Normal 5 2 5 6 3 2" xfId="6336" xr:uid="{00000000-0005-0000-0000-0000F5260000}"/>
    <cellStyle name="Normal 5 2 5 6 3 2 2" xfId="20848" xr:uid="{00000000-0005-0000-0000-0000F6260000}"/>
    <cellStyle name="Normal 5 2 5 6 3 2 3" xfId="13592" xr:uid="{00000000-0005-0000-0000-0000F7260000}"/>
    <cellStyle name="Normal 5 2 5 6 3 3" xfId="17220" xr:uid="{00000000-0005-0000-0000-0000F8260000}"/>
    <cellStyle name="Normal 5 2 5 6 3 4" xfId="9964" xr:uid="{00000000-0005-0000-0000-0000F9260000}"/>
    <cellStyle name="Normal 5 2 5 6 4" xfId="4522" xr:uid="{00000000-0005-0000-0000-0000FA260000}"/>
    <cellStyle name="Normal 5 2 5 6 4 2" xfId="19034" xr:uid="{00000000-0005-0000-0000-0000FB260000}"/>
    <cellStyle name="Normal 5 2 5 6 4 3" xfId="11778" xr:uid="{00000000-0005-0000-0000-0000FC260000}"/>
    <cellStyle name="Normal 5 2 5 6 5" xfId="15406" xr:uid="{00000000-0005-0000-0000-0000FD260000}"/>
    <cellStyle name="Normal 5 2 5 6 6" xfId="8150" xr:uid="{00000000-0005-0000-0000-0000FE260000}"/>
    <cellStyle name="Normal 5 2 5 7" xfId="978" xr:uid="{00000000-0005-0000-0000-0000FF260000}"/>
    <cellStyle name="Normal 5 2 5 7 2" xfId="2792" xr:uid="{00000000-0005-0000-0000-000000270000}"/>
    <cellStyle name="Normal 5 2 5 7 2 2" xfId="6420" xr:uid="{00000000-0005-0000-0000-000001270000}"/>
    <cellStyle name="Normal 5 2 5 7 2 2 2" xfId="20932" xr:uid="{00000000-0005-0000-0000-000002270000}"/>
    <cellStyle name="Normal 5 2 5 7 2 2 3" xfId="13676" xr:uid="{00000000-0005-0000-0000-000003270000}"/>
    <cellStyle name="Normal 5 2 5 7 2 3" xfId="17304" xr:uid="{00000000-0005-0000-0000-000004270000}"/>
    <cellStyle name="Normal 5 2 5 7 2 4" xfId="10048" xr:uid="{00000000-0005-0000-0000-000005270000}"/>
    <cellStyle name="Normal 5 2 5 7 3" xfId="4606" xr:uid="{00000000-0005-0000-0000-000006270000}"/>
    <cellStyle name="Normal 5 2 5 7 3 2" xfId="19118" xr:uid="{00000000-0005-0000-0000-000007270000}"/>
    <cellStyle name="Normal 5 2 5 7 3 3" xfId="11862" xr:uid="{00000000-0005-0000-0000-000008270000}"/>
    <cellStyle name="Normal 5 2 5 7 4" xfId="15490" xr:uid="{00000000-0005-0000-0000-000009270000}"/>
    <cellStyle name="Normal 5 2 5 7 5" xfId="8234" xr:uid="{00000000-0005-0000-0000-00000A270000}"/>
    <cellStyle name="Normal 5 2 5 8" xfId="1885" xr:uid="{00000000-0005-0000-0000-00000B270000}"/>
    <cellStyle name="Normal 5 2 5 8 2" xfId="5513" xr:uid="{00000000-0005-0000-0000-00000C270000}"/>
    <cellStyle name="Normal 5 2 5 8 2 2" xfId="20025" xr:uid="{00000000-0005-0000-0000-00000D270000}"/>
    <cellStyle name="Normal 5 2 5 8 2 3" xfId="12769" xr:uid="{00000000-0005-0000-0000-00000E270000}"/>
    <cellStyle name="Normal 5 2 5 8 3" xfId="16397" xr:uid="{00000000-0005-0000-0000-00000F270000}"/>
    <cellStyle name="Normal 5 2 5 8 4" xfId="9141" xr:uid="{00000000-0005-0000-0000-000010270000}"/>
    <cellStyle name="Normal 5 2 5 9" xfId="3699" xr:uid="{00000000-0005-0000-0000-000011270000}"/>
    <cellStyle name="Normal 5 2 5 9 2" xfId="18211" xr:uid="{00000000-0005-0000-0000-000012270000}"/>
    <cellStyle name="Normal 5 2 5 9 3" xfId="10955" xr:uid="{00000000-0005-0000-0000-000013270000}"/>
    <cellStyle name="Normal 5 2 6" xfId="200" xr:uid="{00000000-0005-0000-0000-000014270000}"/>
    <cellStyle name="Normal 5 2 6 2" xfId="330" xr:uid="{00000000-0005-0000-0000-000015270000}"/>
    <cellStyle name="Normal 5 2 6 2 2" xfId="676" xr:uid="{00000000-0005-0000-0000-000016270000}"/>
    <cellStyle name="Normal 5 2 6 2 2 2" xfId="1584" xr:uid="{00000000-0005-0000-0000-000017270000}"/>
    <cellStyle name="Normal 5 2 6 2 2 2 2" xfId="3398" xr:uid="{00000000-0005-0000-0000-000018270000}"/>
    <cellStyle name="Normal 5 2 6 2 2 2 2 2" xfId="7026" xr:uid="{00000000-0005-0000-0000-000019270000}"/>
    <cellStyle name="Normal 5 2 6 2 2 2 2 2 2" xfId="21538" xr:uid="{00000000-0005-0000-0000-00001A270000}"/>
    <cellStyle name="Normal 5 2 6 2 2 2 2 2 3" xfId="14282" xr:uid="{00000000-0005-0000-0000-00001B270000}"/>
    <cellStyle name="Normal 5 2 6 2 2 2 2 3" xfId="17910" xr:uid="{00000000-0005-0000-0000-00001C270000}"/>
    <cellStyle name="Normal 5 2 6 2 2 2 2 4" xfId="10654" xr:uid="{00000000-0005-0000-0000-00001D270000}"/>
    <cellStyle name="Normal 5 2 6 2 2 2 3" xfId="5212" xr:uid="{00000000-0005-0000-0000-00001E270000}"/>
    <cellStyle name="Normal 5 2 6 2 2 2 3 2" xfId="19724" xr:uid="{00000000-0005-0000-0000-00001F270000}"/>
    <cellStyle name="Normal 5 2 6 2 2 2 3 3" xfId="12468" xr:uid="{00000000-0005-0000-0000-000020270000}"/>
    <cellStyle name="Normal 5 2 6 2 2 2 4" xfId="16096" xr:uid="{00000000-0005-0000-0000-000021270000}"/>
    <cellStyle name="Normal 5 2 6 2 2 2 5" xfId="8840" xr:uid="{00000000-0005-0000-0000-000022270000}"/>
    <cellStyle name="Normal 5 2 6 2 2 3" xfId="2491" xr:uid="{00000000-0005-0000-0000-000023270000}"/>
    <cellStyle name="Normal 5 2 6 2 2 3 2" xfId="6119" xr:uid="{00000000-0005-0000-0000-000024270000}"/>
    <cellStyle name="Normal 5 2 6 2 2 3 2 2" xfId="20631" xr:uid="{00000000-0005-0000-0000-000025270000}"/>
    <cellStyle name="Normal 5 2 6 2 2 3 2 3" xfId="13375" xr:uid="{00000000-0005-0000-0000-000026270000}"/>
    <cellStyle name="Normal 5 2 6 2 2 3 3" xfId="17003" xr:uid="{00000000-0005-0000-0000-000027270000}"/>
    <cellStyle name="Normal 5 2 6 2 2 3 4" xfId="9747" xr:uid="{00000000-0005-0000-0000-000028270000}"/>
    <cellStyle name="Normal 5 2 6 2 2 4" xfId="4305" xr:uid="{00000000-0005-0000-0000-000029270000}"/>
    <cellStyle name="Normal 5 2 6 2 2 4 2" xfId="18817" xr:uid="{00000000-0005-0000-0000-00002A270000}"/>
    <cellStyle name="Normal 5 2 6 2 2 4 3" xfId="11561" xr:uid="{00000000-0005-0000-0000-00002B270000}"/>
    <cellStyle name="Normal 5 2 6 2 2 5" xfId="15189" xr:uid="{00000000-0005-0000-0000-00002C270000}"/>
    <cellStyle name="Normal 5 2 6 2 2 6" xfId="7933" xr:uid="{00000000-0005-0000-0000-00002D270000}"/>
    <cellStyle name="Normal 5 2 6 2 3" xfId="1238" xr:uid="{00000000-0005-0000-0000-00002E270000}"/>
    <cellStyle name="Normal 5 2 6 2 3 2" xfId="3052" xr:uid="{00000000-0005-0000-0000-00002F270000}"/>
    <cellStyle name="Normal 5 2 6 2 3 2 2" xfId="6680" xr:uid="{00000000-0005-0000-0000-000030270000}"/>
    <cellStyle name="Normal 5 2 6 2 3 2 2 2" xfId="21192" xr:uid="{00000000-0005-0000-0000-000031270000}"/>
    <cellStyle name="Normal 5 2 6 2 3 2 2 3" xfId="13936" xr:uid="{00000000-0005-0000-0000-000032270000}"/>
    <cellStyle name="Normal 5 2 6 2 3 2 3" xfId="17564" xr:uid="{00000000-0005-0000-0000-000033270000}"/>
    <cellStyle name="Normal 5 2 6 2 3 2 4" xfId="10308" xr:uid="{00000000-0005-0000-0000-000034270000}"/>
    <cellStyle name="Normal 5 2 6 2 3 3" xfId="4866" xr:uid="{00000000-0005-0000-0000-000035270000}"/>
    <cellStyle name="Normal 5 2 6 2 3 3 2" xfId="19378" xr:uid="{00000000-0005-0000-0000-000036270000}"/>
    <cellStyle name="Normal 5 2 6 2 3 3 3" xfId="12122" xr:uid="{00000000-0005-0000-0000-000037270000}"/>
    <cellStyle name="Normal 5 2 6 2 3 4" xfId="15750" xr:uid="{00000000-0005-0000-0000-000038270000}"/>
    <cellStyle name="Normal 5 2 6 2 3 5" xfId="8494" xr:uid="{00000000-0005-0000-0000-000039270000}"/>
    <cellStyle name="Normal 5 2 6 2 4" xfId="2145" xr:uid="{00000000-0005-0000-0000-00003A270000}"/>
    <cellStyle name="Normal 5 2 6 2 4 2" xfId="5773" xr:uid="{00000000-0005-0000-0000-00003B270000}"/>
    <cellStyle name="Normal 5 2 6 2 4 2 2" xfId="20285" xr:uid="{00000000-0005-0000-0000-00003C270000}"/>
    <cellStyle name="Normal 5 2 6 2 4 2 3" xfId="13029" xr:uid="{00000000-0005-0000-0000-00003D270000}"/>
    <cellStyle name="Normal 5 2 6 2 4 3" xfId="16657" xr:uid="{00000000-0005-0000-0000-00003E270000}"/>
    <cellStyle name="Normal 5 2 6 2 4 4" xfId="9401" xr:uid="{00000000-0005-0000-0000-00003F270000}"/>
    <cellStyle name="Normal 5 2 6 2 5" xfId="3959" xr:uid="{00000000-0005-0000-0000-000040270000}"/>
    <cellStyle name="Normal 5 2 6 2 5 2" xfId="18471" xr:uid="{00000000-0005-0000-0000-000041270000}"/>
    <cellStyle name="Normal 5 2 6 2 5 3" xfId="11215" xr:uid="{00000000-0005-0000-0000-000042270000}"/>
    <cellStyle name="Normal 5 2 6 2 6" xfId="14843" xr:uid="{00000000-0005-0000-0000-000043270000}"/>
    <cellStyle name="Normal 5 2 6 2 7" xfId="7587" xr:uid="{00000000-0005-0000-0000-000044270000}"/>
    <cellStyle name="Normal 5 2 6 3" xfId="806" xr:uid="{00000000-0005-0000-0000-000045270000}"/>
    <cellStyle name="Normal 5 2 6 3 2" xfId="1714" xr:uid="{00000000-0005-0000-0000-000046270000}"/>
    <cellStyle name="Normal 5 2 6 3 2 2" xfId="3528" xr:uid="{00000000-0005-0000-0000-000047270000}"/>
    <cellStyle name="Normal 5 2 6 3 2 2 2" xfId="7156" xr:uid="{00000000-0005-0000-0000-000048270000}"/>
    <cellStyle name="Normal 5 2 6 3 2 2 2 2" xfId="21668" xr:uid="{00000000-0005-0000-0000-000049270000}"/>
    <cellStyle name="Normal 5 2 6 3 2 2 2 3" xfId="14412" xr:uid="{00000000-0005-0000-0000-00004A270000}"/>
    <cellStyle name="Normal 5 2 6 3 2 2 3" xfId="18040" xr:uid="{00000000-0005-0000-0000-00004B270000}"/>
    <cellStyle name="Normal 5 2 6 3 2 2 4" xfId="10784" xr:uid="{00000000-0005-0000-0000-00004C270000}"/>
    <cellStyle name="Normal 5 2 6 3 2 3" xfId="5342" xr:uid="{00000000-0005-0000-0000-00004D270000}"/>
    <cellStyle name="Normal 5 2 6 3 2 3 2" xfId="19854" xr:uid="{00000000-0005-0000-0000-00004E270000}"/>
    <cellStyle name="Normal 5 2 6 3 2 3 3" xfId="12598" xr:uid="{00000000-0005-0000-0000-00004F270000}"/>
    <cellStyle name="Normal 5 2 6 3 2 4" xfId="16226" xr:uid="{00000000-0005-0000-0000-000050270000}"/>
    <cellStyle name="Normal 5 2 6 3 2 5" xfId="8970" xr:uid="{00000000-0005-0000-0000-000051270000}"/>
    <cellStyle name="Normal 5 2 6 3 3" xfId="2621" xr:uid="{00000000-0005-0000-0000-000052270000}"/>
    <cellStyle name="Normal 5 2 6 3 3 2" xfId="6249" xr:uid="{00000000-0005-0000-0000-000053270000}"/>
    <cellStyle name="Normal 5 2 6 3 3 2 2" xfId="20761" xr:uid="{00000000-0005-0000-0000-000054270000}"/>
    <cellStyle name="Normal 5 2 6 3 3 2 3" xfId="13505" xr:uid="{00000000-0005-0000-0000-000055270000}"/>
    <cellStyle name="Normal 5 2 6 3 3 3" xfId="17133" xr:uid="{00000000-0005-0000-0000-000056270000}"/>
    <cellStyle name="Normal 5 2 6 3 3 4" xfId="9877" xr:uid="{00000000-0005-0000-0000-000057270000}"/>
    <cellStyle name="Normal 5 2 6 3 4" xfId="4435" xr:uid="{00000000-0005-0000-0000-000058270000}"/>
    <cellStyle name="Normal 5 2 6 3 4 2" xfId="18947" xr:uid="{00000000-0005-0000-0000-000059270000}"/>
    <cellStyle name="Normal 5 2 6 3 4 3" xfId="11691" xr:uid="{00000000-0005-0000-0000-00005A270000}"/>
    <cellStyle name="Normal 5 2 6 3 5" xfId="15319" xr:uid="{00000000-0005-0000-0000-00005B270000}"/>
    <cellStyle name="Normal 5 2 6 3 6" xfId="8063" xr:uid="{00000000-0005-0000-0000-00005C270000}"/>
    <cellStyle name="Normal 5 2 6 4" xfId="546" xr:uid="{00000000-0005-0000-0000-00005D270000}"/>
    <cellStyle name="Normal 5 2 6 4 2" xfId="1454" xr:uid="{00000000-0005-0000-0000-00005E270000}"/>
    <cellStyle name="Normal 5 2 6 4 2 2" xfId="3268" xr:uid="{00000000-0005-0000-0000-00005F270000}"/>
    <cellStyle name="Normal 5 2 6 4 2 2 2" xfId="6896" xr:uid="{00000000-0005-0000-0000-000060270000}"/>
    <cellStyle name="Normal 5 2 6 4 2 2 2 2" xfId="21408" xr:uid="{00000000-0005-0000-0000-000061270000}"/>
    <cellStyle name="Normal 5 2 6 4 2 2 2 3" xfId="14152" xr:uid="{00000000-0005-0000-0000-000062270000}"/>
    <cellStyle name="Normal 5 2 6 4 2 2 3" xfId="17780" xr:uid="{00000000-0005-0000-0000-000063270000}"/>
    <cellStyle name="Normal 5 2 6 4 2 2 4" xfId="10524" xr:uid="{00000000-0005-0000-0000-000064270000}"/>
    <cellStyle name="Normal 5 2 6 4 2 3" xfId="5082" xr:uid="{00000000-0005-0000-0000-000065270000}"/>
    <cellStyle name="Normal 5 2 6 4 2 3 2" xfId="19594" xr:uid="{00000000-0005-0000-0000-000066270000}"/>
    <cellStyle name="Normal 5 2 6 4 2 3 3" xfId="12338" xr:uid="{00000000-0005-0000-0000-000067270000}"/>
    <cellStyle name="Normal 5 2 6 4 2 4" xfId="15966" xr:uid="{00000000-0005-0000-0000-000068270000}"/>
    <cellStyle name="Normal 5 2 6 4 2 5" xfId="8710" xr:uid="{00000000-0005-0000-0000-000069270000}"/>
    <cellStyle name="Normal 5 2 6 4 3" xfId="2361" xr:uid="{00000000-0005-0000-0000-00006A270000}"/>
    <cellStyle name="Normal 5 2 6 4 3 2" xfId="5989" xr:uid="{00000000-0005-0000-0000-00006B270000}"/>
    <cellStyle name="Normal 5 2 6 4 3 2 2" xfId="20501" xr:uid="{00000000-0005-0000-0000-00006C270000}"/>
    <cellStyle name="Normal 5 2 6 4 3 2 3" xfId="13245" xr:uid="{00000000-0005-0000-0000-00006D270000}"/>
    <cellStyle name="Normal 5 2 6 4 3 3" xfId="16873" xr:uid="{00000000-0005-0000-0000-00006E270000}"/>
    <cellStyle name="Normal 5 2 6 4 3 4" xfId="9617" xr:uid="{00000000-0005-0000-0000-00006F270000}"/>
    <cellStyle name="Normal 5 2 6 4 4" xfId="4175" xr:uid="{00000000-0005-0000-0000-000070270000}"/>
    <cellStyle name="Normal 5 2 6 4 4 2" xfId="18687" xr:uid="{00000000-0005-0000-0000-000071270000}"/>
    <cellStyle name="Normal 5 2 6 4 4 3" xfId="11431" xr:uid="{00000000-0005-0000-0000-000072270000}"/>
    <cellStyle name="Normal 5 2 6 4 5" xfId="15059" xr:uid="{00000000-0005-0000-0000-000073270000}"/>
    <cellStyle name="Normal 5 2 6 4 6" xfId="7803" xr:uid="{00000000-0005-0000-0000-000074270000}"/>
    <cellStyle name="Normal 5 2 6 5" xfId="1108" xr:uid="{00000000-0005-0000-0000-000075270000}"/>
    <cellStyle name="Normal 5 2 6 5 2" xfId="2922" xr:uid="{00000000-0005-0000-0000-000076270000}"/>
    <cellStyle name="Normal 5 2 6 5 2 2" xfId="6550" xr:uid="{00000000-0005-0000-0000-000077270000}"/>
    <cellStyle name="Normal 5 2 6 5 2 2 2" xfId="21062" xr:uid="{00000000-0005-0000-0000-000078270000}"/>
    <cellStyle name="Normal 5 2 6 5 2 2 3" xfId="13806" xr:uid="{00000000-0005-0000-0000-000079270000}"/>
    <cellStyle name="Normal 5 2 6 5 2 3" xfId="17434" xr:uid="{00000000-0005-0000-0000-00007A270000}"/>
    <cellStyle name="Normal 5 2 6 5 2 4" xfId="10178" xr:uid="{00000000-0005-0000-0000-00007B270000}"/>
    <cellStyle name="Normal 5 2 6 5 3" xfId="4736" xr:uid="{00000000-0005-0000-0000-00007C270000}"/>
    <cellStyle name="Normal 5 2 6 5 3 2" xfId="19248" xr:uid="{00000000-0005-0000-0000-00007D270000}"/>
    <cellStyle name="Normal 5 2 6 5 3 3" xfId="11992" xr:uid="{00000000-0005-0000-0000-00007E270000}"/>
    <cellStyle name="Normal 5 2 6 5 4" xfId="15620" xr:uid="{00000000-0005-0000-0000-00007F270000}"/>
    <cellStyle name="Normal 5 2 6 5 5" xfId="8364" xr:uid="{00000000-0005-0000-0000-000080270000}"/>
    <cellStyle name="Normal 5 2 6 6" xfId="2015" xr:uid="{00000000-0005-0000-0000-000081270000}"/>
    <cellStyle name="Normal 5 2 6 6 2" xfId="5643" xr:uid="{00000000-0005-0000-0000-000082270000}"/>
    <cellStyle name="Normal 5 2 6 6 2 2" xfId="20155" xr:uid="{00000000-0005-0000-0000-000083270000}"/>
    <cellStyle name="Normal 5 2 6 6 2 3" xfId="12899" xr:uid="{00000000-0005-0000-0000-000084270000}"/>
    <cellStyle name="Normal 5 2 6 6 3" xfId="16527" xr:uid="{00000000-0005-0000-0000-000085270000}"/>
    <cellStyle name="Normal 5 2 6 6 4" xfId="9271" xr:uid="{00000000-0005-0000-0000-000086270000}"/>
    <cellStyle name="Normal 5 2 6 7" xfId="3829" xr:uid="{00000000-0005-0000-0000-000087270000}"/>
    <cellStyle name="Normal 5 2 6 7 2" xfId="18341" xr:uid="{00000000-0005-0000-0000-000088270000}"/>
    <cellStyle name="Normal 5 2 6 7 3" xfId="11085" xr:uid="{00000000-0005-0000-0000-000089270000}"/>
    <cellStyle name="Normal 5 2 6 8" xfId="14713" xr:uid="{00000000-0005-0000-0000-00008A270000}"/>
    <cellStyle name="Normal 5 2 6 9" xfId="7457" xr:uid="{00000000-0005-0000-0000-00008B270000}"/>
    <cellStyle name="Normal 5 2 7" xfId="114" xr:uid="{00000000-0005-0000-0000-00008C270000}"/>
    <cellStyle name="Normal 5 2 7 2" xfId="460" xr:uid="{00000000-0005-0000-0000-00008D270000}"/>
    <cellStyle name="Normal 5 2 7 2 2" xfId="1368" xr:uid="{00000000-0005-0000-0000-00008E270000}"/>
    <cellStyle name="Normal 5 2 7 2 2 2" xfId="3182" xr:uid="{00000000-0005-0000-0000-00008F270000}"/>
    <cellStyle name="Normal 5 2 7 2 2 2 2" xfId="6810" xr:uid="{00000000-0005-0000-0000-000090270000}"/>
    <cellStyle name="Normal 5 2 7 2 2 2 2 2" xfId="21322" xr:uid="{00000000-0005-0000-0000-000091270000}"/>
    <cellStyle name="Normal 5 2 7 2 2 2 2 3" xfId="14066" xr:uid="{00000000-0005-0000-0000-000092270000}"/>
    <cellStyle name="Normal 5 2 7 2 2 2 3" xfId="17694" xr:uid="{00000000-0005-0000-0000-000093270000}"/>
    <cellStyle name="Normal 5 2 7 2 2 2 4" xfId="10438" xr:uid="{00000000-0005-0000-0000-000094270000}"/>
    <cellStyle name="Normal 5 2 7 2 2 3" xfId="4996" xr:uid="{00000000-0005-0000-0000-000095270000}"/>
    <cellStyle name="Normal 5 2 7 2 2 3 2" xfId="19508" xr:uid="{00000000-0005-0000-0000-000096270000}"/>
    <cellStyle name="Normal 5 2 7 2 2 3 3" xfId="12252" xr:uid="{00000000-0005-0000-0000-000097270000}"/>
    <cellStyle name="Normal 5 2 7 2 2 4" xfId="15880" xr:uid="{00000000-0005-0000-0000-000098270000}"/>
    <cellStyle name="Normal 5 2 7 2 2 5" xfId="8624" xr:uid="{00000000-0005-0000-0000-000099270000}"/>
    <cellStyle name="Normal 5 2 7 2 3" xfId="2275" xr:uid="{00000000-0005-0000-0000-00009A270000}"/>
    <cellStyle name="Normal 5 2 7 2 3 2" xfId="5903" xr:uid="{00000000-0005-0000-0000-00009B270000}"/>
    <cellStyle name="Normal 5 2 7 2 3 2 2" xfId="20415" xr:uid="{00000000-0005-0000-0000-00009C270000}"/>
    <cellStyle name="Normal 5 2 7 2 3 2 3" xfId="13159" xr:uid="{00000000-0005-0000-0000-00009D270000}"/>
    <cellStyle name="Normal 5 2 7 2 3 3" xfId="16787" xr:uid="{00000000-0005-0000-0000-00009E270000}"/>
    <cellStyle name="Normal 5 2 7 2 3 4" xfId="9531" xr:uid="{00000000-0005-0000-0000-00009F270000}"/>
    <cellStyle name="Normal 5 2 7 2 4" xfId="4089" xr:uid="{00000000-0005-0000-0000-0000A0270000}"/>
    <cellStyle name="Normal 5 2 7 2 4 2" xfId="18601" xr:uid="{00000000-0005-0000-0000-0000A1270000}"/>
    <cellStyle name="Normal 5 2 7 2 4 3" xfId="11345" xr:uid="{00000000-0005-0000-0000-0000A2270000}"/>
    <cellStyle name="Normal 5 2 7 2 5" xfId="14973" xr:uid="{00000000-0005-0000-0000-0000A3270000}"/>
    <cellStyle name="Normal 5 2 7 2 6" xfId="7717" xr:uid="{00000000-0005-0000-0000-0000A4270000}"/>
    <cellStyle name="Normal 5 2 7 3" xfId="1022" xr:uid="{00000000-0005-0000-0000-0000A5270000}"/>
    <cellStyle name="Normal 5 2 7 3 2" xfId="2836" xr:uid="{00000000-0005-0000-0000-0000A6270000}"/>
    <cellStyle name="Normal 5 2 7 3 2 2" xfId="6464" xr:uid="{00000000-0005-0000-0000-0000A7270000}"/>
    <cellStyle name="Normal 5 2 7 3 2 2 2" xfId="20976" xr:uid="{00000000-0005-0000-0000-0000A8270000}"/>
    <cellStyle name="Normal 5 2 7 3 2 2 3" xfId="13720" xr:uid="{00000000-0005-0000-0000-0000A9270000}"/>
    <cellStyle name="Normal 5 2 7 3 2 3" xfId="17348" xr:uid="{00000000-0005-0000-0000-0000AA270000}"/>
    <cellStyle name="Normal 5 2 7 3 2 4" xfId="10092" xr:uid="{00000000-0005-0000-0000-0000AB270000}"/>
    <cellStyle name="Normal 5 2 7 3 3" xfId="4650" xr:uid="{00000000-0005-0000-0000-0000AC270000}"/>
    <cellStyle name="Normal 5 2 7 3 3 2" xfId="19162" xr:uid="{00000000-0005-0000-0000-0000AD270000}"/>
    <cellStyle name="Normal 5 2 7 3 3 3" xfId="11906" xr:uid="{00000000-0005-0000-0000-0000AE270000}"/>
    <cellStyle name="Normal 5 2 7 3 4" xfId="15534" xr:uid="{00000000-0005-0000-0000-0000AF270000}"/>
    <cellStyle name="Normal 5 2 7 3 5" xfId="8278" xr:uid="{00000000-0005-0000-0000-0000B0270000}"/>
    <cellStyle name="Normal 5 2 7 4" xfId="1929" xr:uid="{00000000-0005-0000-0000-0000B1270000}"/>
    <cellStyle name="Normal 5 2 7 4 2" xfId="5557" xr:uid="{00000000-0005-0000-0000-0000B2270000}"/>
    <cellStyle name="Normal 5 2 7 4 2 2" xfId="20069" xr:uid="{00000000-0005-0000-0000-0000B3270000}"/>
    <cellStyle name="Normal 5 2 7 4 2 3" xfId="12813" xr:uid="{00000000-0005-0000-0000-0000B4270000}"/>
    <cellStyle name="Normal 5 2 7 4 3" xfId="16441" xr:uid="{00000000-0005-0000-0000-0000B5270000}"/>
    <cellStyle name="Normal 5 2 7 4 4" xfId="9185" xr:uid="{00000000-0005-0000-0000-0000B6270000}"/>
    <cellStyle name="Normal 5 2 7 5" xfId="3743" xr:uid="{00000000-0005-0000-0000-0000B7270000}"/>
    <cellStyle name="Normal 5 2 7 5 2" xfId="18255" xr:uid="{00000000-0005-0000-0000-0000B8270000}"/>
    <cellStyle name="Normal 5 2 7 5 3" xfId="10999" xr:uid="{00000000-0005-0000-0000-0000B9270000}"/>
    <cellStyle name="Normal 5 2 7 6" xfId="14627" xr:uid="{00000000-0005-0000-0000-0000BA270000}"/>
    <cellStyle name="Normal 5 2 7 7" xfId="7371" xr:uid="{00000000-0005-0000-0000-0000BB270000}"/>
    <cellStyle name="Normal 5 2 8" xfId="244" xr:uid="{00000000-0005-0000-0000-0000BC270000}"/>
    <cellStyle name="Normal 5 2 8 2" xfId="590" xr:uid="{00000000-0005-0000-0000-0000BD270000}"/>
    <cellStyle name="Normal 5 2 8 2 2" xfId="1498" xr:uid="{00000000-0005-0000-0000-0000BE270000}"/>
    <cellStyle name="Normal 5 2 8 2 2 2" xfId="3312" xr:uid="{00000000-0005-0000-0000-0000BF270000}"/>
    <cellStyle name="Normal 5 2 8 2 2 2 2" xfId="6940" xr:uid="{00000000-0005-0000-0000-0000C0270000}"/>
    <cellStyle name="Normal 5 2 8 2 2 2 2 2" xfId="21452" xr:uid="{00000000-0005-0000-0000-0000C1270000}"/>
    <cellStyle name="Normal 5 2 8 2 2 2 2 3" xfId="14196" xr:uid="{00000000-0005-0000-0000-0000C2270000}"/>
    <cellStyle name="Normal 5 2 8 2 2 2 3" xfId="17824" xr:uid="{00000000-0005-0000-0000-0000C3270000}"/>
    <cellStyle name="Normal 5 2 8 2 2 2 4" xfId="10568" xr:uid="{00000000-0005-0000-0000-0000C4270000}"/>
    <cellStyle name="Normal 5 2 8 2 2 3" xfId="5126" xr:uid="{00000000-0005-0000-0000-0000C5270000}"/>
    <cellStyle name="Normal 5 2 8 2 2 3 2" xfId="19638" xr:uid="{00000000-0005-0000-0000-0000C6270000}"/>
    <cellStyle name="Normal 5 2 8 2 2 3 3" xfId="12382" xr:uid="{00000000-0005-0000-0000-0000C7270000}"/>
    <cellStyle name="Normal 5 2 8 2 2 4" xfId="16010" xr:uid="{00000000-0005-0000-0000-0000C8270000}"/>
    <cellStyle name="Normal 5 2 8 2 2 5" xfId="8754" xr:uid="{00000000-0005-0000-0000-0000C9270000}"/>
    <cellStyle name="Normal 5 2 8 2 3" xfId="2405" xr:uid="{00000000-0005-0000-0000-0000CA270000}"/>
    <cellStyle name="Normal 5 2 8 2 3 2" xfId="6033" xr:uid="{00000000-0005-0000-0000-0000CB270000}"/>
    <cellStyle name="Normal 5 2 8 2 3 2 2" xfId="20545" xr:uid="{00000000-0005-0000-0000-0000CC270000}"/>
    <cellStyle name="Normal 5 2 8 2 3 2 3" xfId="13289" xr:uid="{00000000-0005-0000-0000-0000CD270000}"/>
    <cellStyle name="Normal 5 2 8 2 3 3" xfId="16917" xr:uid="{00000000-0005-0000-0000-0000CE270000}"/>
    <cellStyle name="Normal 5 2 8 2 3 4" xfId="9661" xr:uid="{00000000-0005-0000-0000-0000CF270000}"/>
    <cellStyle name="Normal 5 2 8 2 4" xfId="4219" xr:uid="{00000000-0005-0000-0000-0000D0270000}"/>
    <cellStyle name="Normal 5 2 8 2 4 2" xfId="18731" xr:uid="{00000000-0005-0000-0000-0000D1270000}"/>
    <cellStyle name="Normal 5 2 8 2 4 3" xfId="11475" xr:uid="{00000000-0005-0000-0000-0000D2270000}"/>
    <cellStyle name="Normal 5 2 8 2 5" xfId="15103" xr:uid="{00000000-0005-0000-0000-0000D3270000}"/>
    <cellStyle name="Normal 5 2 8 2 6" xfId="7847" xr:uid="{00000000-0005-0000-0000-0000D4270000}"/>
    <cellStyle name="Normal 5 2 8 3" xfId="1152" xr:uid="{00000000-0005-0000-0000-0000D5270000}"/>
    <cellStyle name="Normal 5 2 8 3 2" xfId="2966" xr:uid="{00000000-0005-0000-0000-0000D6270000}"/>
    <cellStyle name="Normal 5 2 8 3 2 2" xfId="6594" xr:uid="{00000000-0005-0000-0000-0000D7270000}"/>
    <cellStyle name="Normal 5 2 8 3 2 2 2" xfId="21106" xr:uid="{00000000-0005-0000-0000-0000D8270000}"/>
    <cellStyle name="Normal 5 2 8 3 2 2 3" xfId="13850" xr:uid="{00000000-0005-0000-0000-0000D9270000}"/>
    <cellStyle name="Normal 5 2 8 3 2 3" xfId="17478" xr:uid="{00000000-0005-0000-0000-0000DA270000}"/>
    <cellStyle name="Normal 5 2 8 3 2 4" xfId="10222" xr:uid="{00000000-0005-0000-0000-0000DB270000}"/>
    <cellStyle name="Normal 5 2 8 3 3" xfId="4780" xr:uid="{00000000-0005-0000-0000-0000DC270000}"/>
    <cellStyle name="Normal 5 2 8 3 3 2" xfId="19292" xr:uid="{00000000-0005-0000-0000-0000DD270000}"/>
    <cellStyle name="Normal 5 2 8 3 3 3" xfId="12036" xr:uid="{00000000-0005-0000-0000-0000DE270000}"/>
    <cellStyle name="Normal 5 2 8 3 4" xfId="15664" xr:uid="{00000000-0005-0000-0000-0000DF270000}"/>
    <cellStyle name="Normal 5 2 8 3 5" xfId="8408" xr:uid="{00000000-0005-0000-0000-0000E0270000}"/>
    <cellStyle name="Normal 5 2 8 4" xfId="2059" xr:uid="{00000000-0005-0000-0000-0000E1270000}"/>
    <cellStyle name="Normal 5 2 8 4 2" xfId="5687" xr:uid="{00000000-0005-0000-0000-0000E2270000}"/>
    <cellStyle name="Normal 5 2 8 4 2 2" xfId="20199" xr:uid="{00000000-0005-0000-0000-0000E3270000}"/>
    <cellStyle name="Normal 5 2 8 4 2 3" xfId="12943" xr:uid="{00000000-0005-0000-0000-0000E4270000}"/>
    <cellStyle name="Normal 5 2 8 4 3" xfId="16571" xr:uid="{00000000-0005-0000-0000-0000E5270000}"/>
    <cellStyle name="Normal 5 2 8 4 4" xfId="9315" xr:uid="{00000000-0005-0000-0000-0000E6270000}"/>
    <cellStyle name="Normal 5 2 8 5" xfId="3873" xr:uid="{00000000-0005-0000-0000-0000E7270000}"/>
    <cellStyle name="Normal 5 2 8 5 2" xfId="18385" xr:uid="{00000000-0005-0000-0000-0000E8270000}"/>
    <cellStyle name="Normal 5 2 8 5 3" xfId="11129" xr:uid="{00000000-0005-0000-0000-0000E9270000}"/>
    <cellStyle name="Normal 5 2 8 6" xfId="14757" xr:uid="{00000000-0005-0000-0000-0000EA270000}"/>
    <cellStyle name="Normal 5 2 8 7" xfId="7501" xr:uid="{00000000-0005-0000-0000-0000EB270000}"/>
    <cellStyle name="Normal 5 2 9" xfId="720" xr:uid="{00000000-0005-0000-0000-0000EC270000}"/>
    <cellStyle name="Normal 5 2 9 2" xfId="1628" xr:uid="{00000000-0005-0000-0000-0000ED270000}"/>
    <cellStyle name="Normal 5 2 9 2 2" xfId="3442" xr:uid="{00000000-0005-0000-0000-0000EE270000}"/>
    <cellStyle name="Normal 5 2 9 2 2 2" xfId="7070" xr:uid="{00000000-0005-0000-0000-0000EF270000}"/>
    <cellStyle name="Normal 5 2 9 2 2 2 2" xfId="21582" xr:uid="{00000000-0005-0000-0000-0000F0270000}"/>
    <cellStyle name="Normal 5 2 9 2 2 2 3" xfId="14326" xr:uid="{00000000-0005-0000-0000-0000F1270000}"/>
    <cellStyle name="Normal 5 2 9 2 2 3" xfId="17954" xr:uid="{00000000-0005-0000-0000-0000F2270000}"/>
    <cellStyle name="Normal 5 2 9 2 2 4" xfId="10698" xr:uid="{00000000-0005-0000-0000-0000F3270000}"/>
    <cellStyle name="Normal 5 2 9 2 3" xfId="5256" xr:uid="{00000000-0005-0000-0000-0000F4270000}"/>
    <cellStyle name="Normal 5 2 9 2 3 2" xfId="19768" xr:uid="{00000000-0005-0000-0000-0000F5270000}"/>
    <cellStyle name="Normal 5 2 9 2 3 3" xfId="12512" xr:uid="{00000000-0005-0000-0000-0000F6270000}"/>
    <cellStyle name="Normal 5 2 9 2 4" xfId="16140" xr:uid="{00000000-0005-0000-0000-0000F7270000}"/>
    <cellStyle name="Normal 5 2 9 2 5" xfId="8884" xr:uid="{00000000-0005-0000-0000-0000F8270000}"/>
    <cellStyle name="Normal 5 2 9 3" xfId="2535" xr:uid="{00000000-0005-0000-0000-0000F9270000}"/>
    <cellStyle name="Normal 5 2 9 3 2" xfId="6163" xr:uid="{00000000-0005-0000-0000-0000FA270000}"/>
    <cellStyle name="Normal 5 2 9 3 2 2" xfId="20675" xr:uid="{00000000-0005-0000-0000-0000FB270000}"/>
    <cellStyle name="Normal 5 2 9 3 2 3" xfId="13419" xr:uid="{00000000-0005-0000-0000-0000FC270000}"/>
    <cellStyle name="Normal 5 2 9 3 3" xfId="17047" xr:uid="{00000000-0005-0000-0000-0000FD270000}"/>
    <cellStyle name="Normal 5 2 9 3 4" xfId="9791" xr:uid="{00000000-0005-0000-0000-0000FE270000}"/>
    <cellStyle name="Normal 5 2 9 4" xfId="4349" xr:uid="{00000000-0005-0000-0000-0000FF270000}"/>
    <cellStyle name="Normal 5 2 9 4 2" xfId="18861" xr:uid="{00000000-0005-0000-0000-000000280000}"/>
    <cellStyle name="Normal 5 2 9 4 3" xfId="11605" xr:uid="{00000000-0005-0000-0000-000001280000}"/>
    <cellStyle name="Normal 5 2 9 5" xfId="15233" xr:uid="{00000000-0005-0000-0000-000002280000}"/>
    <cellStyle name="Normal 5 2 9 6" xfId="7977" xr:uid="{00000000-0005-0000-0000-000003280000}"/>
    <cellStyle name="Normal 5 3" xfId="13" xr:uid="{00000000-0005-0000-0000-000004280000}"/>
    <cellStyle name="Normal 5 3 10" xfId="849" xr:uid="{00000000-0005-0000-0000-000005280000}"/>
    <cellStyle name="Normal 5 3 10 2" xfId="1757" xr:uid="{00000000-0005-0000-0000-000006280000}"/>
    <cellStyle name="Normal 5 3 10 2 2" xfId="3571" xr:uid="{00000000-0005-0000-0000-000007280000}"/>
    <cellStyle name="Normal 5 3 10 2 2 2" xfId="7199" xr:uid="{00000000-0005-0000-0000-000008280000}"/>
    <cellStyle name="Normal 5 3 10 2 2 2 2" xfId="21711" xr:uid="{00000000-0005-0000-0000-000009280000}"/>
    <cellStyle name="Normal 5 3 10 2 2 2 3" xfId="14455" xr:uid="{00000000-0005-0000-0000-00000A280000}"/>
    <cellStyle name="Normal 5 3 10 2 2 3" xfId="18083" xr:uid="{00000000-0005-0000-0000-00000B280000}"/>
    <cellStyle name="Normal 5 3 10 2 2 4" xfId="10827" xr:uid="{00000000-0005-0000-0000-00000C280000}"/>
    <cellStyle name="Normal 5 3 10 2 3" xfId="5385" xr:uid="{00000000-0005-0000-0000-00000D280000}"/>
    <cellStyle name="Normal 5 3 10 2 3 2" xfId="19897" xr:uid="{00000000-0005-0000-0000-00000E280000}"/>
    <cellStyle name="Normal 5 3 10 2 3 3" xfId="12641" xr:uid="{00000000-0005-0000-0000-00000F280000}"/>
    <cellStyle name="Normal 5 3 10 2 4" xfId="16269" xr:uid="{00000000-0005-0000-0000-000010280000}"/>
    <cellStyle name="Normal 5 3 10 2 5" xfId="9013" xr:uid="{00000000-0005-0000-0000-000011280000}"/>
    <cellStyle name="Normal 5 3 10 3" xfId="2664" xr:uid="{00000000-0005-0000-0000-000012280000}"/>
    <cellStyle name="Normal 5 3 10 3 2" xfId="6292" xr:uid="{00000000-0005-0000-0000-000013280000}"/>
    <cellStyle name="Normal 5 3 10 3 2 2" xfId="20804" xr:uid="{00000000-0005-0000-0000-000014280000}"/>
    <cellStyle name="Normal 5 3 10 3 2 3" xfId="13548" xr:uid="{00000000-0005-0000-0000-000015280000}"/>
    <cellStyle name="Normal 5 3 10 3 3" xfId="17176" xr:uid="{00000000-0005-0000-0000-000016280000}"/>
    <cellStyle name="Normal 5 3 10 3 4" xfId="9920" xr:uid="{00000000-0005-0000-0000-000017280000}"/>
    <cellStyle name="Normal 5 3 10 4" xfId="4478" xr:uid="{00000000-0005-0000-0000-000018280000}"/>
    <cellStyle name="Normal 5 3 10 4 2" xfId="18990" xr:uid="{00000000-0005-0000-0000-000019280000}"/>
    <cellStyle name="Normal 5 3 10 4 3" xfId="11734" xr:uid="{00000000-0005-0000-0000-00001A280000}"/>
    <cellStyle name="Normal 5 3 10 5" xfId="15362" xr:uid="{00000000-0005-0000-0000-00001B280000}"/>
    <cellStyle name="Normal 5 3 10 6" xfId="8106" xr:uid="{00000000-0005-0000-0000-00001C280000}"/>
    <cellStyle name="Normal 5 3 11" xfId="935" xr:uid="{00000000-0005-0000-0000-00001D280000}"/>
    <cellStyle name="Normal 5 3 11 2" xfId="2749" xr:uid="{00000000-0005-0000-0000-00001E280000}"/>
    <cellStyle name="Normal 5 3 11 2 2" xfId="6377" xr:uid="{00000000-0005-0000-0000-00001F280000}"/>
    <cellStyle name="Normal 5 3 11 2 2 2" xfId="20889" xr:uid="{00000000-0005-0000-0000-000020280000}"/>
    <cellStyle name="Normal 5 3 11 2 2 3" xfId="13633" xr:uid="{00000000-0005-0000-0000-000021280000}"/>
    <cellStyle name="Normal 5 3 11 2 3" xfId="17261" xr:uid="{00000000-0005-0000-0000-000022280000}"/>
    <cellStyle name="Normal 5 3 11 2 4" xfId="10005" xr:uid="{00000000-0005-0000-0000-000023280000}"/>
    <cellStyle name="Normal 5 3 11 3" xfId="4563" xr:uid="{00000000-0005-0000-0000-000024280000}"/>
    <cellStyle name="Normal 5 3 11 3 2" xfId="19075" xr:uid="{00000000-0005-0000-0000-000025280000}"/>
    <cellStyle name="Normal 5 3 11 3 3" xfId="11819" xr:uid="{00000000-0005-0000-0000-000026280000}"/>
    <cellStyle name="Normal 5 3 11 4" xfId="15447" xr:uid="{00000000-0005-0000-0000-000027280000}"/>
    <cellStyle name="Normal 5 3 11 5" xfId="8191" xr:uid="{00000000-0005-0000-0000-000028280000}"/>
    <cellStyle name="Normal 5 3 12" xfId="1842" xr:uid="{00000000-0005-0000-0000-000029280000}"/>
    <cellStyle name="Normal 5 3 12 2" xfId="5470" xr:uid="{00000000-0005-0000-0000-00002A280000}"/>
    <cellStyle name="Normal 5 3 12 2 2" xfId="19982" xr:uid="{00000000-0005-0000-0000-00002B280000}"/>
    <cellStyle name="Normal 5 3 12 2 3" xfId="12726" xr:uid="{00000000-0005-0000-0000-00002C280000}"/>
    <cellStyle name="Normal 5 3 12 3" xfId="16354" xr:uid="{00000000-0005-0000-0000-00002D280000}"/>
    <cellStyle name="Normal 5 3 12 4" xfId="9098" xr:uid="{00000000-0005-0000-0000-00002E280000}"/>
    <cellStyle name="Normal 5 3 13" xfId="3656" xr:uid="{00000000-0005-0000-0000-00002F280000}"/>
    <cellStyle name="Normal 5 3 13 2" xfId="18168" xr:uid="{00000000-0005-0000-0000-000030280000}"/>
    <cellStyle name="Normal 5 3 13 3" xfId="10912" xr:uid="{00000000-0005-0000-0000-000031280000}"/>
    <cellStyle name="Normal 5 3 14" xfId="14540" xr:uid="{00000000-0005-0000-0000-000032280000}"/>
    <cellStyle name="Normal 5 3 15" xfId="7284" xr:uid="{00000000-0005-0000-0000-000033280000}"/>
    <cellStyle name="Normal 5 3 2" xfId="34" xr:uid="{00000000-0005-0000-0000-000034280000}"/>
    <cellStyle name="Normal 5 3 2 10" xfId="945" xr:uid="{00000000-0005-0000-0000-000035280000}"/>
    <cellStyle name="Normal 5 3 2 10 2" xfId="2759" xr:uid="{00000000-0005-0000-0000-000036280000}"/>
    <cellStyle name="Normal 5 3 2 10 2 2" xfId="6387" xr:uid="{00000000-0005-0000-0000-000037280000}"/>
    <cellStyle name="Normal 5 3 2 10 2 2 2" xfId="20899" xr:uid="{00000000-0005-0000-0000-000038280000}"/>
    <cellStyle name="Normal 5 3 2 10 2 2 3" xfId="13643" xr:uid="{00000000-0005-0000-0000-000039280000}"/>
    <cellStyle name="Normal 5 3 2 10 2 3" xfId="17271" xr:uid="{00000000-0005-0000-0000-00003A280000}"/>
    <cellStyle name="Normal 5 3 2 10 2 4" xfId="10015" xr:uid="{00000000-0005-0000-0000-00003B280000}"/>
    <cellStyle name="Normal 5 3 2 10 3" xfId="4573" xr:uid="{00000000-0005-0000-0000-00003C280000}"/>
    <cellStyle name="Normal 5 3 2 10 3 2" xfId="19085" xr:uid="{00000000-0005-0000-0000-00003D280000}"/>
    <cellStyle name="Normal 5 3 2 10 3 3" xfId="11829" xr:uid="{00000000-0005-0000-0000-00003E280000}"/>
    <cellStyle name="Normal 5 3 2 10 4" xfId="15457" xr:uid="{00000000-0005-0000-0000-00003F280000}"/>
    <cellStyle name="Normal 5 3 2 10 5" xfId="8201" xr:uid="{00000000-0005-0000-0000-000040280000}"/>
    <cellStyle name="Normal 5 3 2 11" xfId="1852" xr:uid="{00000000-0005-0000-0000-000041280000}"/>
    <cellStyle name="Normal 5 3 2 11 2" xfId="5480" xr:uid="{00000000-0005-0000-0000-000042280000}"/>
    <cellStyle name="Normal 5 3 2 11 2 2" xfId="19992" xr:uid="{00000000-0005-0000-0000-000043280000}"/>
    <cellStyle name="Normal 5 3 2 11 2 3" xfId="12736" xr:uid="{00000000-0005-0000-0000-000044280000}"/>
    <cellStyle name="Normal 5 3 2 11 3" xfId="16364" xr:uid="{00000000-0005-0000-0000-000045280000}"/>
    <cellStyle name="Normal 5 3 2 11 4" xfId="9108" xr:uid="{00000000-0005-0000-0000-000046280000}"/>
    <cellStyle name="Normal 5 3 2 12" xfId="3666" xr:uid="{00000000-0005-0000-0000-000047280000}"/>
    <cellStyle name="Normal 5 3 2 12 2" xfId="18178" xr:uid="{00000000-0005-0000-0000-000048280000}"/>
    <cellStyle name="Normal 5 3 2 12 3" xfId="10922" xr:uid="{00000000-0005-0000-0000-000049280000}"/>
    <cellStyle name="Normal 5 3 2 13" xfId="14550" xr:uid="{00000000-0005-0000-0000-00004A280000}"/>
    <cellStyle name="Normal 5 3 2 14" xfId="7294" xr:uid="{00000000-0005-0000-0000-00004B280000}"/>
    <cellStyle name="Normal 5 3 2 2" xfId="56" xr:uid="{00000000-0005-0000-0000-00004C280000}"/>
    <cellStyle name="Normal 5 3 2 2 10" xfId="1873" xr:uid="{00000000-0005-0000-0000-00004D280000}"/>
    <cellStyle name="Normal 5 3 2 2 10 2" xfId="5501" xr:uid="{00000000-0005-0000-0000-00004E280000}"/>
    <cellStyle name="Normal 5 3 2 2 10 2 2" xfId="20013" xr:uid="{00000000-0005-0000-0000-00004F280000}"/>
    <cellStyle name="Normal 5 3 2 2 10 2 3" xfId="12757" xr:uid="{00000000-0005-0000-0000-000050280000}"/>
    <cellStyle name="Normal 5 3 2 2 10 3" xfId="16385" xr:uid="{00000000-0005-0000-0000-000051280000}"/>
    <cellStyle name="Normal 5 3 2 2 10 4" xfId="9129" xr:uid="{00000000-0005-0000-0000-000052280000}"/>
    <cellStyle name="Normal 5 3 2 2 11" xfId="3687" xr:uid="{00000000-0005-0000-0000-000053280000}"/>
    <cellStyle name="Normal 5 3 2 2 11 2" xfId="18199" xr:uid="{00000000-0005-0000-0000-000054280000}"/>
    <cellStyle name="Normal 5 3 2 2 11 3" xfId="10943" xr:uid="{00000000-0005-0000-0000-000055280000}"/>
    <cellStyle name="Normal 5 3 2 2 12" xfId="14571" xr:uid="{00000000-0005-0000-0000-000056280000}"/>
    <cellStyle name="Normal 5 3 2 2 13" xfId="7315" xr:uid="{00000000-0005-0000-0000-000057280000}"/>
    <cellStyle name="Normal 5 3 2 2 2" xfId="98" xr:uid="{00000000-0005-0000-0000-000058280000}"/>
    <cellStyle name="Normal 5 3 2 2 2 10" xfId="14613" xr:uid="{00000000-0005-0000-0000-000059280000}"/>
    <cellStyle name="Normal 5 3 2 2 2 11" xfId="7357" xr:uid="{00000000-0005-0000-0000-00005A280000}"/>
    <cellStyle name="Normal 5 3 2 2 2 2" xfId="186" xr:uid="{00000000-0005-0000-0000-00005B280000}"/>
    <cellStyle name="Normal 5 3 2 2 2 2 2" xfId="532" xr:uid="{00000000-0005-0000-0000-00005C280000}"/>
    <cellStyle name="Normal 5 3 2 2 2 2 2 2" xfId="1440" xr:uid="{00000000-0005-0000-0000-00005D280000}"/>
    <cellStyle name="Normal 5 3 2 2 2 2 2 2 2" xfId="3254" xr:uid="{00000000-0005-0000-0000-00005E280000}"/>
    <cellStyle name="Normal 5 3 2 2 2 2 2 2 2 2" xfId="6882" xr:uid="{00000000-0005-0000-0000-00005F280000}"/>
    <cellStyle name="Normal 5 3 2 2 2 2 2 2 2 2 2" xfId="21394" xr:uid="{00000000-0005-0000-0000-000060280000}"/>
    <cellStyle name="Normal 5 3 2 2 2 2 2 2 2 2 3" xfId="14138" xr:uid="{00000000-0005-0000-0000-000061280000}"/>
    <cellStyle name="Normal 5 3 2 2 2 2 2 2 2 3" xfId="17766" xr:uid="{00000000-0005-0000-0000-000062280000}"/>
    <cellStyle name="Normal 5 3 2 2 2 2 2 2 2 4" xfId="10510" xr:uid="{00000000-0005-0000-0000-000063280000}"/>
    <cellStyle name="Normal 5 3 2 2 2 2 2 2 3" xfId="5068" xr:uid="{00000000-0005-0000-0000-000064280000}"/>
    <cellStyle name="Normal 5 3 2 2 2 2 2 2 3 2" xfId="19580" xr:uid="{00000000-0005-0000-0000-000065280000}"/>
    <cellStyle name="Normal 5 3 2 2 2 2 2 2 3 3" xfId="12324" xr:uid="{00000000-0005-0000-0000-000066280000}"/>
    <cellStyle name="Normal 5 3 2 2 2 2 2 2 4" xfId="15952" xr:uid="{00000000-0005-0000-0000-000067280000}"/>
    <cellStyle name="Normal 5 3 2 2 2 2 2 2 5" xfId="8696" xr:uid="{00000000-0005-0000-0000-000068280000}"/>
    <cellStyle name="Normal 5 3 2 2 2 2 2 3" xfId="2347" xr:uid="{00000000-0005-0000-0000-000069280000}"/>
    <cellStyle name="Normal 5 3 2 2 2 2 2 3 2" xfId="5975" xr:uid="{00000000-0005-0000-0000-00006A280000}"/>
    <cellStyle name="Normal 5 3 2 2 2 2 2 3 2 2" xfId="20487" xr:uid="{00000000-0005-0000-0000-00006B280000}"/>
    <cellStyle name="Normal 5 3 2 2 2 2 2 3 2 3" xfId="13231" xr:uid="{00000000-0005-0000-0000-00006C280000}"/>
    <cellStyle name="Normal 5 3 2 2 2 2 2 3 3" xfId="16859" xr:uid="{00000000-0005-0000-0000-00006D280000}"/>
    <cellStyle name="Normal 5 3 2 2 2 2 2 3 4" xfId="9603" xr:uid="{00000000-0005-0000-0000-00006E280000}"/>
    <cellStyle name="Normal 5 3 2 2 2 2 2 4" xfId="4161" xr:uid="{00000000-0005-0000-0000-00006F280000}"/>
    <cellStyle name="Normal 5 3 2 2 2 2 2 4 2" xfId="18673" xr:uid="{00000000-0005-0000-0000-000070280000}"/>
    <cellStyle name="Normal 5 3 2 2 2 2 2 4 3" xfId="11417" xr:uid="{00000000-0005-0000-0000-000071280000}"/>
    <cellStyle name="Normal 5 3 2 2 2 2 2 5" xfId="15045" xr:uid="{00000000-0005-0000-0000-000072280000}"/>
    <cellStyle name="Normal 5 3 2 2 2 2 2 6" xfId="7789" xr:uid="{00000000-0005-0000-0000-000073280000}"/>
    <cellStyle name="Normal 5 3 2 2 2 2 3" xfId="1094" xr:uid="{00000000-0005-0000-0000-000074280000}"/>
    <cellStyle name="Normal 5 3 2 2 2 2 3 2" xfId="2908" xr:uid="{00000000-0005-0000-0000-000075280000}"/>
    <cellStyle name="Normal 5 3 2 2 2 2 3 2 2" xfId="6536" xr:uid="{00000000-0005-0000-0000-000076280000}"/>
    <cellStyle name="Normal 5 3 2 2 2 2 3 2 2 2" xfId="21048" xr:uid="{00000000-0005-0000-0000-000077280000}"/>
    <cellStyle name="Normal 5 3 2 2 2 2 3 2 2 3" xfId="13792" xr:uid="{00000000-0005-0000-0000-000078280000}"/>
    <cellStyle name="Normal 5 3 2 2 2 2 3 2 3" xfId="17420" xr:uid="{00000000-0005-0000-0000-000079280000}"/>
    <cellStyle name="Normal 5 3 2 2 2 2 3 2 4" xfId="10164" xr:uid="{00000000-0005-0000-0000-00007A280000}"/>
    <cellStyle name="Normal 5 3 2 2 2 2 3 3" xfId="4722" xr:uid="{00000000-0005-0000-0000-00007B280000}"/>
    <cellStyle name="Normal 5 3 2 2 2 2 3 3 2" xfId="19234" xr:uid="{00000000-0005-0000-0000-00007C280000}"/>
    <cellStyle name="Normal 5 3 2 2 2 2 3 3 3" xfId="11978" xr:uid="{00000000-0005-0000-0000-00007D280000}"/>
    <cellStyle name="Normal 5 3 2 2 2 2 3 4" xfId="15606" xr:uid="{00000000-0005-0000-0000-00007E280000}"/>
    <cellStyle name="Normal 5 3 2 2 2 2 3 5" xfId="8350" xr:uid="{00000000-0005-0000-0000-00007F280000}"/>
    <cellStyle name="Normal 5 3 2 2 2 2 4" xfId="2001" xr:uid="{00000000-0005-0000-0000-000080280000}"/>
    <cellStyle name="Normal 5 3 2 2 2 2 4 2" xfId="5629" xr:uid="{00000000-0005-0000-0000-000081280000}"/>
    <cellStyle name="Normal 5 3 2 2 2 2 4 2 2" xfId="20141" xr:uid="{00000000-0005-0000-0000-000082280000}"/>
    <cellStyle name="Normal 5 3 2 2 2 2 4 2 3" xfId="12885" xr:uid="{00000000-0005-0000-0000-000083280000}"/>
    <cellStyle name="Normal 5 3 2 2 2 2 4 3" xfId="16513" xr:uid="{00000000-0005-0000-0000-000084280000}"/>
    <cellStyle name="Normal 5 3 2 2 2 2 4 4" xfId="9257" xr:uid="{00000000-0005-0000-0000-000085280000}"/>
    <cellStyle name="Normal 5 3 2 2 2 2 5" xfId="3815" xr:uid="{00000000-0005-0000-0000-000086280000}"/>
    <cellStyle name="Normal 5 3 2 2 2 2 5 2" xfId="18327" xr:uid="{00000000-0005-0000-0000-000087280000}"/>
    <cellStyle name="Normal 5 3 2 2 2 2 5 3" xfId="11071" xr:uid="{00000000-0005-0000-0000-000088280000}"/>
    <cellStyle name="Normal 5 3 2 2 2 2 6" xfId="14699" xr:uid="{00000000-0005-0000-0000-000089280000}"/>
    <cellStyle name="Normal 5 3 2 2 2 2 7" xfId="7443" xr:uid="{00000000-0005-0000-0000-00008A280000}"/>
    <cellStyle name="Normal 5 3 2 2 2 3" xfId="316" xr:uid="{00000000-0005-0000-0000-00008B280000}"/>
    <cellStyle name="Normal 5 3 2 2 2 3 2" xfId="662" xr:uid="{00000000-0005-0000-0000-00008C280000}"/>
    <cellStyle name="Normal 5 3 2 2 2 3 2 2" xfId="1570" xr:uid="{00000000-0005-0000-0000-00008D280000}"/>
    <cellStyle name="Normal 5 3 2 2 2 3 2 2 2" xfId="3384" xr:uid="{00000000-0005-0000-0000-00008E280000}"/>
    <cellStyle name="Normal 5 3 2 2 2 3 2 2 2 2" xfId="7012" xr:uid="{00000000-0005-0000-0000-00008F280000}"/>
    <cellStyle name="Normal 5 3 2 2 2 3 2 2 2 2 2" xfId="21524" xr:uid="{00000000-0005-0000-0000-000090280000}"/>
    <cellStyle name="Normal 5 3 2 2 2 3 2 2 2 2 3" xfId="14268" xr:uid="{00000000-0005-0000-0000-000091280000}"/>
    <cellStyle name="Normal 5 3 2 2 2 3 2 2 2 3" xfId="17896" xr:uid="{00000000-0005-0000-0000-000092280000}"/>
    <cellStyle name="Normal 5 3 2 2 2 3 2 2 2 4" xfId="10640" xr:uid="{00000000-0005-0000-0000-000093280000}"/>
    <cellStyle name="Normal 5 3 2 2 2 3 2 2 3" xfId="5198" xr:uid="{00000000-0005-0000-0000-000094280000}"/>
    <cellStyle name="Normal 5 3 2 2 2 3 2 2 3 2" xfId="19710" xr:uid="{00000000-0005-0000-0000-000095280000}"/>
    <cellStyle name="Normal 5 3 2 2 2 3 2 2 3 3" xfId="12454" xr:uid="{00000000-0005-0000-0000-000096280000}"/>
    <cellStyle name="Normal 5 3 2 2 2 3 2 2 4" xfId="16082" xr:uid="{00000000-0005-0000-0000-000097280000}"/>
    <cellStyle name="Normal 5 3 2 2 2 3 2 2 5" xfId="8826" xr:uid="{00000000-0005-0000-0000-000098280000}"/>
    <cellStyle name="Normal 5 3 2 2 2 3 2 3" xfId="2477" xr:uid="{00000000-0005-0000-0000-000099280000}"/>
    <cellStyle name="Normal 5 3 2 2 2 3 2 3 2" xfId="6105" xr:uid="{00000000-0005-0000-0000-00009A280000}"/>
    <cellStyle name="Normal 5 3 2 2 2 3 2 3 2 2" xfId="20617" xr:uid="{00000000-0005-0000-0000-00009B280000}"/>
    <cellStyle name="Normal 5 3 2 2 2 3 2 3 2 3" xfId="13361" xr:uid="{00000000-0005-0000-0000-00009C280000}"/>
    <cellStyle name="Normal 5 3 2 2 2 3 2 3 3" xfId="16989" xr:uid="{00000000-0005-0000-0000-00009D280000}"/>
    <cellStyle name="Normal 5 3 2 2 2 3 2 3 4" xfId="9733" xr:uid="{00000000-0005-0000-0000-00009E280000}"/>
    <cellStyle name="Normal 5 3 2 2 2 3 2 4" xfId="4291" xr:uid="{00000000-0005-0000-0000-00009F280000}"/>
    <cellStyle name="Normal 5 3 2 2 2 3 2 4 2" xfId="18803" xr:uid="{00000000-0005-0000-0000-0000A0280000}"/>
    <cellStyle name="Normal 5 3 2 2 2 3 2 4 3" xfId="11547" xr:uid="{00000000-0005-0000-0000-0000A1280000}"/>
    <cellStyle name="Normal 5 3 2 2 2 3 2 5" xfId="15175" xr:uid="{00000000-0005-0000-0000-0000A2280000}"/>
    <cellStyle name="Normal 5 3 2 2 2 3 2 6" xfId="7919" xr:uid="{00000000-0005-0000-0000-0000A3280000}"/>
    <cellStyle name="Normal 5 3 2 2 2 3 3" xfId="1224" xr:uid="{00000000-0005-0000-0000-0000A4280000}"/>
    <cellStyle name="Normal 5 3 2 2 2 3 3 2" xfId="3038" xr:uid="{00000000-0005-0000-0000-0000A5280000}"/>
    <cellStyle name="Normal 5 3 2 2 2 3 3 2 2" xfId="6666" xr:uid="{00000000-0005-0000-0000-0000A6280000}"/>
    <cellStyle name="Normal 5 3 2 2 2 3 3 2 2 2" xfId="21178" xr:uid="{00000000-0005-0000-0000-0000A7280000}"/>
    <cellStyle name="Normal 5 3 2 2 2 3 3 2 2 3" xfId="13922" xr:uid="{00000000-0005-0000-0000-0000A8280000}"/>
    <cellStyle name="Normal 5 3 2 2 2 3 3 2 3" xfId="17550" xr:uid="{00000000-0005-0000-0000-0000A9280000}"/>
    <cellStyle name="Normal 5 3 2 2 2 3 3 2 4" xfId="10294" xr:uid="{00000000-0005-0000-0000-0000AA280000}"/>
    <cellStyle name="Normal 5 3 2 2 2 3 3 3" xfId="4852" xr:uid="{00000000-0005-0000-0000-0000AB280000}"/>
    <cellStyle name="Normal 5 3 2 2 2 3 3 3 2" xfId="19364" xr:uid="{00000000-0005-0000-0000-0000AC280000}"/>
    <cellStyle name="Normal 5 3 2 2 2 3 3 3 3" xfId="12108" xr:uid="{00000000-0005-0000-0000-0000AD280000}"/>
    <cellStyle name="Normal 5 3 2 2 2 3 3 4" xfId="15736" xr:uid="{00000000-0005-0000-0000-0000AE280000}"/>
    <cellStyle name="Normal 5 3 2 2 2 3 3 5" xfId="8480" xr:uid="{00000000-0005-0000-0000-0000AF280000}"/>
    <cellStyle name="Normal 5 3 2 2 2 3 4" xfId="2131" xr:uid="{00000000-0005-0000-0000-0000B0280000}"/>
    <cellStyle name="Normal 5 3 2 2 2 3 4 2" xfId="5759" xr:uid="{00000000-0005-0000-0000-0000B1280000}"/>
    <cellStyle name="Normal 5 3 2 2 2 3 4 2 2" xfId="20271" xr:uid="{00000000-0005-0000-0000-0000B2280000}"/>
    <cellStyle name="Normal 5 3 2 2 2 3 4 2 3" xfId="13015" xr:uid="{00000000-0005-0000-0000-0000B3280000}"/>
    <cellStyle name="Normal 5 3 2 2 2 3 4 3" xfId="16643" xr:uid="{00000000-0005-0000-0000-0000B4280000}"/>
    <cellStyle name="Normal 5 3 2 2 2 3 4 4" xfId="9387" xr:uid="{00000000-0005-0000-0000-0000B5280000}"/>
    <cellStyle name="Normal 5 3 2 2 2 3 5" xfId="3945" xr:uid="{00000000-0005-0000-0000-0000B6280000}"/>
    <cellStyle name="Normal 5 3 2 2 2 3 5 2" xfId="18457" xr:uid="{00000000-0005-0000-0000-0000B7280000}"/>
    <cellStyle name="Normal 5 3 2 2 2 3 5 3" xfId="11201" xr:uid="{00000000-0005-0000-0000-0000B8280000}"/>
    <cellStyle name="Normal 5 3 2 2 2 3 6" xfId="14829" xr:uid="{00000000-0005-0000-0000-0000B9280000}"/>
    <cellStyle name="Normal 5 3 2 2 2 3 7" xfId="7573" xr:uid="{00000000-0005-0000-0000-0000BA280000}"/>
    <cellStyle name="Normal 5 3 2 2 2 4" xfId="792" xr:uid="{00000000-0005-0000-0000-0000BB280000}"/>
    <cellStyle name="Normal 5 3 2 2 2 4 2" xfId="1700" xr:uid="{00000000-0005-0000-0000-0000BC280000}"/>
    <cellStyle name="Normal 5 3 2 2 2 4 2 2" xfId="3514" xr:uid="{00000000-0005-0000-0000-0000BD280000}"/>
    <cellStyle name="Normal 5 3 2 2 2 4 2 2 2" xfId="7142" xr:uid="{00000000-0005-0000-0000-0000BE280000}"/>
    <cellStyle name="Normal 5 3 2 2 2 4 2 2 2 2" xfId="21654" xr:uid="{00000000-0005-0000-0000-0000BF280000}"/>
    <cellStyle name="Normal 5 3 2 2 2 4 2 2 2 3" xfId="14398" xr:uid="{00000000-0005-0000-0000-0000C0280000}"/>
    <cellStyle name="Normal 5 3 2 2 2 4 2 2 3" xfId="18026" xr:uid="{00000000-0005-0000-0000-0000C1280000}"/>
    <cellStyle name="Normal 5 3 2 2 2 4 2 2 4" xfId="10770" xr:uid="{00000000-0005-0000-0000-0000C2280000}"/>
    <cellStyle name="Normal 5 3 2 2 2 4 2 3" xfId="5328" xr:uid="{00000000-0005-0000-0000-0000C3280000}"/>
    <cellStyle name="Normal 5 3 2 2 2 4 2 3 2" xfId="19840" xr:uid="{00000000-0005-0000-0000-0000C4280000}"/>
    <cellStyle name="Normal 5 3 2 2 2 4 2 3 3" xfId="12584" xr:uid="{00000000-0005-0000-0000-0000C5280000}"/>
    <cellStyle name="Normal 5 3 2 2 2 4 2 4" xfId="16212" xr:uid="{00000000-0005-0000-0000-0000C6280000}"/>
    <cellStyle name="Normal 5 3 2 2 2 4 2 5" xfId="8956" xr:uid="{00000000-0005-0000-0000-0000C7280000}"/>
    <cellStyle name="Normal 5 3 2 2 2 4 3" xfId="2607" xr:uid="{00000000-0005-0000-0000-0000C8280000}"/>
    <cellStyle name="Normal 5 3 2 2 2 4 3 2" xfId="6235" xr:uid="{00000000-0005-0000-0000-0000C9280000}"/>
    <cellStyle name="Normal 5 3 2 2 2 4 3 2 2" xfId="20747" xr:uid="{00000000-0005-0000-0000-0000CA280000}"/>
    <cellStyle name="Normal 5 3 2 2 2 4 3 2 3" xfId="13491" xr:uid="{00000000-0005-0000-0000-0000CB280000}"/>
    <cellStyle name="Normal 5 3 2 2 2 4 3 3" xfId="17119" xr:uid="{00000000-0005-0000-0000-0000CC280000}"/>
    <cellStyle name="Normal 5 3 2 2 2 4 3 4" xfId="9863" xr:uid="{00000000-0005-0000-0000-0000CD280000}"/>
    <cellStyle name="Normal 5 3 2 2 2 4 4" xfId="4421" xr:uid="{00000000-0005-0000-0000-0000CE280000}"/>
    <cellStyle name="Normal 5 3 2 2 2 4 4 2" xfId="18933" xr:uid="{00000000-0005-0000-0000-0000CF280000}"/>
    <cellStyle name="Normal 5 3 2 2 2 4 4 3" xfId="11677" xr:uid="{00000000-0005-0000-0000-0000D0280000}"/>
    <cellStyle name="Normal 5 3 2 2 2 4 5" xfId="15305" xr:uid="{00000000-0005-0000-0000-0000D1280000}"/>
    <cellStyle name="Normal 5 3 2 2 2 4 6" xfId="8049" xr:uid="{00000000-0005-0000-0000-0000D2280000}"/>
    <cellStyle name="Normal 5 3 2 2 2 5" xfId="446" xr:uid="{00000000-0005-0000-0000-0000D3280000}"/>
    <cellStyle name="Normal 5 3 2 2 2 5 2" xfId="1354" xr:uid="{00000000-0005-0000-0000-0000D4280000}"/>
    <cellStyle name="Normal 5 3 2 2 2 5 2 2" xfId="3168" xr:uid="{00000000-0005-0000-0000-0000D5280000}"/>
    <cellStyle name="Normal 5 3 2 2 2 5 2 2 2" xfId="6796" xr:uid="{00000000-0005-0000-0000-0000D6280000}"/>
    <cellStyle name="Normal 5 3 2 2 2 5 2 2 2 2" xfId="21308" xr:uid="{00000000-0005-0000-0000-0000D7280000}"/>
    <cellStyle name="Normal 5 3 2 2 2 5 2 2 2 3" xfId="14052" xr:uid="{00000000-0005-0000-0000-0000D8280000}"/>
    <cellStyle name="Normal 5 3 2 2 2 5 2 2 3" xfId="17680" xr:uid="{00000000-0005-0000-0000-0000D9280000}"/>
    <cellStyle name="Normal 5 3 2 2 2 5 2 2 4" xfId="10424" xr:uid="{00000000-0005-0000-0000-0000DA280000}"/>
    <cellStyle name="Normal 5 3 2 2 2 5 2 3" xfId="4982" xr:uid="{00000000-0005-0000-0000-0000DB280000}"/>
    <cellStyle name="Normal 5 3 2 2 2 5 2 3 2" xfId="19494" xr:uid="{00000000-0005-0000-0000-0000DC280000}"/>
    <cellStyle name="Normal 5 3 2 2 2 5 2 3 3" xfId="12238" xr:uid="{00000000-0005-0000-0000-0000DD280000}"/>
    <cellStyle name="Normal 5 3 2 2 2 5 2 4" xfId="15866" xr:uid="{00000000-0005-0000-0000-0000DE280000}"/>
    <cellStyle name="Normal 5 3 2 2 2 5 2 5" xfId="8610" xr:uid="{00000000-0005-0000-0000-0000DF280000}"/>
    <cellStyle name="Normal 5 3 2 2 2 5 3" xfId="2261" xr:uid="{00000000-0005-0000-0000-0000E0280000}"/>
    <cellStyle name="Normal 5 3 2 2 2 5 3 2" xfId="5889" xr:uid="{00000000-0005-0000-0000-0000E1280000}"/>
    <cellStyle name="Normal 5 3 2 2 2 5 3 2 2" xfId="20401" xr:uid="{00000000-0005-0000-0000-0000E2280000}"/>
    <cellStyle name="Normal 5 3 2 2 2 5 3 2 3" xfId="13145" xr:uid="{00000000-0005-0000-0000-0000E3280000}"/>
    <cellStyle name="Normal 5 3 2 2 2 5 3 3" xfId="16773" xr:uid="{00000000-0005-0000-0000-0000E4280000}"/>
    <cellStyle name="Normal 5 3 2 2 2 5 3 4" xfId="9517" xr:uid="{00000000-0005-0000-0000-0000E5280000}"/>
    <cellStyle name="Normal 5 3 2 2 2 5 4" xfId="4075" xr:uid="{00000000-0005-0000-0000-0000E6280000}"/>
    <cellStyle name="Normal 5 3 2 2 2 5 4 2" xfId="18587" xr:uid="{00000000-0005-0000-0000-0000E7280000}"/>
    <cellStyle name="Normal 5 3 2 2 2 5 4 3" xfId="11331" xr:uid="{00000000-0005-0000-0000-0000E8280000}"/>
    <cellStyle name="Normal 5 3 2 2 2 5 5" xfId="14959" xr:uid="{00000000-0005-0000-0000-0000E9280000}"/>
    <cellStyle name="Normal 5 3 2 2 2 5 6" xfId="7703" xr:uid="{00000000-0005-0000-0000-0000EA280000}"/>
    <cellStyle name="Normal 5 3 2 2 2 6" xfId="925" xr:uid="{00000000-0005-0000-0000-0000EB280000}"/>
    <cellStyle name="Normal 5 3 2 2 2 6 2" xfId="1832" xr:uid="{00000000-0005-0000-0000-0000EC280000}"/>
    <cellStyle name="Normal 5 3 2 2 2 6 2 2" xfId="3646" xr:uid="{00000000-0005-0000-0000-0000ED280000}"/>
    <cellStyle name="Normal 5 3 2 2 2 6 2 2 2" xfId="7274" xr:uid="{00000000-0005-0000-0000-0000EE280000}"/>
    <cellStyle name="Normal 5 3 2 2 2 6 2 2 2 2" xfId="21786" xr:uid="{00000000-0005-0000-0000-0000EF280000}"/>
    <cellStyle name="Normal 5 3 2 2 2 6 2 2 2 3" xfId="14530" xr:uid="{00000000-0005-0000-0000-0000F0280000}"/>
    <cellStyle name="Normal 5 3 2 2 2 6 2 2 3" xfId="18158" xr:uid="{00000000-0005-0000-0000-0000F1280000}"/>
    <cellStyle name="Normal 5 3 2 2 2 6 2 2 4" xfId="10902" xr:uid="{00000000-0005-0000-0000-0000F2280000}"/>
    <cellStyle name="Normal 5 3 2 2 2 6 2 3" xfId="5460" xr:uid="{00000000-0005-0000-0000-0000F3280000}"/>
    <cellStyle name="Normal 5 3 2 2 2 6 2 3 2" xfId="19972" xr:uid="{00000000-0005-0000-0000-0000F4280000}"/>
    <cellStyle name="Normal 5 3 2 2 2 6 2 3 3" xfId="12716" xr:uid="{00000000-0005-0000-0000-0000F5280000}"/>
    <cellStyle name="Normal 5 3 2 2 2 6 2 4" xfId="16344" xr:uid="{00000000-0005-0000-0000-0000F6280000}"/>
    <cellStyle name="Normal 5 3 2 2 2 6 2 5" xfId="9088" xr:uid="{00000000-0005-0000-0000-0000F7280000}"/>
    <cellStyle name="Normal 5 3 2 2 2 6 3" xfId="2739" xr:uid="{00000000-0005-0000-0000-0000F8280000}"/>
    <cellStyle name="Normal 5 3 2 2 2 6 3 2" xfId="6367" xr:uid="{00000000-0005-0000-0000-0000F9280000}"/>
    <cellStyle name="Normal 5 3 2 2 2 6 3 2 2" xfId="20879" xr:uid="{00000000-0005-0000-0000-0000FA280000}"/>
    <cellStyle name="Normal 5 3 2 2 2 6 3 2 3" xfId="13623" xr:uid="{00000000-0005-0000-0000-0000FB280000}"/>
    <cellStyle name="Normal 5 3 2 2 2 6 3 3" xfId="17251" xr:uid="{00000000-0005-0000-0000-0000FC280000}"/>
    <cellStyle name="Normal 5 3 2 2 2 6 3 4" xfId="9995" xr:uid="{00000000-0005-0000-0000-0000FD280000}"/>
    <cellStyle name="Normal 5 3 2 2 2 6 4" xfId="4553" xr:uid="{00000000-0005-0000-0000-0000FE280000}"/>
    <cellStyle name="Normal 5 3 2 2 2 6 4 2" xfId="19065" xr:uid="{00000000-0005-0000-0000-0000FF280000}"/>
    <cellStyle name="Normal 5 3 2 2 2 6 4 3" xfId="11809" xr:uid="{00000000-0005-0000-0000-000000290000}"/>
    <cellStyle name="Normal 5 3 2 2 2 6 5" xfId="15437" xr:uid="{00000000-0005-0000-0000-000001290000}"/>
    <cellStyle name="Normal 5 3 2 2 2 6 6" xfId="8181" xr:uid="{00000000-0005-0000-0000-000002290000}"/>
    <cellStyle name="Normal 5 3 2 2 2 7" xfId="1008" xr:uid="{00000000-0005-0000-0000-000003290000}"/>
    <cellStyle name="Normal 5 3 2 2 2 7 2" xfId="2822" xr:uid="{00000000-0005-0000-0000-000004290000}"/>
    <cellStyle name="Normal 5 3 2 2 2 7 2 2" xfId="6450" xr:uid="{00000000-0005-0000-0000-000005290000}"/>
    <cellStyle name="Normal 5 3 2 2 2 7 2 2 2" xfId="20962" xr:uid="{00000000-0005-0000-0000-000006290000}"/>
    <cellStyle name="Normal 5 3 2 2 2 7 2 2 3" xfId="13706" xr:uid="{00000000-0005-0000-0000-000007290000}"/>
    <cellStyle name="Normal 5 3 2 2 2 7 2 3" xfId="17334" xr:uid="{00000000-0005-0000-0000-000008290000}"/>
    <cellStyle name="Normal 5 3 2 2 2 7 2 4" xfId="10078" xr:uid="{00000000-0005-0000-0000-000009290000}"/>
    <cellStyle name="Normal 5 3 2 2 2 7 3" xfId="4636" xr:uid="{00000000-0005-0000-0000-00000A290000}"/>
    <cellStyle name="Normal 5 3 2 2 2 7 3 2" xfId="19148" xr:uid="{00000000-0005-0000-0000-00000B290000}"/>
    <cellStyle name="Normal 5 3 2 2 2 7 3 3" xfId="11892" xr:uid="{00000000-0005-0000-0000-00000C290000}"/>
    <cellStyle name="Normal 5 3 2 2 2 7 4" xfId="15520" xr:uid="{00000000-0005-0000-0000-00000D290000}"/>
    <cellStyle name="Normal 5 3 2 2 2 7 5" xfId="8264" xr:uid="{00000000-0005-0000-0000-00000E290000}"/>
    <cellStyle name="Normal 5 3 2 2 2 8" xfId="1915" xr:uid="{00000000-0005-0000-0000-00000F290000}"/>
    <cellStyle name="Normal 5 3 2 2 2 8 2" xfId="5543" xr:uid="{00000000-0005-0000-0000-000010290000}"/>
    <cellStyle name="Normal 5 3 2 2 2 8 2 2" xfId="20055" xr:uid="{00000000-0005-0000-0000-000011290000}"/>
    <cellStyle name="Normal 5 3 2 2 2 8 2 3" xfId="12799" xr:uid="{00000000-0005-0000-0000-000012290000}"/>
    <cellStyle name="Normal 5 3 2 2 2 8 3" xfId="16427" xr:uid="{00000000-0005-0000-0000-000013290000}"/>
    <cellStyle name="Normal 5 3 2 2 2 8 4" xfId="9171" xr:uid="{00000000-0005-0000-0000-000014290000}"/>
    <cellStyle name="Normal 5 3 2 2 2 9" xfId="3729" xr:uid="{00000000-0005-0000-0000-000015290000}"/>
    <cellStyle name="Normal 5 3 2 2 2 9 2" xfId="18241" xr:uid="{00000000-0005-0000-0000-000016290000}"/>
    <cellStyle name="Normal 5 3 2 2 2 9 3" xfId="10985" xr:uid="{00000000-0005-0000-0000-000017290000}"/>
    <cellStyle name="Normal 5 3 2 2 3" xfId="230" xr:uid="{00000000-0005-0000-0000-000018290000}"/>
    <cellStyle name="Normal 5 3 2 2 3 2" xfId="360" xr:uid="{00000000-0005-0000-0000-000019290000}"/>
    <cellStyle name="Normal 5 3 2 2 3 2 2" xfId="706" xr:uid="{00000000-0005-0000-0000-00001A290000}"/>
    <cellStyle name="Normal 5 3 2 2 3 2 2 2" xfId="1614" xr:uid="{00000000-0005-0000-0000-00001B290000}"/>
    <cellStyle name="Normal 5 3 2 2 3 2 2 2 2" xfId="3428" xr:uid="{00000000-0005-0000-0000-00001C290000}"/>
    <cellStyle name="Normal 5 3 2 2 3 2 2 2 2 2" xfId="7056" xr:uid="{00000000-0005-0000-0000-00001D290000}"/>
    <cellStyle name="Normal 5 3 2 2 3 2 2 2 2 2 2" xfId="21568" xr:uid="{00000000-0005-0000-0000-00001E290000}"/>
    <cellStyle name="Normal 5 3 2 2 3 2 2 2 2 2 3" xfId="14312" xr:uid="{00000000-0005-0000-0000-00001F290000}"/>
    <cellStyle name="Normal 5 3 2 2 3 2 2 2 2 3" xfId="17940" xr:uid="{00000000-0005-0000-0000-000020290000}"/>
    <cellStyle name="Normal 5 3 2 2 3 2 2 2 2 4" xfId="10684" xr:uid="{00000000-0005-0000-0000-000021290000}"/>
    <cellStyle name="Normal 5 3 2 2 3 2 2 2 3" xfId="5242" xr:uid="{00000000-0005-0000-0000-000022290000}"/>
    <cellStyle name="Normal 5 3 2 2 3 2 2 2 3 2" xfId="19754" xr:uid="{00000000-0005-0000-0000-000023290000}"/>
    <cellStyle name="Normal 5 3 2 2 3 2 2 2 3 3" xfId="12498" xr:uid="{00000000-0005-0000-0000-000024290000}"/>
    <cellStyle name="Normal 5 3 2 2 3 2 2 2 4" xfId="16126" xr:uid="{00000000-0005-0000-0000-000025290000}"/>
    <cellStyle name="Normal 5 3 2 2 3 2 2 2 5" xfId="8870" xr:uid="{00000000-0005-0000-0000-000026290000}"/>
    <cellStyle name="Normal 5 3 2 2 3 2 2 3" xfId="2521" xr:uid="{00000000-0005-0000-0000-000027290000}"/>
    <cellStyle name="Normal 5 3 2 2 3 2 2 3 2" xfId="6149" xr:uid="{00000000-0005-0000-0000-000028290000}"/>
    <cellStyle name="Normal 5 3 2 2 3 2 2 3 2 2" xfId="20661" xr:uid="{00000000-0005-0000-0000-000029290000}"/>
    <cellStyle name="Normal 5 3 2 2 3 2 2 3 2 3" xfId="13405" xr:uid="{00000000-0005-0000-0000-00002A290000}"/>
    <cellStyle name="Normal 5 3 2 2 3 2 2 3 3" xfId="17033" xr:uid="{00000000-0005-0000-0000-00002B290000}"/>
    <cellStyle name="Normal 5 3 2 2 3 2 2 3 4" xfId="9777" xr:uid="{00000000-0005-0000-0000-00002C290000}"/>
    <cellStyle name="Normal 5 3 2 2 3 2 2 4" xfId="4335" xr:uid="{00000000-0005-0000-0000-00002D290000}"/>
    <cellStyle name="Normal 5 3 2 2 3 2 2 4 2" xfId="18847" xr:uid="{00000000-0005-0000-0000-00002E290000}"/>
    <cellStyle name="Normal 5 3 2 2 3 2 2 4 3" xfId="11591" xr:uid="{00000000-0005-0000-0000-00002F290000}"/>
    <cellStyle name="Normal 5 3 2 2 3 2 2 5" xfId="15219" xr:uid="{00000000-0005-0000-0000-000030290000}"/>
    <cellStyle name="Normal 5 3 2 2 3 2 2 6" xfId="7963" xr:uid="{00000000-0005-0000-0000-000031290000}"/>
    <cellStyle name="Normal 5 3 2 2 3 2 3" xfId="1268" xr:uid="{00000000-0005-0000-0000-000032290000}"/>
    <cellStyle name="Normal 5 3 2 2 3 2 3 2" xfId="3082" xr:uid="{00000000-0005-0000-0000-000033290000}"/>
    <cellStyle name="Normal 5 3 2 2 3 2 3 2 2" xfId="6710" xr:uid="{00000000-0005-0000-0000-000034290000}"/>
    <cellStyle name="Normal 5 3 2 2 3 2 3 2 2 2" xfId="21222" xr:uid="{00000000-0005-0000-0000-000035290000}"/>
    <cellStyle name="Normal 5 3 2 2 3 2 3 2 2 3" xfId="13966" xr:uid="{00000000-0005-0000-0000-000036290000}"/>
    <cellStyle name="Normal 5 3 2 2 3 2 3 2 3" xfId="17594" xr:uid="{00000000-0005-0000-0000-000037290000}"/>
    <cellStyle name="Normal 5 3 2 2 3 2 3 2 4" xfId="10338" xr:uid="{00000000-0005-0000-0000-000038290000}"/>
    <cellStyle name="Normal 5 3 2 2 3 2 3 3" xfId="4896" xr:uid="{00000000-0005-0000-0000-000039290000}"/>
    <cellStyle name="Normal 5 3 2 2 3 2 3 3 2" xfId="19408" xr:uid="{00000000-0005-0000-0000-00003A290000}"/>
    <cellStyle name="Normal 5 3 2 2 3 2 3 3 3" xfId="12152" xr:uid="{00000000-0005-0000-0000-00003B290000}"/>
    <cellStyle name="Normal 5 3 2 2 3 2 3 4" xfId="15780" xr:uid="{00000000-0005-0000-0000-00003C290000}"/>
    <cellStyle name="Normal 5 3 2 2 3 2 3 5" xfId="8524" xr:uid="{00000000-0005-0000-0000-00003D290000}"/>
    <cellStyle name="Normal 5 3 2 2 3 2 4" xfId="2175" xr:uid="{00000000-0005-0000-0000-00003E290000}"/>
    <cellStyle name="Normal 5 3 2 2 3 2 4 2" xfId="5803" xr:uid="{00000000-0005-0000-0000-00003F290000}"/>
    <cellStyle name="Normal 5 3 2 2 3 2 4 2 2" xfId="20315" xr:uid="{00000000-0005-0000-0000-000040290000}"/>
    <cellStyle name="Normal 5 3 2 2 3 2 4 2 3" xfId="13059" xr:uid="{00000000-0005-0000-0000-000041290000}"/>
    <cellStyle name="Normal 5 3 2 2 3 2 4 3" xfId="16687" xr:uid="{00000000-0005-0000-0000-000042290000}"/>
    <cellStyle name="Normal 5 3 2 2 3 2 4 4" xfId="9431" xr:uid="{00000000-0005-0000-0000-000043290000}"/>
    <cellStyle name="Normal 5 3 2 2 3 2 5" xfId="3989" xr:uid="{00000000-0005-0000-0000-000044290000}"/>
    <cellStyle name="Normal 5 3 2 2 3 2 5 2" xfId="18501" xr:uid="{00000000-0005-0000-0000-000045290000}"/>
    <cellStyle name="Normal 5 3 2 2 3 2 5 3" xfId="11245" xr:uid="{00000000-0005-0000-0000-000046290000}"/>
    <cellStyle name="Normal 5 3 2 2 3 2 6" xfId="14873" xr:uid="{00000000-0005-0000-0000-000047290000}"/>
    <cellStyle name="Normal 5 3 2 2 3 2 7" xfId="7617" xr:uid="{00000000-0005-0000-0000-000048290000}"/>
    <cellStyle name="Normal 5 3 2 2 3 3" xfId="836" xr:uid="{00000000-0005-0000-0000-000049290000}"/>
    <cellStyle name="Normal 5 3 2 2 3 3 2" xfId="1744" xr:uid="{00000000-0005-0000-0000-00004A290000}"/>
    <cellStyle name="Normal 5 3 2 2 3 3 2 2" xfId="3558" xr:uid="{00000000-0005-0000-0000-00004B290000}"/>
    <cellStyle name="Normal 5 3 2 2 3 3 2 2 2" xfId="7186" xr:uid="{00000000-0005-0000-0000-00004C290000}"/>
    <cellStyle name="Normal 5 3 2 2 3 3 2 2 2 2" xfId="21698" xr:uid="{00000000-0005-0000-0000-00004D290000}"/>
    <cellStyle name="Normal 5 3 2 2 3 3 2 2 2 3" xfId="14442" xr:uid="{00000000-0005-0000-0000-00004E290000}"/>
    <cellStyle name="Normal 5 3 2 2 3 3 2 2 3" xfId="18070" xr:uid="{00000000-0005-0000-0000-00004F290000}"/>
    <cellStyle name="Normal 5 3 2 2 3 3 2 2 4" xfId="10814" xr:uid="{00000000-0005-0000-0000-000050290000}"/>
    <cellStyle name="Normal 5 3 2 2 3 3 2 3" xfId="5372" xr:uid="{00000000-0005-0000-0000-000051290000}"/>
    <cellStyle name="Normal 5 3 2 2 3 3 2 3 2" xfId="19884" xr:uid="{00000000-0005-0000-0000-000052290000}"/>
    <cellStyle name="Normal 5 3 2 2 3 3 2 3 3" xfId="12628" xr:uid="{00000000-0005-0000-0000-000053290000}"/>
    <cellStyle name="Normal 5 3 2 2 3 3 2 4" xfId="16256" xr:uid="{00000000-0005-0000-0000-000054290000}"/>
    <cellStyle name="Normal 5 3 2 2 3 3 2 5" xfId="9000" xr:uid="{00000000-0005-0000-0000-000055290000}"/>
    <cellStyle name="Normal 5 3 2 2 3 3 3" xfId="2651" xr:uid="{00000000-0005-0000-0000-000056290000}"/>
    <cellStyle name="Normal 5 3 2 2 3 3 3 2" xfId="6279" xr:uid="{00000000-0005-0000-0000-000057290000}"/>
    <cellStyle name="Normal 5 3 2 2 3 3 3 2 2" xfId="20791" xr:uid="{00000000-0005-0000-0000-000058290000}"/>
    <cellStyle name="Normal 5 3 2 2 3 3 3 2 3" xfId="13535" xr:uid="{00000000-0005-0000-0000-000059290000}"/>
    <cellStyle name="Normal 5 3 2 2 3 3 3 3" xfId="17163" xr:uid="{00000000-0005-0000-0000-00005A290000}"/>
    <cellStyle name="Normal 5 3 2 2 3 3 3 4" xfId="9907" xr:uid="{00000000-0005-0000-0000-00005B290000}"/>
    <cellStyle name="Normal 5 3 2 2 3 3 4" xfId="4465" xr:uid="{00000000-0005-0000-0000-00005C290000}"/>
    <cellStyle name="Normal 5 3 2 2 3 3 4 2" xfId="18977" xr:uid="{00000000-0005-0000-0000-00005D290000}"/>
    <cellStyle name="Normal 5 3 2 2 3 3 4 3" xfId="11721" xr:uid="{00000000-0005-0000-0000-00005E290000}"/>
    <cellStyle name="Normal 5 3 2 2 3 3 5" xfId="15349" xr:uid="{00000000-0005-0000-0000-00005F290000}"/>
    <cellStyle name="Normal 5 3 2 2 3 3 6" xfId="8093" xr:uid="{00000000-0005-0000-0000-000060290000}"/>
    <cellStyle name="Normal 5 3 2 2 3 4" xfId="576" xr:uid="{00000000-0005-0000-0000-000061290000}"/>
    <cellStyle name="Normal 5 3 2 2 3 4 2" xfId="1484" xr:uid="{00000000-0005-0000-0000-000062290000}"/>
    <cellStyle name="Normal 5 3 2 2 3 4 2 2" xfId="3298" xr:uid="{00000000-0005-0000-0000-000063290000}"/>
    <cellStyle name="Normal 5 3 2 2 3 4 2 2 2" xfId="6926" xr:uid="{00000000-0005-0000-0000-000064290000}"/>
    <cellStyle name="Normal 5 3 2 2 3 4 2 2 2 2" xfId="21438" xr:uid="{00000000-0005-0000-0000-000065290000}"/>
    <cellStyle name="Normal 5 3 2 2 3 4 2 2 2 3" xfId="14182" xr:uid="{00000000-0005-0000-0000-000066290000}"/>
    <cellStyle name="Normal 5 3 2 2 3 4 2 2 3" xfId="17810" xr:uid="{00000000-0005-0000-0000-000067290000}"/>
    <cellStyle name="Normal 5 3 2 2 3 4 2 2 4" xfId="10554" xr:uid="{00000000-0005-0000-0000-000068290000}"/>
    <cellStyle name="Normal 5 3 2 2 3 4 2 3" xfId="5112" xr:uid="{00000000-0005-0000-0000-000069290000}"/>
    <cellStyle name="Normal 5 3 2 2 3 4 2 3 2" xfId="19624" xr:uid="{00000000-0005-0000-0000-00006A290000}"/>
    <cellStyle name="Normal 5 3 2 2 3 4 2 3 3" xfId="12368" xr:uid="{00000000-0005-0000-0000-00006B290000}"/>
    <cellStyle name="Normal 5 3 2 2 3 4 2 4" xfId="15996" xr:uid="{00000000-0005-0000-0000-00006C290000}"/>
    <cellStyle name="Normal 5 3 2 2 3 4 2 5" xfId="8740" xr:uid="{00000000-0005-0000-0000-00006D290000}"/>
    <cellStyle name="Normal 5 3 2 2 3 4 3" xfId="2391" xr:uid="{00000000-0005-0000-0000-00006E290000}"/>
    <cellStyle name="Normal 5 3 2 2 3 4 3 2" xfId="6019" xr:uid="{00000000-0005-0000-0000-00006F290000}"/>
    <cellStyle name="Normal 5 3 2 2 3 4 3 2 2" xfId="20531" xr:uid="{00000000-0005-0000-0000-000070290000}"/>
    <cellStyle name="Normal 5 3 2 2 3 4 3 2 3" xfId="13275" xr:uid="{00000000-0005-0000-0000-000071290000}"/>
    <cellStyle name="Normal 5 3 2 2 3 4 3 3" xfId="16903" xr:uid="{00000000-0005-0000-0000-000072290000}"/>
    <cellStyle name="Normal 5 3 2 2 3 4 3 4" xfId="9647" xr:uid="{00000000-0005-0000-0000-000073290000}"/>
    <cellStyle name="Normal 5 3 2 2 3 4 4" xfId="4205" xr:uid="{00000000-0005-0000-0000-000074290000}"/>
    <cellStyle name="Normal 5 3 2 2 3 4 4 2" xfId="18717" xr:uid="{00000000-0005-0000-0000-000075290000}"/>
    <cellStyle name="Normal 5 3 2 2 3 4 4 3" xfId="11461" xr:uid="{00000000-0005-0000-0000-000076290000}"/>
    <cellStyle name="Normal 5 3 2 2 3 4 5" xfId="15089" xr:uid="{00000000-0005-0000-0000-000077290000}"/>
    <cellStyle name="Normal 5 3 2 2 3 4 6" xfId="7833" xr:uid="{00000000-0005-0000-0000-000078290000}"/>
    <cellStyle name="Normal 5 3 2 2 3 5" xfId="1138" xr:uid="{00000000-0005-0000-0000-000079290000}"/>
    <cellStyle name="Normal 5 3 2 2 3 5 2" xfId="2952" xr:uid="{00000000-0005-0000-0000-00007A290000}"/>
    <cellStyle name="Normal 5 3 2 2 3 5 2 2" xfId="6580" xr:uid="{00000000-0005-0000-0000-00007B290000}"/>
    <cellStyle name="Normal 5 3 2 2 3 5 2 2 2" xfId="21092" xr:uid="{00000000-0005-0000-0000-00007C290000}"/>
    <cellStyle name="Normal 5 3 2 2 3 5 2 2 3" xfId="13836" xr:uid="{00000000-0005-0000-0000-00007D290000}"/>
    <cellStyle name="Normal 5 3 2 2 3 5 2 3" xfId="17464" xr:uid="{00000000-0005-0000-0000-00007E290000}"/>
    <cellStyle name="Normal 5 3 2 2 3 5 2 4" xfId="10208" xr:uid="{00000000-0005-0000-0000-00007F290000}"/>
    <cellStyle name="Normal 5 3 2 2 3 5 3" xfId="4766" xr:uid="{00000000-0005-0000-0000-000080290000}"/>
    <cellStyle name="Normal 5 3 2 2 3 5 3 2" xfId="19278" xr:uid="{00000000-0005-0000-0000-000081290000}"/>
    <cellStyle name="Normal 5 3 2 2 3 5 3 3" xfId="12022" xr:uid="{00000000-0005-0000-0000-000082290000}"/>
    <cellStyle name="Normal 5 3 2 2 3 5 4" xfId="15650" xr:uid="{00000000-0005-0000-0000-000083290000}"/>
    <cellStyle name="Normal 5 3 2 2 3 5 5" xfId="8394" xr:uid="{00000000-0005-0000-0000-000084290000}"/>
    <cellStyle name="Normal 5 3 2 2 3 6" xfId="2045" xr:uid="{00000000-0005-0000-0000-000085290000}"/>
    <cellStyle name="Normal 5 3 2 2 3 6 2" xfId="5673" xr:uid="{00000000-0005-0000-0000-000086290000}"/>
    <cellStyle name="Normal 5 3 2 2 3 6 2 2" xfId="20185" xr:uid="{00000000-0005-0000-0000-000087290000}"/>
    <cellStyle name="Normal 5 3 2 2 3 6 2 3" xfId="12929" xr:uid="{00000000-0005-0000-0000-000088290000}"/>
    <cellStyle name="Normal 5 3 2 2 3 6 3" xfId="16557" xr:uid="{00000000-0005-0000-0000-000089290000}"/>
    <cellStyle name="Normal 5 3 2 2 3 6 4" xfId="9301" xr:uid="{00000000-0005-0000-0000-00008A290000}"/>
    <cellStyle name="Normal 5 3 2 2 3 7" xfId="3859" xr:uid="{00000000-0005-0000-0000-00008B290000}"/>
    <cellStyle name="Normal 5 3 2 2 3 7 2" xfId="18371" xr:uid="{00000000-0005-0000-0000-00008C290000}"/>
    <cellStyle name="Normal 5 3 2 2 3 7 3" xfId="11115" xr:uid="{00000000-0005-0000-0000-00008D290000}"/>
    <cellStyle name="Normal 5 3 2 2 3 8" xfId="14743" xr:uid="{00000000-0005-0000-0000-00008E290000}"/>
    <cellStyle name="Normal 5 3 2 2 3 9" xfId="7487" xr:uid="{00000000-0005-0000-0000-00008F290000}"/>
    <cellStyle name="Normal 5 3 2 2 4" xfId="144" xr:uid="{00000000-0005-0000-0000-000090290000}"/>
    <cellStyle name="Normal 5 3 2 2 4 2" xfId="490" xr:uid="{00000000-0005-0000-0000-000091290000}"/>
    <cellStyle name="Normal 5 3 2 2 4 2 2" xfId="1398" xr:uid="{00000000-0005-0000-0000-000092290000}"/>
    <cellStyle name="Normal 5 3 2 2 4 2 2 2" xfId="3212" xr:uid="{00000000-0005-0000-0000-000093290000}"/>
    <cellStyle name="Normal 5 3 2 2 4 2 2 2 2" xfId="6840" xr:uid="{00000000-0005-0000-0000-000094290000}"/>
    <cellStyle name="Normal 5 3 2 2 4 2 2 2 2 2" xfId="21352" xr:uid="{00000000-0005-0000-0000-000095290000}"/>
    <cellStyle name="Normal 5 3 2 2 4 2 2 2 2 3" xfId="14096" xr:uid="{00000000-0005-0000-0000-000096290000}"/>
    <cellStyle name="Normal 5 3 2 2 4 2 2 2 3" xfId="17724" xr:uid="{00000000-0005-0000-0000-000097290000}"/>
    <cellStyle name="Normal 5 3 2 2 4 2 2 2 4" xfId="10468" xr:uid="{00000000-0005-0000-0000-000098290000}"/>
    <cellStyle name="Normal 5 3 2 2 4 2 2 3" xfId="5026" xr:uid="{00000000-0005-0000-0000-000099290000}"/>
    <cellStyle name="Normal 5 3 2 2 4 2 2 3 2" xfId="19538" xr:uid="{00000000-0005-0000-0000-00009A290000}"/>
    <cellStyle name="Normal 5 3 2 2 4 2 2 3 3" xfId="12282" xr:uid="{00000000-0005-0000-0000-00009B290000}"/>
    <cellStyle name="Normal 5 3 2 2 4 2 2 4" xfId="15910" xr:uid="{00000000-0005-0000-0000-00009C290000}"/>
    <cellStyle name="Normal 5 3 2 2 4 2 2 5" xfId="8654" xr:uid="{00000000-0005-0000-0000-00009D290000}"/>
    <cellStyle name="Normal 5 3 2 2 4 2 3" xfId="2305" xr:uid="{00000000-0005-0000-0000-00009E290000}"/>
    <cellStyle name="Normal 5 3 2 2 4 2 3 2" xfId="5933" xr:uid="{00000000-0005-0000-0000-00009F290000}"/>
    <cellStyle name="Normal 5 3 2 2 4 2 3 2 2" xfId="20445" xr:uid="{00000000-0005-0000-0000-0000A0290000}"/>
    <cellStyle name="Normal 5 3 2 2 4 2 3 2 3" xfId="13189" xr:uid="{00000000-0005-0000-0000-0000A1290000}"/>
    <cellStyle name="Normal 5 3 2 2 4 2 3 3" xfId="16817" xr:uid="{00000000-0005-0000-0000-0000A2290000}"/>
    <cellStyle name="Normal 5 3 2 2 4 2 3 4" xfId="9561" xr:uid="{00000000-0005-0000-0000-0000A3290000}"/>
    <cellStyle name="Normal 5 3 2 2 4 2 4" xfId="4119" xr:uid="{00000000-0005-0000-0000-0000A4290000}"/>
    <cellStyle name="Normal 5 3 2 2 4 2 4 2" xfId="18631" xr:uid="{00000000-0005-0000-0000-0000A5290000}"/>
    <cellStyle name="Normal 5 3 2 2 4 2 4 3" xfId="11375" xr:uid="{00000000-0005-0000-0000-0000A6290000}"/>
    <cellStyle name="Normal 5 3 2 2 4 2 5" xfId="15003" xr:uid="{00000000-0005-0000-0000-0000A7290000}"/>
    <cellStyle name="Normal 5 3 2 2 4 2 6" xfId="7747" xr:uid="{00000000-0005-0000-0000-0000A8290000}"/>
    <cellStyle name="Normal 5 3 2 2 4 3" xfId="1052" xr:uid="{00000000-0005-0000-0000-0000A9290000}"/>
    <cellStyle name="Normal 5 3 2 2 4 3 2" xfId="2866" xr:uid="{00000000-0005-0000-0000-0000AA290000}"/>
    <cellStyle name="Normal 5 3 2 2 4 3 2 2" xfId="6494" xr:uid="{00000000-0005-0000-0000-0000AB290000}"/>
    <cellStyle name="Normal 5 3 2 2 4 3 2 2 2" xfId="21006" xr:uid="{00000000-0005-0000-0000-0000AC290000}"/>
    <cellStyle name="Normal 5 3 2 2 4 3 2 2 3" xfId="13750" xr:uid="{00000000-0005-0000-0000-0000AD290000}"/>
    <cellStyle name="Normal 5 3 2 2 4 3 2 3" xfId="17378" xr:uid="{00000000-0005-0000-0000-0000AE290000}"/>
    <cellStyle name="Normal 5 3 2 2 4 3 2 4" xfId="10122" xr:uid="{00000000-0005-0000-0000-0000AF290000}"/>
    <cellStyle name="Normal 5 3 2 2 4 3 3" xfId="4680" xr:uid="{00000000-0005-0000-0000-0000B0290000}"/>
    <cellStyle name="Normal 5 3 2 2 4 3 3 2" xfId="19192" xr:uid="{00000000-0005-0000-0000-0000B1290000}"/>
    <cellStyle name="Normal 5 3 2 2 4 3 3 3" xfId="11936" xr:uid="{00000000-0005-0000-0000-0000B2290000}"/>
    <cellStyle name="Normal 5 3 2 2 4 3 4" xfId="15564" xr:uid="{00000000-0005-0000-0000-0000B3290000}"/>
    <cellStyle name="Normal 5 3 2 2 4 3 5" xfId="8308" xr:uid="{00000000-0005-0000-0000-0000B4290000}"/>
    <cellStyle name="Normal 5 3 2 2 4 4" xfId="1959" xr:uid="{00000000-0005-0000-0000-0000B5290000}"/>
    <cellStyle name="Normal 5 3 2 2 4 4 2" xfId="5587" xr:uid="{00000000-0005-0000-0000-0000B6290000}"/>
    <cellStyle name="Normal 5 3 2 2 4 4 2 2" xfId="20099" xr:uid="{00000000-0005-0000-0000-0000B7290000}"/>
    <cellStyle name="Normal 5 3 2 2 4 4 2 3" xfId="12843" xr:uid="{00000000-0005-0000-0000-0000B8290000}"/>
    <cellStyle name="Normal 5 3 2 2 4 4 3" xfId="16471" xr:uid="{00000000-0005-0000-0000-0000B9290000}"/>
    <cellStyle name="Normal 5 3 2 2 4 4 4" xfId="9215" xr:uid="{00000000-0005-0000-0000-0000BA290000}"/>
    <cellStyle name="Normal 5 3 2 2 4 5" xfId="3773" xr:uid="{00000000-0005-0000-0000-0000BB290000}"/>
    <cellStyle name="Normal 5 3 2 2 4 5 2" xfId="18285" xr:uid="{00000000-0005-0000-0000-0000BC290000}"/>
    <cellStyle name="Normal 5 3 2 2 4 5 3" xfId="11029" xr:uid="{00000000-0005-0000-0000-0000BD290000}"/>
    <cellStyle name="Normal 5 3 2 2 4 6" xfId="14657" xr:uid="{00000000-0005-0000-0000-0000BE290000}"/>
    <cellStyle name="Normal 5 3 2 2 4 7" xfId="7401" xr:uid="{00000000-0005-0000-0000-0000BF290000}"/>
    <cellStyle name="Normal 5 3 2 2 5" xfId="274" xr:uid="{00000000-0005-0000-0000-0000C0290000}"/>
    <cellStyle name="Normal 5 3 2 2 5 2" xfId="620" xr:uid="{00000000-0005-0000-0000-0000C1290000}"/>
    <cellStyle name="Normal 5 3 2 2 5 2 2" xfId="1528" xr:uid="{00000000-0005-0000-0000-0000C2290000}"/>
    <cellStyle name="Normal 5 3 2 2 5 2 2 2" xfId="3342" xr:uid="{00000000-0005-0000-0000-0000C3290000}"/>
    <cellStyle name="Normal 5 3 2 2 5 2 2 2 2" xfId="6970" xr:uid="{00000000-0005-0000-0000-0000C4290000}"/>
    <cellStyle name="Normal 5 3 2 2 5 2 2 2 2 2" xfId="21482" xr:uid="{00000000-0005-0000-0000-0000C5290000}"/>
    <cellStyle name="Normal 5 3 2 2 5 2 2 2 2 3" xfId="14226" xr:uid="{00000000-0005-0000-0000-0000C6290000}"/>
    <cellStyle name="Normal 5 3 2 2 5 2 2 2 3" xfId="17854" xr:uid="{00000000-0005-0000-0000-0000C7290000}"/>
    <cellStyle name="Normal 5 3 2 2 5 2 2 2 4" xfId="10598" xr:uid="{00000000-0005-0000-0000-0000C8290000}"/>
    <cellStyle name="Normal 5 3 2 2 5 2 2 3" xfId="5156" xr:uid="{00000000-0005-0000-0000-0000C9290000}"/>
    <cellStyle name="Normal 5 3 2 2 5 2 2 3 2" xfId="19668" xr:uid="{00000000-0005-0000-0000-0000CA290000}"/>
    <cellStyle name="Normal 5 3 2 2 5 2 2 3 3" xfId="12412" xr:uid="{00000000-0005-0000-0000-0000CB290000}"/>
    <cellStyle name="Normal 5 3 2 2 5 2 2 4" xfId="16040" xr:uid="{00000000-0005-0000-0000-0000CC290000}"/>
    <cellStyle name="Normal 5 3 2 2 5 2 2 5" xfId="8784" xr:uid="{00000000-0005-0000-0000-0000CD290000}"/>
    <cellStyle name="Normal 5 3 2 2 5 2 3" xfId="2435" xr:uid="{00000000-0005-0000-0000-0000CE290000}"/>
    <cellStyle name="Normal 5 3 2 2 5 2 3 2" xfId="6063" xr:uid="{00000000-0005-0000-0000-0000CF290000}"/>
    <cellStyle name="Normal 5 3 2 2 5 2 3 2 2" xfId="20575" xr:uid="{00000000-0005-0000-0000-0000D0290000}"/>
    <cellStyle name="Normal 5 3 2 2 5 2 3 2 3" xfId="13319" xr:uid="{00000000-0005-0000-0000-0000D1290000}"/>
    <cellStyle name="Normal 5 3 2 2 5 2 3 3" xfId="16947" xr:uid="{00000000-0005-0000-0000-0000D2290000}"/>
    <cellStyle name="Normal 5 3 2 2 5 2 3 4" xfId="9691" xr:uid="{00000000-0005-0000-0000-0000D3290000}"/>
    <cellStyle name="Normal 5 3 2 2 5 2 4" xfId="4249" xr:uid="{00000000-0005-0000-0000-0000D4290000}"/>
    <cellStyle name="Normal 5 3 2 2 5 2 4 2" xfId="18761" xr:uid="{00000000-0005-0000-0000-0000D5290000}"/>
    <cellStyle name="Normal 5 3 2 2 5 2 4 3" xfId="11505" xr:uid="{00000000-0005-0000-0000-0000D6290000}"/>
    <cellStyle name="Normal 5 3 2 2 5 2 5" xfId="15133" xr:uid="{00000000-0005-0000-0000-0000D7290000}"/>
    <cellStyle name="Normal 5 3 2 2 5 2 6" xfId="7877" xr:uid="{00000000-0005-0000-0000-0000D8290000}"/>
    <cellStyle name="Normal 5 3 2 2 5 3" xfId="1182" xr:uid="{00000000-0005-0000-0000-0000D9290000}"/>
    <cellStyle name="Normal 5 3 2 2 5 3 2" xfId="2996" xr:uid="{00000000-0005-0000-0000-0000DA290000}"/>
    <cellStyle name="Normal 5 3 2 2 5 3 2 2" xfId="6624" xr:uid="{00000000-0005-0000-0000-0000DB290000}"/>
    <cellStyle name="Normal 5 3 2 2 5 3 2 2 2" xfId="21136" xr:uid="{00000000-0005-0000-0000-0000DC290000}"/>
    <cellStyle name="Normal 5 3 2 2 5 3 2 2 3" xfId="13880" xr:uid="{00000000-0005-0000-0000-0000DD290000}"/>
    <cellStyle name="Normal 5 3 2 2 5 3 2 3" xfId="17508" xr:uid="{00000000-0005-0000-0000-0000DE290000}"/>
    <cellStyle name="Normal 5 3 2 2 5 3 2 4" xfId="10252" xr:uid="{00000000-0005-0000-0000-0000DF290000}"/>
    <cellStyle name="Normal 5 3 2 2 5 3 3" xfId="4810" xr:uid="{00000000-0005-0000-0000-0000E0290000}"/>
    <cellStyle name="Normal 5 3 2 2 5 3 3 2" xfId="19322" xr:uid="{00000000-0005-0000-0000-0000E1290000}"/>
    <cellStyle name="Normal 5 3 2 2 5 3 3 3" xfId="12066" xr:uid="{00000000-0005-0000-0000-0000E2290000}"/>
    <cellStyle name="Normal 5 3 2 2 5 3 4" xfId="15694" xr:uid="{00000000-0005-0000-0000-0000E3290000}"/>
    <cellStyle name="Normal 5 3 2 2 5 3 5" xfId="8438" xr:uid="{00000000-0005-0000-0000-0000E4290000}"/>
    <cellStyle name="Normal 5 3 2 2 5 4" xfId="2089" xr:uid="{00000000-0005-0000-0000-0000E5290000}"/>
    <cellStyle name="Normal 5 3 2 2 5 4 2" xfId="5717" xr:uid="{00000000-0005-0000-0000-0000E6290000}"/>
    <cellStyle name="Normal 5 3 2 2 5 4 2 2" xfId="20229" xr:uid="{00000000-0005-0000-0000-0000E7290000}"/>
    <cellStyle name="Normal 5 3 2 2 5 4 2 3" xfId="12973" xr:uid="{00000000-0005-0000-0000-0000E8290000}"/>
    <cellStyle name="Normal 5 3 2 2 5 4 3" xfId="16601" xr:uid="{00000000-0005-0000-0000-0000E9290000}"/>
    <cellStyle name="Normal 5 3 2 2 5 4 4" xfId="9345" xr:uid="{00000000-0005-0000-0000-0000EA290000}"/>
    <cellStyle name="Normal 5 3 2 2 5 5" xfId="3903" xr:uid="{00000000-0005-0000-0000-0000EB290000}"/>
    <cellStyle name="Normal 5 3 2 2 5 5 2" xfId="18415" xr:uid="{00000000-0005-0000-0000-0000EC290000}"/>
    <cellStyle name="Normal 5 3 2 2 5 5 3" xfId="11159" xr:uid="{00000000-0005-0000-0000-0000ED290000}"/>
    <cellStyle name="Normal 5 3 2 2 5 6" xfId="14787" xr:uid="{00000000-0005-0000-0000-0000EE290000}"/>
    <cellStyle name="Normal 5 3 2 2 5 7" xfId="7531" xr:uid="{00000000-0005-0000-0000-0000EF290000}"/>
    <cellStyle name="Normal 5 3 2 2 6" xfId="750" xr:uid="{00000000-0005-0000-0000-0000F0290000}"/>
    <cellStyle name="Normal 5 3 2 2 6 2" xfId="1658" xr:uid="{00000000-0005-0000-0000-0000F1290000}"/>
    <cellStyle name="Normal 5 3 2 2 6 2 2" xfId="3472" xr:uid="{00000000-0005-0000-0000-0000F2290000}"/>
    <cellStyle name="Normal 5 3 2 2 6 2 2 2" xfId="7100" xr:uid="{00000000-0005-0000-0000-0000F3290000}"/>
    <cellStyle name="Normal 5 3 2 2 6 2 2 2 2" xfId="21612" xr:uid="{00000000-0005-0000-0000-0000F4290000}"/>
    <cellStyle name="Normal 5 3 2 2 6 2 2 2 3" xfId="14356" xr:uid="{00000000-0005-0000-0000-0000F5290000}"/>
    <cellStyle name="Normal 5 3 2 2 6 2 2 3" xfId="17984" xr:uid="{00000000-0005-0000-0000-0000F6290000}"/>
    <cellStyle name="Normal 5 3 2 2 6 2 2 4" xfId="10728" xr:uid="{00000000-0005-0000-0000-0000F7290000}"/>
    <cellStyle name="Normal 5 3 2 2 6 2 3" xfId="5286" xr:uid="{00000000-0005-0000-0000-0000F8290000}"/>
    <cellStyle name="Normal 5 3 2 2 6 2 3 2" xfId="19798" xr:uid="{00000000-0005-0000-0000-0000F9290000}"/>
    <cellStyle name="Normal 5 3 2 2 6 2 3 3" xfId="12542" xr:uid="{00000000-0005-0000-0000-0000FA290000}"/>
    <cellStyle name="Normal 5 3 2 2 6 2 4" xfId="16170" xr:uid="{00000000-0005-0000-0000-0000FB290000}"/>
    <cellStyle name="Normal 5 3 2 2 6 2 5" xfId="8914" xr:uid="{00000000-0005-0000-0000-0000FC290000}"/>
    <cellStyle name="Normal 5 3 2 2 6 3" xfId="2565" xr:uid="{00000000-0005-0000-0000-0000FD290000}"/>
    <cellStyle name="Normal 5 3 2 2 6 3 2" xfId="6193" xr:uid="{00000000-0005-0000-0000-0000FE290000}"/>
    <cellStyle name="Normal 5 3 2 2 6 3 2 2" xfId="20705" xr:uid="{00000000-0005-0000-0000-0000FF290000}"/>
    <cellStyle name="Normal 5 3 2 2 6 3 2 3" xfId="13449" xr:uid="{00000000-0005-0000-0000-0000002A0000}"/>
    <cellStyle name="Normal 5 3 2 2 6 3 3" xfId="17077" xr:uid="{00000000-0005-0000-0000-0000012A0000}"/>
    <cellStyle name="Normal 5 3 2 2 6 3 4" xfId="9821" xr:uid="{00000000-0005-0000-0000-0000022A0000}"/>
    <cellStyle name="Normal 5 3 2 2 6 4" xfId="4379" xr:uid="{00000000-0005-0000-0000-0000032A0000}"/>
    <cellStyle name="Normal 5 3 2 2 6 4 2" xfId="18891" xr:uid="{00000000-0005-0000-0000-0000042A0000}"/>
    <cellStyle name="Normal 5 3 2 2 6 4 3" xfId="11635" xr:uid="{00000000-0005-0000-0000-0000052A0000}"/>
    <cellStyle name="Normal 5 3 2 2 6 5" xfId="15263" xr:uid="{00000000-0005-0000-0000-0000062A0000}"/>
    <cellStyle name="Normal 5 3 2 2 6 6" xfId="8007" xr:uid="{00000000-0005-0000-0000-0000072A0000}"/>
    <cellStyle name="Normal 5 3 2 2 7" xfId="404" xr:uid="{00000000-0005-0000-0000-0000082A0000}"/>
    <cellStyle name="Normal 5 3 2 2 7 2" xfId="1312" xr:uid="{00000000-0005-0000-0000-0000092A0000}"/>
    <cellStyle name="Normal 5 3 2 2 7 2 2" xfId="3126" xr:uid="{00000000-0005-0000-0000-00000A2A0000}"/>
    <cellStyle name="Normal 5 3 2 2 7 2 2 2" xfId="6754" xr:uid="{00000000-0005-0000-0000-00000B2A0000}"/>
    <cellStyle name="Normal 5 3 2 2 7 2 2 2 2" xfId="21266" xr:uid="{00000000-0005-0000-0000-00000C2A0000}"/>
    <cellStyle name="Normal 5 3 2 2 7 2 2 2 3" xfId="14010" xr:uid="{00000000-0005-0000-0000-00000D2A0000}"/>
    <cellStyle name="Normal 5 3 2 2 7 2 2 3" xfId="17638" xr:uid="{00000000-0005-0000-0000-00000E2A0000}"/>
    <cellStyle name="Normal 5 3 2 2 7 2 2 4" xfId="10382" xr:uid="{00000000-0005-0000-0000-00000F2A0000}"/>
    <cellStyle name="Normal 5 3 2 2 7 2 3" xfId="4940" xr:uid="{00000000-0005-0000-0000-0000102A0000}"/>
    <cellStyle name="Normal 5 3 2 2 7 2 3 2" xfId="19452" xr:uid="{00000000-0005-0000-0000-0000112A0000}"/>
    <cellStyle name="Normal 5 3 2 2 7 2 3 3" xfId="12196" xr:uid="{00000000-0005-0000-0000-0000122A0000}"/>
    <cellStyle name="Normal 5 3 2 2 7 2 4" xfId="15824" xr:uid="{00000000-0005-0000-0000-0000132A0000}"/>
    <cellStyle name="Normal 5 3 2 2 7 2 5" xfId="8568" xr:uid="{00000000-0005-0000-0000-0000142A0000}"/>
    <cellStyle name="Normal 5 3 2 2 7 3" xfId="2219" xr:uid="{00000000-0005-0000-0000-0000152A0000}"/>
    <cellStyle name="Normal 5 3 2 2 7 3 2" xfId="5847" xr:uid="{00000000-0005-0000-0000-0000162A0000}"/>
    <cellStyle name="Normal 5 3 2 2 7 3 2 2" xfId="20359" xr:uid="{00000000-0005-0000-0000-0000172A0000}"/>
    <cellStyle name="Normal 5 3 2 2 7 3 2 3" xfId="13103" xr:uid="{00000000-0005-0000-0000-0000182A0000}"/>
    <cellStyle name="Normal 5 3 2 2 7 3 3" xfId="16731" xr:uid="{00000000-0005-0000-0000-0000192A0000}"/>
    <cellStyle name="Normal 5 3 2 2 7 3 4" xfId="9475" xr:uid="{00000000-0005-0000-0000-00001A2A0000}"/>
    <cellStyle name="Normal 5 3 2 2 7 4" xfId="4033" xr:uid="{00000000-0005-0000-0000-00001B2A0000}"/>
    <cellStyle name="Normal 5 3 2 2 7 4 2" xfId="18545" xr:uid="{00000000-0005-0000-0000-00001C2A0000}"/>
    <cellStyle name="Normal 5 3 2 2 7 4 3" xfId="11289" xr:uid="{00000000-0005-0000-0000-00001D2A0000}"/>
    <cellStyle name="Normal 5 3 2 2 7 5" xfId="14917" xr:uid="{00000000-0005-0000-0000-00001E2A0000}"/>
    <cellStyle name="Normal 5 3 2 2 7 6" xfId="7661" xr:uid="{00000000-0005-0000-0000-00001F2A0000}"/>
    <cellStyle name="Normal 5 3 2 2 8" xfId="881" xr:uid="{00000000-0005-0000-0000-0000202A0000}"/>
    <cellStyle name="Normal 5 3 2 2 8 2" xfId="1789" xr:uid="{00000000-0005-0000-0000-0000212A0000}"/>
    <cellStyle name="Normal 5 3 2 2 8 2 2" xfId="3603" xr:uid="{00000000-0005-0000-0000-0000222A0000}"/>
    <cellStyle name="Normal 5 3 2 2 8 2 2 2" xfId="7231" xr:uid="{00000000-0005-0000-0000-0000232A0000}"/>
    <cellStyle name="Normal 5 3 2 2 8 2 2 2 2" xfId="21743" xr:uid="{00000000-0005-0000-0000-0000242A0000}"/>
    <cellStyle name="Normal 5 3 2 2 8 2 2 2 3" xfId="14487" xr:uid="{00000000-0005-0000-0000-0000252A0000}"/>
    <cellStyle name="Normal 5 3 2 2 8 2 2 3" xfId="18115" xr:uid="{00000000-0005-0000-0000-0000262A0000}"/>
    <cellStyle name="Normal 5 3 2 2 8 2 2 4" xfId="10859" xr:uid="{00000000-0005-0000-0000-0000272A0000}"/>
    <cellStyle name="Normal 5 3 2 2 8 2 3" xfId="5417" xr:uid="{00000000-0005-0000-0000-0000282A0000}"/>
    <cellStyle name="Normal 5 3 2 2 8 2 3 2" xfId="19929" xr:uid="{00000000-0005-0000-0000-0000292A0000}"/>
    <cellStyle name="Normal 5 3 2 2 8 2 3 3" xfId="12673" xr:uid="{00000000-0005-0000-0000-00002A2A0000}"/>
    <cellStyle name="Normal 5 3 2 2 8 2 4" xfId="16301" xr:uid="{00000000-0005-0000-0000-00002B2A0000}"/>
    <cellStyle name="Normal 5 3 2 2 8 2 5" xfId="9045" xr:uid="{00000000-0005-0000-0000-00002C2A0000}"/>
    <cellStyle name="Normal 5 3 2 2 8 3" xfId="2696" xr:uid="{00000000-0005-0000-0000-00002D2A0000}"/>
    <cellStyle name="Normal 5 3 2 2 8 3 2" xfId="6324" xr:uid="{00000000-0005-0000-0000-00002E2A0000}"/>
    <cellStyle name="Normal 5 3 2 2 8 3 2 2" xfId="20836" xr:uid="{00000000-0005-0000-0000-00002F2A0000}"/>
    <cellStyle name="Normal 5 3 2 2 8 3 2 3" xfId="13580" xr:uid="{00000000-0005-0000-0000-0000302A0000}"/>
    <cellStyle name="Normal 5 3 2 2 8 3 3" xfId="17208" xr:uid="{00000000-0005-0000-0000-0000312A0000}"/>
    <cellStyle name="Normal 5 3 2 2 8 3 4" xfId="9952" xr:uid="{00000000-0005-0000-0000-0000322A0000}"/>
    <cellStyle name="Normal 5 3 2 2 8 4" xfId="4510" xr:uid="{00000000-0005-0000-0000-0000332A0000}"/>
    <cellStyle name="Normal 5 3 2 2 8 4 2" xfId="19022" xr:uid="{00000000-0005-0000-0000-0000342A0000}"/>
    <cellStyle name="Normal 5 3 2 2 8 4 3" xfId="11766" xr:uid="{00000000-0005-0000-0000-0000352A0000}"/>
    <cellStyle name="Normal 5 3 2 2 8 5" xfId="15394" xr:uid="{00000000-0005-0000-0000-0000362A0000}"/>
    <cellStyle name="Normal 5 3 2 2 8 6" xfId="8138" xr:uid="{00000000-0005-0000-0000-0000372A0000}"/>
    <cellStyle name="Normal 5 3 2 2 9" xfId="966" xr:uid="{00000000-0005-0000-0000-0000382A0000}"/>
    <cellStyle name="Normal 5 3 2 2 9 2" xfId="2780" xr:uid="{00000000-0005-0000-0000-0000392A0000}"/>
    <cellStyle name="Normal 5 3 2 2 9 2 2" xfId="6408" xr:uid="{00000000-0005-0000-0000-00003A2A0000}"/>
    <cellStyle name="Normal 5 3 2 2 9 2 2 2" xfId="20920" xr:uid="{00000000-0005-0000-0000-00003B2A0000}"/>
    <cellStyle name="Normal 5 3 2 2 9 2 2 3" xfId="13664" xr:uid="{00000000-0005-0000-0000-00003C2A0000}"/>
    <cellStyle name="Normal 5 3 2 2 9 2 3" xfId="17292" xr:uid="{00000000-0005-0000-0000-00003D2A0000}"/>
    <cellStyle name="Normal 5 3 2 2 9 2 4" xfId="10036" xr:uid="{00000000-0005-0000-0000-00003E2A0000}"/>
    <cellStyle name="Normal 5 3 2 2 9 3" xfId="4594" xr:uid="{00000000-0005-0000-0000-00003F2A0000}"/>
    <cellStyle name="Normal 5 3 2 2 9 3 2" xfId="19106" xr:uid="{00000000-0005-0000-0000-0000402A0000}"/>
    <cellStyle name="Normal 5 3 2 2 9 3 3" xfId="11850" xr:uid="{00000000-0005-0000-0000-0000412A0000}"/>
    <cellStyle name="Normal 5 3 2 2 9 4" xfId="15478" xr:uid="{00000000-0005-0000-0000-0000422A0000}"/>
    <cellStyle name="Normal 5 3 2 2 9 5" xfId="8222" xr:uid="{00000000-0005-0000-0000-0000432A0000}"/>
    <cellStyle name="Normal 5 3 2 3" xfId="77" xr:uid="{00000000-0005-0000-0000-0000442A0000}"/>
    <cellStyle name="Normal 5 3 2 3 10" xfId="14592" xr:uid="{00000000-0005-0000-0000-0000452A0000}"/>
    <cellStyle name="Normal 5 3 2 3 11" xfId="7336" xr:uid="{00000000-0005-0000-0000-0000462A0000}"/>
    <cellStyle name="Normal 5 3 2 3 2" xfId="165" xr:uid="{00000000-0005-0000-0000-0000472A0000}"/>
    <cellStyle name="Normal 5 3 2 3 2 2" xfId="511" xr:uid="{00000000-0005-0000-0000-0000482A0000}"/>
    <cellStyle name="Normal 5 3 2 3 2 2 2" xfId="1419" xr:uid="{00000000-0005-0000-0000-0000492A0000}"/>
    <cellStyle name="Normal 5 3 2 3 2 2 2 2" xfId="3233" xr:uid="{00000000-0005-0000-0000-00004A2A0000}"/>
    <cellStyle name="Normal 5 3 2 3 2 2 2 2 2" xfId="6861" xr:uid="{00000000-0005-0000-0000-00004B2A0000}"/>
    <cellStyle name="Normal 5 3 2 3 2 2 2 2 2 2" xfId="21373" xr:uid="{00000000-0005-0000-0000-00004C2A0000}"/>
    <cellStyle name="Normal 5 3 2 3 2 2 2 2 2 3" xfId="14117" xr:uid="{00000000-0005-0000-0000-00004D2A0000}"/>
    <cellStyle name="Normal 5 3 2 3 2 2 2 2 3" xfId="17745" xr:uid="{00000000-0005-0000-0000-00004E2A0000}"/>
    <cellStyle name="Normal 5 3 2 3 2 2 2 2 4" xfId="10489" xr:uid="{00000000-0005-0000-0000-00004F2A0000}"/>
    <cellStyle name="Normal 5 3 2 3 2 2 2 3" xfId="5047" xr:uid="{00000000-0005-0000-0000-0000502A0000}"/>
    <cellStyle name="Normal 5 3 2 3 2 2 2 3 2" xfId="19559" xr:uid="{00000000-0005-0000-0000-0000512A0000}"/>
    <cellStyle name="Normal 5 3 2 3 2 2 2 3 3" xfId="12303" xr:uid="{00000000-0005-0000-0000-0000522A0000}"/>
    <cellStyle name="Normal 5 3 2 3 2 2 2 4" xfId="15931" xr:uid="{00000000-0005-0000-0000-0000532A0000}"/>
    <cellStyle name="Normal 5 3 2 3 2 2 2 5" xfId="8675" xr:uid="{00000000-0005-0000-0000-0000542A0000}"/>
    <cellStyle name="Normal 5 3 2 3 2 2 3" xfId="2326" xr:uid="{00000000-0005-0000-0000-0000552A0000}"/>
    <cellStyle name="Normal 5 3 2 3 2 2 3 2" xfId="5954" xr:uid="{00000000-0005-0000-0000-0000562A0000}"/>
    <cellStyle name="Normal 5 3 2 3 2 2 3 2 2" xfId="20466" xr:uid="{00000000-0005-0000-0000-0000572A0000}"/>
    <cellStyle name="Normal 5 3 2 3 2 2 3 2 3" xfId="13210" xr:uid="{00000000-0005-0000-0000-0000582A0000}"/>
    <cellStyle name="Normal 5 3 2 3 2 2 3 3" xfId="16838" xr:uid="{00000000-0005-0000-0000-0000592A0000}"/>
    <cellStyle name="Normal 5 3 2 3 2 2 3 4" xfId="9582" xr:uid="{00000000-0005-0000-0000-00005A2A0000}"/>
    <cellStyle name="Normal 5 3 2 3 2 2 4" xfId="4140" xr:uid="{00000000-0005-0000-0000-00005B2A0000}"/>
    <cellStyle name="Normal 5 3 2 3 2 2 4 2" xfId="18652" xr:uid="{00000000-0005-0000-0000-00005C2A0000}"/>
    <cellStyle name="Normal 5 3 2 3 2 2 4 3" xfId="11396" xr:uid="{00000000-0005-0000-0000-00005D2A0000}"/>
    <cellStyle name="Normal 5 3 2 3 2 2 5" xfId="15024" xr:uid="{00000000-0005-0000-0000-00005E2A0000}"/>
    <cellStyle name="Normal 5 3 2 3 2 2 6" xfId="7768" xr:uid="{00000000-0005-0000-0000-00005F2A0000}"/>
    <cellStyle name="Normal 5 3 2 3 2 3" xfId="1073" xr:uid="{00000000-0005-0000-0000-0000602A0000}"/>
    <cellStyle name="Normal 5 3 2 3 2 3 2" xfId="2887" xr:uid="{00000000-0005-0000-0000-0000612A0000}"/>
    <cellStyle name="Normal 5 3 2 3 2 3 2 2" xfId="6515" xr:uid="{00000000-0005-0000-0000-0000622A0000}"/>
    <cellStyle name="Normal 5 3 2 3 2 3 2 2 2" xfId="21027" xr:uid="{00000000-0005-0000-0000-0000632A0000}"/>
    <cellStyle name="Normal 5 3 2 3 2 3 2 2 3" xfId="13771" xr:uid="{00000000-0005-0000-0000-0000642A0000}"/>
    <cellStyle name="Normal 5 3 2 3 2 3 2 3" xfId="17399" xr:uid="{00000000-0005-0000-0000-0000652A0000}"/>
    <cellStyle name="Normal 5 3 2 3 2 3 2 4" xfId="10143" xr:uid="{00000000-0005-0000-0000-0000662A0000}"/>
    <cellStyle name="Normal 5 3 2 3 2 3 3" xfId="4701" xr:uid="{00000000-0005-0000-0000-0000672A0000}"/>
    <cellStyle name="Normal 5 3 2 3 2 3 3 2" xfId="19213" xr:uid="{00000000-0005-0000-0000-0000682A0000}"/>
    <cellStyle name="Normal 5 3 2 3 2 3 3 3" xfId="11957" xr:uid="{00000000-0005-0000-0000-0000692A0000}"/>
    <cellStyle name="Normal 5 3 2 3 2 3 4" xfId="15585" xr:uid="{00000000-0005-0000-0000-00006A2A0000}"/>
    <cellStyle name="Normal 5 3 2 3 2 3 5" xfId="8329" xr:uid="{00000000-0005-0000-0000-00006B2A0000}"/>
    <cellStyle name="Normal 5 3 2 3 2 4" xfId="1980" xr:uid="{00000000-0005-0000-0000-00006C2A0000}"/>
    <cellStyle name="Normal 5 3 2 3 2 4 2" xfId="5608" xr:uid="{00000000-0005-0000-0000-00006D2A0000}"/>
    <cellStyle name="Normal 5 3 2 3 2 4 2 2" xfId="20120" xr:uid="{00000000-0005-0000-0000-00006E2A0000}"/>
    <cellStyle name="Normal 5 3 2 3 2 4 2 3" xfId="12864" xr:uid="{00000000-0005-0000-0000-00006F2A0000}"/>
    <cellStyle name="Normal 5 3 2 3 2 4 3" xfId="16492" xr:uid="{00000000-0005-0000-0000-0000702A0000}"/>
    <cellStyle name="Normal 5 3 2 3 2 4 4" xfId="9236" xr:uid="{00000000-0005-0000-0000-0000712A0000}"/>
    <cellStyle name="Normal 5 3 2 3 2 5" xfId="3794" xr:uid="{00000000-0005-0000-0000-0000722A0000}"/>
    <cellStyle name="Normal 5 3 2 3 2 5 2" xfId="18306" xr:uid="{00000000-0005-0000-0000-0000732A0000}"/>
    <cellStyle name="Normal 5 3 2 3 2 5 3" xfId="11050" xr:uid="{00000000-0005-0000-0000-0000742A0000}"/>
    <cellStyle name="Normal 5 3 2 3 2 6" xfId="14678" xr:uid="{00000000-0005-0000-0000-0000752A0000}"/>
    <cellStyle name="Normal 5 3 2 3 2 7" xfId="7422" xr:uid="{00000000-0005-0000-0000-0000762A0000}"/>
    <cellStyle name="Normal 5 3 2 3 3" xfId="295" xr:uid="{00000000-0005-0000-0000-0000772A0000}"/>
    <cellStyle name="Normal 5 3 2 3 3 2" xfId="641" xr:uid="{00000000-0005-0000-0000-0000782A0000}"/>
    <cellStyle name="Normal 5 3 2 3 3 2 2" xfId="1549" xr:uid="{00000000-0005-0000-0000-0000792A0000}"/>
    <cellStyle name="Normal 5 3 2 3 3 2 2 2" xfId="3363" xr:uid="{00000000-0005-0000-0000-00007A2A0000}"/>
    <cellStyle name="Normal 5 3 2 3 3 2 2 2 2" xfId="6991" xr:uid="{00000000-0005-0000-0000-00007B2A0000}"/>
    <cellStyle name="Normal 5 3 2 3 3 2 2 2 2 2" xfId="21503" xr:uid="{00000000-0005-0000-0000-00007C2A0000}"/>
    <cellStyle name="Normal 5 3 2 3 3 2 2 2 2 3" xfId="14247" xr:uid="{00000000-0005-0000-0000-00007D2A0000}"/>
    <cellStyle name="Normal 5 3 2 3 3 2 2 2 3" xfId="17875" xr:uid="{00000000-0005-0000-0000-00007E2A0000}"/>
    <cellStyle name="Normal 5 3 2 3 3 2 2 2 4" xfId="10619" xr:uid="{00000000-0005-0000-0000-00007F2A0000}"/>
    <cellStyle name="Normal 5 3 2 3 3 2 2 3" xfId="5177" xr:uid="{00000000-0005-0000-0000-0000802A0000}"/>
    <cellStyle name="Normal 5 3 2 3 3 2 2 3 2" xfId="19689" xr:uid="{00000000-0005-0000-0000-0000812A0000}"/>
    <cellStyle name="Normal 5 3 2 3 3 2 2 3 3" xfId="12433" xr:uid="{00000000-0005-0000-0000-0000822A0000}"/>
    <cellStyle name="Normal 5 3 2 3 3 2 2 4" xfId="16061" xr:uid="{00000000-0005-0000-0000-0000832A0000}"/>
    <cellStyle name="Normal 5 3 2 3 3 2 2 5" xfId="8805" xr:uid="{00000000-0005-0000-0000-0000842A0000}"/>
    <cellStyle name="Normal 5 3 2 3 3 2 3" xfId="2456" xr:uid="{00000000-0005-0000-0000-0000852A0000}"/>
    <cellStyle name="Normal 5 3 2 3 3 2 3 2" xfId="6084" xr:uid="{00000000-0005-0000-0000-0000862A0000}"/>
    <cellStyle name="Normal 5 3 2 3 3 2 3 2 2" xfId="20596" xr:uid="{00000000-0005-0000-0000-0000872A0000}"/>
    <cellStyle name="Normal 5 3 2 3 3 2 3 2 3" xfId="13340" xr:uid="{00000000-0005-0000-0000-0000882A0000}"/>
    <cellStyle name="Normal 5 3 2 3 3 2 3 3" xfId="16968" xr:uid="{00000000-0005-0000-0000-0000892A0000}"/>
    <cellStyle name="Normal 5 3 2 3 3 2 3 4" xfId="9712" xr:uid="{00000000-0005-0000-0000-00008A2A0000}"/>
    <cellStyle name="Normal 5 3 2 3 3 2 4" xfId="4270" xr:uid="{00000000-0005-0000-0000-00008B2A0000}"/>
    <cellStyle name="Normal 5 3 2 3 3 2 4 2" xfId="18782" xr:uid="{00000000-0005-0000-0000-00008C2A0000}"/>
    <cellStyle name="Normal 5 3 2 3 3 2 4 3" xfId="11526" xr:uid="{00000000-0005-0000-0000-00008D2A0000}"/>
    <cellStyle name="Normal 5 3 2 3 3 2 5" xfId="15154" xr:uid="{00000000-0005-0000-0000-00008E2A0000}"/>
    <cellStyle name="Normal 5 3 2 3 3 2 6" xfId="7898" xr:uid="{00000000-0005-0000-0000-00008F2A0000}"/>
    <cellStyle name="Normal 5 3 2 3 3 3" xfId="1203" xr:uid="{00000000-0005-0000-0000-0000902A0000}"/>
    <cellStyle name="Normal 5 3 2 3 3 3 2" xfId="3017" xr:uid="{00000000-0005-0000-0000-0000912A0000}"/>
    <cellStyle name="Normal 5 3 2 3 3 3 2 2" xfId="6645" xr:uid="{00000000-0005-0000-0000-0000922A0000}"/>
    <cellStyle name="Normal 5 3 2 3 3 3 2 2 2" xfId="21157" xr:uid="{00000000-0005-0000-0000-0000932A0000}"/>
    <cellStyle name="Normal 5 3 2 3 3 3 2 2 3" xfId="13901" xr:uid="{00000000-0005-0000-0000-0000942A0000}"/>
    <cellStyle name="Normal 5 3 2 3 3 3 2 3" xfId="17529" xr:uid="{00000000-0005-0000-0000-0000952A0000}"/>
    <cellStyle name="Normal 5 3 2 3 3 3 2 4" xfId="10273" xr:uid="{00000000-0005-0000-0000-0000962A0000}"/>
    <cellStyle name="Normal 5 3 2 3 3 3 3" xfId="4831" xr:uid="{00000000-0005-0000-0000-0000972A0000}"/>
    <cellStyle name="Normal 5 3 2 3 3 3 3 2" xfId="19343" xr:uid="{00000000-0005-0000-0000-0000982A0000}"/>
    <cellStyle name="Normal 5 3 2 3 3 3 3 3" xfId="12087" xr:uid="{00000000-0005-0000-0000-0000992A0000}"/>
    <cellStyle name="Normal 5 3 2 3 3 3 4" xfId="15715" xr:uid="{00000000-0005-0000-0000-00009A2A0000}"/>
    <cellStyle name="Normal 5 3 2 3 3 3 5" xfId="8459" xr:uid="{00000000-0005-0000-0000-00009B2A0000}"/>
    <cellStyle name="Normal 5 3 2 3 3 4" xfId="2110" xr:uid="{00000000-0005-0000-0000-00009C2A0000}"/>
    <cellStyle name="Normal 5 3 2 3 3 4 2" xfId="5738" xr:uid="{00000000-0005-0000-0000-00009D2A0000}"/>
    <cellStyle name="Normal 5 3 2 3 3 4 2 2" xfId="20250" xr:uid="{00000000-0005-0000-0000-00009E2A0000}"/>
    <cellStyle name="Normal 5 3 2 3 3 4 2 3" xfId="12994" xr:uid="{00000000-0005-0000-0000-00009F2A0000}"/>
    <cellStyle name="Normal 5 3 2 3 3 4 3" xfId="16622" xr:uid="{00000000-0005-0000-0000-0000A02A0000}"/>
    <cellStyle name="Normal 5 3 2 3 3 4 4" xfId="9366" xr:uid="{00000000-0005-0000-0000-0000A12A0000}"/>
    <cellStyle name="Normal 5 3 2 3 3 5" xfId="3924" xr:uid="{00000000-0005-0000-0000-0000A22A0000}"/>
    <cellStyle name="Normal 5 3 2 3 3 5 2" xfId="18436" xr:uid="{00000000-0005-0000-0000-0000A32A0000}"/>
    <cellStyle name="Normal 5 3 2 3 3 5 3" xfId="11180" xr:uid="{00000000-0005-0000-0000-0000A42A0000}"/>
    <cellStyle name="Normal 5 3 2 3 3 6" xfId="14808" xr:uid="{00000000-0005-0000-0000-0000A52A0000}"/>
    <cellStyle name="Normal 5 3 2 3 3 7" xfId="7552" xr:uid="{00000000-0005-0000-0000-0000A62A0000}"/>
    <cellStyle name="Normal 5 3 2 3 4" xfId="771" xr:uid="{00000000-0005-0000-0000-0000A72A0000}"/>
    <cellStyle name="Normal 5 3 2 3 4 2" xfId="1679" xr:uid="{00000000-0005-0000-0000-0000A82A0000}"/>
    <cellStyle name="Normal 5 3 2 3 4 2 2" xfId="3493" xr:uid="{00000000-0005-0000-0000-0000A92A0000}"/>
    <cellStyle name="Normal 5 3 2 3 4 2 2 2" xfId="7121" xr:uid="{00000000-0005-0000-0000-0000AA2A0000}"/>
    <cellStyle name="Normal 5 3 2 3 4 2 2 2 2" xfId="21633" xr:uid="{00000000-0005-0000-0000-0000AB2A0000}"/>
    <cellStyle name="Normal 5 3 2 3 4 2 2 2 3" xfId="14377" xr:uid="{00000000-0005-0000-0000-0000AC2A0000}"/>
    <cellStyle name="Normal 5 3 2 3 4 2 2 3" xfId="18005" xr:uid="{00000000-0005-0000-0000-0000AD2A0000}"/>
    <cellStyle name="Normal 5 3 2 3 4 2 2 4" xfId="10749" xr:uid="{00000000-0005-0000-0000-0000AE2A0000}"/>
    <cellStyle name="Normal 5 3 2 3 4 2 3" xfId="5307" xr:uid="{00000000-0005-0000-0000-0000AF2A0000}"/>
    <cellStyle name="Normal 5 3 2 3 4 2 3 2" xfId="19819" xr:uid="{00000000-0005-0000-0000-0000B02A0000}"/>
    <cellStyle name="Normal 5 3 2 3 4 2 3 3" xfId="12563" xr:uid="{00000000-0005-0000-0000-0000B12A0000}"/>
    <cellStyle name="Normal 5 3 2 3 4 2 4" xfId="16191" xr:uid="{00000000-0005-0000-0000-0000B22A0000}"/>
    <cellStyle name="Normal 5 3 2 3 4 2 5" xfId="8935" xr:uid="{00000000-0005-0000-0000-0000B32A0000}"/>
    <cellStyle name="Normal 5 3 2 3 4 3" xfId="2586" xr:uid="{00000000-0005-0000-0000-0000B42A0000}"/>
    <cellStyle name="Normal 5 3 2 3 4 3 2" xfId="6214" xr:uid="{00000000-0005-0000-0000-0000B52A0000}"/>
    <cellStyle name="Normal 5 3 2 3 4 3 2 2" xfId="20726" xr:uid="{00000000-0005-0000-0000-0000B62A0000}"/>
    <cellStyle name="Normal 5 3 2 3 4 3 2 3" xfId="13470" xr:uid="{00000000-0005-0000-0000-0000B72A0000}"/>
    <cellStyle name="Normal 5 3 2 3 4 3 3" xfId="17098" xr:uid="{00000000-0005-0000-0000-0000B82A0000}"/>
    <cellStyle name="Normal 5 3 2 3 4 3 4" xfId="9842" xr:uid="{00000000-0005-0000-0000-0000B92A0000}"/>
    <cellStyle name="Normal 5 3 2 3 4 4" xfId="4400" xr:uid="{00000000-0005-0000-0000-0000BA2A0000}"/>
    <cellStyle name="Normal 5 3 2 3 4 4 2" xfId="18912" xr:uid="{00000000-0005-0000-0000-0000BB2A0000}"/>
    <cellStyle name="Normal 5 3 2 3 4 4 3" xfId="11656" xr:uid="{00000000-0005-0000-0000-0000BC2A0000}"/>
    <cellStyle name="Normal 5 3 2 3 4 5" xfId="15284" xr:uid="{00000000-0005-0000-0000-0000BD2A0000}"/>
    <cellStyle name="Normal 5 3 2 3 4 6" xfId="8028" xr:uid="{00000000-0005-0000-0000-0000BE2A0000}"/>
    <cellStyle name="Normal 5 3 2 3 5" xfId="425" xr:uid="{00000000-0005-0000-0000-0000BF2A0000}"/>
    <cellStyle name="Normal 5 3 2 3 5 2" xfId="1333" xr:uid="{00000000-0005-0000-0000-0000C02A0000}"/>
    <cellStyle name="Normal 5 3 2 3 5 2 2" xfId="3147" xr:uid="{00000000-0005-0000-0000-0000C12A0000}"/>
    <cellStyle name="Normal 5 3 2 3 5 2 2 2" xfId="6775" xr:uid="{00000000-0005-0000-0000-0000C22A0000}"/>
    <cellStyle name="Normal 5 3 2 3 5 2 2 2 2" xfId="21287" xr:uid="{00000000-0005-0000-0000-0000C32A0000}"/>
    <cellStyle name="Normal 5 3 2 3 5 2 2 2 3" xfId="14031" xr:uid="{00000000-0005-0000-0000-0000C42A0000}"/>
    <cellStyle name="Normal 5 3 2 3 5 2 2 3" xfId="17659" xr:uid="{00000000-0005-0000-0000-0000C52A0000}"/>
    <cellStyle name="Normal 5 3 2 3 5 2 2 4" xfId="10403" xr:uid="{00000000-0005-0000-0000-0000C62A0000}"/>
    <cellStyle name="Normal 5 3 2 3 5 2 3" xfId="4961" xr:uid="{00000000-0005-0000-0000-0000C72A0000}"/>
    <cellStyle name="Normal 5 3 2 3 5 2 3 2" xfId="19473" xr:uid="{00000000-0005-0000-0000-0000C82A0000}"/>
    <cellStyle name="Normal 5 3 2 3 5 2 3 3" xfId="12217" xr:uid="{00000000-0005-0000-0000-0000C92A0000}"/>
    <cellStyle name="Normal 5 3 2 3 5 2 4" xfId="15845" xr:uid="{00000000-0005-0000-0000-0000CA2A0000}"/>
    <cellStyle name="Normal 5 3 2 3 5 2 5" xfId="8589" xr:uid="{00000000-0005-0000-0000-0000CB2A0000}"/>
    <cellStyle name="Normal 5 3 2 3 5 3" xfId="2240" xr:uid="{00000000-0005-0000-0000-0000CC2A0000}"/>
    <cellStyle name="Normal 5 3 2 3 5 3 2" xfId="5868" xr:uid="{00000000-0005-0000-0000-0000CD2A0000}"/>
    <cellStyle name="Normal 5 3 2 3 5 3 2 2" xfId="20380" xr:uid="{00000000-0005-0000-0000-0000CE2A0000}"/>
    <cellStyle name="Normal 5 3 2 3 5 3 2 3" xfId="13124" xr:uid="{00000000-0005-0000-0000-0000CF2A0000}"/>
    <cellStyle name="Normal 5 3 2 3 5 3 3" xfId="16752" xr:uid="{00000000-0005-0000-0000-0000D02A0000}"/>
    <cellStyle name="Normal 5 3 2 3 5 3 4" xfId="9496" xr:uid="{00000000-0005-0000-0000-0000D12A0000}"/>
    <cellStyle name="Normal 5 3 2 3 5 4" xfId="4054" xr:uid="{00000000-0005-0000-0000-0000D22A0000}"/>
    <cellStyle name="Normal 5 3 2 3 5 4 2" xfId="18566" xr:uid="{00000000-0005-0000-0000-0000D32A0000}"/>
    <cellStyle name="Normal 5 3 2 3 5 4 3" xfId="11310" xr:uid="{00000000-0005-0000-0000-0000D42A0000}"/>
    <cellStyle name="Normal 5 3 2 3 5 5" xfId="14938" xr:uid="{00000000-0005-0000-0000-0000D52A0000}"/>
    <cellStyle name="Normal 5 3 2 3 5 6" xfId="7682" xr:uid="{00000000-0005-0000-0000-0000D62A0000}"/>
    <cellStyle name="Normal 5 3 2 3 6" xfId="903" xr:uid="{00000000-0005-0000-0000-0000D72A0000}"/>
    <cellStyle name="Normal 5 3 2 3 6 2" xfId="1810" xr:uid="{00000000-0005-0000-0000-0000D82A0000}"/>
    <cellStyle name="Normal 5 3 2 3 6 2 2" xfId="3624" xr:uid="{00000000-0005-0000-0000-0000D92A0000}"/>
    <cellStyle name="Normal 5 3 2 3 6 2 2 2" xfId="7252" xr:uid="{00000000-0005-0000-0000-0000DA2A0000}"/>
    <cellStyle name="Normal 5 3 2 3 6 2 2 2 2" xfId="21764" xr:uid="{00000000-0005-0000-0000-0000DB2A0000}"/>
    <cellStyle name="Normal 5 3 2 3 6 2 2 2 3" xfId="14508" xr:uid="{00000000-0005-0000-0000-0000DC2A0000}"/>
    <cellStyle name="Normal 5 3 2 3 6 2 2 3" xfId="18136" xr:uid="{00000000-0005-0000-0000-0000DD2A0000}"/>
    <cellStyle name="Normal 5 3 2 3 6 2 2 4" xfId="10880" xr:uid="{00000000-0005-0000-0000-0000DE2A0000}"/>
    <cellStyle name="Normal 5 3 2 3 6 2 3" xfId="5438" xr:uid="{00000000-0005-0000-0000-0000DF2A0000}"/>
    <cellStyle name="Normal 5 3 2 3 6 2 3 2" xfId="19950" xr:uid="{00000000-0005-0000-0000-0000E02A0000}"/>
    <cellStyle name="Normal 5 3 2 3 6 2 3 3" xfId="12694" xr:uid="{00000000-0005-0000-0000-0000E12A0000}"/>
    <cellStyle name="Normal 5 3 2 3 6 2 4" xfId="16322" xr:uid="{00000000-0005-0000-0000-0000E22A0000}"/>
    <cellStyle name="Normal 5 3 2 3 6 2 5" xfId="9066" xr:uid="{00000000-0005-0000-0000-0000E32A0000}"/>
    <cellStyle name="Normal 5 3 2 3 6 3" xfId="2717" xr:uid="{00000000-0005-0000-0000-0000E42A0000}"/>
    <cellStyle name="Normal 5 3 2 3 6 3 2" xfId="6345" xr:uid="{00000000-0005-0000-0000-0000E52A0000}"/>
    <cellStyle name="Normal 5 3 2 3 6 3 2 2" xfId="20857" xr:uid="{00000000-0005-0000-0000-0000E62A0000}"/>
    <cellStyle name="Normal 5 3 2 3 6 3 2 3" xfId="13601" xr:uid="{00000000-0005-0000-0000-0000E72A0000}"/>
    <cellStyle name="Normal 5 3 2 3 6 3 3" xfId="17229" xr:uid="{00000000-0005-0000-0000-0000E82A0000}"/>
    <cellStyle name="Normal 5 3 2 3 6 3 4" xfId="9973" xr:uid="{00000000-0005-0000-0000-0000E92A0000}"/>
    <cellStyle name="Normal 5 3 2 3 6 4" xfId="4531" xr:uid="{00000000-0005-0000-0000-0000EA2A0000}"/>
    <cellStyle name="Normal 5 3 2 3 6 4 2" xfId="19043" xr:uid="{00000000-0005-0000-0000-0000EB2A0000}"/>
    <cellStyle name="Normal 5 3 2 3 6 4 3" xfId="11787" xr:uid="{00000000-0005-0000-0000-0000EC2A0000}"/>
    <cellStyle name="Normal 5 3 2 3 6 5" xfId="15415" xr:uid="{00000000-0005-0000-0000-0000ED2A0000}"/>
    <cellStyle name="Normal 5 3 2 3 6 6" xfId="8159" xr:uid="{00000000-0005-0000-0000-0000EE2A0000}"/>
    <cellStyle name="Normal 5 3 2 3 7" xfId="987" xr:uid="{00000000-0005-0000-0000-0000EF2A0000}"/>
    <cellStyle name="Normal 5 3 2 3 7 2" xfId="2801" xr:uid="{00000000-0005-0000-0000-0000F02A0000}"/>
    <cellStyle name="Normal 5 3 2 3 7 2 2" xfId="6429" xr:uid="{00000000-0005-0000-0000-0000F12A0000}"/>
    <cellStyle name="Normal 5 3 2 3 7 2 2 2" xfId="20941" xr:uid="{00000000-0005-0000-0000-0000F22A0000}"/>
    <cellStyle name="Normal 5 3 2 3 7 2 2 3" xfId="13685" xr:uid="{00000000-0005-0000-0000-0000F32A0000}"/>
    <cellStyle name="Normal 5 3 2 3 7 2 3" xfId="17313" xr:uid="{00000000-0005-0000-0000-0000F42A0000}"/>
    <cellStyle name="Normal 5 3 2 3 7 2 4" xfId="10057" xr:uid="{00000000-0005-0000-0000-0000F52A0000}"/>
    <cellStyle name="Normal 5 3 2 3 7 3" xfId="4615" xr:uid="{00000000-0005-0000-0000-0000F62A0000}"/>
    <cellStyle name="Normal 5 3 2 3 7 3 2" xfId="19127" xr:uid="{00000000-0005-0000-0000-0000F72A0000}"/>
    <cellStyle name="Normal 5 3 2 3 7 3 3" xfId="11871" xr:uid="{00000000-0005-0000-0000-0000F82A0000}"/>
    <cellStyle name="Normal 5 3 2 3 7 4" xfId="15499" xr:uid="{00000000-0005-0000-0000-0000F92A0000}"/>
    <cellStyle name="Normal 5 3 2 3 7 5" xfId="8243" xr:uid="{00000000-0005-0000-0000-0000FA2A0000}"/>
    <cellStyle name="Normal 5 3 2 3 8" xfId="1894" xr:uid="{00000000-0005-0000-0000-0000FB2A0000}"/>
    <cellStyle name="Normal 5 3 2 3 8 2" xfId="5522" xr:uid="{00000000-0005-0000-0000-0000FC2A0000}"/>
    <cellStyle name="Normal 5 3 2 3 8 2 2" xfId="20034" xr:uid="{00000000-0005-0000-0000-0000FD2A0000}"/>
    <cellStyle name="Normal 5 3 2 3 8 2 3" xfId="12778" xr:uid="{00000000-0005-0000-0000-0000FE2A0000}"/>
    <cellStyle name="Normal 5 3 2 3 8 3" xfId="16406" xr:uid="{00000000-0005-0000-0000-0000FF2A0000}"/>
    <cellStyle name="Normal 5 3 2 3 8 4" xfId="9150" xr:uid="{00000000-0005-0000-0000-0000002B0000}"/>
    <cellStyle name="Normal 5 3 2 3 9" xfId="3708" xr:uid="{00000000-0005-0000-0000-0000012B0000}"/>
    <cellStyle name="Normal 5 3 2 3 9 2" xfId="18220" xr:uid="{00000000-0005-0000-0000-0000022B0000}"/>
    <cellStyle name="Normal 5 3 2 3 9 3" xfId="10964" xr:uid="{00000000-0005-0000-0000-0000032B0000}"/>
    <cellStyle name="Normal 5 3 2 4" xfId="209" xr:uid="{00000000-0005-0000-0000-0000042B0000}"/>
    <cellStyle name="Normal 5 3 2 4 2" xfId="339" xr:uid="{00000000-0005-0000-0000-0000052B0000}"/>
    <cellStyle name="Normal 5 3 2 4 2 2" xfId="685" xr:uid="{00000000-0005-0000-0000-0000062B0000}"/>
    <cellStyle name="Normal 5 3 2 4 2 2 2" xfId="1593" xr:uid="{00000000-0005-0000-0000-0000072B0000}"/>
    <cellStyle name="Normal 5 3 2 4 2 2 2 2" xfId="3407" xr:uid="{00000000-0005-0000-0000-0000082B0000}"/>
    <cellStyle name="Normal 5 3 2 4 2 2 2 2 2" xfId="7035" xr:uid="{00000000-0005-0000-0000-0000092B0000}"/>
    <cellStyle name="Normal 5 3 2 4 2 2 2 2 2 2" xfId="21547" xr:uid="{00000000-0005-0000-0000-00000A2B0000}"/>
    <cellStyle name="Normal 5 3 2 4 2 2 2 2 2 3" xfId="14291" xr:uid="{00000000-0005-0000-0000-00000B2B0000}"/>
    <cellStyle name="Normal 5 3 2 4 2 2 2 2 3" xfId="17919" xr:uid="{00000000-0005-0000-0000-00000C2B0000}"/>
    <cellStyle name="Normal 5 3 2 4 2 2 2 2 4" xfId="10663" xr:uid="{00000000-0005-0000-0000-00000D2B0000}"/>
    <cellStyle name="Normal 5 3 2 4 2 2 2 3" xfId="5221" xr:uid="{00000000-0005-0000-0000-00000E2B0000}"/>
    <cellStyle name="Normal 5 3 2 4 2 2 2 3 2" xfId="19733" xr:uid="{00000000-0005-0000-0000-00000F2B0000}"/>
    <cellStyle name="Normal 5 3 2 4 2 2 2 3 3" xfId="12477" xr:uid="{00000000-0005-0000-0000-0000102B0000}"/>
    <cellStyle name="Normal 5 3 2 4 2 2 2 4" xfId="16105" xr:uid="{00000000-0005-0000-0000-0000112B0000}"/>
    <cellStyle name="Normal 5 3 2 4 2 2 2 5" xfId="8849" xr:uid="{00000000-0005-0000-0000-0000122B0000}"/>
    <cellStyle name="Normal 5 3 2 4 2 2 3" xfId="2500" xr:uid="{00000000-0005-0000-0000-0000132B0000}"/>
    <cellStyle name="Normal 5 3 2 4 2 2 3 2" xfId="6128" xr:uid="{00000000-0005-0000-0000-0000142B0000}"/>
    <cellStyle name="Normal 5 3 2 4 2 2 3 2 2" xfId="20640" xr:uid="{00000000-0005-0000-0000-0000152B0000}"/>
    <cellStyle name="Normal 5 3 2 4 2 2 3 2 3" xfId="13384" xr:uid="{00000000-0005-0000-0000-0000162B0000}"/>
    <cellStyle name="Normal 5 3 2 4 2 2 3 3" xfId="17012" xr:uid="{00000000-0005-0000-0000-0000172B0000}"/>
    <cellStyle name="Normal 5 3 2 4 2 2 3 4" xfId="9756" xr:uid="{00000000-0005-0000-0000-0000182B0000}"/>
    <cellStyle name="Normal 5 3 2 4 2 2 4" xfId="4314" xr:uid="{00000000-0005-0000-0000-0000192B0000}"/>
    <cellStyle name="Normal 5 3 2 4 2 2 4 2" xfId="18826" xr:uid="{00000000-0005-0000-0000-00001A2B0000}"/>
    <cellStyle name="Normal 5 3 2 4 2 2 4 3" xfId="11570" xr:uid="{00000000-0005-0000-0000-00001B2B0000}"/>
    <cellStyle name="Normal 5 3 2 4 2 2 5" xfId="15198" xr:uid="{00000000-0005-0000-0000-00001C2B0000}"/>
    <cellStyle name="Normal 5 3 2 4 2 2 6" xfId="7942" xr:uid="{00000000-0005-0000-0000-00001D2B0000}"/>
    <cellStyle name="Normal 5 3 2 4 2 3" xfId="1247" xr:uid="{00000000-0005-0000-0000-00001E2B0000}"/>
    <cellStyle name="Normal 5 3 2 4 2 3 2" xfId="3061" xr:uid="{00000000-0005-0000-0000-00001F2B0000}"/>
    <cellStyle name="Normal 5 3 2 4 2 3 2 2" xfId="6689" xr:uid="{00000000-0005-0000-0000-0000202B0000}"/>
    <cellStyle name="Normal 5 3 2 4 2 3 2 2 2" xfId="21201" xr:uid="{00000000-0005-0000-0000-0000212B0000}"/>
    <cellStyle name="Normal 5 3 2 4 2 3 2 2 3" xfId="13945" xr:uid="{00000000-0005-0000-0000-0000222B0000}"/>
    <cellStyle name="Normal 5 3 2 4 2 3 2 3" xfId="17573" xr:uid="{00000000-0005-0000-0000-0000232B0000}"/>
    <cellStyle name="Normal 5 3 2 4 2 3 2 4" xfId="10317" xr:uid="{00000000-0005-0000-0000-0000242B0000}"/>
    <cellStyle name="Normal 5 3 2 4 2 3 3" xfId="4875" xr:uid="{00000000-0005-0000-0000-0000252B0000}"/>
    <cellStyle name="Normal 5 3 2 4 2 3 3 2" xfId="19387" xr:uid="{00000000-0005-0000-0000-0000262B0000}"/>
    <cellStyle name="Normal 5 3 2 4 2 3 3 3" xfId="12131" xr:uid="{00000000-0005-0000-0000-0000272B0000}"/>
    <cellStyle name="Normal 5 3 2 4 2 3 4" xfId="15759" xr:uid="{00000000-0005-0000-0000-0000282B0000}"/>
    <cellStyle name="Normal 5 3 2 4 2 3 5" xfId="8503" xr:uid="{00000000-0005-0000-0000-0000292B0000}"/>
    <cellStyle name="Normal 5 3 2 4 2 4" xfId="2154" xr:uid="{00000000-0005-0000-0000-00002A2B0000}"/>
    <cellStyle name="Normal 5 3 2 4 2 4 2" xfId="5782" xr:uid="{00000000-0005-0000-0000-00002B2B0000}"/>
    <cellStyle name="Normal 5 3 2 4 2 4 2 2" xfId="20294" xr:uid="{00000000-0005-0000-0000-00002C2B0000}"/>
    <cellStyle name="Normal 5 3 2 4 2 4 2 3" xfId="13038" xr:uid="{00000000-0005-0000-0000-00002D2B0000}"/>
    <cellStyle name="Normal 5 3 2 4 2 4 3" xfId="16666" xr:uid="{00000000-0005-0000-0000-00002E2B0000}"/>
    <cellStyle name="Normal 5 3 2 4 2 4 4" xfId="9410" xr:uid="{00000000-0005-0000-0000-00002F2B0000}"/>
    <cellStyle name="Normal 5 3 2 4 2 5" xfId="3968" xr:uid="{00000000-0005-0000-0000-0000302B0000}"/>
    <cellStyle name="Normal 5 3 2 4 2 5 2" xfId="18480" xr:uid="{00000000-0005-0000-0000-0000312B0000}"/>
    <cellStyle name="Normal 5 3 2 4 2 5 3" xfId="11224" xr:uid="{00000000-0005-0000-0000-0000322B0000}"/>
    <cellStyle name="Normal 5 3 2 4 2 6" xfId="14852" xr:uid="{00000000-0005-0000-0000-0000332B0000}"/>
    <cellStyle name="Normal 5 3 2 4 2 7" xfId="7596" xr:uid="{00000000-0005-0000-0000-0000342B0000}"/>
    <cellStyle name="Normal 5 3 2 4 3" xfId="815" xr:uid="{00000000-0005-0000-0000-0000352B0000}"/>
    <cellStyle name="Normal 5 3 2 4 3 2" xfId="1723" xr:uid="{00000000-0005-0000-0000-0000362B0000}"/>
    <cellStyle name="Normal 5 3 2 4 3 2 2" xfId="3537" xr:uid="{00000000-0005-0000-0000-0000372B0000}"/>
    <cellStyle name="Normal 5 3 2 4 3 2 2 2" xfId="7165" xr:uid="{00000000-0005-0000-0000-0000382B0000}"/>
    <cellStyle name="Normal 5 3 2 4 3 2 2 2 2" xfId="21677" xr:uid="{00000000-0005-0000-0000-0000392B0000}"/>
    <cellStyle name="Normal 5 3 2 4 3 2 2 2 3" xfId="14421" xr:uid="{00000000-0005-0000-0000-00003A2B0000}"/>
    <cellStyle name="Normal 5 3 2 4 3 2 2 3" xfId="18049" xr:uid="{00000000-0005-0000-0000-00003B2B0000}"/>
    <cellStyle name="Normal 5 3 2 4 3 2 2 4" xfId="10793" xr:uid="{00000000-0005-0000-0000-00003C2B0000}"/>
    <cellStyle name="Normal 5 3 2 4 3 2 3" xfId="5351" xr:uid="{00000000-0005-0000-0000-00003D2B0000}"/>
    <cellStyle name="Normal 5 3 2 4 3 2 3 2" xfId="19863" xr:uid="{00000000-0005-0000-0000-00003E2B0000}"/>
    <cellStyle name="Normal 5 3 2 4 3 2 3 3" xfId="12607" xr:uid="{00000000-0005-0000-0000-00003F2B0000}"/>
    <cellStyle name="Normal 5 3 2 4 3 2 4" xfId="16235" xr:uid="{00000000-0005-0000-0000-0000402B0000}"/>
    <cellStyle name="Normal 5 3 2 4 3 2 5" xfId="8979" xr:uid="{00000000-0005-0000-0000-0000412B0000}"/>
    <cellStyle name="Normal 5 3 2 4 3 3" xfId="2630" xr:uid="{00000000-0005-0000-0000-0000422B0000}"/>
    <cellStyle name="Normal 5 3 2 4 3 3 2" xfId="6258" xr:uid="{00000000-0005-0000-0000-0000432B0000}"/>
    <cellStyle name="Normal 5 3 2 4 3 3 2 2" xfId="20770" xr:uid="{00000000-0005-0000-0000-0000442B0000}"/>
    <cellStyle name="Normal 5 3 2 4 3 3 2 3" xfId="13514" xr:uid="{00000000-0005-0000-0000-0000452B0000}"/>
    <cellStyle name="Normal 5 3 2 4 3 3 3" xfId="17142" xr:uid="{00000000-0005-0000-0000-0000462B0000}"/>
    <cellStyle name="Normal 5 3 2 4 3 3 4" xfId="9886" xr:uid="{00000000-0005-0000-0000-0000472B0000}"/>
    <cellStyle name="Normal 5 3 2 4 3 4" xfId="4444" xr:uid="{00000000-0005-0000-0000-0000482B0000}"/>
    <cellStyle name="Normal 5 3 2 4 3 4 2" xfId="18956" xr:uid="{00000000-0005-0000-0000-0000492B0000}"/>
    <cellStyle name="Normal 5 3 2 4 3 4 3" xfId="11700" xr:uid="{00000000-0005-0000-0000-00004A2B0000}"/>
    <cellStyle name="Normal 5 3 2 4 3 5" xfId="15328" xr:uid="{00000000-0005-0000-0000-00004B2B0000}"/>
    <cellStyle name="Normal 5 3 2 4 3 6" xfId="8072" xr:uid="{00000000-0005-0000-0000-00004C2B0000}"/>
    <cellStyle name="Normal 5 3 2 4 4" xfId="555" xr:uid="{00000000-0005-0000-0000-00004D2B0000}"/>
    <cellStyle name="Normal 5 3 2 4 4 2" xfId="1463" xr:uid="{00000000-0005-0000-0000-00004E2B0000}"/>
    <cellStyle name="Normal 5 3 2 4 4 2 2" xfId="3277" xr:uid="{00000000-0005-0000-0000-00004F2B0000}"/>
    <cellStyle name="Normal 5 3 2 4 4 2 2 2" xfId="6905" xr:uid="{00000000-0005-0000-0000-0000502B0000}"/>
    <cellStyle name="Normal 5 3 2 4 4 2 2 2 2" xfId="21417" xr:uid="{00000000-0005-0000-0000-0000512B0000}"/>
    <cellStyle name="Normal 5 3 2 4 4 2 2 2 3" xfId="14161" xr:uid="{00000000-0005-0000-0000-0000522B0000}"/>
    <cellStyle name="Normal 5 3 2 4 4 2 2 3" xfId="17789" xr:uid="{00000000-0005-0000-0000-0000532B0000}"/>
    <cellStyle name="Normal 5 3 2 4 4 2 2 4" xfId="10533" xr:uid="{00000000-0005-0000-0000-0000542B0000}"/>
    <cellStyle name="Normal 5 3 2 4 4 2 3" xfId="5091" xr:uid="{00000000-0005-0000-0000-0000552B0000}"/>
    <cellStyle name="Normal 5 3 2 4 4 2 3 2" xfId="19603" xr:uid="{00000000-0005-0000-0000-0000562B0000}"/>
    <cellStyle name="Normal 5 3 2 4 4 2 3 3" xfId="12347" xr:uid="{00000000-0005-0000-0000-0000572B0000}"/>
    <cellStyle name="Normal 5 3 2 4 4 2 4" xfId="15975" xr:uid="{00000000-0005-0000-0000-0000582B0000}"/>
    <cellStyle name="Normal 5 3 2 4 4 2 5" xfId="8719" xr:uid="{00000000-0005-0000-0000-0000592B0000}"/>
    <cellStyle name="Normal 5 3 2 4 4 3" xfId="2370" xr:uid="{00000000-0005-0000-0000-00005A2B0000}"/>
    <cellStyle name="Normal 5 3 2 4 4 3 2" xfId="5998" xr:uid="{00000000-0005-0000-0000-00005B2B0000}"/>
    <cellStyle name="Normal 5 3 2 4 4 3 2 2" xfId="20510" xr:uid="{00000000-0005-0000-0000-00005C2B0000}"/>
    <cellStyle name="Normal 5 3 2 4 4 3 2 3" xfId="13254" xr:uid="{00000000-0005-0000-0000-00005D2B0000}"/>
    <cellStyle name="Normal 5 3 2 4 4 3 3" xfId="16882" xr:uid="{00000000-0005-0000-0000-00005E2B0000}"/>
    <cellStyle name="Normal 5 3 2 4 4 3 4" xfId="9626" xr:uid="{00000000-0005-0000-0000-00005F2B0000}"/>
    <cellStyle name="Normal 5 3 2 4 4 4" xfId="4184" xr:uid="{00000000-0005-0000-0000-0000602B0000}"/>
    <cellStyle name="Normal 5 3 2 4 4 4 2" xfId="18696" xr:uid="{00000000-0005-0000-0000-0000612B0000}"/>
    <cellStyle name="Normal 5 3 2 4 4 4 3" xfId="11440" xr:uid="{00000000-0005-0000-0000-0000622B0000}"/>
    <cellStyle name="Normal 5 3 2 4 4 5" xfId="15068" xr:uid="{00000000-0005-0000-0000-0000632B0000}"/>
    <cellStyle name="Normal 5 3 2 4 4 6" xfId="7812" xr:uid="{00000000-0005-0000-0000-0000642B0000}"/>
    <cellStyle name="Normal 5 3 2 4 5" xfId="1117" xr:uid="{00000000-0005-0000-0000-0000652B0000}"/>
    <cellStyle name="Normal 5 3 2 4 5 2" xfId="2931" xr:uid="{00000000-0005-0000-0000-0000662B0000}"/>
    <cellStyle name="Normal 5 3 2 4 5 2 2" xfId="6559" xr:uid="{00000000-0005-0000-0000-0000672B0000}"/>
    <cellStyle name="Normal 5 3 2 4 5 2 2 2" xfId="21071" xr:uid="{00000000-0005-0000-0000-0000682B0000}"/>
    <cellStyle name="Normal 5 3 2 4 5 2 2 3" xfId="13815" xr:uid="{00000000-0005-0000-0000-0000692B0000}"/>
    <cellStyle name="Normal 5 3 2 4 5 2 3" xfId="17443" xr:uid="{00000000-0005-0000-0000-00006A2B0000}"/>
    <cellStyle name="Normal 5 3 2 4 5 2 4" xfId="10187" xr:uid="{00000000-0005-0000-0000-00006B2B0000}"/>
    <cellStyle name="Normal 5 3 2 4 5 3" xfId="4745" xr:uid="{00000000-0005-0000-0000-00006C2B0000}"/>
    <cellStyle name="Normal 5 3 2 4 5 3 2" xfId="19257" xr:uid="{00000000-0005-0000-0000-00006D2B0000}"/>
    <cellStyle name="Normal 5 3 2 4 5 3 3" xfId="12001" xr:uid="{00000000-0005-0000-0000-00006E2B0000}"/>
    <cellStyle name="Normal 5 3 2 4 5 4" xfId="15629" xr:uid="{00000000-0005-0000-0000-00006F2B0000}"/>
    <cellStyle name="Normal 5 3 2 4 5 5" xfId="8373" xr:uid="{00000000-0005-0000-0000-0000702B0000}"/>
    <cellStyle name="Normal 5 3 2 4 6" xfId="2024" xr:uid="{00000000-0005-0000-0000-0000712B0000}"/>
    <cellStyle name="Normal 5 3 2 4 6 2" xfId="5652" xr:uid="{00000000-0005-0000-0000-0000722B0000}"/>
    <cellStyle name="Normal 5 3 2 4 6 2 2" xfId="20164" xr:uid="{00000000-0005-0000-0000-0000732B0000}"/>
    <cellStyle name="Normal 5 3 2 4 6 2 3" xfId="12908" xr:uid="{00000000-0005-0000-0000-0000742B0000}"/>
    <cellStyle name="Normal 5 3 2 4 6 3" xfId="16536" xr:uid="{00000000-0005-0000-0000-0000752B0000}"/>
    <cellStyle name="Normal 5 3 2 4 6 4" xfId="9280" xr:uid="{00000000-0005-0000-0000-0000762B0000}"/>
    <cellStyle name="Normal 5 3 2 4 7" xfId="3838" xr:uid="{00000000-0005-0000-0000-0000772B0000}"/>
    <cellStyle name="Normal 5 3 2 4 7 2" xfId="18350" xr:uid="{00000000-0005-0000-0000-0000782B0000}"/>
    <cellStyle name="Normal 5 3 2 4 7 3" xfId="11094" xr:uid="{00000000-0005-0000-0000-0000792B0000}"/>
    <cellStyle name="Normal 5 3 2 4 8" xfId="14722" xr:uid="{00000000-0005-0000-0000-00007A2B0000}"/>
    <cellStyle name="Normal 5 3 2 4 9" xfId="7466" xr:uid="{00000000-0005-0000-0000-00007B2B0000}"/>
    <cellStyle name="Normal 5 3 2 5" xfId="123" xr:uid="{00000000-0005-0000-0000-00007C2B0000}"/>
    <cellStyle name="Normal 5 3 2 5 2" xfId="469" xr:uid="{00000000-0005-0000-0000-00007D2B0000}"/>
    <cellStyle name="Normal 5 3 2 5 2 2" xfId="1377" xr:uid="{00000000-0005-0000-0000-00007E2B0000}"/>
    <cellStyle name="Normal 5 3 2 5 2 2 2" xfId="3191" xr:uid="{00000000-0005-0000-0000-00007F2B0000}"/>
    <cellStyle name="Normal 5 3 2 5 2 2 2 2" xfId="6819" xr:uid="{00000000-0005-0000-0000-0000802B0000}"/>
    <cellStyle name="Normal 5 3 2 5 2 2 2 2 2" xfId="21331" xr:uid="{00000000-0005-0000-0000-0000812B0000}"/>
    <cellStyle name="Normal 5 3 2 5 2 2 2 2 3" xfId="14075" xr:uid="{00000000-0005-0000-0000-0000822B0000}"/>
    <cellStyle name="Normal 5 3 2 5 2 2 2 3" xfId="17703" xr:uid="{00000000-0005-0000-0000-0000832B0000}"/>
    <cellStyle name="Normal 5 3 2 5 2 2 2 4" xfId="10447" xr:uid="{00000000-0005-0000-0000-0000842B0000}"/>
    <cellStyle name="Normal 5 3 2 5 2 2 3" xfId="5005" xr:uid="{00000000-0005-0000-0000-0000852B0000}"/>
    <cellStyle name="Normal 5 3 2 5 2 2 3 2" xfId="19517" xr:uid="{00000000-0005-0000-0000-0000862B0000}"/>
    <cellStyle name="Normal 5 3 2 5 2 2 3 3" xfId="12261" xr:uid="{00000000-0005-0000-0000-0000872B0000}"/>
    <cellStyle name="Normal 5 3 2 5 2 2 4" xfId="15889" xr:uid="{00000000-0005-0000-0000-0000882B0000}"/>
    <cellStyle name="Normal 5 3 2 5 2 2 5" xfId="8633" xr:uid="{00000000-0005-0000-0000-0000892B0000}"/>
    <cellStyle name="Normal 5 3 2 5 2 3" xfId="2284" xr:uid="{00000000-0005-0000-0000-00008A2B0000}"/>
    <cellStyle name="Normal 5 3 2 5 2 3 2" xfId="5912" xr:uid="{00000000-0005-0000-0000-00008B2B0000}"/>
    <cellStyle name="Normal 5 3 2 5 2 3 2 2" xfId="20424" xr:uid="{00000000-0005-0000-0000-00008C2B0000}"/>
    <cellStyle name="Normal 5 3 2 5 2 3 2 3" xfId="13168" xr:uid="{00000000-0005-0000-0000-00008D2B0000}"/>
    <cellStyle name="Normal 5 3 2 5 2 3 3" xfId="16796" xr:uid="{00000000-0005-0000-0000-00008E2B0000}"/>
    <cellStyle name="Normal 5 3 2 5 2 3 4" xfId="9540" xr:uid="{00000000-0005-0000-0000-00008F2B0000}"/>
    <cellStyle name="Normal 5 3 2 5 2 4" xfId="4098" xr:uid="{00000000-0005-0000-0000-0000902B0000}"/>
    <cellStyle name="Normal 5 3 2 5 2 4 2" xfId="18610" xr:uid="{00000000-0005-0000-0000-0000912B0000}"/>
    <cellStyle name="Normal 5 3 2 5 2 4 3" xfId="11354" xr:uid="{00000000-0005-0000-0000-0000922B0000}"/>
    <cellStyle name="Normal 5 3 2 5 2 5" xfId="14982" xr:uid="{00000000-0005-0000-0000-0000932B0000}"/>
    <cellStyle name="Normal 5 3 2 5 2 6" xfId="7726" xr:uid="{00000000-0005-0000-0000-0000942B0000}"/>
    <cellStyle name="Normal 5 3 2 5 3" xfId="1031" xr:uid="{00000000-0005-0000-0000-0000952B0000}"/>
    <cellStyle name="Normal 5 3 2 5 3 2" xfId="2845" xr:uid="{00000000-0005-0000-0000-0000962B0000}"/>
    <cellStyle name="Normal 5 3 2 5 3 2 2" xfId="6473" xr:uid="{00000000-0005-0000-0000-0000972B0000}"/>
    <cellStyle name="Normal 5 3 2 5 3 2 2 2" xfId="20985" xr:uid="{00000000-0005-0000-0000-0000982B0000}"/>
    <cellStyle name="Normal 5 3 2 5 3 2 2 3" xfId="13729" xr:uid="{00000000-0005-0000-0000-0000992B0000}"/>
    <cellStyle name="Normal 5 3 2 5 3 2 3" xfId="17357" xr:uid="{00000000-0005-0000-0000-00009A2B0000}"/>
    <cellStyle name="Normal 5 3 2 5 3 2 4" xfId="10101" xr:uid="{00000000-0005-0000-0000-00009B2B0000}"/>
    <cellStyle name="Normal 5 3 2 5 3 3" xfId="4659" xr:uid="{00000000-0005-0000-0000-00009C2B0000}"/>
    <cellStyle name="Normal 5 3 2 5 3 3 2" xfId="19171" xr:uid="{00000000-0005-0000-0000-00009D2B0000}"/>
    <cellStyle name="Normal 5 3 2 5 3 3 3" xfId="11915" xr:uid="{00000000-0005-0000-0000-00009E2B0000}"/>
    <cellStyle name="Normal 5 3 2 5 3 4" xfId="15543" xr:uid="{00000000-0005-0000-0000-00009F2B0000}"/>
    <cellStyle name="Normal 5 3 2 5 3 5" xfId="8287" xr:uid="{00000000-0005-0000-0000-0000A02B0000}"/>
    <cellStyle name="Normal 5 3 2 5 4" xfId="1938" xr:uid="{00000000-0005-0000-0000-0000A12B0000}"/>
    <cellStyle name="Normal 5 3 2 5 4 2" xfId="5566" xr:uid="{00000000-0005-0000-0000-0000A22B0000}"/>
    <cellStyle name="Normal 5 3 2 5 4 2 2" xfId="20078" xr:uid="{00000000-0005-0000-0000-0000A32B0000}"/>
    <cellStyle name="Normal 5 3 2 5 4 2 3" xfId="12822" xr:uid="{00000000-0005-0000-0000-0000A42B0000}"/>
    <cellStyle name="Normal 5 3 2 5 4 3" xfId="16450" xr:uid="{00000000-0005-0000-0000-0000A52B0000}"/>
    <cellStyle name="Normal 5 3 2 5 4 4" xfId="9194" xr:uid="{00000000-0005-0000-0000-0000A62B0000}"/>
    <cellStyle name="Normal 5 3 2 5 5" xfId="3752" xr:uid="{00000000-0005-0000-0000-0000A72B0000}"/>
    <cellStyle name="Normal 5 3 2 5 5 2" xfId="18264" xr:uid="{00000000-0005-0000-0000-0000A82B0000}"/>
    <cellStyle name="Normal 5 3 2 5 5 3" xfId="11008" xr:uid="{00000000-0005-0000-0000-0000A92B0000}"/>
    <cellStyle name="Normal 5 3 2 5 6" xfId="14636" xr:uid="{00000000-0005-0000-0000-0000AA2B0000}"/>
    <cellStyle name="Normal 5 3 2 5 7" xfId="7380" xr:uid="{00000000-0005-0000-0000-0000AB2B0000}"/>
    <cellStyle name="Normal 5 3 2 6" xfId="253" xr:uid="{00000000-0005-0000-0000-0000AC2B0000}"/>
    <cellStyle name="Normal 5 3 2 6 2" xfId="599" xr:uid="{00000000-0005-0000-0000-0000AD2B0000}"/>
    <cellStyle name="Normal 5 3 2 6 2 2" xfId="1507" xr:uid="{00000000-0005-0000-0000-0000AE2B0000}"/>
    <cellStyle name="Normal 5 3 2 6 2 2 2" xfId="3321" xr:uid="{00000000-0005-0000-0000-0000AF2B0000}"/>
    <cellStyle name="Normal 5 3 2 6 2 2 2 2" xfId="6949" xr:uid="{00000000-0005-0000-0000-0000B02B0000}"/>
    <cellStyle name="Normal 5 3 2 6 2 2 2 2 2" xfId="21461" xr:uid="{00000000-0005-0000-0000-0000B12B0000}"/>
    <cellStyle name="Normal 5 3 2 6 2 2 2 2 3" xfId="14205" xr:uid="{00000000-0005-0000-0000-0000B22B0000}"/>
    <cellStyle name="Normal 5 3 2 6 2 2 2 3" xfId="17833" xr:uid="{00000000-0005-0000-0000-0000B32B0000}"/>
    <cellStyle name="Normal 5 3 2 6 2 2 2 4" xfId="10577" xr:uid="{00000000-0005-0000-0000-0000B42B0000}"/>
    <cellStyle name="Normal 5 3 2 6 2 2 3" xfId="5135" xr:uid="{00000000-0005-0000-0000-0000B52B0000}"/>
    <cellStyle name="Normal 5 3 2 6 2 2 3 2" xfId="19647" xr:uid="{00000000-0005-0000-0000-0000B62B0000}"/>
    <cellStyle name="Normal 5 3 2 6 2 2 3 3" xfId="12391" xr:uid="{00000000-0005-0000-0000-0000B72B0000}"/>
    <cellStyle name="Normal 5 3 2 6 2 2 4" xfId="16019" xr:uid="{00000000-0005-0000-0000-0000B82B0000}"/>
    <cellStyle name="Normal 5 3 2 6 2 2 5" xfId="8763" xr:uid="{00000000-0005-0000-0000-0000B92B0000}"/>
    <cellStyle name="Normal 5 3 2 6 2 3" xfId="2414" xr:uid="{00000000-0005-0000-0000-0000BA2B0000}"/>
    <cellStyle name="Normal 5 3 2 6 2 3 2" xfId="6042" xr:uid="{00000000-0005-0000-0000-0000BB2B0000}"/>
    <cellStyle name="Normal 5 3 2 6 2 3 2 2" xfId="20554" xr:uid="{00000000-0005-0000-0000-0000BC2B0000}"/>
    <cellStyle name="Normal 5 3 2 6 2 3 2 3" xfId="13298" xr:uid="{00000000-0005-0000-0000-0000BD2B0000}"/>
    <cellStyle name="Normal 5 3 2 6 2 3 3" xfId="16926" xr:uid="{00000000-0005-0000-0000-0000BE2B0000}"/>
    <cellStyle name="Normal 5 3 2 6 2 3 4" xfId="9670" xr:uid="{00000000-0005-0000-0000-0000BF2B0000}"/>
    <cellStyle name="Normal 5 3 2 6 2 4" xfId="4228" xr:uid="{00000000-0005-0000-0000-0000C02B0000}"/>
    <cellStyle name="Normal 5 3 2 6 2 4 2" xfId="18740" xr:uid="{00000000-0005-0000-0000-0000C12B0000}"/>
    <cellStyle name="Normal 5 3 2 6 2 4 3" xfId="11484" xr:uid="{00000000-0005-0000-0000-0000C22B0000}"/>
    <cellStyle name="Normal 5 3 2 6 2 5" xfId="15112" xr:uid="{00000000-0005-0000-0000-0000C32B0000}"/>
    <cellStyle name="Normal 5 3 2 6 2 6" xfId="7856" xr:uid="{00000000-0005-0000-0000-0000C42B0000}"/>
    <cellStyle name="Normal 5 3 2 6 3" xfId="1161" xr:uid="{00000000-0005-0000-0000-0000C52B0000}"/>
    <cellStyle name="Normal 5 3 2 6 3 2" xfId="2975" xr:uid="{00000000-0005-0000-0000-0000C62B0000}"/>
    <cellStyle name="Normal 5 3 2 6 3 2 2" xfId="6603" xr:uid="{00000000-0005-0000-0000-0000C72B0000}"/>
    <cellStyle name="Normal 5 3 2 6 3 2 2 2" xfId="21115" xr:uid="{00000000-0005-0000-0000-0000C82B0000}"/>
    <cellStyle name="Normal 5 3 2 6 3 2 2 3" xfId="13859" xr:uid="{00000000-0005-0000-0000-0000C92B0000}"/>
    <cellStyle name="Normal 5 3 2 6 3 2 3" xfId="17487" xr:uid="{00000000-0005-0000-0000-0000CA2B0000}"/>
    <cellStyle name="Normal 5 3 2 6 3 2 4" xfId="10231" xr:uid="{00000000-0005-0000-0000-0000CB2B0000}"/>
    <cellStyle name="Normal 5 3 2 6 3 3" xfId="4789" xr:uid="{00000000-0005-0000-0000-0000CC2B0000}"/>
    <cellStyle name="Normal 5 3 2 6 3 3 2" xfId="19301" xr:uid="{00000000-0005-0000-0000-0000CD2B0000}"/>
    <cellStyle name="Normal 5 3 2 6 3 3 3" xfId="12045" xr:uid="{00000000-0005-0000-0000-0000CE2B0000}"/>
    <cellStyle name="Normal 5 3 2 6 3 4" xfId="15673" xr:uid="{00000000-0005-0000-0000-0000CF2B0000}"/>
    <cellStyle name="Normal 5 3 2 6 3 5" xfId="8417" xr:uid="{00000000-0005-0000-0000-0000D02B0000}"/>
    <cellStyle name="Normal 5 3 2 6 4" xfId="2068" xr:uid="{00000000-0005-0000-0000-0000D12B0000}"/>
    <cellStyle name="Normal 5 3 2 6 4 2" xfId="5696" xr:uid="{00000000-0005-0000-0000-0000D22B0000}"/>
    <cellStyle name="Normal 5 3 2 6 4 2 2" xfId="20208" xr:uid="{00000000-0005-0000-0000-0000D32B0000}"/>
    <cellStyle name="Normal 5 3 2 6 4 2 3" xfId="12952" xr:uid="{00000000-0005-0000-0000-0000D42B0000}"/>
    <cellStyle name="Normal 5 3 2 6 4 3" xfId="16580" xr:uid="{00000000-0005-0000-0000-0000D52B0000}"/>
    <cellStyle name="Normal 5 3 2 6 4 4" xfId="9324" xr:uid="{00000000-0005-0000-0000-0000D62B0000}"/>
    <cellStyle name="Normal 5 3 2 6 5" xfId="3882" xr:uid="{00000000-0005-0000-0000-0000D72B0000}"/>
    <cellStyle name="Normal 5 3 2 6 5 2" xfId="18394" xr:uid="{00000000-0005-0000-0000-0000D82B0000}"/>
    <cellStyle name="Normal 5 3 2 6 5 3" xfId="11138" xr:uid="{00000000-0005-0000-0000-0000D92B0000}"/>
    <cellStyle name="Normal 5 3 2 6 6" xfId="14766" xr:uid="{00000000-0005-0000-0000-0000DA2B0000}"/>
    <cellStyle name="Normal 5 3 2 6 7" xfId="7510" xr:uid="{00000000-0005-0000-0000-0000DB2B0000}"/>
    <cellStyle name="Normal 5 3 2 7" xfId="729" xr:uid="{00000000-0005-0000-0000-0000DC2B0000}"/>
    <cellStyle name="Normal 5 3 2 7 2" xfId="1637" xr:uid="{00000000-0005-0000-0000-0000DD2B0000}"/>
    <cellStyle name="Normal 5 3 2 7 2 2" xfId="3451" xr:uid="{00000000-0005-0000-0000-0000DE2B0000}"/>
    <cellStyle name="Normal 5 3 2 7 2 2 2" xfId="7079" xr:uid="{00000000-0005-0000-0000-0000DF2B0000}"/>
    <cellStyle name="Normal 5 3 2 7 2 2 2 2" xfId="21591" xr:uid="{00000000-0005-0000-0000-0000E02B0000}"/>
    <cellStyle name="Normal 5 3 2 7 2 2 2 3" xfId="14335" xr:uid="{00000000-0005-0000-0000-0000E12B0000}"/>
    <cellStyle name="Normal 5 3 2 7 2 2 3" xfId="17963" xr:uid="{00000000-0005-0000-0000-0000E22B0000}"/>
    <cellStyle name="Normal 5 3 2 7 2 2 4" xfId="10707" xr:uid="{00000000-0005-0000-0000-0000E32B0000}"/>
    <cellStyle name="Normal 5 3 2 7 2 3" xfId="5265" xr:uid="{00000000-0005-0000-0000-0000E42B0000}"/>
    <cellStyle name="Normal 5 3 2 7 2 3 2" xfId="19777" xr:uid="{00000000-0005-0000-0000-0000E52B0000}"/>
    <cellStyle name="Normal 5 3 2 7 2 3 3" xfId="12521" xr:uid="{00000000-0005-0000-0000-0000E62B0000}"/>
    <cellStyle name="Normal 5 3 2 7 2 4" xfId="16149" xr:uid="{00000000-0005-0000-0000-0000E72B0000}"/>
    <cellStyle name="Normal 5 3 2 7 2 5" xfId="8893" xr:uid="{00000000-0005-0000-0000-0000E82B0000}"/>
    <cellStyle name="Normal 5 3 2 7 3" xfId="2544" xr:uid="{00000000-0005-0000-0000-0000E92B0000}"/>
    <cellStyle name="Normal 5 3 2 7 3 2" xfId="6172" xr:uid="{00000000-0005-0000-0000-0000EA2B0000}"/>
    <cellStyle name="Normal 5 3 2 7 3 2 2" xfId="20684" xr:uid="{00000000-0005-0000-0000-0000EB2B0000}"/>
    <cellStyle name="Normal 5 3 2 7 3 2 3" xfId="13428" xr:uid="{00000000-0005-0000-0000-0000EC2B0000}"/>
    <cellStyle name="Normal 5 3 2 7 3 3" xfId="17056" xr:uid="{00000000-0005-0000-0000-0000ED2B0000}"/>
    <cellStyle name="Normal 5 3 2 7 3 4" xfId="9800" xr:uid="{00000000-0005-0000-0000-0000EE2B0000}"/>
    <cellStyle name="Normal 5 3 2 7 4" xfId="4358" xr:uid="{00000000-0005-0000-0000-0000EF2B0000}"/>
    <cellStyle name="Normal 5 3 2 7 4 2" xfId="18870" xr:uid="{00000000-0005-0000-0000-0000F02B0000}"/>
    <cellStyle name="Normal 5 3 2 7 4 3" xfId="11614" xr:uid="{00000000-0005-0000-0000-0000F12B0000}"/>
    <cellStyle name="Normal 5 3 2 7 5" xfId="15242" xr:uid="{00000000-0005-0000-0000-0000F22B0000}"/>
    <cellStyle name="Normal 5 3 2 7 6" xfId="7986" xr:uid="{00000000-0005-0000-0000-0000F32B0000}"/>
    <cellStyle name="Normal 5 3 2 8" xfId="383" xr:uid="{00000000-0005-0000-0000-0000F42B0000}"/>
    <cellStyle name="Normal 5 3 2 8 2" xfId="1291" xr:uid="{00000000-0005-0000-0000-0000F52B0000}"/>
    <cellStyle name="Normal 5 3 2 8 2 2" xfId="3105" xr:uid="{00000000-0005-0000-0000-0000F62B0000}"/>
    <cellStyle name="Normal 5 3 2 8 2 2 2" xfId="6733" xr:uid="{00000000-0005-0000-0000-0000F72B0000}"/>
    <cellStyle name="Normal 5 3 2 8 2 2 2 2" xfId="21245" xr:uid="{00000000-0005-0000-0000-0000F82B0000}"/>
    <cellStyle name="Normal 5 3 2 8 2 2 2 3" xfId="13989" xr:uid="{00000000-0005-0000-0000-0000F92B0000}"/>
    <cellStyle name="Normal 5 3 2 8 2 2 3" xfId="17617" xr:uid="{00000000-0005-0000-0000-0000FA2B0000}"/>
    <cellStyle name="Normal 5 3 2 8 2 2 4" xfId="10361" xr:uid="{00000000-0005-0000-0000-0000FB2B0000}"/>
    <cellStyle name="Normal 5 3 2 8 2 3" xfId="4919" xr:uid="{00000000-0005-0000-0000-0000FC2B0000}"/>
    <cellStyle name="Normal 5 3 2 8 2 3 2" xfId="19431" xr:uid="{00000000-0005-0000-0000-0000FD2B0000}"/>
    <cellStyle name="Normal 5 3 2 8 2 3 3" xfId="12175" xr:uid="{00000000-0005-0000-0000-0000FE2B0000}"/>
    <cellStyle name="Normal 5 3 2 8 2 4" xfId="15803" xr:uid="{00000000-0005-0000-0000-0000FF2B0000}"/>
    <cellStyle name="Normal 5 3 2 8 2 5" xfId="8547" xr:uid="{00000000-0005-0000-0000-0000002C0000}"/>
    <cellStyle name="Normal 5 3 2 8 3" xfId="2198" xr:uid="{00000000-0005-0000-0000-0000012C0000}"/>
    <cellStyle name="Normal 5 3 2 8 3 2" xfId="5826" xr:uid="{00000000-0005-0000-0000-0000022C0000}"/>
    <cellStyle name="Normal 5 3 2 8 3 2 2" xfId="20338" xr:uid="{00000000-0005-0000-0000-0000032C0000}"/>
    <cellStyle name="Normal 5 3 2 8 3 2 3" xfId="13082" xr:uid="{00000000-0005-0000-0000-0000042C0000}"/>
    <cellStyle name="Normal 5 3 2 8 3 3" xfId="16710" xr:uid="{00000000-0005-0000-0000-0000052C0000}"/>
    <cellStyle name="Normal 5 3 2 8 3 4" xfId="9454" xr:uid="{00000000-0005-0000-0000-0000062C0000}"/>
    <cellStyle name="Normal 5 3 2 8 4" xfId="4012" xr:uid="{00000000-0005-0000-0000-0000072C0000}"/>
    <cellStyle name="Normal 5 3 2 8 4 2" xfId="18524" xr:uid="{00000000-0005-0000-0000-0000082C0000}"/>
    <cellStyle name="Normal 5 3 2 8 4 3" xfId="11268" xr:uid="{00000000-0005-0000-0000-0000092C0000}"/>
    <cellStyle name="Normal 5 3 2 8 5" xfId="14896" xr:uid="{00000000-0005-0000-0000-00000A2C0000}"/>
    <cellStyle name="Normal 5 3 2 8 6" xfId="7640" xr:uid="{00000000-0005-0000-0000-00000B2C0000}"/>
    <cellStyle name="Normal 5 3 2 9" xfId="859" xr:uid="{00000000-0005-0000-0000-00000C2C0000}"/>
    <cellStyle name="Normal 5 3 2 9 2" xfId="1767" xr:uid="{00000000-0005-0000-0000-00000D2C0000}"/>
    <cellStyle name="Normal 5 3 2 9 2 2" xfId="3581" xr:uid="{00000000-0005-0000-0000-00000E2C0000}"/>
    <cellStyle name="Normal 5 3 2 9 2 2 2" xfId="7209" xr:uid="{00000000-0005-0000-0000-00000F2C0000}"/>
    <cellStyle name="Normal 5 3 2 9 2 2 2 2" xfId="21721" xr:uid="{00000000-0005-0000-0000-0000102C0000}"/>
    <cellStyle name="Normal 5 3 2 9 2 2 2 3" xfId="14465" xr:uid="{00000000-0005-0000-0000-0000112C0000}"/>
    <cellStyle name="Normal 5 3 2 9 2 2 3" xfId="18093" xr:uid="{00000000-0005-0000-0000-0000122C0000}"/>
    <cellStyle name="Normal 5 3 2 9 2 2 4" xfId="10837" xr:uid="{00000000-0005-0000-0000-0000132C0000}"/>
    <cellStyle name="Normal 5 3 2 9 2 3" xfId="5395" xr:uid="{00000000-0005-0000-0000-0000142C0000}"/>
    <cellStyle name="Normal 5 3 2 9 2 3 2" xfId="19907" xr:uid="{00000000-0005-0000-0000-0000152C0000}"/>
    <cellStyle name="Normal 5 3 2 9 2 3 3" xfId="12651" xr:uid="{00000000-0005-0000-0000-0000162C0000}"/>
    <cellStyle name="Normal 5 3 2 9 2 4" xfId="16279" xr:uid="{00000000-0005-0000-0000-0000172C0000}"/>
    <cellStyle name="Normal 5 3 2 9 2 5" xfId="9023" xr:uid="{00000000-0005-0000-0000-0000182C0000}"/>
    <cellStyle name="Normal 5 3 2 9 3" xfId="2674" xr:uid="{00000000-0005-0000-0000-0000192C0000}"/>
    <cellStyle name="Normal 5 3 2 9 3 2" xfId="6302" xr:uid="{00000000-0005-0000-0000-00001A2C0000}"/>
    <cellStyle name="Normal 5 3 2 9 3 2 2" xfId="20814" xr:uid="{00000000-0005-0000-0000-00001B2C0000}"/>
    <cellStyle name="Normal 5 3 2 9 3 2 3" xfId="13558" xr:uid="{00000000-0005-0000-0000-00001C2C0000}"/>
    <cellStyle name="Normal 5 3 2 9 3 3" xfId="17186" xr:uid="{00000000-0005-0000-0000-00001D2C0000}"/>
    <cellStyle name="Normal 5 3 2 9 3 4" xfId="9930" xr:uid="{00000000-0005-0000-0000-00001E2C0000}"/>
    <cellStyle name="Normal 5 3 2 9 4" xfId="4488" xr:uid="{00000000-0005-0000-0000-00001F2C0000}"/>
    <cellStyle name="Normal 5 3 2 9 4 2" xfId="19000" xr:uid="{00000000-0005-0000-0000-0000202C0000}"/>
    <cellStyle name="Normal 5 3 2 9 4 3" xfId="11744" xr:uid="{00000000-0005-0000-0000-0000212C0000}"/>
    <cellStyle name="Normal 5 3 2 9 5" xfId="15372" xr:uid="{00000000-0005-0000-0000-0000222C0000}"/>
    <cellStyle name="Normal 5 3 2 9 6" xfId="8116" xr:uid="{00000000-0005-0000-0000-0000232C0000}"/>
    <cellStyle name="Normal 5 3 3" xfId="46" xr:uid="{00000000-0005-0000-0000-0000242C0000}"/>
    <cellStyle name="Normal 5 3 3 10" xfId="1863" xr:uid="{00000000-0005-0000-0000-0000252C0000}"/>
    <cellStyle name="Normal 5 3 3 10 2" xfId="5491" xr:uid="{00000000-0005-0000-0000-0000262C0000}"/>
    <cellStyle name="Normal 5 3 3 10 2 2" xfId="20003" xr:uid="{00000000-0005-0000-0000-0000272C0000}"/>
    <cellStyle name="Normal 5 3 3 10 2 3" xfId="12747" xr:uid="{00000000-0005-0000-0000-0000282C0000}"/>
    <cellStyle name="Normal 5 3 3 10 3" xfId="16375" xr:uid="{00000000-0005-0000-0000-0000292C0000}"/>
    <cellStyle name="Normal 5 3 3 10 4" xfId="9119" xr:uid="{00000000-0005-0000-0000-00002A2C0000}"/>
    <cellStyle name="Normal 5 3 3 11" xfId="3677" xr:uid="{00000000-0005-0000-0000-00002B2C0000}"/>
    <cellStyle name="Normal 5 3 3 11 2" xfId="18189" xr:uid="{00000000-0005-0000-0000-00002C2C0000}"/>
    <cellStyle name="Normal 5 3 3 11 3" xfId="10933" xr:uid="{00000000-0005-0000-0000-00002D2C0000}"/>
    <cellStyle name="Normal 5 3 3 12" xfId="14561" xr:uid="{00000000-0005-0000-0000-00002E2C0000}"/>
    <cellStyle name="Normal 5 3 3 13" xfId="7305" xr:uid="{00000000-0005-0000-0000-00002F2C0000}"/>
    <cellStyle name="Normal 5 3 3 2" xfId="88" xr:uid="{00000000-0005-0000-0000-0000302C0000}"/>
    <cellStyle name="Normal 5 3 3 2 10" xfId="14603" xr:uid="{00000000-0005-0000-0000-0000312C0000}"/>
    <cellStyle name="Normal 5 3 3 2 11" xfId="7347" xr:uid="{00000000-0005-0000-0000-0000322C0000}"/>
    <cellStyle name="Normal 5 3 3 2 2" xfId="176" xr:uid="{00000000-0005-0000-0000-0000332C0000}"/>
    <cellStyle name="Normal 5 3 3 2 2 2" xfId="522" xr:uid="{00000000-0005-0000-0000-0000342C0000}"/>
    <cellStyle name="Normal 5 3 3 2 2 2 2" xfId="1430" xr:uid="{00000000-0005-0000-0000-0000352C0000}"/>
    <cellStyle name="Normal 5 3 3 2 2 2 2 2" xfId="3244" xr:uid="{00000000-0005-0000-0000-0000362C0000}"/>
    <cellStyle name="Normal 5 3 3 2 2 2 2 2 2" xfId="6872" xr:uid="{00000000-0005-0000-0000-0000372C0000}"/>
    <cellStyle name="Normal 5 3 3 2 2 2 2 2 2 2" xfId="21384" xr:uid="{00000000-0005-0000-0000-0000382C0000}"/>
    <cellStyle name="Normal 5 3 3 2 2 2 2 2 2 3" xfId="14128" xr:uid="{00000000-0005-0000-0000-0000392C0000}"/>
    <cellStyle name="Normal 5 3 3 2 2 2 2 2 3" xfId="17756" xr:uid="{00000000-0005-0000-0000-00003A2C0000}"/>
    <cellStyle name="Normal 5 3 3 2 2 2 2 2 4" xfId="10500" xr:uid="{00000000-0005-0000-0000-00003B2C0000}"/>
    <cellStyle name="Normal 5 3 3 2 2 2 2 3" xfId="5058" xr:uid="{00000000-0005-0000-0000-00003C2C0000}"/>
    <cellStyle name="Normal 5 3 3 2 2 2 2 3 2" xfId="19570" xr:uid="{00000000-0005-0000-0000-00003D2C0000}"/>
    <cellStyle name="Normal 5 3 3 2 2 2 2 3 3" xfId="12314" xr:uid="{00000000-0005-0000-0000-00003E2C0000}"/>
    <cellStyle name="Normal 5 3 3 2 2 2 2 4" xfId="15942" xr:uid="{00000000-0005-0000-0000-00003F2C0000}"/>
    <cellStyle name="Normal 5 3 3 2 2 2 2 5" xfId="8686" xr:uid="{00000000-0005-0000-0000-0000402C0000}"/>
    <cellStyle name="Normal 5 3 3 2 2 2 3" xfId="2337" xr:uid="{00000000-0005-0000-0000-0000412C0000}"/>
    <cellStyle name="Normal 5 3 3 2 2 2 3 2" xfId="5965" xr:uid="{00000000-0005-0000-0000-0000422C0000}"/>
    <cellStyle name="Normal 5 3 3 2 2 2 3 2 2" xfId="20477" xr:uid="{00000000-0005-0000-0000-0000432C0000}"/>
    <cellStyle name="Normal 5 3 3 2 2 2 3 2 3" xfId="13221" xr:uid="{00000000-0005-0000-0000-0000442C0000}"/>
    <cellStyle name="Normal 5 3 3 2 2 2 3 3" xfId="16849" xr:uid="{00000000-0005-0000-0000-0000452C0000}"/>
    <cellStyle name="Normal 5 3 3 2 2 2 3 4" xfId="9593" xr:uid="{00000000-0005-0000-0000-0000462C0000}"/>
    <cellStyle name="Normal 5 3 3 2 2 2 4" xfId="4151" xr:uid="{00000000-0005-0000-0000-0000472C0000}"/>
    <cellStyle name="Normal 5 3 3 2 2 2 4 2" xfId="18663" xr:uid="{00000000-0005-0000-0000-0000482C0000}"/>
    <cellStyle name="Normal 5 3 3 2 2 2 4 3" xfId="11407" xr:uid="{00000000-0005-0000-0000-0000492C0000}"/>
    <cellStyle name="Normal 5 3 3 2 2 2 5" xfId="15035" xr:uid="{00000000-0005-0000-0000-00004A2C0000}"/>
    <cellStyle name="Normal 5 3 3 2 2 2 6" xfId="7779" xr:uid="{00000000-0005-0000-0000-00004B2C0000}"/>
    <cellStyle name="Normal 5 3 3 2 2 3" xfId="1084" xr:uid="{00000000-0005-0000-0000-00004C2C0000}"/>
    <cellStyle name="Normal 5 3 3 2 2 3 2" xfId="2898" xr:uid="{00000000-0005-0000-0000-00004D2C0000}"/>
    <cellStyle name="Normal 5 3 3 2 2 3 2 2" xfId="6526" xr:uid="{00000000-0005-0000-0000-00004E2C0000}"/>
    <cellStyle name="Normal 5 3 3 2 2 3 2 2 2" xfId="21038" xr:uid="{00000000-0005-0000-0000-00004F2C0000}"/>
    <cellStyle name="Normal 5 3 3 2 2 3 2 2 3" xfId="13782" xr:uid="{00000000-0005-0000-0000-0000502C0000}"/>
    <cellStyle name="Normal 5 3 3 2 2 3 2 3" xfId="17410" xr:uid="{00000000-0005-0000-0000-0000512C0000}"/>
    <cellStyle name="Normal 5 3 3 2 2 3 2 4" xfId="10154" xr:uid="{00000000-0005-0000-0000-0000522C0000}"/>
    <cellStyle name="Normal 5 3 3 2 2 3 3" xfId="4712" xr:uid="{00000000-0005-0000-0000-0000532C0000}"/>
    <cellStyle name="Normal 5 3 3 2 2 3 3 2" xfId="19224" xr:uid="{00000000-0005-0000-0000-0000542C0000}"/>
    <cellStyle name="Normal 5 3 3 2 2 3 3 3" xfId="11968" xr:uid="{00000000-0005-0000-0000-0000552C0000}"/>
    <cellStyle name="Normal 5 3 3 2 2 3 4" xfId="15596" xr:uid="{00000000-0005-0000-0000-0000562C0000}"/>
    <cellStyle name="Normal 5 3 3 2 2 3 5" xfId="8340" xr:uid="{00000000-0005-0000-0000-0000572C0000}"/>
    <cellStyle name="Normal 5 3 3 2 2 4" xfId="1991" xr:uid="{00000000-0005-0000-0000-0000582C0000}"/>
    <cellStyle name="Normal 5 3 3 2 2 4 2" xfId="5619" xr:uid="{00000000-0005-0000-0000-0000592C0000}"/>
    <cellStyle name="Normal 5 3 3 2 2 4 2 2" xfId="20131" xr:uid="{00000000-0005-0000-0000-00005A2C0000}"/>
    <cellStyle name="Normal 5 3 3 2 2 4 2 3" xfId="12875" xr:uid="{00000000-0005-0000-0000-00005B2C0000}"/>
    <cellStyle name="Normal 5 3 3 2 2 4 3" xfId="16503" xr:uid="{00000000-0005-0000-0000-00005C2C0000}"/>
    <cellStyle name="Normal 5 3 3 2 2 4 4" xfId="9247" xr:uid="{00000000-0005-0000-0000-00005D2C0000}"/>
    <cellStyle name="Normal 5 3 3 2 2 5" xfId="3805" xr:uid="{00000000-0005-0000-0000-00005E2C0000}"/>
    <cellStyle name="Normal 5 3 3 2 2 5 2" xfId="18317" xr:uid="{00000000-0005-0000-0000-00005F2C0000}"/>
    <cellStyle name="Normal 5 3 3 2 2 5 3" xfId="11061" xr:uid="{00000000-0005-0000-0000-0000602C0000}"/>
    <cellStyle name="Normal 5 3 3 2 2 6" xfId="14689" xr:uid="{00000000-0005-0000-0000-0000612C0000}"/>
    <cellStyle name="Normal 5 3 3 2 2 7" xfId="7433" xr:uid="{00000000-0005-0000-0000-0000622C0000}"/>
    <cellStyle name="Normal 5 3 3 2 3" xfId="306" xr:uid="{00000000-0005-0000-0000-0000632C0000}"/>
    <cellStyle name="Normal 5 3 3 2 3 2" xfId="652" xr:uid="{00000000-0005-0000-0000-0000642C0000}"/>
    <cellStyle name="Normal 5 3 3 2 3 2 2" xfId="1560" xr:uid="{00000000-0005-0000-0000-0000652C0000}"/>
    <cellStyle name="Normal 5 3 3 2 3 2 2 2" xfId="3374" xr:uid="{00000000-0005-0000-0000-0000662C0000}"/>
    <cellStyle name="Normal 5 3 3 2 3 2 2 2 2" xfId="7002" xr:uid="{00000000-0005-0000-0000-0000672C0000}"/>
    <cellStyle name="Normal 5 3 3 2 3 2 2 2 2 2" xfId="21514" xr:uid="{00000000-0005-0000-0000-0000682C0000}"/>
    <cellStyle name="Normal 5 3 3 2 3 2 2 2 2 3" xfId="14258" xr:uid="{00000000-0005-0000-0000-0000692C0000}"/>
    <cellStyle name="Normal 5 3 3 2 3 2 2 2 3" xfId="17886" xr:uid="{00000000-0005-0000-0000-00006A2C0000}"/>
    <cellStyle name="Normal 5 3 3 2 3 2 2 2 4" xfId="10630" xr:uid="{00000000-0005-0000-0000-00006B2C0000}"/>
    <cellStyle name="Normal 5 3 3 2 3 2 2 3" xfId="5188" xr:uid="{00000000-0005-0000-0000-00006C2C0000}"/>
    <cellStyle name="Normal 5 3 3 2 3 2 2 3 2" xfId="19700" xr:uid="{00000000-0005-0000-0000-00006D2C0000}"/>
    <cellStyle name="Normal 5 3 3 2 3 2 2 3 3" xfId="12444" xr:uid="{00000000-0005-0000-0000-00006E2C0000}"/>
    <cellStyle name="Normal 5 3 3 2 3 2 2 4" xfId="16072" xr:uid="{00000000-0005-0000-0000-00006F2C0000}"/>
    <cellStyle name="Normal 5 3 3 2 3 2 2 5" xfId="8816" xr:uid="{00000000-0005-0000-0000-0000702C0000}"/>
    <cellStyle name="Normal 5 3 3 2 3 2 3" xfId="2467" xr:uid="{00000000-0005-0000-0000-0000712C0000}"/>
    <cellStyle name="Normal 5 3 3 2 3 2 3 2" xfId="6095" xr:uid="{00000000-0005-0000-0000-0000722C0000}"/>
    <cellStyle name="Normal 5 3 3 2 3 2 3 2 2" xfId="20607" xr:uid="{00000000-0005-0000-0000-0000732C0000}"/>
    <cellStyle name="Normal 5 3 3 2 3 2 3 2 3" xfId="13351" xr:uid="{00000000-0005-0000-0000-0000742C0000}"/>
    <cellStyle name="Normal 5 3 3 2 3 2 3 3" xfId="16979" xr:uid="{00000000-0005-0000-0000-0000752C0000}"/>
    <cellStyle name="Normal 5 3 3 2 3 2 3 4" xfId="9723" xr:uid="{00000000-0005-0000-0000-0000762C0000}"/>
    <cellStyle name="Normal 5 3 3 2 3 2 4" xfId="4281" xr:uid="{00000000-0005-0000-0000-0000772C0000}"/>
    <cellStyle name="Normal 5 3 3 2 3 2 4 2" xfId="18793" xr:uid="{00000000-0005-0000-0000-0000782C0000}"/>
    <cellStyle name="Normal 5 3 3 2 3 2 4 3" xfId="11537" xr:uid="{00000000-0005-0000-0000-0000792C0000}"/>
    <cellStyle name="Normal 5 3 3 2 3 2 5" xfId="15165" xr:uid="{00000000-0005-0000-0000-00007A2C0000}"/>
    <cellStyle name="Normal 5 3 3 2 3 2 6" xfId="7909" xr:uid="{00000000-0005-0000-0000-00007B2C0000}"/>
    <cellStyle name="Normal 5 3 3 2 3 3" xfId="1214" xr:uid="{00000000-0005-0000-0000-00007C2C0000}"/>
    <cellStyle name="Normal 5 3 3 2 3 3 2" xfId="3028" xr:uid="{00000000-0005-0000-0000-00007D2C0000}"/>
    <cellStyle name="Normal 5 3 3 2 3 3 2 2" xfId="6656" xr:uid="{00000000-0005-0000-0000-00007E2C0000}"/>
    <cellStyle name="Normal 5 3 3 2 3 3 2 2 2" xfId="21168" xr:uid="{00000000-0005-0000-0000-00007F2C0000}"/>
    <cellStyle name="Normal 5 3 3 2 3 3 2 2 3" xfId="13912" xr:uid="{00000000-0005-0000-0000-0000802C0000}"/>
    <cellStyle name="Normal 5 3 3 2 3 3 2 3" xfId="17540" xr:uid="{00000000-0005-0000-0000-0000812C0000}"/>
    <cellStyle name="Normal 5 3 3 2 3 3 2 4" xfId="10284" xr:uid="{00000000-0005-0000-0000-0000822C0000}"/>
    <cellStyle name="Normal 5 3 3 2 3 3 3" xfId="4842" xr:uid="{00000000-0005-0000-0000-0000832C0000}"/>
    <cellStyle name="Normal 5 3 3 2 3 3 3 2" xfId="19354" xr:uid="{00000000-0005-0000-0000-0000842C0000}"/>
    <cellStyle name="Normal 5 3 3 2 3 3 3 3" xfId="12098" xr:uid="{00000000-0005-0000-0000-0000852C0000}"/>
    <cellStyle name="Normal 5 3 3 2 3 3 4" xfId="15726" xr:uid="{00000000-0005-0000-0000-0000862C0000}"/>
    <cellStyle name="Normal 5 3 3 2 3 3 5" xfId="8470" xr:uid="{00000000-0005-0000-0000-0000872C0000}"/>
    <cellStyle name="Normal 5 3 3 2 3 4" xfId="2121" xr:uid="{00000000-0005-0000-0000-0000882C0000}"/>
    <cellStyle name="Normal 5 3 3 2 3 4 2" xfId="5749" xr:uid="{00000000-0005-0000-0000-0000892C0000}"/>
    <cellStyle name="Normal 5 3 3 2 3 4 2 2" xfId="20261" xr:uid="{00000000-0005-0000-0000-00008A2C0000}"/>
    <cellStyle name="Normal 5 3 3 2 3 4 2 3" xfId="13005" xr:uid="{00000000-0005-0000-0000-00008B2C0000}"/>
    <cellStyle name="Normal 5 3 3 2 3 4 3" xfId="16633" xr:uid="{00000000-0005-0000-0000-00008C2C0000}"/>
    <cellStyle name="Normal 5 3 3 2 3 4 4" xfId="9377" xr:uid="{00000000-0005-0000-0000-00008D2C0000}"/>
    <cellStyle name="Normal 5 3 3 2 3 5" xfId="3935" xr:uid="{00000000-0005-0000-0000-00008E2C0000}"/>
    <cellStyle name="Normal 5 3 3 2 3 5 2" xfId="18447" xr:uid="{00000000-0005-0000-0000-00008F2C0000}"/>
    <cellStyle name="Normal 5 3 3 2 3 5 3" xfId="11191" xr:uid="{00000000-0005-0000-0000-0000902C0000}"/>
    <cellStyle name="Normal 5 3 3 2 3 6" xfId="14819" xr:uid="{00000000-0005-0000-0000-0000912C0000}"/>
    <cellStyle name="Normal 5 3 3 2 3 7" xfId="7563" xr:uid="{00000000-0005-0000-0000-0000922C0000}"/>
    <cellStyle name="Normal 5 3 3 2 4" xfId="782" xr:uid="{00000000-0005-0000-0000-0000932C0000}"/>
    <cellStyle name="Normal 5 3 3 2 4 2" xfId="1690" xr:uid="{00000000-0005-0000-0000-0000942C0000}"/>
    <cellStyle name="Normal 5 3 3 2 4 2 2" xfId="3504" xr:uid="{00000000-0005-0000-0000-0000952C0000}"/>
    <cellStyle name="Normal 5 3 3 2 4 2 2 2" xfId="7132" xr:uid="{00000000-0005-0000-0000-0000962C0000}"/>
    <cellStyle name="Normal 5 3 3 2 4 2 2 2 2" xfId="21644" xr:uid="{00000000-0005-0000-0000-0000972C0000}"/>
    <cellStyle name="Normal 5 3 3 2 4 2 2 2 3" xfId="14388" xr:uid="{00000000-0005-0000-0000-0000982C0000}"/>
    <cellStyle name="Normal 5 3 3 2 4 2 2 3" xfId="18016" xr:uid="{00000000-0005-0000-0000-0000992C0000}"/>
    <cellStyle name="Normal 5 3 3 2 4 2 2 4" xfId="10760" xr:uid="{00000000-0005-0000-0000-00009A2C0000}"/>
    <cellStyle name="Normal 5 3 3 2 4 2 3" xfId="5318" xr:uid="{00000000-0005-0000-0000-00009B2C0000}"/>
    <cellStyle name="Normal 5 3 3 2 4 2 3 2" xfId="19830" xr:uid="{00000000-0005-0000-0000-00009C2C0000}"/>
    <cellStyle name="Normal 5 3 3 2 4 2 3 3" xfId="12574" xr:uid="{00000000-0005-0000-0000-00009D2C0000}"/>
    <cellStyle name="Normal 5 3 3 2 4 2 4" xfId="16202" xr:uid="{00000000-0005-0000-0000-00009E2C0000}"/>
    <cellStyle name="Normal 5 3 3 2 4 2 5" xfId="8946" xr:uid="{00000000-0005-0000-0000-00009F2C0000}"/>
    <cellStyle name="Normal 5 3 3 2 4 3" xfId="2597" xr:uid="{00000000-0005-0000-0000-0000A02C0000}"/>
    <cellStyle name="Normal 5 3 3 2 4 3 2" xfId="6225" xr:uid="{00000000-0005-0000-0000-0000A12C0000}"/>
    <cellStyle name="Normal 5 3 3 2 4 3 2 2" xfId="20737" xr:uid="{00000000-0005-0000-0000-0000A22C0000}"/>
    <cellStyle name="Normal 5 3 3 2 4 3 2 3" xfId="13481" xr:uid="{00000000-0005-0000-0000-0000A32C0000}"/>
    <cellStyle name="Normal 5 3 3 2 4 3 3" xfId="17109" xr:uid="{00000000-0005-0000-0000-0000A42C0000}"/>
    <cellStyle name="Normal 5 3 3 2 4 3 4" xfId="9853" xr:uid="{00000000-0005-0000-0000-0000A52C0000}"/>
    <cellStyle name="Normal 5 3 3 2 4 4" xfId="4411" xr:uid="{00000000-0005-0000-0000-0000A62C0000}"/>
    <cellStyle name="Normal 5 3 3 2 4 4 2" xfId="18923" xr:uid="{00000000-0005-0000-0000-0000A72C0000}"/>
    <cellStyle name="Normal 5 3 3 2 4 4 3" xfId="11667" xr:uid="{00000000-0005-0000-0000-0000A82C0000}"/>
    <cellStyle name="Normal 5 3 3 2 4 5" xfId="15295" xr:uid="{00000000-0005-0000-0000-0000A92C0000}"/>
    <cellStyle name="Normal 5 3 3 2 4 6" xfId="8039" xr:uid="{00000000-0005-0000-0000-0000AA2C0000}"/>
    <cellStyle name="Normal 5 3 3 2 5" xfId="436" xr:uid="{00000000-0005-0000-0000-0000AB2C0000}"/>
    <cellStyle name="Normal 5 3 3 2 5 2" xfId="1344" xr:uid="{00000000-0005-0000-0000-0000AC2C0000}"/>
    <cellStyle name="Normal 5 3 3 2 5 2 2" xfId="3158" xr:uid="{00000000-0005-0000-0000-0000AD2C0000}"/>
    <cellStyle name="Normal 5 3 3 2 5 2 2 2" xfId="6786" xr:uid="{00000000-0005-0000-0000-0000AE2C0000}"/>
    <cellStyle name="Normal 5 3 3 2 5 2 2 2 2" xfId="21298" xr:uid="{00000000-0005-0000-0000-0000AF2C0000}"/>
    <cellStyle name="Normal 5 3 3 2 5 2 2 2 3" xfId="14042" xr:uid="{00000000-0005-0000-0000-0000B02C0000}"/>
    <cellStyle name="Normal 5 3 3 2 5 2 2 3" xfId="17670" xr:uid="{00000000-0005-0000-0000-0000B12C0000}"/>
    <cellStyle name="Normal 5 3 3 2 5 2 2 4" xfId="10414" xr:uid="{00000000-0005-0000-0000-0000B22C0000}"/>
    <cellStyle name="Normal 5 3 3 2 5 2 3" xfId="4972" xr:uid="{00000000-0005-0000-0000-0000B32C0000}"/>
    <cellStyle name="Normal 5 3 3 2 5 2 3 2" xfId="19484" xr:uid="{00000000-0005-0000-0000-0000B42C0000}"/>
    <cellStyle name="Normal 5 3 3 2 5 2 3 3" xfId="12228" xr:uid="{00000000-0005-0000-0000-0000B52C0000}"/>
    <cellStyle name="Normal 5 3 3 2 5 2 4" xfId="15856" xr:uid="{00000000-0005-0000-0000-0000B62C0000}"/>
    <cellStyle name="Normal 5 3 3 2 5 2 5" xfId="8600" xr:uid="{00000000-0005-0000-0000-0000B72C0000}"/>
    <cellStyle name="Normal 5 3 3 2 5 3" xfId="2251" xr:uid="{00000000-0005-0000-0000-0000B82C0000}"/>
    <cellStyle name="Normal 5 3 3 2 5 3 2" xfId="5879" xr:uid="{00000000-0005-0000-0000-0000B92C0000}"/>
    <cellStyle name="Normal 5 3 3 2 5 3 2 2" xfId="20391" xr:uid="{00000000-0005-0000-0000-0000BA2C0000}"/>
    <cellStyle name="Normal 5 3 3 2 5 3 2 3" xfId="13135" xr:uid="{00000000-0005-0000-0000-0000BB2C0000}"/>
    <cellStyle name="Normal 5 3 3 2 5 3 3" xfId="16763" xr:uid="{00000000-0005-0000-0000-0000BC2C0000}"/>
    <cellStyle name="Normal 5 3 3 2 5 3 4" xfId="9507" xr:uid="{00000000-0005-0000-0000-0000BD2C0000}"/>
    <cellStyle name="Normal 5 3 3 2 5 4" xfId="4065" xr:uid="{00000000-0005-0000-0000-0000BE2C0000}"/>
    <cellStyle name="Normal 5 3 3 2 5 4 2" xfId="18577" xr:uid="{00000000-0005-0000-0000-0000BF2C0000}"/>
    <cellStyle name="Normal 5 3 3 2 5 4 3" xfId="11321" xr:uid="{00000000-0005-0000-0000-0000C02C0000}"/>
    <cellStyle name="Normal 5 3 3 2 5 5" xfId="14949" xr:uid="{00000000-0005-0000-0000-0000C12C0000}"/>
    <cellStyle name="Normal 5 3 3 2 5 6" xfId="7693" xr:uid="{00000000-0005-0000-0000-0000C22C0000}"/>
    <cellStyle name="Normal 5 3 3 2 6" xfId="924" xr:uid="{00000000-0005-0000-0000-0000C32C0000}"/>
    <cellStyle name="Normal 5 3 3 2 6 2" xfId="1831" xr:uid="{00000000-0005-0000-0000-0000C42C0000}"/>
    <cellStyle name="Normal 5 3 3 2 6 2 2" xfId="3645" xr:uid="{00000000-0005-0000-0000-0000C52C0000}"/>
    <cellStyle name="Normal 5 3 3 2 6 2 2 2" xfId="7273" xr:uid="{00000000-0005-0000-0000-0000C62C0000}"/>
    <cellStyle name="Normal 5 3 3 2 6 2 2 2 2" xfId="21785" xr:uid="{00000000-0005-0000-0000-0000C72C0000}"/>
    <cellStyle name="Normal 5 3 3 2 6 2 2 2 3" xfId="14529" xr:uid="{00000000-0005-0000-0000-0000C82C0000}"/>
    <cellStyle name="Normal 5 3 3 2 6 2 2 3" xfId="18157" xr:uid="{00000000-0005-0000-0000-0000C92C0000}"/>
    <cellStyle name="Normal 5 3 3 2 6 2 2 4" xfId="10901" xr:uid="{00000000-0005-0000-0000-0000CA2C0000}"/>
    <cellStyle name="Normal 5 3 3 2 6 2 3" xfId="5459" xr:uid="{00000000-0005-0000-0000-0000CB2C0000}"/>
    <cellStyle name="Normal 5 3 3 2 6 2 3 2" xfId="19971" xr:uid="{00000000-0005-0000-0000-0000CC2C0000}"/>
    <cellStyle name="Normal 5 3 3 2 6 2 3 3" xfId="12715" xr:uid="{00000000-0005-0000-0000-0000CD2C0000}"/>
    <cellStyle name="Normal 5 3 3 2 6 2 4" xfId="16343" xr:uid="{00000000-0005-0000-0000-0000CE2C0000}"/>
    <cellStyle name="Normal 5 3 3 2 6 2 5" xfId="9087" xr:uid="{00000000-0005-0000-0000-0000CF2C0000}"/>
    <cellStyle name="Normal 5 3 3 2 6 3" xfId="2738" xr:uid="{00000000-0005-0000-0000-0000D02C0000}"/>
    <cellStyle name="Normal 5 3 3 2 6 3 2" xfId="6366" xr:uid="{00000000-0005-0000-0000-0000D12C0000}"/>
    <cellStyle name="Normal 5 3 3 2 6 3 2 2" xfId="20878" xr:uid="{00000000-0005-0000-0000-0000D22C0000}"/>
    <cellStyle name="Normal 5 3 3 2 6 3 2 3" xfId="13622" xr:uid="{00000000-0005-0000-0000-0000D32C0000}"/>
    <cellStyle name="Normal 5 3 3 2 6 3 3" xfId="17250" xr:uid="{00000000-0005-0000-0000-0000D42C0000}"/>
    <cellStyle name="Normal 5 3 3 2 6 3 4" xfId="9994" xr:uid="{00000000-0005-0000-0000-0000D52C0000}"/>
    <cellStyle name="Normal 5 3 3 2 6 4" xfId="4552" xr:uid="{00000000-0005-0000-0000-0000D62C0000}"/>
    <cellStyle name="Normal 5 3 3 2 6 4 2" xfId="19064" xr:uid="{00000000-0005-0000-0000-0000D72C0000}"/>
    <cellStyle name="Normal 5 3 3 2 6 4 3" xfId="11808" xr:uid="{00000000-0005-0000-0000-0000D82C0000}"/>
    <cellStyle name="Normal 5 3 3 2 6 5" xfId="15436" xr:uid="{00000000-0005-0000-0000-0000D92C0000}"/>
    <cellStyle name="Normal 5 3 3 2 6 6" xfId="8180" xr:uid="{00000000-0005-0000-0000-0000DA2C0000}"/>
    <cellStyle name="Normal 5 3 3 2 7" xfId="998" xr:uid="{00000000-0005-0000-0000-0000DB2C0000}"/>
    <cellStyle name="Normal 5 3 3 2 7 2" xfId="2812" xr:uid="{00000000-0005-0000-0000-0000DC2C0000}"/>
    <cellStyle name="Normal 5 3 3 2 7 2 2" xfId="6440" xr:uid="{00000000-0005-0000-0000-0000DD2C0000}"/>
    <cellStyle name="Normal 5 3 3 2 7 2 2 2" xfId="20952" xr:uid="{00000000-0005-0000-0000-0000DE2C0000}"/>
    <cellStyle name="Normal 5 3 3 2 7 2 2 3" xfId="13696" xr:uid="{00000000-0005-0000-0000-0000DF2C0000}"/>
    <cellStyle name="Normal 5 3 3 2 7 2 3" xfId="17324" xr:uid="{00000000-0005-0000-0000-0000E02C0000}"/>
    <cellStyle name="Normal 5 3 3 2 7 2 4" xfId="10068" xr:uid="{00000000-0005-0000-0000-0000E12C0000}"/>
    <cellStyle name="Normal 5 3 3 2 7 3" xfId="4626" xr:uid="{00000000-0005-0000-0000-0000E22C0000}"/>
    <cellStyle name="Normal 5 3 3 2 7 3 2" xfId="19138" xr:uid="{00000000-0005-0000-0000-0000E32C0000}"/>
    <cellStyle name="Normal 5 3 3 2 7 3 3" xfId="11882" xr:uid="{00000000-0005-0000-0000-0000E42C0000}"/>
    <cellStyle name="Normal 5 3 3 2 7 4" xfId="15510" xr:uid="{00000000-0005-0000-0000-0000E52C0000}"/>
    <cellStyle name="Normal 5 3 3 2 7 5" xfId="8254" xr:uid="{00000000-0005-0000-0000-0000E62C0000}"/>
    <cellStyle name="Normal 5 3 3 2 8" xfId="1905" xr:uid="{00000000-0005-0000-0000-0000E72C0000}"/>
    <cellStyle name="Normal 5 3 3 2 8 2" xfId="5533" xr:uid="{00000000-0005-0000-0000-0000E82C0000}"/>
    <cellStyle name="Normal 5 3 3 2 8 2 2" xfId="20045" xr:uid="{00000000-0005-0000-0000-0000E92C0000}"/>
    <cellStyle name="Normal 5 3 3 2 8 2 3" xfId="12789" xr:uid="{00000000-0005-0000-0000-0000EA2C0000}"/>
    <cellStyle name="Normal 5 3 3 2 8 3" xfId="16417" xr:uid="{00000000-0005-0000-0000-0000EB2C0000}"/>
    <cellStyle name="Normal 5 3 3 2 8 4" xfId="9161" xr:uid="{00000000-0005-0000-0000-0000EC2C0000}"/>
    <cellStyle name="Normal 5 3 3 2 9" xfId="3719" xr:uid="{00000000-0005-0000-0000-0000ED2C0000}"/>
    <cellStyle name="Normal 5 3 3 2 9 2" xfId="18231" xr:uid="{00000000-0005-0000-0000-0000EE2C0000}"/>
    <cellStyle name="Normal 5 3 3 2 9 3" xfId="10975" xr:uid="{00000000-0005-0000-0000-0000EF2C0000}"/>
    <cellStyle name="Normal 5 3 3 3" xfId="220" xr:uid="{00000000-0005-0000-0000-0000F02C0000}"/>
    <cellStyle name="Normal 5 3 3 3 2" xfId="350" xr:uid="{00000000-0005-0000-0000-0000F12C0000}"/>
    <cellStyle name="Normal 5 3 3 3 2 2" xfId="696" xr:uid="{00000000-0005-0000-0000-0000F22C0000}"/>
    <cellStyle name="Normal 5 3 3 3 2 2 2" xfId="1604" xr:uid="{00000000-0005-0000-0000-0000F32C0000}"/>
    <cellStyle name="Normal 5 3 3 3 2 2 2 2" xfId="3418" xr:uid="{00000000-0005-0000-0000-0000F42C0000}"/>
    <cellStyle name="Normal 5 3 3 3 2 2 2 2 2" xfId="7046" xr:uid="{00000000-0005-0000-0000-0000F52C0000}"/>
    <cellStyle name="Normal 5 3 3 3 2 2 2 2 2 2" xfId="21558" xr:uid="{00000000-0005-0000-0000-0000F62C0000}"/>
    <cellStyle name="Normal 5 3 3 3 2 2 2 2 2 3" xfId="14302" xr:uid="{00000000-0005-0000-0000-0000F72C0000}"/>
    <cellStyle name="Normal 5 3 3 3 2 2 2 2 3" xfId="17930" xr:uid="{00000000-0005-0000-0000-0000F82C0000}"/>
    <cellStyle name="Normal 5 3 3 3 2 2 2 2 4" xfId="10674" xr:uid="{00000000-0005-0000-0000-0000F92C0000}"/>
    <cellStyle name="Normal 5 3 3 3 2 2 2 3" xfId="5232" xr:uid="{00000000-0005-0000-0000-0000FA2C0000}"/>
    <cellStyle name="Normal 5 3 3 3 2 2 2 3 2" xfId="19744" xr:uid="{00000000-0005-0000-0000-0000FB2C0000}"/>
    <cellStyle name="Normal 5 3 3 3 2 2 2 3 3" xfId="12488" xr:uid="{00000000-0005-0000-0000-0000FC2C0000}"/>
    <cellStyle name="Normal 5 3 3 3 2 2 2 4" xfId="16116" xr:uid="{00000000-0005-0000-0000-0000FD2C0000}"/>
    <cellStyle name="Normal 5 3 3 3 2 2 2 5" xfId="8860" xr:uid="{00000000-0005-0000-0000-0000FE2C0000}"/>
    <cellStyle name="Normal 5 3 3 3 2 2 3" xfId="2511" xr:uid="{00000000-0005-0000-0000-0000FF2C0000}"/>
    <cellStyle name="Normal 5 3 3 3 2 2 3 2" xfId="6139" xr:uid="{00000000-0005-0000-0000-0000002D0000}"/>
    <cellStyle name="Normal 5 3 3 3 2 2 3 2 2" xfId="20651" xr:uid="{00000000-0005-0000-0000-0000012D0000}"/>
    <cellStyle name="Normal 5 3 3 3 2 2 3 2 3" xfId="13395" xr:uid="{00000000-0005-0000-0000-0000022D0000}"/>
    <cellStyle name="Normal 5 3 3 3 2 2 3 3" xfId="17023" xr:uid="{00000000-0005-0000-0000-0000032D0000}"/>
    <cellStyle name="Normal 5 3 3 3 2 2 3 4" xfId="9767" xr:uid="{00000000-0005-0000-0000-0000042D0000}"/>
    <cellStyle name="Normal 5 3 3 3 2 2 4" xfId="4325" xr:uid="{00000000-0005-0000-0000-0000052D0000}"/>
    <cellStyle name="Normal 5 3 3 3 2 2 4 2" xfId="18837" xr:uid="{00000000-0005-0000-0000-0000062D0000}"/>
    <cellStyle name="Normal 5 3 3 3 2 2 4 3" xfId="11581" xr:uid="{00000000-0005-0000-0000-0000072D0000}"/>
    <cellStyle name="Normal 5 3 3 3 2 2 5" xfId="15209" xr:uid="{00000000-0005-0000-0000-0000082D0000}"/>
    <cellStyle name="Normal 5 3 3 3 2 2 6" xfId="7953" xr:uid="{00000000-0005-0000-0000-0000092D0000}"/>
    <cellStyle name="Normal 5 3 3 3 2 3" xfId="1258" xr:uid="{00000000-0005-0000-0000-00000A2D0000}"/>
    <cellStyle name="Normal 5 3 3 3 2 3 2" xfId="3072" xr:uid="{00000000-0005-0000-0000-00000B2D0000}"/>
    <cellStyle name="Normal 5 3 3 3 2 3 2 2" xfId="6700" xr:uid="{00000000-0005-0000-0000-00000C2D0000}"/>
    <cellStyle name="Normal 5 3 3 3 2 3 2 2 2" xfId="21212" xr:uid="{00000000-0005-0000-0000-00000D2D0000}"/>
    <cellStyle name="Normal 5 3 3 3 2 3 2 2 3" xfId="13956" xr:uid="{00000000-0005-0000-0000-00000E2D0000}"/>
    <cellStyle name="Normal 5 3 3 3 2 3 2 3" xfId="17584" xr:uid="{00000000-0005-0000-0000-00000F2D0000}"/>
    <cellStyle name="Normal 5 3 3 3 2 3 2 4" xfId="10328" xr:uid="{00000000-0005-0000-0000-0000102D0000}"/>
    <cellStyle name="Normal 5 3 3 3 2 3 3" xfId="4886" xr:uid="{00000000-0005-0000-0000-0000112D0000}"/>
    <cellStyle name="Normal 5 3 3 3 2 3 3 2" xfId="19398" xr:uid="{00000000-0005-0000-0000-0000122D0000}"/>
    <cellStyle name="Normal 5 3 3 3 2 3 3 3" xfId="12142" xr:uid="{00000000-0005-0000-0000-0000132D0000}"/>
    <cellStyle name="Normal 5 3 3 3 2 3 4" xfId="15770" xr:uid="{00000000-0005-0000-0000-0000142D0000}"/>
    <cellStyle name="Normal 5 3 3 3 2 3 5" xfId="8514" xr:uid="{00000000-0005-0000-0000-0000152D0000}"/>
    <cellStyle name="Normal 5 3 3 3 2 4" xfId="2165" xr:uid="{00000000-0005-0000-0000-0000162D0000}"/>
    <cellStyle name="Normal 5 3 3 3 2 4 2" xfId="5793" xr:uid="{00000000-0005-0000-0000-0000172D0000}"/>
    <cellStyle name="Normal 5 3 3 3 2 4 2 2" xfId="20305" xr:uid="{00000000-0005-0000-0000-0000182D0000}"/>
    <cellStyle name="Normal 5 3 3 3 2 4 2 3" xfId="13049" xr:uid="{00000000-0005-0000-0000-0000192D0000}"/>
    <cellStyle name="Normal 5 3 3 3 2 4 3" xfId="16677" xr:uid="{00000000-0005-0000-0000-00001A2D0000}"/>
    <cellStyle name="Normal 5 3 3 3 2 4 4" xfId="9421" xr:uid="{00000000-0005-0000-0000-00001B2D0000}"/>
    <cellStyle name="Normal 5 3 3 3 2 5" xfId="3979" xr:uid="{00000000-0005-0000-0000-00001C2D0000}"/>
    <cellStyle name="Normal 5 3 3 3 2 5 2" xfId="18491" xr:uid="{00000000-0005-0000-0000-00001D2D0000}"/>
    <cellStyle name="Normal 5 3 3 3 2 5 3" xfId="11235" xr:uid="{00000000-0005-0000-0000-00001E2D0000}"/>
    <cellStyle name="Normal 5 3 3 3 2 6" xfId="14863" xr:uid="{00000000-0005-0000-0000-00001F2D0000}"/>
    <cellStyle name="Normal 5 3 3 3 2 7" xfId="7607" xr:uid="{00000000-0005-0000-0000-0000202D0000}"/>
    <cellStyle name="Normal 5 3 3 3 3" xfId="826" xr:uid="{00000000-0005-0000-0000-0000212D0000}"/>
    <cellStyle name="Normal 5 3 3 3 3 2" xfId="1734" xr:uid="{00000000-0005-0000-0000-0000222D0000}"/>
    <cellStyle name="Normal 5 3 3 3 3 2 2" xfId="3548" xr:uid="{00000000-0005-0000-0000-0000232D0000}"/>
    <cellStyle name="Normal 5 3 3 3 3 2 2 2" xfId="7176" xr:uid="{00000000-0005-0000-0000-0000242D0000}"/>
    <cellStyle name="Normal 5 3 3 3 3 2 2 2 2" xfId="21688" xr:uid="{00000000-0005-0000-0000-0000252D0000}"/>
    <cellStyle name="Normal 5 3 3 3 3 2 2 2 3" xfId="14432" xr:uid="{00000000-0005-0000-0000-0000262D0000}"/>
    <cellStyle name="Normal 5 3 3 3 3 2 2 3" xfId="18060" xr:uid="{00000000-0005-0000-0000-0000272D0000}"/>
    <cellStyle name="Normal 5 3 3 3 3 2 2 4" xfId="10804" xr:uid="{00000000-0005-0000-0000-0000282D0000}"/>
    <cellStyle name="Normal 5 3 3 3 3 2 3" xfId="5362" xr:uid="{00000000-0005-0000-0000-0000292D0000}"/>
    <cellStyle name="Normal 5 3 3 3 3 2 3 2" xfId="19874" xr:uid="{00000000-0005-0000-0000-00002A2D0000}"/>
    <cellStyle name="Normal 5 3 3 3 3 2 3 3" xfId="12618" xr:uid="{00000000-0005-0000-0000-00002B2D0000}"/>
    <cellStyle name="Normal 5 3 3 3 3 2 4" xfId="16246" xr:uid="{00000000-0005-0000-0000-00002C2D0000}"/>
    <cellStyle name="Normal 5 3 3 3 3 2 5" xfId="8990" xr:uid="{00000000-0005-0000-0000-00002D2D0000}"/>
    <cellStyle name="Normal 5 3 3 3 3 3" xfId="2641" xr:uid="{00000000-0005-0000-0000-00002E2D0000}"/>
    <cellStyle name="Normal 5 3 3 3 3 3 2" xfId="6269" xr:uid="{00000000-0005-0000-0000-00002F2D0000}"/>
    <cellStyle name="Normal 5 3 3 3 3 3 2 2" xfId="20781" xr:uid="{00000000-0005-0000-0000-0000302D0000}"/>
    <cellStyle name="Normal 5 3 3 3 3 3 2 3" xfId="13525" xr:uid="{00000000-0005-0000-0000-0000312D0000}"/>
    <cellStyle name="Normal 5 3 3 3 3 3 3" xfId="17153" xr:uid="{00000000-0005-0000-0000-0000322D0000}"/>
    <cellStyle name="Normal 5 3 3 3 3 3 4" xfId="9897" xr:uid="{00000000-0005-0000-0000-0000332D0000}"/>
    <cellStyle name="Normal 5 3 3 3 3 4" xfId="4455" xr:uid="{00000000-0005-0000-0000-0000342D0000}"/>
    <cellStyle name="Normal 5 3 3 3 3 4 2" xfId="18967" xr:uid="{00000000-0005-0000-0000-0000352D0000}"/>
    <cellStyle name="Normal 5 3 3 3 3 4 3" xfId="11711" xr:uid="{00000000-0005-0000-0000-0000362D0000}"/>
    <cellStyle name="Normal 5 3 3 3 3 5" xfId="15339" xr:uid="{00000000-0005-0000-0000-0000372D0000}"/>
    <cellStyle name="Normal 5 3 3 3 3 6" xfId="8083" xr:uid="{00000000-0005-0000-0000-0000382D0000}"/>
    <cellStyle name="Normal 5 3 3 3 4" xfId="566" xr:uid="{00000000-0005-0000-0000-0000392D0000}"/>
    <cellStyle name="Normal 5 3 3 3 4 2" xfId="1474" xr:uid="{00000000-0005-0000-0000-00003A2D0000}"/>
    <cellStyle name="Normal 5 3 3 3 4 2 2" xfId="3288" xr:uid="{00000000-0005-0000-0000-00003B2D0000}"/>
    <cellStyle name="Normal 5 3 3 3 4 2 2 2" xfId="6916" xr:uid="{00000000-0005-0000-0000-00003C2D0000}"/>
    <cellStyle name="Normal 5 3 3 3 4 2 2 2 2" xfId="21428" xr:uid="{00000000-0005-0000-0000-00003D2D0000}"/>
    <cellStyle name="Normal 5 3 3 3 4 2 2 2 3" xfId="14172" xr:uid="{00000000-0005-0000-0000-00003E2D0000}"/>
    <cellStyle name="Normal 5 3 3 3 4 2 2 3" xfId="17800" xr:uid="{00000000-0005-0000-0000-00003F2D0000}"/>
    <cellStyle name="Normal 5 3 3 3 4 2 2 4" xfId="10544" xr:uid="{00000000-0005-0000-0000-0000402D0000}"/>
    <cellStyle name="Normal 5 3 3 3 4 2 3" xfId="5102" xr:uid="{00000000-0005-0000-0000-0000412D0000}"/>
    <cellStyle name="Normal 5 3 3 3 4 2 3 2" xfId="19614" xr:uid="{00000000-0005-0000-0000-0000422D0000}"/>
    <cellStyle name="Normal 5 3 3 3 4 2 3 3" xfId="12358" xr:uid="{00000000-0005-0000-0000-0000432D0000}"/>
    <cellStyle name="Normal 5 3 3 3 4 2 4" xfId="15986" xr:uid="{00000000-0005-0000-0000-0000442D0000}"/>
    <cellStyle name="Normal 5 3 3 3 4 2 5" xfId="8730" xr:uid="{00000000-0005-0000-0000-0000452D0000}"/>
    <cellStyle name="Normal 5 3 3 3 4 3" xfId="2381" xr:uid="{00000000-0005-0000-0000-0000462D0000}"/>
    <cellStyle name="Normal 5 3 3 3 4 3 2" xfId="6009" xr:uid="{00000000-0005-0000-0000-0000472D0000}"/>
    <cellStyle name="Normal 5 3 3 3 4 3 2 2" xfId="20521" xr:uid="{00000000-0005-0000-0000-0000482D0000}"/>
    <cellStyle name="Normal 5 3 3 3 4 3 2 3" xfId="13265" xr:uid="{00000000-0005-0000-0000-0000492D0000}"/>
    <cellStyle name="Normal 5 3 3 3 4 3 3" xfId="16893" xr:uid="{00000000-0005-0000-0000-00004A2D0000}"/>
    <cellStyle name="Normal 5 3 3 3 4 3 4" xfId="9637" xr:uid="{00000000-0005-0000-0000-00004B2D0000}"/>
    <cellStyle name="Normal 5 3 3 3 4 4" xfId="4195" xr:uid="{00000000-0005-0000-0000-00004C2D0000}"/>
    <cellStyle name="Normal 5 3 3 3 4 4 2" xfId="18707" xr:uid="{00000000-0005-0000-0000-00004D2D0000}"/>
    <cellStyle name="Normal 5 3 3 3 4 4 3" xfId="11451" xr:uid="{00000000-0005-0000-0000-00004E2D0000}"/>
    <cellStyle name="Normal 5 3 3 3 4 5" xfId="15079" xr:uid="{00000000-0005-0000-0000-00004F2D0000}"/>
    <cellStyle name="Normal 5 3 3 3 4 6" xfId="7823" xr:uid="{00000000-0005-0000-0000-0000502D0000}"/>
    <cellStyle name="Normal 5 3 3 3 5" xfId="1128" xr:uid="{00000000-0005-0000-0000-0000512D0000}"/>
    <cellStyle name="Normal 5 3 3 3 5 2" xfId="2942" xr:uid="{00000000-0005-0000-0000-0000522D0000}"/>
    <cellStyle name="Normal 5 3 3 3 5 2 2" xfId="6570" xr:uid="{00000000-0005-0000-0000-0000532D0000}"/>
    <cellStyle name="Normal 5 3 3 3 5 2 2 2" xfId="21082" xr:uid="{00000000-0005-0000-0000-0000542D0000}"/>
    <cellStyle name="Normal 5 3 3 3 5 2 2 3" xfId="13826" xr:uid="{00000000-0005-0000-0000-0000552D0000}"/>
    <cellStyle name="Normal 5 3 3 3 5 2 3" xfId="17454" xr:uid="{00000000-0005-0000-0000-0000562D0000}"/>
    <cellStyle name="Normal 5 3 3 3 5 2 4" xfId="10198" xr:uid="{00000000-0005-0000-0000-0000572D0000}"/>
    <cellStyle name="Normal 5 3 3 3 5 3" xfId="4756" xr:uid="{00000000-0005-0000-0000-0000582D0000}"/>
    <cellStyle name="Normal 5 3 3 3 5 3 2" xfId="19268" xr:uid="{00000000-0005-0000-0000-0000592D0000}"/>
    <cellStyle name="Normal 5 3 3 3 5 3 3" xfId="12012" xr:uid="{00000000-0005-0000-0000-00005A2D0000}"/>
    <cellStyle name="Normal 5 3 3 3 5 4" xfId="15640" xr:uid="{00000000-0005-0000-0000-00005B2D0000}"/>
    <cellStyle name="Normal 5 3 3 3 5 5" xfId="8384" xr:uid="{00000000-0005-0000-0000-00005C2D0000}"/>
    <cellStyle name="Normal 5 3 3 3 6" xfId="2035" xr:uid="{00000000-0005-0000-0000-00005D2D0000}"/>
    <cellStyle name="Normal 5 3 3 3 6 2" xfId="5663" xr:uid="{00000000-0005-0000-0000-00005E2D0000}"/>
    <cellStyle name="Normal 5 3 3 3 6 2 2" xfId="20175" xr:uid="{00000000-0005-0000-0000-00005F2D0000}"/>
    <cellStyle name="Normal 5 3 3 3 6 2 3" xfId="12919" xr:uid="{00000000-0005-0000-0000-0000602D0000}"/>
    <cellStyle name="Normal 5 3 3 3 6 3" xfId="16547" xr:uid="{00000000-0005-0000-0000-0000612D0000}"/>
    <cellStyle name="Normal 5 3 3 3 6 4" xfId="9291" xr:uid="{00000000-0005-0000-0000-0000622D0000}"/>
    <cellStyle name="Normal 5 3 3 3 7" xfId="3849" xr:uid="{00000000-0005-0000-0000-0000632D0000}"/>
    <cellStyle name="Normal 5 3 3 3 7 2" xfId="18361" xr:uid="{00000000-0005-0000-0000-0000642D0000}"/>
    <cellStyle name="Normal 5 3 3 3 7 3" xfId="11105" xr:uid="{00000000-0005-0000-0000-0000652D0000}"/>
    <cellStyle name="Normal 5 3 3 3 8" xfId="14733" xr:uid="{00000000-0005-0000-0000-0000662D0000}"/>
    <cellStyle name="Normal 5 3 3 3 9" xfId="7477" xr:uid="{00000000-0005-0000-0000-0000672D0000}"/>
    <cellStyle name="Normal 5 3 3 4" xfId="134" xr:uid="{00000000-0005-0000-0000-0000682D0000}"/>
    <cellStyle name="Normal 5 3 3 4 2" xfId="480" xr:uid="{00000000-0005-0000-0000-0000692D0000}"/>
    <cellStyle name="Normal 5 3 3 4 2 2" xfId="1388" xr:uid="{00000000-0005-0000-0000-00006A2D0000}"/>
    <cellStyle name="Normal 5 3 3 4 2 2 2" xfId="3202" xr:uid="{00000000-0005-0000-0000-00006B2D0000}"/>
    <cellStyle name="Normal 5 3 3 4 2 2 2 2" xfId="6830" xr:uid="{00000000-0005-0000-0000-00006C2D0000}"/>
    <cellStyle name="Normal 5 3 3 4 2 2 2 2 2" xfId="21342" xr:uid="{00000000-0005-0000-0000-00006D2D0000}"/>
    <cellStyle name="Normal 5 3 3 4 2 2 2 2 3" xfId="14086" xr:uid="{00000000-0005-0000-0000-00006E2D0000}"/>
    <cellStyle name="Normal 5 3 3 4 2 2 2 3" xfId="17714" xr:uid="{00000000-0005-0000-0000-00006F2D0000}"/>
    <cellStyle name="Normal 5 3 3 4 2 2 2 4" xfId="10458" xr:uid="{00000000-0005-0000-0000-0000702D0000}"/>
    <cellStyle name="Normal 5 3 3 4 2 2 3" xfId="5016" xr:uid="{00000000-0005-0000-0000-0000712D0000}"/>
    <cellStyle name="Normal 5 3 3 4 2 2 3 2" xfId="19528" xr:uid="{00000000-0005-0000-0000-0000722D0000}"/>
    <cellStyle name="Normal 5 3 3 4 2 2 3 3" xfId="12272" xr:uid="{00000000-0005-0000-0000-0000732D0000}"/>
    <cellStyle name="Normal 5 3 3 4 2 2 4" xfId="15900" xr:uid="{00000000-0005-0000-0000-0000742D0000}"/>
    <cellStyle name="Normal 5 3 3 4 2 2 5" xfId="8644" xr:uid="{00000000-0005-0000-0000-0000752D0000}"/>
    <cellStyle name="Normal 5 3 3 4 2 3" xfId="2295" xr:uid="{00000000-0005-0000-0000-0000762D0000}"/>
    <cellStyle name="Normal 5 3 3 4 2 3 2" xfId="5923" xr:uid="{00000000-0005-0000-0000-0000772D0000}"/>
    <cellStyle name="Normal 5 3 3 4 2 3 2 2" xfId="20435" xr:uid="{00000000-0005-0000-0000-0000782D0000}"/>
    <cellStyle name="Normal 5 3 3 4 2 3 2 3" xfId="13179" xr:uid="{00000000-0005-0000-0000-0000792D0000}"/>
    <cellStyle name="Normal 5 3 3 4 2 3 3" xfId="16807" xr:uid="{00000000-0005-0000-0000-00007A2D0000}"/>
    <cellStyle name="Normal 5 3 3 4 2 3 4" xfId="9551" xr:uid="{00000000-0005-0000-0000-00007B2D0000}"/>
    <cellStyle name="Normal 5 3 3 4 2 4" xfId="4109" xr:uid="{00000000-0005-0000-0000-00007C2D0000}"/>
    <cellStyle name="Normal 5 3 3 4 2 4 2" xfId="18621" xr:uid="{00000000-0005-0000-0000-00007D2D0000}"/>
    <cellStyle name="Normal 5 3 3 4 2 4 3" xfId="11365" xr:uid="{00000000-0005-0000-0000-00007E2D0000}"/>
    <cellStyle name="Normal 5 3 3 4 2 5" xfId="14993" xr:uid="{00000000-0005-0000-0000-00007F2D0000}"/>
    <cellStyle name="Normal 5 3 3 4 2 6" xfId="7737" xr:uid="{00000000-0005-0000-0000-0000802D0000}"/>
    <cellStyle name="Normal 5 3 3 4 3" xfId="1042" xr:uid="{00000000-0005-0000-0000-0000812D0000}"/>
    <cellStyle name="Normal 5 3 3 4 3 2" xfId="2856" xr:uid="{00000000-0005-0000-0000-0000822D0000}"/>
    <cellStyle name="Normal 5 3 3 4 3 2 2" xfId="6484" xr:uid="{00000000-0005-0000-0000-0000832D0000}"/>
    <cellStyle name="Normal 5 3 3 4 3 2 2 2" xfId="20996" xr:uid="{00000000-0005-0000-0000-0000842D0000}"/>
    <cellStyle name="Normal 5 3 3 4 3 2 2 3" xfId="13740" xr:uid="{00000000-0005-0000-0000-0000852D0000}"/>
    <cellStyle name="Normal 5 3 3 4 3 2 3" xfId="17368" xr:uid="{00000000-0005-0000-0000-0000862D0000}"/>
    <cellStyle name="Normal 5 3 3 4 3 2 4" xfId="10112" xr:uid="{00000000-0005-0000-0000-0000872D0000}"/>
    <cellStyle name="Normal 5 3 3 4 3 3" xfId="4670" xr:uid="{00000000-0005-0000-0000-0000882D0000}"/>
    <cellStyle name="Normal 5 3 3 4 3 3 2" xfId="19182" xr:uid="{00000000-0005-0000-0000-0000892D0000}"/>
    <cellStyle name="Normal 5 3 3 4 3 3 3" xfId="11926" xr:uid="{00000000-0005-0000-0000-00008A2D0000}"/>
    <cellStyle name="Normal 5 3 3 4 3 4" xfId="15554" xr:uid="{00000000-0005-0000-0000-00008B2D0000}"/>
    <cellStyle name="Normal 5 3 3 4 3 5" xfId="8298" xr:uid="{00000000-0005-0000-0000-00008C2D0000}"/>
    <cellStyle name="Normal 5 3 3 4 4" xfId="1949" xr:uid="{00000000-0005-0000-0000-00008D2D0000}"/>
    <cellStyle name="Normal 5 3 3 4 4 2" xfId="5577" xr:uid="{00000000-0005-0000-0000-00008E2D0000}"/>
    <cellStyle name="Normal 5 3 3 4 4 2 2" xfId="20089" xr:uid="{00000000-0005-0000-0000-00008F2D0000}"/>
    <cellStyle name="Normal 5 3 3 4 4 2 3" xfId="12833" xr:uid="{00000000-0005-0000-0000-0000902D0000}"/>
    <cellStyle name="Normal 5 3 3 4 4 3" xfId="16461" xr:uid="{00000000-0005-0000-0000-0000912D0000}"/>
    <cellStyle name="Normal 5 3 3 4 4 4" xfId="9205" xr:uid="{00000000-0005-0000-0000-0000922D0000}"/>
    <cellStyle name="Normal 5 3 3 4 5" xfId="3763" xr:uid="{00000000-0005-0000-0000-0000932D0000}"/>
    <cellStyle name="Normal 5 3 3 4 5 2" xfId="18275" xr:uid="{00000000-0005-0000-0000-0000942D0000}"/>
    <cellStyle name="Normal 5 3 3 4 5 3" xfId="11019" xr:uid="{00000000-0005-0000-0000-0000952D0000}"/>
    <cellStyle name="Normal 5 3 3 4 6" xfId="14647" xr:uid="{00000000-0005-0000-0000-0000962D0000}"/>
    <cellStyle name="Normal 5 3 3 4 7" xfId="7391" xr:uid="{00000000-0005-0000-0000-0000972D0000}"/>
    <cellStyle name="Normal 5 3 3 5" xfId="264" xr:uid="{00000000-0005-0000-0000-0000982D0000}"/>
    <cellStyle name="Normal 5 3 3 5 2" xfId="610" xr:uid="{00000000-0005-0000-0000-0000992D0000}"/>
    <cellStyle name="Normal 5 3 3 5 2 2" xfId="1518" xr:uid="{00000000-0005-0000-0000-00009A2D0000}"/>
    <cellStyle name="Normal 5 3 3 5 2 2 2" xfId="3332" xr:uid="{00000000-0005-0000-0000-00009B2D0000}"/>
    <cellStyle name="Normal 5 3 3 5 2 2 2 2" xfId="6960" xr:uid="{00000000-0005-0000-0000-00009C2D0000}"/>
    <cellStyle name="Normal 5 3 3 5 2 2 2 2 2" xfId="21472" xr:uid="{00000000-0005-0000-0000-00009D2D0000}"/>
    <cellStyle name="Normal 5 3 3 5 2 2 2 2 3" xfId="14216" xr:uid="{00000000-0005-0000-0000-00009E2D0000}"/>
    <cellStyle name="Normal 5 3 3 5 2 2 2 3" xfId="17844" xr:uid="{00000000-0005-0000-0000-00009F2D0000}"/>
    <cellStyle name="Normal 5 3 3 5 2 2 2 4" xfId="10588" xr:uid="{00000000-0005-0000-0000-0000A02D0000}"/>
    <cellStyle name="Normal 5 3 3 5 2 2 3" xfId="5146" xr:uid="{00000000-0005-0000-0000-0000A12D0000}"/>
    <cellStyle name="Normal 5 3 3 5 2 2 3 2" xfId="19658" xr:uid="{00000000-0005-0000-0000-0000A22D0000}"/>
    <cellStyle name="Normal 5 3 3 5 2 2 3 3" xfId="12402" xr:uid="{00000000-0005-0000-0000-0000A32D0000}"/>
    <cellStyle name="Normal 5 3 3 5 2 2 4" xfId="16030" xr:uid="{00000000-0005-0000-0000-0000A42D0000}"/>
    <cellStyle name="Normal 5 3 3 5 2 2 5" xfId="8774" xr:uid="{00000000-0005-0000-0000-0000A52D0000}"/>
    <cellStyle name="Normal 5 3 3 5 2 3" xfId="2425" xr:uid="{00000000-0005-0000-0000-0000A62D0000}"/>
    <cellStyle name="Normal 5 3 3 5 2 3 2" xfId="6053" xr:uid="{00000000-0005-0000-0000-0000A72D0000}"/>
    <cellStyle name="Normal 5 3 3 5 2 3 2 2" xfId="20565" xr:uid="{00000000-0005-0000-0000-0000A82D0000}"/>
    <cellStyle name="Normal 5 3 3 5 2 3 2 3" xfId="13309" xr:uid="{00000000-0005-0000-0000-0000A92D0000}"/>
    <cellStyle name="Normal 5 3 3 5 2 3 3" xfId="16937" xr:uid="{00000000-0005-0000-0000-0000AA2D0000}"/>
    <cellStyle name="Normal 5 3 3 5 2 3 4" xfId="9681" xr:uid="{00000000-0005-0000-0000-0000AB2D0000}"/>
    <cellStyle name="Normal 5 3 3 5 2 4" xfId="4239" xr:uid="{00000000-0005-0000-0000-0000AC2D0000}"/>
    <cellStyle name="Normal 5 3 3 5 2 4 2" xfId="18751" xr:uid="{00000000-0005-0000-0000-0000AD2D0000}"/>
    <cellStyle name="Normal 5 3 3 5 2 4 3" xfId="11495" xr:uid="{00000000-0005-0000-0000-0000AE2D0000}"/>
    <cellStyle name="Normal 5 3 3 5 2 5" xfId="15123" xr:uid="{00000000-0005-0000-0000-0000AF2D0000}"/>
    <cellStyle name="Normal 5 3 3 5 2 6" xfId="7867" xr:uid="{00000000-0005-0000-0000-0000B02D0000}"/>
    <cellStyle name="Normal 5 3 3 5 3" xfId="1172" xr:uid="{00000000-0005-0000-0000-0000B12D0000}"/>
    <cellStyle name="Normal 5 3 3 5 3 2" xfId="2986" xr:uid="{00000000-0005-0000-0000-0000B22D0000}"/>
    <cellStyle name="Normal 5 3 3 5 3 2 2" xfId="6614" xr:uid="{00000000-0005-0000-0000-0000B32D0000}"/>
    <cellStyle name="Normal 5 3 3 5 3 2 2 2" xfId="21126" xr:uid="{00000000-0005-0000-0000-0000B42D0000}"/>
    <cellStyle name="Normal 5 3 3 5 3 2 2 3" xfId="13870" xr:uid="{00000000-0005-0000-0000-0000B52D0000}"/>
    <cellStyle name="Normal 5 3 3 5 3 2 3" xfId="17498" xr:uid="{00000000-0005-0000-0000-0000B62D0000}"/>
    <cellStyle name="Normal 5 3 3 5 3 2 4" xfId="10242" xr:uid="{00000000-0005-0000-0000-0000B72D0000}"/>
    <cellStyle name="Normal 5 3 3 5 3 3" xfId="4800" xr:uid="{00000000-0005-0000-0000-0000B82D0000}"/>
    <cellStyle name="Normal 5 3 3 5 3 3 2" xfId="19312" xr:uid="{00000000-0005-0000-0000-0000B92D0000}"/>
    <cellStyle name="Normal 5 3 3 5 3 3 3" xfId="12056" xr:uid="{00000000-0005-0000-0000-0000BA2D0000}"/>
    <cellStyle name="Normal 5 3 3 5 3 4" xfId="15684" xr:uid="{00000000-0005-0000-0000-0000BB2D0000}"/>
    <cellStyle name="Normal 5 3 3 5 3 5" xfId="8428" xr:uid="{00000000-0005-0000-0000-0000BC2D0000}"/>
    <cellStyle name="Normal 5 3 3 5 4" xfId="2079" xr:uid="{00000000-0005-0000-0000-0000BD2D0000}"/>
    <cellStyle name="Normal 5 3 3 5 4 2" xfId="5707" xr:uid="{00000000-0005-0000-0000-0000BE2D0000}"/>
    <cellStyle name="Normal 5 3 3 5 4 2 2" xfId="20219" xr:uid="{00000000-0005-0000-0000-0000BF2D0000}"/>
    <cellStyle name="Normal 5 3 3 5 4 2 3" xfId="12963" xr:uid="{00000000-0005-0000-0000-0000C02D0000}"/>
    <cellStyle name="Normal 5 3 3 5 4 3" xfId="16591" xr:uid="{00000000-0005-0000-0000-0000C12D0000}"/>
    <cellStyle name="Normal 5 3 3 5 4 4" xfId="9335" xr:uid="{00000000-0005-0000-0000-0000C22D0000}"/>
    <cellStyle name="Normal 5 3 3 5 5" xfId="3893" xr:uid="{00000000-0005-0000-0000-0000C32D0000}"/>
    <cellStyle name="Normal 5 3 3 5 5 2" xfId="18405" xr:uid="{00000000-0005-0000-0000-0000C42D0000}"/>
    <cellStyle name="Normal 5 3 3 5 5 3" xfId="11149" xr:uid="{00000000-0005-0000-0000-0000C52D0000}"/>
    <cellStyle name="Normal 5 3 3 5 6" xfId="14777" xr:uid="{00000000-0005-0000-0000-0000C62D0000}"/>
    <cellStyle name="Normal 5 3 3 5 7" xfId="7521" xr:uid="{00000000-0005-0000-0000-0000C72D0000}"/>
    <cellStyle name="Normal 5 3 3 6" xfId="740" xr:uid="{00000000-0005-0000-0000-0000C82D0000}"/>
    <cellStyle name="Normal 5 3 3 6 2" xfId="1648" xr:uid="{00000000-0005-0000-0000-0000C92D0000}"/>
    <cellStyle name="Normal 5 3 3 6 2 2" xfId="3462" xr:uid="{00000000-0005-0000-0000-0000CA2D0000}"/>
    <cellStyle name="Normal 5 3 3 6 2 2 2" xfId="7090" xr:uid="{00000000-0005-0000-0000-0000CB2D0000}"/>
    <cellStyle name="Normal 5 3 3 6 2 2 2 2" xfId="21602" xr:uid="{00000000-0005-0000-0000-0000CC2D0000}"/>
    <cellStyle name="Normal 5 3 3 6 2 2 2 3" xfId="14346" xr:uid="{00000000-0005-0000-0000-0000CD2D0000}"/>
    <cellStyle name="Normal 5 3 3 6 2 2 3" xfId="17974" xr:uid="{00000000-0005-0000-0000-0000CE2D0000}"/>
    <cellStyle name="Normal 5 3 3 6 2 2 4" xfId="10718" xr:uid="{00000000-0005-0000-0000-0000CF2D0000}"/>
    <cellStyle name="Normal 5 3 3 6 2 3" xfId="5276" xr:uid="{00000000-0005-0000-0000-0000D02D0000}"/>
    <cellStyle name="Normal 5 3 3 6 2 3 2" xfId="19788" xr:uid="{00000000-0005-0000-0000-0000D12D0000}"/>
    <cellStyle name="Normal 5 3 3 6 2 3 3" xfId="12532" xr:uid="{00000000-0005-0000-0000-0000D22D0000}"/>
    <cellStyle name="Normal 5 3 3 6 2 4" xfId="16160" xr:uid="{00000000-0005-0000-0000-0000D32D0000}"/>
    <cellStyle name="Normal 5 3 3 6 2 5" xfId="8904" xr:uid="{00000000-0005-0000-0000-0000D42D0000}"/>
    <cellStyle name="Normal 5 3 3 6 3" xfId="2555" xr:uid="{00000000-0005-0000-0000-0000D52D0000}"/>
    <cellStyle name="Normal 5 3 3 6 3 2" xfId="6183" xr:uid="{00000000-0005-0000-0000-0000D62D0000}"/>
    <cellStyle name="Normal 5 3 3 6 3 2 2" xfId="20695" xr:uid="{00000000-0005-0000-0000-0000D72D0000}"/>
    <cellStyle name="Normal 5 3 3 6 3 2 3" xfId="13439" xr:uid="{00000000-0005-0000-0000-0000D82D0000}"/>
    <cellStyle name="Normal 5 3 3 6 3 3" xfId="17067" xr:uid="{00000000-0005-0000-0000-0000D92D0000}"/>
    <cellStyle name="Normal 5 3 3 6 3 4" xfId="9811" xr:uid="{00000000-0005-0000-0000-0000DA2D0000}"/>
    <cellStyle name="Normal 5 3 3 6 4" xfId="4369" xr:uid="{00000000-0005-0000-0000-0000DB2D0000}"/>
    <cellStyle name="Normal 5 3 3 6 4 2" xfId="18881" xr:uid="{00000000-0005-0000-0000-0000DC2D0000}"/>
    <cellStyle name="Normal 5 3 3 6 4 3" xfId="11625" xr:uid="{00000000-0005-0000-0000-0000DD2D0000}"/>
    <cellStyle name="Normal 5 3 3 6 5" xfId="15253" xr:uid="{00000000-0005-0000-0000-0000DE2D0000}"/>
    <cellStyle name="Normal 5 3 3 6 6" xfId="7997" xr:uid="{00000000-0005-0000-0000-0000DF2D0000}"/>
    <cellStyle name="Normal 5 3 3 7" xfId="394" xr:uid="{00000000-0005-0000-0000-0000E02D0000}"/>
    <cellStyle name="Normal 5 3 3 7 2" xfId="1302" xr:uid="{00000000-0005-0000-0000-0000E12D0000}"/>
    <cellStyle name="Normal 5 3 3 7 2 2" xfId="3116" xr:uid="{00000000-0005-0000-0000-0000E22D0000}"/>
    <cellStyle name="Normal 5 3 3 7 2 2 2" xfId="6744" xr:uid="{00000000-0005-0000-0000-0000E32D0000}"/>
    <cellStyle name="Normal 5 3 3 7 2 2 2 2" xfId="21256" xr:uid="{00000000-0005-0000-0000-0000E42D0000}"/>
    <cellStyle name="Normal 5 3 3 7 2 2 2 3" xfId="14000" xr:uid="{00000000-0005-0000-0000-0000E52D0000}"/>
    <cellStyle name="Normal 5 3 3 7 2 2 3" xfId="17628" xr:uid="{00000000-0005-0000-0000-0000E62D0000}"/>
    <cellStyle name="Normal 5 3 3 7 2 2 4" xfId="10372" xr:uid="{00000000-0005-0000-0000-0000E72D0000}"/>
    <cellStyle name="Normal 5 3 3 7 2 3" xfId="4930" xr:uid="{00000000-0005-0000-0000-0000E82D0000}"/>
    <cellStyle name="Normal 5 3 3 7 2 3 2" xfId="19442" xr:uid="{00000000-0005-0000-0000-0000E92D0000}"/>
    <cellStyle name="Normal 5 3 3 7 2 3 3" xfId="12186" xr:uid="{00000000-0005-0000-0000-0000EA2D0000}"/>
    <cellStyle name="Normal 5 3 3 7 2 4" xfId="15814" xr:uid="{00000000-0005-0000-0000-0000EB2D0000}"/>
    <cellStyle name="Normal 5 3 3 7 2 5" xfId="8558" xr:uid="{00000000-0005-0000-0000-0000EC2D0000}"/>
    <cellStyle name="Normal 5 3 3 7 3" xfId="2209" xr:uid="{00000000-0005-0000-0000-0000ED2D0000}"/>
    <cellStyle name="Normal 5 3 3 7 3 2" xfId="5837" xr:uid="{00000000-0005-0000-0000-0000EE2D0000}"/>
    <cellStyle name="Normal 5 3 3 7 3 2 2" xfId="20349" xr:uid="{00000000-0005-0000-0000-0000EF2D0000}"/>
    <cellStyle name="Normal 5 3 3 7 3 2 3" xfId="13093" xr:uid="{00000000-0005-0000-0000-0000F02D0000}"/>
    <cellStyle name="Normal 5 3 3 7 3 3" xfId="16721" xr:uid="{00000000-0005-0000-0000-0000F12D0000}"/>
    <cellStyle name="Normal 5 3 3 7 3 4" xfId="9465" xr:uid="{00000000-0005-0000-0000-0000F22D0000}"/>
    <cellStyle name="Normal 5 3 3 7 4" xfId="4023" xr:uid="{00000000-0005-0000-0000-0000F32D0000}"/>
    <cellStyle name="Normal 5 3 3 7 4 2" xfId="18535" xr:uid="{00000000-0005-0000-0000-0000F42D0000}"/>
    <cellStyle name="Normal 5 3 3 7 4 3" xfId="11279" xr:uid="{00000000-0005-0000-0000-0000F52D0000}"/>
    <cellStyle name="Normal 5 3 3 7 5" xfId="14907" xr:uid="{00000000-0005-0000-0000-0000F62D0000}"/>
    <cellStyle name="Normal 5 3 3 7 6" xfId="7651" xr:uid="{00000000-0005-0000-0000-0000F72D0000}"/>
    <cellStyle name="Normal 5 3 3 8" xfId="880" xr:uid="{00000000-0005-0000-0000-0000F82D0000}"/>
    <cellStyle name="Normal 5 3 3 8 2" xfId="1788" xr:uid="{00000000-0005-0000-0000-0000F92D0000}"/>
    <cellStyle name="Normal 5 3 3 8 2 2" xfId="3602" xr:uid="{00000000-0005-0000-0000-0000FA2D0000}"/>
    <cellStyle name="Normal 5 3 3 8 2 2 2" xfId="7230" xr:uid="{00000000-0005-0000-0000-0000FB2D0000}"/>
    <cellStyle name="Normal 5 3 3 8 2 2 2 2" xfId="21742" xr:uid="{00000000-0005-0000-0000-0000FC2D0000}"/>
    <cellStyle name="Normal 5 3 3 8 2 2 2 3" xfId="14486" xr:uid="{00000000-0005-0000-0000-0000FD2D0000}"/>
    <cellStyle name="Normal 5 3 3 8 2 2 3" xfId="18114" xr:uid="{00000000-0005-0000-0000-0000FE2D0000}"/>
    <cellStyle name="Normal 5 3 3 8 2 2 4" xfId="10858" xr:uid="{00000000-0005-0000-0000-0000FF2D0000}"/>
    <cellStyle name="Normal 5 3 3 8 2 3" xfId="5416" xr:uid="{00000000-0005-0000-0000-0000002E0000}"/>
    <cellStyle name="Normal 5 3 3 8 2 3 2" xfId="19928" xr:uid="{00000000-0005-0000-0000-0000012E0000}"/>
    <cellStyle name="Normal 5 3 3 8 2 3 3" xfId="12672" xr:uid="{00000000-0005-0000-0000-0000022E0000}"/>
    <cellStyle name="Normal 5 3 3 8 2 4" xfId="16300" xr:uid="{00000000-0005-0000-0000-0000032E0000}"/>
    <cellStyle name="Normal 5 3 3 8 2 5" xfId="9044" xr:uid="{00000000-0005-0000-0000-0000042E0000}"/>
    <cellStyle name="Normal 5 3 3 8 3" xfId="2695" xr:uid="{00000000-0005-0000-0000-0000052E0000}"/>
    <cellStyle name="Normal 5 3 3 8 3 2" xfId="6323" xr:uid="{00000000-0005-0000-0000-0000062E0000}"/>
    <cellStyle name="Normal 5 3 3 8 3 2 2" xfId="20835" xr:uid="{00000000-0005-0000-0000-0000072E0000}"/>
    <cellStyle name="Normal 5 3 3 8 3 2 3" xfId="13579" xr:uid="{00000000-0005-0000-0000-0000082E0000}"/>
    <cellStyle name="Normal 5 3 3 8 3 3" xfId="17207" xr:uid="{00000000-0005-0000-0000-0000092E0000}"/>
    <cellStyle name="Normal 5 3 3 8 3 4" xfId="9951" xr:uid="{00000000-0005-0000-0000-00000A2E0000}"/>
    <cellStyle name="Normal 5 3 3 8 4" xfId="4509" xr:uid="{00000000-0005-0000-0000-00000B2E0000}"/>
    <cellStyle name="Normal 5 3 3 8 4 2" xfId="19021" xr:uid="{00000000-0005-0000-0000-00000C2E0000}"/>
    <cellStyle name="Normal 5 3 3 8 4 3" xfId="11765" xr:uid="{00000000-0005-0000-0000-00000D2E0000}"/>
    <cellStyle name="Normal 5 3 3 8 5" xfId="15393" xr:uid="{00000000-0005-0000-0000-00000E2E0000}"/>
    <cellStyle name="Normal 5 3 3 8 6" xfId="8137" xr:uid="{00000000-0005-0000-0000-00000F2E0000}"/>
    <cellStyle name="Normal 5 3 3 9" xfId="956" xr:uid="{00000000-0005-0000-0000-0000102E0000}"/>
    <cellStyle name="Normal 5 3 3 9 2" xfId="2770" xr:uid="{00000000-0005-0000-0000-0000112E0000}"/>
    <cellStyle name="Normal 5 3 3 9 2 2" xfId="6398" xr:uid="{00000000-0005-0000-0000-0000122E0000}"/>
    <cellStyle name="Normal 5 3 3 9 2 2 2" xfId="20910" xr:uid="{00000000-0005-0000-0000-0000132E0000}"/>
    <cellStyle name="Normal 5 3 3 9 2 2 3" xfId="13654" xr:uid="{00000000-0005-0000-0000-0000142E0000}"/>
    <cellStyle name="Normal 5 3 3 9 2 3" xfId="17282" xr:uid="{00000000-0005-0000-0000-0000152E0000}"/>
    <cellStyle name="Normal 5 3 3 9 2 4" xfId="10026" xr:uid="{00000000-0005-0000-0000-0000162E0000}"/>
    <cellStyle name="Normal 5 3 3 9 3" xfId="4584" xr:uid="{00000000-0005-0000-0000-0000172E0000}"/>
    <cellStyle name="Normal 5 3 3 9 3 2" xfId="19096" xr:uid="{00000000-0005-0000-0000-0000182E0000}"/>
    <cellStyle name="Normal 5 3 3 9 3 3" xfId="11840" xr:uid="{00000000-0005-0000-0000-0000192E0000}"/>
    <cellStyle name="Normal 5 3 3 9 4" xfId="15468" xr:uid="{00000000-0005-0000-0000-00001A2E0000}"/>
    <cellStyle name="Normal 5 3 3 9 5" xfId="8212" xr:uid="{00000000-0005-0000-0000-00001B2E0000}"/>
    <cellStyle name="Normal 5 3 4" xfId="67" xr:uid="{00000000-0005-0000-0000-00001C2E0000}"/>
    <cellStyle name="Normal 5 3 4 10" xfId="14582" xr:uid="{00000000-0005-0000-0000-00001D2E0000}"/>
    <cellStyle name="Normal 5 3 4 11" xfId="7326" xr:uid="{00000000-0005-0000-0000-00001E2E0000}"/>
    <cellStyle name="Normal 5 3 4 2" xfId="155" xr:uid="{00000000-0005-0000-0000-00001F2E0000}"/>
    <cellStyle name="Normal 5 3 4 2 2" xfId="501" xr:uid="{00000000-0005-0000-0000-0000202E0000}"/>
    <cellStyle name="Normal 5 3 4 2 2 2" xfId="1409" xr:uid="{00000000-0005-0000-0000-0000212E0000}"/>
    <cellStyle name="Normal 5 3 4 2 2 2 2" xfId="3223" xr:uid="{00000000-0005-0000-0000-0000222E0000}"/>
    <cellStyle name="Normal 5 3 4 2 2 2 2 2" xfId="6851" xr:uid="{00000000-0005-0000-0000-0000232E0000}"/>
    <cellStyle name="Normal 5 3 4 2 2 2 2 2 2" xfId="21363" xr:uid="{00000000-0005-0000-0000-0000242E0000}"/>
    <cellStyle name="Normal 5 3 4 2 2 2 2 2 3" xfId="14107" xr:uid="{00000000-0005-0000-0000-0000252E0000}"/>
    <cellStyle name="Normal 5 3 4 2 2 2 2 3" xfId="17735" xr:uid="{00000000-0005-0000-0000-0000262E0000}"/>
    <cellStyle name="Normal 5 3 4 2 2 2 2 4" xfId="10479" xr:uid="{00000000-0005-0000-0000-0000272E0000}"/>
    <cellStyle name="Normal 5 3 4 2 2 2 3" xfId="5037" xr:uid="{00000000-0005-0000-0000-0000282E0000}"/>
    <cellStyle name="Normal 5 3 4 2 2 2 3 2" xfId="19549" xr:uid="{00000000-0005-0000-0000-0000292E0000}"/>
    <cellStyle name="Normal 5 3 4 2 2 2 3 3" xfId="12293" xr:uid="{00000000-0005-0000-0000-00002A2E0000}"/>
    <cellStyle name="Normal 5 3 4 2 2 2 4" xfId="15921" xr:uid="{00000000-0005-0000-0000-00002B2E0000}"/>
    <cellStyle name="Normal 5 3 4 2 2 2 5" xfId="8665" xr:uid="{00000000-0005-0000-0000-00002C2E0000}"/>
    <cellStyle name="Normal 5 3 4 2 2 3" xfId="2316" xr:uid="{00000000-0005-0000-0000-00002D2E0000}"/>
    <cellStyle name="Normal 5 3 4 2 2 3 2" xfId="5944" xr:uid="{00000000-0005-0000-0000-00002E2E0000}"/>
    <cellStyle name="Normal 5 3 4 2 2 3 2 2" xfId="20456" xr:uid="{00000000-0005-0000-0000-00002F2E0000}"/>
    <cellStyle name="Normal 5 3 4 2 2 3 2 3" xfId="13200" xr:uid="{00000000-0005-0000-0000-0000302E0000}"/>
    <cellStyle name="Normal 5 3 4 2 2 3 3" xfId="16828" xr:uid="{00000000-0005-0000-0000-0000312E0000}"/>
    <cellStyle name="Normal 5 3 4 2 2 3 4" xfId="9572" xr:uid="{00000000-0005-0000-0000-0000322E0000}"/>
    <cellStyle name="Normal 5 3 4 2 2 4" xfId="4130" xr:uid="{00000000-0005-0000-0000-0000332E0000}"/>
    <cellStyle name="Normal 5 3 4 2 2 4 2" xfId="18642" xr:uid="{00000000-0005-0000-0000-0000342E0000}"/>
    <cellStyle name="Normal 5 3 4 2 2 4 3" xfId="11386" xr:uid="{00000000-0005-0000-0000-0000352E0000}"/>
    <cellStyle name="Normal 5 3 4 2 2 5" xfId="15014" xr:uid="{00000000-0005-0000-0000-0000362E0000}"/>
    <cellStyle name="Normal 5 3 4 2 2 6" xfId="7758" xr:uid="{00000000-0005-0000-0000-0000372E0000}"/>
    <cellStyle name="Normal 5 3 4 2 3" xfId="1063" xr:uid="{00000000-0005-0000-0000-0000382E0000}"/>
    <cellStyle name="Normal 5 3 4 2 3 2" xfId="2877" xr:uid="{00000000-0005-0000-0000-0000392E0000}"/>
    <cellStyle name="Normal 5 3 4 2 3 2 2" xfId="6505" xr:uid="{00000000-0005-0000-0000-00003A2E0000}"/>
    <cellStyle name="Normal 5 3 4 2 3 2 2 2" xfId="21017" xr:uid="{00000000-0005-0000-0000-00003B2E0000}"/>
    <cellStyle name="Normal 5 3 4 2 3 2 2 3" xfId="13761" xr:uid="{00000000-0005-0000-0000-00003C2E0000}"/>
    <cellStyle name="Normal 5 3 4 2 3 2 3" xfId="17389" xr:uid="{00000000-0005-0000-0000-00003D2E0000}"/>
    <cellStyle name="Normal 5 3 4 2 3 2 4" xfId="10133" xr:uid="{00000000-0005-0000-0000-00003E2E0000}"/>
    <cellStyle name="Normal 5 3 4 2 3 3" xfId="4691" xr:uid="{00000000-0005-0000-0000-00003F2E0000}"/>
    <cellStyle name="Normal 5 3 4 2 3 3 2" xfId="19203" xr:uid="{00000000-0005-0000-0000-0000402E0000}"/>
    <cellStyle name="Normal 5 3 4 2 3 3 3" xfId="11947" xr:uid="{00000000-0005-0000-0000-0000412E0000}"/>
    <cellStyle name="Normal 5 3 4 2 3 4" xfId="15575" xr:uid="{00000000-0005-0000-0000-0000422E0000}"/>
    <cellStyle name="Normal 5 3 4 2 3 5" xfId="8319" xr:uid="{00000000-0005-0000-0000-0000432E0000}"/>
    <cellStyle name="Normal 5 3 4 2 4" xfId="1970" xr:uid="{00000000-0005-0000-0000-0000442E0000}"/>
    <cellStyle name="Normal 5 3 4 2 4 2" xfId="5598" xr:uid="{00000000-0005-0000-0000-0000452E0000}"/>
    <cellStyle name="Normal 5 3 4 2 4 2 2" xfId="20110" xr:uid="{00000000-0005-0000-0000-0000462E0000}"/>
    <cellStyle name="Normal 5 3 4 2 4 2 3" xfId="12854" xr:uid="{00000000-0005-0000-0000-0000472E0000}"/>
    <cellStyle name="Normal 5 3 4 2 4 3" xfId="16482" xr:uid="{00000000-0005-0000-0000-0000482E0000}"/>
    <cellStyle name="Normal 5 3 4 2 4 4" xfId="9226" xr:uid="{00000000-0005-0000-0000-0000492E0000}"/>
    <cellStyle name="Normal 5 3 4 2 5" xfId="3784" xr:uid="{00000000-0005-0000-0000-00004A2E0000}"/>
    <cellStyle name="Normal 5 3 4 2 5 2" xfId="18296" xr:uid="{00000000-0005-0000-0000-00004B2E0000}"/>
    <cellStyle name="Normal 5 3 4 2 5 3" xfId="11040" xr:uid="{00000000-0005-0000-0000-00004C2E0000}"/>
    <cellStyle name="Normal 5 3 4 2 6" xfId="14668" xr:uid="{00000000-0005-0000-0000-00004D2E0000}"/>
    <cellStyle name="Normal 5 3 4 2 7" xfId="7412" xr:uid="{00000000-0005-0000-0000-00004E2E0000}"/>
    <cellStyle name="Normal 5 3 4 3" xfId="285" xr:uid="{00000000-0005-0000-0000-00004F2E0000}"/>
    <cellStyle name="Normal 5 3 4 3 2" xfId="631" xr:uid="{00000000-0005-0000-0000-0000502E0000}"/>
    <cellStyle name="Normal 5 3 4 3 2 2" xfId="1539" xr:uid="{00000000-0005-0000-0000-0000512E0000}"/>
    <cellStyle name="Normal 5 3 4 3 2 2 2" xfId="3353" xr:uid="{00000000-0005-0000-0000-0000522E0000}"/>
    <cellStyle name="Normal 5 3 4 3 2 2 2 2" xfId="6981" xr:uid="{00000000-0005-0000-0000-0000532E0000}"/>
    <cellStyle name="Normal 5 3 4 3 2 2 2 2 2" xfId="21493" xr:uid="{00000000-0005-0000-0000-0000542E0000}"/>
    <cellStyle name="Normal 5 3 4 3 2 2 2 2 3" xfId="14237" xr:uid="{00000000-0005-0000-0000-0000552E0000}"/>
    <cellStyle name="Normal 5 3 4 3 2 2 2 3" xfId="17865" xr:uid="{00000000-0005-0000-0000-0000562E0000}"/>
    <cellStyle name="Normal 5 3 4 3 2 2 2 4" xfId="10609" xr:uid="{00000000-0005-0000-0000-0000572E0000}"/>
    <cellStyle name="Normal 5 3 4 3 2 2 3" xfId="5167" xr:uid="{00000000-0005-0000-0000-0000582E0000}"/>
    <cellStyle name="Normal 5 3 4 3 2 2 3 2" xfId="19679" xr:uid="{00000000-0005-0000-0000-0000592E0000}"/>
    <cellStyle name="Normal 5 3 4 3 2 2 3 3" xfId="12423" xr:uid="{00000000-0005-0000-0000-00005A2E0000}"/>
    <cellStyle name="Normal 5 3 4 3 2 2 4" xfId="16051" xr:uid="{00000000-0005-0000-0000-00005B2E0000}"/>
    <cellStyle name="Normal 5 3 4 3 2 2 5" xfId="8795" xr:uid="{00000000-0005-0000-0000-00005C2E0000}"/>
    <cellStyle name="Normal 5 3 4 3 2 3" xfId="2446" xr:uid="{00000000-0005-0000-0000-00005D2E0000}"/>
    <cellStyle name="Normal 5 3 4 3 2 3 2" xfId="6074" xr:uid="{00000000-0005-0000-0000-00005E2E0000}"/>
    <cellStyle name="Normal 5 3 4 3 2 3 2 2" xfId="20586" xr:uid="{00000000-0005-0000-0000-00005F2E0000}"/>
    <cellStyle name="Normal 5 3 4 3 2 3 2 3" xfId="13330" xr:uid="{00000000-0005-0000-0000-0000602E0000}"/>
    <cellStyle name="Normal 5 3 4 3 2 3 3" xfId="16958" xr:uid="{00000000-0005-0000-0000-0000612E0000}"/>
    <cellStyle name="Normal 5 3 4 3 2 3 4" xfId="9702" xr:uid="{00000000-0005-0000-0000-0000622E0000}"/>
    <cellStyle name="Normal 5 3 4 3 2 4" xfId="4260" xr:uid="{00000000-0005-0000-0000-0000632E0000}"/>
    <cellStyle name="Normal 5 3 4 3 2 4 2" xfId="18772" xr:uid="{00000000-0005-0000-0000-0000642E0000}"/>
    <cellStyle name="Normal 5 3 4 3 2 4 3" xfId="11516" xr:uid="{00000000-0005-0000-0000-0000652E0000}"/>
    <cellStyle name="Normal 5 3 4 3 2 5" xfId="15144" xr:uid="{00000000-0005-0000-0000-0000662E0000}"/>
    <cellStyle name="Normal 5 3 4 3 2 6" xfId="7888" xr:uid="{00000000-0005-0000-0000-0000672E0000}"/>
    <cellStyle name="Normal 5 3 4 3 3" xfId="1193" xr:uid="{00000000-0005-0000-0000-0000682E0000}"/>
    <cellStyle name="Normal 5 3 4 3 3 2" xfId="3007" xr:uid="{00000000-0005-0000-0000-0000692E0000}"/>
    <cellStyle name="Normal 5 3 4 3 3 2 2" xfId="6635" xr:uid="{00000000-0005-0000-0000-00006A2E0000}"/>
    <cellStyle name="Normal 5 3 4 3 3 2 2 2" xfId="21147" xr:uid="{00000000-0005-0000-0000-00006B2E0000}"/>
    <cellStyle name="Normal 5 3 4 3 3 2 2 3" xfId="13891" xr:uid="{00000000-0005-0000-0000-00006C2E0000}"/>
    <cellStyle name="Normal 5 3 4 3 3 2 3" xfId="17519" xr:uid="{00000000-0005-0000-0000-00006D2E0000}"/>
    <cellStyle name="Normal 5 3 4 3 3 2 4" xfId="10263" xr:uid="{00000000-0005-0000-0000-00006E2E0000}"/>
    <cellStyle name="Normal 5 3 4 3 3 3" xfId="4821" xr:uid="{00000000-0005-0000-0000-00006F2E0000}"/>
    <cellStyle name="Normal 5 3 4 3 3 3 2" xfId="19333" xr:uid="{00000000-0005-0000-0000-0000702E0000}"/>
    <cellStyle name="Normal 5 3 4 3 3 3 3" xfId="12077" xr:uid="{00000000-0005-0000-0000-0000712E0000}"/>
    <cellStyle name="Normal 5 3 4 3 3 4" xfId="15705" xr:uid="{00000000-0005-0000-0000-0000722E0000}"/>
    <cellStyle name="Normal 5 3 4 3 3 5" xfId="8449" xr:uid="{00000000-0005-0000-0000-0000732E0000}"/>
    <cellStyle name="Normal 5 3 4 3 4" xfId="2100" xr:uid="{00000000-0005-0000-0000-0000742E0000}"/>
    <cellStyle name="Normal 5 3 4 3 4 2" xfId="5728" xr:uid="{00000000-0005-0000-0000-0000752E0000}"/>
    <cellStyle name="Normal 5 3 4 3 4 2 2" xfId="20240" xr:uid="{00000000-0005-0000-0000-0000762E0000}"/>
    <cellStyle name="Normal 5 3 4 3 4 2 3" xfId="12984" xr:uid="{00000000-0005-0000-0000-0000772E0000}"/>
    <cellStyle name="Normal 5 3 4 3 4 3" xfId="16612" xr:uid="{00000000-0005-0000-0000-0000782E0000}"/>
    <cellStyle name="Normal 5 3 4 3 4 4" xfId="9356" xr:uid="{00000000-0005-0000-0000-0000792E0000}"/>
    <cellStyle name="Normal 5 3 4 3 5" xfId="3914" xr:uid="{00000000-0005-0000-0000-00007A2E0000}"/>
    <cellStyle name="Normal 5 3 4 3 5 2" xfId="18426" xr:uid="{00000000-0005-0000-0000-00007B2E0000}"/>
    <cellStyle name="Normal 5 3 4 3 5 3" xfId="11170" xr:uid="{00000000-0005-0000-0000-00007C2E0000}"/>
    <cellStyle name="Normal 5 3 4 3 6" xfId="14798" xr:uid="{00000000-0005-0000-0000-00007D2E0000}"/>
    <cellStyle name="Normal 5 3 4 3 7" xfId="7542" xr:uid="{00000000-0005-0000-0000-00007E2E0000}"/>
    <cellStyle name="Normal 5 3 4 4" xfId="761" xr:uid="{00000000-0005-0000-0000-00007F2E0000}"/>
    <cellStyle name="Normal 5 3 4 4 2" xfId="1669" xr:uid="{00000000-0005-0000-0000-0000802E0000}"/>
    <cellStyle name="Normal 5 3 4 4 2 2" xfId="3483" xr:uid="{00000000-0005-0000-0000-0000812E0000}"/>
    <cellStyle name="Normal 5 3 4 4 2 2 2" xfId="7111" xr:uid="{00000000-0005-0000-0000-0000822E0000}"/>
    <cellStyle name="Normal 5 3 4 4 2 2 2 2" xfId="21623" xr:uid="{00000000-0005-0000-0000-0000832E0000}"/>
    <cellStyle name="Normal 5 3 4 4 2 2 2 3" xfId="14367" xr:uid="{00000000-0005-0000-0000-0000842E0000}"/>
    <cellStyle name="Normal 5 3 4 4 2 2 3" xfId="17995" xr:uid="{00000000-0005-0000-0000-0000852E0000}"/>
    <cellStyle name="Normal 5 3 4 4 2 2 4" xfId="10739" xr:uid="{00000000-0005-0000-0000-0000862E0000}"/>
    <cellStyle name="Normal 5 3 4 4 2 3" xfId="5297" xr:uid="{00000000-0005-0000-0000-0000872E0000}"/>
    <cellStyle name="Normal 5 3 4 4 2 3 2" xfId="19809" xr:uid="{00000000-0005-0000-0000-0000882E0000}"/>
    <cellStyle name="Normal 5 3 4 4 2 3 3" xfId="12553" xr:uid="{00000000-0005-0000-0000-0000892E0000}"/>
    <cellStyle name="Normal 5 3 4 4 2 4" xfId="16181" xr:uid="{00000000-0005-0000-0000-00008A2E0000}"/>
    <cellStyle name="Normal 5 3 4 4 2 5" xfId="8925" xr:uid="{00000000-0005-0000-0000-00008B2E0000}"/>
    <cellStyle name="Normal 5 3 4 4 3" xfId="2576" xr:uid="{00000000-0005-0000-0000-00008C2E0000}"/>
    <cellStyle name="Normal 5 3 4 4 3 2" xfId="6204" xr:uid="{00000000-0005-0000-0000-00008D2E0000}"/>
    <cellStyle name="Normal 5 3 4 4 3 2 2" xfId="20716" xr:uid="{00000000-0005-0000-0000-00008E2E0000}"/>
    <cellStyle name="Normal 5 3 4 4 3 2 3" xfId="13460" xr:uid="{00000000-0005-0000-0000-00008F2E0000}"/>
    <cellStyle name="Normal 5 3 4 4 3 3" xfId="17088" xr:uid="{00000000-0005-0000-0000-0000902E0000}"/>
    <cellStyle name="Normal 5 3 4 4 3 4" xfId="9832" xr:uid="{00000000-0005-0000-0000-0000912E0000}"/>
    <cellStyle name="Normal 5 3 4 4 4" xfId="4390" xr:uid="{00000000-0005-0000-0000-0000922E0000}"/>
    <cellStyle name="Normal 5 3 4 4 4 2" xfId="18902" xr:uid="{00000000-0005-0000-0000-0000932E0000}"/>
    <cellStyle name="Normal 5 3 4 4 4 3" xfId="11646" xr:uid="{00000000-0005-0000-0000-0000942E0000}"/>
    <cellStyle name="Normal 5 3 4 4 5" xfId="15274" xr:uid="{00000000-0005-0000-0000-0000952E0000}"/>
    <cellStyle name="Normal 5 3 4 4 6" xfId="8018" xr:uid="{00000000-0005-0000-0000-0000962E0000}"/>
    <cellStyle name="Normal 5 3 4 5" xfId="415" xr:uid="{00000000-0005-0000-0000-0000972E0000}"/>
    <cellStyle name="Normal 5 3 4 5 2" xfId="1323" xr:uid="{00000000-0005-0000-0000-0000982E0000}"/>
    <cellStyle name="Normal 5 3 4 5 2 2" xfId="3137" xr:uid="{00000000-0005-0000-0000-0000992E0000}"/>
    <cellStyle name="Normal 5 3 4 5 2 2 2" xfId="6765" xr:uid="{00000000-0005-0000-0000-00009A2E0000}"/>
    <cellStyle name="Normal 5 3 4 5 2 2 2 2" xfId="21277" xr:uid="{00000000-0005-0000-0000-00009B2E0000}"/>
    <cellStyle name="Normal 5 3 4 5 2 2 2 3" xfId="14021" xr:uid="{00000000-0005-0000-0000-00009C2E0000}"/>
    <cellStyle name="Normal 5 3 4 5 2 2 3" xfId="17649" xr:uid="{00000000-0005-0000-0000-00009D2E0000}"/>
    <cellStyle name="Normal 5 3 4 5 2 2 4" xfId="10393" xr:uid="{00000000-0005-0000-0000-00009E2E0000}"/>
    <cellStyle name="Normal 5 3 4 5 2 3" xfId="4951" xr:uid="{00000000-0005-0000-0000-00009F2E0000}"/>
    <cellStyle name="Normal 5 3 4 5 2 3 2" xfId="19463" xr:uid="{00000000-0005-0000-0000-0000A02E0000}"/>
    <cellStyle name="Normal 5 3 4 5 2 3 3" xfId="12207" xr:uid="{00000000-0005-0000-0000-0000A12E0000}"/>
    <cellStyle name="Normal 5 3 4 5 2 4" xfId="15835" xr:uid="{00000000-0005-0000-0000-0000A22E0000}"/>
    <cellStyle name="Normal 5 3 4 5 2 5" xfId="8579" xr:uid="{00000000-0005-0000-0000-0000A32E0000}"/>
    <cellStyle name="Normal 5 3 4 5 3" xfId="2230" xr:uid="{00000000-0005-0000-0000-0000A42E0000}"/>
    <cellStyle name="Normal 5 3 4 5 3 2" xfId="5858" xr:uid="{00000000-0005-0000-0000-0000A52E0000}"/>
    <cellStyle name="Normal 5 3 4 5 3 2 2" xfId="20370" xr:uid="{00000000-0005-0000-0000-0000A62E0000}"/>
    <cellStyle name="Normal 5 3 4 5 3 2 3" xfId="13114" xr:uid="{00000000-0005-0000-0000-0000A72E0000}"/>
    <cellStyle name="Normal 5 3 4 5 3 3" xfId="16742" xr:uid="{00000000-0005-0000-0000-0000A82E0000}"/>
    <cellStyle name="Normal 5 3 4 5 3 4" xfId="9486" xr:uid="{00000000-0005-0000-0000-0000A92E0000}"/>
    <cellStyle name="Normal 5 3 4 5 4" xfId="4044" xr:uid="{00000000-0005-0000-0000-0000AA2E0000}"/>
    <cellStyle name="Normal 5 3 4 5 4 2" xfId="18556" xr:uid="{00000000-0005-0000-0000-0000AB2E0000}"/>
    <cellStyle name="Normal 5 3 4 5 4 3" xfId="11300" xr:uid="{00000000-0005-0000-0000-0000AC2E0000}"/>
    <cellStyle name="Normal 5 3 4 5 5" xfId="14928" xr:uid="{00000000-0005-0000-0000-0000AD2E0000}"/>
    <cellStyle name="Normal 5 3 4 5 6" xfId="7672" xr:uid="{00000000-0005-0000-0000-0000AE2E0000}"/>
    <cellStyle name="Normal 5 3 4 6" xfId="892" xr:uid="{00000000-0005-0000-0000-0000AF2E0000}"/>
    <cellStyle name="Normal 5 3 4 6 2" xfId="1800" xr:uid="{00000000-0005-0000-0000-0000B02E0000}"/>
    <cellStyle name="Normal 5 3 4 6 2 2" xfId="3614" xr:uid="{00000000-0005-0000-0000-0000B12E0000}"/>
    <cellStyle name="Normal 5 3 4 6 2 2 2" xfId="7242" xr:uid="{00000000-0005-0000-0000-0000B22E0000}"/>
    <cellStyle name="Normal 5 3 4 6 2 2 2 2" xfId="21754" xr:uid="{00000000-0005-0000-0000-0000B32E0000}"/>
    <cellStyle name="Normal 5 3 4 6 2 2 2 3" xfId="14498" xr:uid="{00000000-0005-0000-0000-0000B42E0000}"/>
    <cellStyle name="Normal 5 3 4 6 2 2 3" xfId="18126" xr:uid="{00000000-0005-0000-0000-0000B52E0000}"/>
    <cellStyle name="Normal 5 3 4 6 2 2 4" xfId="10870" xr:uid="{00000000-0005-0000-0000-0000B62E0000}"/>
    <cellStyle name="Normal 5 3 4 6 2 3" xfId="5428" xr:uid="{00000000-0005-0000-0000-0000B72E0000}"/>
    <cellStyle name="Normal 5 3 4 6 2 3 2" xfId="19940" xr:uid="{00000000-0005-0000-0000-0000B82E0000}"/>
    <cellStyle name="Normal 5 3 4 6 2 3 3" xfId="12684" xr:uid="{00000000-0005-0000-0000-0000B92E0000}"/>
    <cellStyle name="Normal 5 3 4 6 2 4" xfId="16312" xr:uid="{00000000-0005-0000-0000-0000BA2E0000}"/>
    <cellStyle name="Normal 5 3 4 6 2 5" xfId="9056" xr:uid="{00000000-0005-0000-0000-0000BB2E0000}"/>
    <cellStyle name="Normal 5 3 4 6 3" xfId="2707" xr:uid="{00000000-0005-0000-0000-0000BC2E0000}"/>
    <cellStyle name="Normal 5 3 4 6 3 2" xfId="6335" xr:uid="{00000000-0005-0000-0000-0000BD2E0000}"/>
    <cellStyle name="Normal 5 3 4 6 3 2 2" xfId="20847" xr:uid="{00000000-0005-0000-0000-0000BE2E0000}"/>
    <cellStyle name="Normal 5 3 4 6 3 2 3" xfId="13591" xr:uid="{00000000-0005-0000-0000-0000BF2E0000}"/>
    <cellStyle name="Normal 5 3 4 6 3 3" xfId="17219" xr:uid="{00000000-0005-0000-0000-0000C02E0000}"/>
    <cellStyle name="Normal 5 3 4 6 3 4" xfId="9963" xr:uid="{00000000-0005-0000-0000-0000C12E0000}"/>
    <cellStyle name="Normal 5 3 4 6 4" xfId="4521" xr:uid="{00000000-0005-0000-0000-0000C22E0000}"/>
    <cellStyle name="Normal 5 3 4 6 4 2" xfId="19033" xr:uid="{00000000-0005-0000-0000-0000C32E0000}"/>
    <cellStyle name="Normal 5 3 4 6 4 3" xfId="11777" xr:uid="{00000000-0005-0000-0000-0000C42E0000}"/>
    <cellStyle name="Normal 5 3 4 6 5" xfId="15405" xr:uid="{00000000-0005-0000-0000-0000C52E0000}"/>
    <cellStyle name="Normal 5 3 4 6 6" xfId="8149" xr:uid="{00000000-0005-0000-0000-0000C62E0000}"/>
    <cellStyle name="Normal 5 3 4 7" xfId="977" xr:uid="{00000000-0005-0000-0000-0000C72E0000}"/>
    <cellStyle name="Normal 5 3 4 7 2" xfId="2791" xr:uid="{00000000-0005-0000-0000-0000C82E0000}"/>
    <cellStyle name="Normal 5 3 4 7 2 2" xfId="6419" xr:uid="{00000000-0005-0000-0000-0000C92E0000}"/>
    <cellStyle name="Normal 5 3 4 7 2 2 2" xfId="20931" xr:uid="{00000000-0005-0000-0000-0000CA2E0000}"/>
    <cellStyle name="Normal 5 3 4 7 2 2 3" xfId="13675" xr:uid="{00000000-0005-0000-0000-0000CB2E0000}"/>
    <cellStyle name="Normal 5 3 4 7 2 3" xfId="17303" xr:uid="{00000000-0005-0000-0000-0000CC2E0000}"/>
    <cellStyle name="Normal 5 3 4 7 2 4" xfId="10047" xr:uid="{00000000-0005-0000-0000-0000CD2E0000}"/>
    <cellStyle name="Normal 5 3 4 7 3" xfId="4605" xr:uid="{00000000-0005-0000-0000-0000CE2E0000}"/>
    <cellStyle name="Normal 5 3 4 7 3 2" xfId="19117" xr:uid="{00000000-0005-0000-0000-0000CF2E0000}"/>
    <cellStyle name="Normal 5 3 4 7 3 3" xfId="11861" xr:uid="{00000000-0005-0000-0000-0000D02E0000}"/>
    <cellStyle name="Normal 5 3 4 7 4" xfId="15489" xr:uid="{00000000-0005-0000-0000-0000D12E0000}"/>
    <cellStyle name="Normal 5 3 4 7 5" xfId="8233" xr:uid="{00000000-0005-0000-0000-0000D22E0000}"/>
    <cellStyle name="Normal 5 3 4 8" xfId="1884" xr:uid="{00000000-0005-0000-0000-0000D32E0000}"/>
    <cellStyle name="Normal 5 3 4 8 2" xfId="5512" xr:uid="{00000000-0005-0000-0000-0000D42E0000}"/>
    <cellStyle name="Normal 5 3 4 8 2 2" xfId="20024" xr:uid="{00000000-0005-0000-0000-0000D52E0000}"/>
    <cellStyle name="Normal 5 3 4 8 2 3" xfId="12768" xr:uid="{00000000-0005-0000-0000-0000D62E0000}"/>
    <cellStyle name="Normal 5 3 4 8 3" xfId="16396" xr:uid="{00000000-0005-0000-0000-0000D72E0000}"/>
    <cellStyle name="Normal 5 3 4 8 4" xfId="9140" xr:uid="{00000000-0005-0000-0000-0000D82E0000}"/>
    <cellStyle name="Normal 5 3 4 9" xfId="3698" xr:uid="{00000000-0005-0000-0000-0000D92E0000}"/>
    <cellStyle name="Normal 5 3 4 9 2" xfId="18210" xr:uid="{00000000-0005-0000-0000-0000DA2E0000}"/>
    <cellStyle name="Normal 5 3 4 9 3" xfId="10954" xr:uid="{00000000-0005-0000-0000-0000DB2E0000}"/>
    <cellStyle name="Normal 5 3 5" xfId="199" xr:uid="{00000000-0005-0000-0000-0000DC2E0000}"/>
    <cellStyle name="Normal 5 3 5 2" xfId="329" xr:uid="{00000000-0005-0000-0000-0000DD2E0000}"/>
    <cellStyle name="Normal 5 3 5 2 2" xfId="675" xr:uid="{00000000-0005-0000-0000-0000DE2E0000}"/>
    <cellStyle name="Normal 5 3 5 2 2 2" xfId="1583" xr:uid="{00000000-0005-0000-0000-0000DF2E0000}"/>
    <cellStyle name="Normal 5 3 5 2 2 2 2" xfId="3397" xr:uid="{00000000-0005-0000-0000-0000E02E0000}"/>
    <cellStyle name="Normal 5 3 5 2 2 2 2 2" xfId="7025" xr:uid="{00000000-0005-0000-0000-0000E12E0000}"/>
    <cellStyle name="Normal 5 3 5 2 2 2 2 2 2" xfId="21537" xr:uid="{00000000-0005-0000-0000-0000E22E0000}"/>
    <cellStyle name="Normal 5 3 5 2 2 2 2 2 3" xfId="14281" xr:uid="{00000000-0005-0000-0000-0000E32E0000}"/>
    <cellStyle name="Normal 5 3 5 2 2 2 2 3" xfId="17909" xr:uid="{00000000-0005-0000-0000-0000E42E0000}"/>
    <cellStyle name="Normal 5 3 5 2 2 2 2 4" xfId="10653" xr:uid="{00000000-0005-0000-0000-0000E52E0000}"/>
    <cellStyle name="Normal 5 3 5 2 2 2 3" xfId="5211" xr:uid="{00000000-0005-0000-0000-0000E62E0000}"/>
    <cellStyle name="Normal 5 3 5 2 2 2 3 2" xfId="19723" xr:uid="{00000000-0005-0000-0000-0000E72E0000}"/>
    <cellStyle name="Normal 5 3 5 2 2 2 3 3" xfId="12467" xr:uid="{00000000-0005-0000-0000-0000E82E0000}"/>
    <cellStyle name="Normal 5 3 5 2 2 2 4" xfId="16095" xr:uid="{00000000-0005-0000-0000-0000E92E0000}"/>
    <cellStyle name="Normal 5 3 5 2 2 2 5" xfId="8839" xr:uid="{00000000-0005-0000-0000-0000EA2E0000}"/>
    <cellStyle name="Normal 5 3 5 2 2 3" xfId="2490" xr:uid="{00000000-0005-0000-0000-0000EB2E0000}"/>
    <cellStyle name="Normal 5 3 5 2 2 3 2" xfId="6118" xr:uid="{00000000-0005-0000-0000-0000EC2E0000}"/>
    <cellStyle name="Normal 5 3 5 2 2 3 2 2" xfId="20630" xr:uid="{00000000-0005-0000-0000-0000ED2E0000}"/>
    <cellStyle name="Normal 5 3 5 2 2 3 2 3" xfId="13374" xr:uid="{00000000-0005-0000-0000-0000EE2E0000}"/>
    <cellStyle name="Normal 5 3 5 2 2 3 3" xfId="17002" xr:uid="{00000000-0005-0000-0000-0000EF2E0000}"/>
    <cellStyle name="Normal 5 3 5 2 2 3 4" xfId="9746" xr:uid="{00000000-0005-0000-0000-0000F02E0000}"/>
    <cellStyle name="Normal 5 3 5 2 2 4" xfId="4304" xr:uid="{00000000-0005-0000-0000-0000F12E0000}"/>
    <cellStyle name="Normal 5 3 5 2 2 4 2" xfId="18816" xr:uid="{00000000-0005-0000-0000-0000F22E0000}"/>
    <cellStyle name="Normal 5 3 5 2 2 4 3" xfId="11560" xr:uid="{00000000-0005-0000-0000-0000F32E0000}"/>
    <cellStyle name="Normal 5 3 5 2 2 5" xfId="15188" xr:uid="{00000000-0005-0000-0000-0000F42E0000}"/>
    <cellStyle name="Normal 5 3 5 2 2 6" xfId="7932" xr:uid="{00000000-0005-0000-0000-0000F52E0000}"/>
    <cellStyle name="Normal 5 3 5 2 3" xfId="1237" xr:uid="{00000000-0005-0000-0000-0000F62E0000}"/>
    <cellStyle name="Normal 5 3 5 2 3 2" xfId="3051" xr:uid="{00000000-0005-0000-0000-0000F72E0000}"/>
    <cellStyle name="Normal 5 3 5 2 3 2 2" xfId="6679" xr:uid="{00000000-0005-0000-0000-0000F82E0000}"/>
    <cellStyle name="Normal 5 3 5 2 3 2 2 2" xfId="21191" xr:uid="{00000000-0005-0000-0000-0000F92E0000}"/>
    <cellStyle name="Normal 5 3 5 2 3 2 2 3" xfId="13935" xr:uid="{00000000-0005-0000-0000-0000FA2E0000}"/>
    <cellStyle name="Normal 5 3 5 2 3 2 3" xfId="17563" xr:uid="{00000000-0005-0000-0000-0000FB2E0000}"/>
    <cellStyle name="Normal 5 3 5 2 3 2 4" xfId="10307" xr:uid="{00000000-0005-0000-0000-0000FC2E0000}"/>
    <cellStyle name="Normal 5 3 5 2 3 3" xfId="4865" xr:uid="{00000000-0005-0000-0000-0000FD2E0000}"/>
    <cellStyle name="Normal 5 3 5 2 3 3 2" xfId="19377" xr:uid="{00000000-0005-0000-0000-0000FE2E0000}"/>
    <cellStyle name="Normal 5 3 5 2 3 3 3" xfId="12121" xr:uid="{00000000-0005-0000-0000-0000FF2E0000}"/>
    <cellStyle name="Normal 5 3 5 2 3 4" xfId="15749" xr:uid="{00000000-0005-0000-0000-0000002F0000}"/>
    <cellStyle name="Normal 5 3 5 2 3 5" xfId="8493" xr:uid="{00000000-0005-0000-0000-0000012F0000}"/>
    <cellStyle name="Normal 5 3 5 2 4" xfId="2144" xr:uid="{00000000-0005-0000-0000-0000022F0000}"/>
    <cellStyle name="Normal 5 3 5 2 4 2" xfId="5772" xr:uid="{00000000-0005-0000-0000-0000032F0000}"/>
    <cellStyle name="Normal 5 3 5 2 4 2 2" xfId="20284" xr:uid="{00000000-0005-0000-0000-0000042F0000}"/>
    <cellStyle name="Normal 5 3 5 2 4 2 3" xfId="13028" xr:uid="{00000000-0005-0000-0000-0000052F0000}"/>
    <cellStyle name="Normal 5 3 5 2 4 3" xfId="16656" xr:uid="{00000000-0005-0000-0000-0000062F0000}"/>
    <cellStyle name="Normal 5 3 5 2 4 4" xfId="9400" xr:uid="{00000000-0005-0000-0000-0000072F0000}"/>
    <cellStyle name="Normal 5 3 5 2 5" xfId="3958" xr:uid="{00000000-0005-0000-0000-0000082F0000}"/>
    <cellStyle name="Normal 5 3 5 2 5 2" xfId="18470" xr:uid="{00000000-0005-0000-0000-0000092F0000}"/>
    <cellStyle name="Normal 5 3 5 2 5 3" xfId="11214" xr:uid="{00000000-0005-0000-0000-00000A2F0000}"/>
    <cellStyle name="Normal 5 3 5 2 6" xfId="14842" xr:uid="{00000000-0005-0000-0000-00000B2F0000}"/>
    <cellStyle name="Normal 5 3 5 2 7" xfId="7586" xr:uid="{00000000-0005-0000-0000-00000C2F0000}"/>
    <cellStyle name="Normal 5 3 5 3" xfId="805" xr:uid="{00000000-0005-0000-0000-00000D2F0000}"/>
    <cellStyle name="Normal 5 3 5 3 2" xfId="1713" xr:uid="{00000000-0005-0000-0000-00000E2F0000}"/>
    <cellStyle name="Normal 5 3 5 3 2 2" xfId="3527" xr:uid="{00000000-0005-0000-0000-00000F2F0000}"/>
    <cellStyle name="Normal 5 3 5 3 2 2 2" xfId="7155" xr:uid="{00000000-0005-0000-0000-0000102F0000}"/>
    <cellStyle name="Normal 5 3 5 3 2 2 2 2" xfId="21667" xr:uid="{00000000-0005-0000-0000-0000112F0000}"/>
    <cellStyle name="Normal 5 3 5 3 2 2 2 3" xfId="14411" xr:uid="{00000000-0005-0000-0000-0000122F0000}"/>
    <cellStyle name="Normal 5 3 5 3 2 2 3" xfId="18039" xr:uid="{00000000-0005-0000-0000-0000132F0000}"/>
    <cellStyle name="Normal 5 3 5 3 2 2 4" xfId="10783" xr:uid="{00000000-0005-0000-0000-0000142F0000}"/>
    <cellStyle name="Normal 5 3 5 3 2 3" xfId="5341" xr:uid="{00000000-0005-0000-0000-0000152F0000}"/>
    <cellStyle name="Normal 5 3 5 3 2 3 2" xfId="19853" xr:uid="{00000000-0005-0000-0000-0000162F0000}"/>
    <cellStyle name="Normal 5 3 5 3 2 3 3" xfId="12597" xr:uid="{00000000-0005-0000-0000-0000172F0000}"/>
    <cellStyle name="Normal 5 3 5 3 2 4" xfId="16225" xr:uid="{00000000-0005-0000-0000-0000182F0000}"/>
    <cellStyle name="Normal 5 3 5 3 2 5" xfId="8969" xr:uid="{00000000-0005-0000-0000-0000192F0000}"/>
    <cellStyle name="Normal 5 3 5 3 3" xfId="2620" xr:uid="{00000000-0005-0000-0000-00001A2F0000}"/>
    <cellStyle name="Normal 5 3 5 3 3 2" xfId="6248" xr:uid="{00000000-0005-0000-0000-00001B2F0000}"/>
    <cellStyle name="Normal 5 3 5 3 3 2 2" xfId="20760" xr:uid="{00000000-0005-0000-0000-00001C2F0000}"/>
    <cellStyle name="Normal 5 3 5 3 3 2 3" xfId="13504" xr:uid="{00000000-0005-0000-0000-00001D2F0000}"/>
    <cellStyle name="Normal 5 3 5 3 3 3" xfId="17132" xr:uid="{00000000-0005-0000-0000-00001E2F0000}"/>
    <cellStyle name="Normal 5 3 5 3 3 4" xfId="9876" xr:uid="{00000000-0005-0000-0000-00001F2F0000}"/>
    <cellStyle name="Normal 5 3 5 3 4" xfId="4434" xr:uid="{00000000-0005-0000-0000-0000202F0000}"/>
    <cellStyle name="Normal 5 3 5 3 4 2" xfId="18946" xr:uid="{00000000-0005-0000-0000-0000212F0000}"/>
    <cellStyle name="Normal 5 3 5 3 4 3" xfId="11690" xr:uid="{00000000-0005-0000-0000-0000222F0000}"/>
    <cellStyle name="Normal 5 3 5 3 5" xfId="15318" xr:uid="{00000000-0005-0000-0000-0000232F0000}"/>
    <cellStyle name="Normal 5 3 5 3 6" xfId="8062" xr:uid="{00000000-0005-0000-0000-0000242F0000}"/>
    <cellStyle name="Normal 5 3 5 4" xfId="545" xr:uid="{00000000-0005-0000-0000-0000252F0000}"/>
    <cellStyle name="Normal 5 3 5 4 2" xfId="1453" xr:uid="{00000000-0005-0000-0000-0000262F0000}"/>
    <cellStyle name="Normal 5 3 5 4 2 2" xfId="3267" xr:uid="{00000000-0005-0000-0000-0000272F0000}"/>
    <cellStyle name="Normal 5 3 5 4 2 2 2" xfId="6895" xr:uid="{00000000-0005-0000-0000-0000282F0000}"/>
    <cellStyle name="Normal 5 3 5 4 2 2 2 2" xfId="21407" xr:uid="{00000000-0005-0000-0000-0000292F0000}"/>
    <cellStyle name="Normal 5 3 5 4 2 2 2 3" xfId="14151" xr:uid="{00000000-0005-0000-0000-00002A2F0000}"/>
    <cellStyle name="Normal 5 3 5 4 2 2 3" xfId="17779" xr:uid="{00000000-0005-0000-0000-00002B2F0000}"/>
    <cellStyle name="Normal 5 3 5 4 2 2 4" xfId="10523" xr:uid="{00000000-0005-0000-0000-00002C2F0000}"/>
    <cellStyle name="Normal 5 3 5 4 2 3" xfId="5081" xr:uid="{00000000-0005-0000-0000-00002D2F0000}"/>
    <cellStyle name="Normal 5 3 5 4 2 3 2" xfId="19593" xr:uid="{00000000-0005-0000-0000-00002E2F0000}"/>
    <cellStyle name="Normal 5 3 5 4 2 3 3" xfId="12337" xr:uid="{00000000-0005-0000-0000-00002F2F0000}"/>
    <cellStyle name="Normal 5 3 5 4 2 4" xfId="15965" xr:uid="{00000000-0005-0000-0000-0000302F0000}"/>
    <cellStyle name="Normal 5 3 5 4 2 5" xfId="8709" xr:uid="{00000000-0005-0000-0000-0000312F0000}"/>
    <cellStyle name="Normal 5 3 5 4 3" xfId="2360" xr:uid="{00000000-0005-0000-0000-0000322F0000}"/>
    <cellStyle name="Normal 5 3 5 4 3 2" xfId="5988" xr:uid="{00000000-0005-0000-0000-0000332F0000}"/>
    <cellStyle name="Normal 5 3 5 4 3 2 2" xfId="20500" xr:uid="{00000000-0005-0000-0000-0000342F0000}"/>
    <cellStyle name="Normal 5 3 5 4 3 2 3" xfId="13244" xr:uid="{00000000-0005-0000-0000-0000352F0000}"/>
    <cellStyle name="Normal 5 3 5 4 3 3" xfId="16872" xr:uid="{00000000-0005-0000-0000-0000362F0000}"/>
    <cellStyle name="Normal 5 3 5 4 3 4" xfId="9616" xr:uid="{00000000-0005-0000-0000-0000372F0000}"/>
    <cellStyle name="Normal 5 3 5 4 4" xfId="4174" xr:uid="{00000000-0005-0000-0000-0000382F0000}"/>
    <cellStyle name="Normal 5 3 5 4 4 2" xfId="18686" xr:uid="{00000000-0005-0000-0000-0000392F0000}"/>
    <cellStyle name="Normal 5 3 5 4 4 3" xfId="11430" xr:uid="{00000000-0005-0000-0000-00003A2F0000}"/>
    <cellStyle name="Normal 5 3 5 4 5" xfId="15058" xr:uid="{00000000-0005-0000-0000-00003B2F0000}"/>
    <cellStyle name="Normal 5 3 5 4 6" xfId="7802" xr:uid="{00000000-0005-0000-0000-00003C2F0000}"/>
    <cellStyle name="Normal 5 3 5 5" xfId="1107" xr:uid="{00000000-0005-0000-0000-00003D2F0000}"/>
    <cellStyle name="Normal 5 3 5 5 2" xfId="2921" xr:uid="{00000000-0005-0000-0000-00003E2F0000}"/>
    <cellStyle name="Normal 5 3 5 5 2 2" xfId="6549" xr:uid="{00000000-0005-0000-0000-00003F2F0000}"/>
    <cellStyle name="Normal 5 3 5 5 2 2 2" xfId="21061" xr:uid="{00000000-0005-0000-0000-0000402F0000}"/>
    <cellStyle name="Normal 5 3 5 5 2 2 3" xfId="13805" xr:uid="{00000000-0005-0000-0000-0000412F0000}"/>
    <cellStyle name="Normal 5 3 5 5 2 3" xfId="17433" xr:uid="{00000000-0005-0000-0000-0000422F0000}"/>
    <cellStyle name="Normal 5 3 5 5 2 4" xfId="10177" xr:uid="{00000000-0005-0000-0000-0000432F0000}"/>
    <cellStyle name="Normal 5 3 5 5 3" xfId="4735" xr:uid="{00000000-0005-0000-0000-0000442F0000}"/>
    <cellStyle name="Normal 5 3 5 5 3 2" xfId="19247" xr:uid="{00000000-0005-0000-0000-0000452F0000}"/>
    <cellStyle name="Normal 5 3 5 5 3 3" xfId="11991" xr:uid="{00000000-0005-0000-0000-0000462F0000}"/>
    <cellStyle name="Normal 5 3 5 5 4" xfId="15619" xr:uid="{00000000-0005-0000-0000-0000472F0000}"/>
    <cellStyle name="Normal 5 3 5 5 5" xfId="8363" xr:uid="{00000000-0005-0000-0000-0000482F0000}"/>
    <cellStyle name="Normal 5 3 5 6" xfId="2014" xr:uid="{00000000-0005-0000-0000-0000492F0000}"/>
    <cellStyle name="Normal 5 3 5 6 2" xfId="5642" xr:uid="{00000000-0005-0000-0000-00004A2F0000}"/>
    <cellStyle name="Normal 5 3 5 6 2 2" xfId="20154" xr:uid="{00000000-0005-0000-0000-00004B2F0000}"/>
    <cellStyle name="Normal 5 3 5 6 2 3" xfId="12898" xr:uid="{00000000-0005-0000-0000-00004C2F0000}"/>
    <cellStyle name="Normal 5 3 5 6 3" xfId="16526" xr:uid="{00000000-0005-0000-0000-00004D2F0000}"/>
    <cellStyle name="Normal 5 3 5 6 4" xfId="9270" xr:uid="{00000000-0005-0000-0000-00004E2F0000}"/>
    <cellStyle name="Normal 5 3 5 7" xfId="3828" xr:uid="{00000000-0005-0000-0000-00004F2F0000}"/>
    <cellStyle name="Normal 5 3 5 7 2" xfId="18340" xr:uid="{00000000-0005-0000-0000-0000502F0000}"/>
    <cellStyle name="Normal 5 3 5 7 3" xfId="11084" xr:uid="{00000000-0005-0000-0000-0000512F0000}"/>
    <cellStyle name="Normal 5 3 5 8" xfId="14712" xr:uid="{00000000-0005-0000-0000-0000522F0000}"/>
    <cellStyle name="Normal 5 3 5 9" xfId="7456" xr:uid="{00000000-0005-0000-0000-0000532F0000}"/>
    <cellStyle name="Normal 5 3 6" xfId="113" xr:uid="{00000000-0005-0000-0000-0000542F0000}"/>
    <cellStyle name="Normal 5 3 6 2" xfId="459" xr:uid="{00000000-0005-0000-0000-0000552F0000}"/>
    <cellStyle name="Normal 5 3 6 2 2" xfId="1367" xr:uid="{00000000-0005-0000-0000-0000562F0000}"/>
    <cellStyle name="Normal 5 3 6 2 2 2" xfId="3181" xr:uid="{00000000-0005-0000-0000-0000572F0000}"/>
    <cellStyle name="Normal 5 3 6 2 2 2 2" xfId="6809" xr:uid="{00000000-0005-0000-0000-0000582F0000}"/>
    <cellStyle name="Normal 5 3 6 2 2 2 2 2" xfId="21321" xr:uid="{00000000-0005-0000-0000-0000592F0000}"/>
    <cellStyle name="Normal 5 3 6 2 2 2 2 3" xfId="14065" xr:uid="{00000000-0005-0000-0000-00005A2F0000}"/>
    <cellStyle name="Normal 5 3 6 2 2 2 3" xfId="17693" xr:uid="{00000000-0005-0000-0000-00005B2F0000}"/>
    <cellStyle name="Normal 5 3 6 2 2 2 4" xfId="10437" xr:uid="{00000000-0005-0000-0000-00005C2F0000}"/>
    <cellStyle name="Normal 5 3 6 2 2 3" xfId="4995" xr:uid="{00000000-0005-0000-0000-00005D2F0000}"/>
    <cellStyle name="Normal 5 3 6 2 2 3 2" xfId="19507" xr:uid="{00000000-0005-0000-0000-00005E2F0000}"/>
    <cellStyle name="Normal 5 3 6 2 2 3 3" xfId="12251" xr:uid="{00000000-0005-0000-0000-00005F2F0000}"/>
    <cellStyle name="Normal 5 3 6 2 2 4" xfId="15879" xr:uid="{00000000-0005-0000-0000-0000602F0000}"/>
    <cellStyle name="Normal 5 3 6 2 2 5" xfId="8623" xr:uid="{00000000-0005-0000-0000-0000612F0000}"/>
    <cellStyle name="Normal 5 3 6 2 3" xfId="2274" xr:uid="{00000000-0005-0000-0000-0000622F0000}"/>
    <cellStyle name="Normal 5 3 6 2 3 2" xfId="5902" xr:uid="{00000000-0005-0000-0000-0000632F0000}"/>
    <cellStyle name="Normal 5 3 6 2 3 2 2" xfId="20414" xr:uid="{00000000-0005-0000-0000-0000642F0000}"/>
    <cellStyle name="Normal 5 3 6 2 3 2 3" xfId="13158" xr:uid="{00000000-0005-0000-0000-0000652F0000}"/>
    <cellStyle name="Normal 5 3 6 2 3 3" xfId="16786" xr:uid="{00000000-0005-0000-0000-0000662F0000}"/>
    <cellStyle name="Normal 5 3 6 2 3 4" xfId="9530" xr:uid="{00000000-0005-0000-0000-0000672F0000}"/>
    <cellStyle name="Normal 5 3 6 2 4" xfId="4088" xr:uid="{00000000-0005-0000-0000-0000682F0000}"/>
    <cellStyle name="Normal 5 3 6 2 4 2" xfId="18600" xr:uid="{00000000-0005-0000-0000-0000692F0000}"/>
    <cellStyle name="Normal 5 3 6 2 4 3" xfId="11344" xr:uid="{00000000-0005-0000-0000-00006A2F0000}"/>
    <cellStyle name="Normal 5 3 6 2 5" xfId="14972" xr:uid="{00000000-0005-0000-0000-00006B2F0000}"/>
    <cellStyle name="Normal 5 3 6 2 6" xfId="7716" xr:uid="{00000000-0005-0000-0000-00006C2F0000}"/>
    <cellStyle name="Normal 5 3 6 3" xfId="1021" xr:uid="{00000000-0005-0000-0000-00006D2F0000}"/>
    <cellStyle name="Normal 5 3 6 3 2" xfId="2835" xr:uid="{00000000-0005-0000-0000-00006E2F0000}"/>
    <cellStyle name="Normal 5 3 6 3 2 2" xfId="6463" xr:uid="{00000000-0005-0000-0000-00006F2F0000}"/>
    <cellStyle name="Normal 5 3 6 3 2 2 2" xfId="20975" xr:uid="{00000000-0005-0000-0000-0000702F0000}"/>
    <cellStyle name="Normal 5 3 6 3 2 2 3" xfId="13719" xr:uid="{00000000-0005-0000-0000-0000712F0000}"/>
    <cellStyle name="Normal 5 3 6 3 2 3" xfId="17347" xr:uid="{00000000-0005-0000-0000-0000722F0000}"/>
    <cellStyle name="Normal 5 3 6 3 2 4" xfId="10091" xr:uid="{00000000-0005-0000-0000-0000732F0000}"/>
    <cellStyle name="Normal 5 3 6 3 3" xfId="4649" xr:uid="{00000000-0005-0000-0000-0000742F0000}"/>
    <cellStyle name="Normal 5 3 6 3 3 2" xfId="19161" xr:uid="{00000000-0005-0000-0000-0000752F0000}"/>
    <cellStyle name="Normal 5 3 6 3 3 3" xfId="11905" xr:uid="{00000000-0005-0000-0000-0000762F0000}"/>
    <cellStyle name="Normal 5 3 6 3 4" xfId="15533" xr:uid="{00000000-0005-0000-0000-0000772F0000}"/>
    <cellStyle name="Normal 5 3 6 3 5" xfId="8277" xr:uid="{00000000-0005-0000-0000-0000782F0000}"/>
    <cellStyle name="Normal 5 3 6 4" xfId="1928" xr:uid="{00000000-0005-0000-0000-0000792F0000}"/>
    <cellStyle name="Normal 5 3 6 4 2" xfId="5556" xr:uid="{00000000-0005-0000-0000-00007A2F0000}"/>
    <cellStyle name="Normal 5 3 6 4 2 2" xfId="20068" xr:uid="{00000000-0005-0000-0000-00007B2F0000}"/>
    <cellStyle name="Normal 5 3 6 4 2 3" xfId="12812" xr:uid="{00000000-0005-0000-0000-00007C2F0000}"/>
    <cellStyle name="Normal 5 3 6 4 3" xfId="16440" xr:uid="{00000000-0005-0000-0000-00007D2F0000}"/>
    <cellStyle name="Normal 5 3 6 4 4" xfId="9184" xr:uid="{00000000-0005-0000-0000-00007E2F0000}"/>
    <cellStyle name="Normal 5 3 6 5" xfId="3742" xr:uid="{00000000-0005-0000-0000-00007F2F0000}"/>
    <cellStyle name="Normal 5 3 6 5 2" xfId="18254" xr:uid="{00000000-0005-0000-0000-0000802F0000}"/>
    <cellStyle name="Normal 5 3 6 5 3" xfId="10998" xr:uid="{00000000-0005-0000-0000-0000812F0000}"/>
    <cellStyle name="Normal 5 3 6 6" xfId="14626" xr:uid="{00000000-0005-0000-0000-0000822F0000}"/>
    <cellStyle name="Normal 5 3 6 7" xfId="7370" xr:uid="{00000000-0005-0000-0000-0000832F0000}"/>
    <cellStyle name="Normal 5 3 7" xfId="243" xr:uid="{00000000-0005-0000-0000-0000842F0000}"/>
    <cellStyle name="Normal 5 3 7 2" xfId="589" xr:uid="{00000000-0005-0000-0000-0000852F0000}"/>
    <cellStyle name="Normal 5 3 7 2 2" xfId="1497" xr:uid="{00000000-0005-0000-0000-0000862F0000}"/>
    <cellStyle name="Normal 5 3 7 2 2 2" xfId="3311" xr:uid="{00000000-0005-0000-0000-0000872F0000}"/>
    <cellStyle name="Normal 5 3 7 2 2 2 2" xfId="6939" xr:uid="{00000000-0005-0000-0000-0000882F0000}"/>
    <cellStyle name="Normal 5 3 7 2 2 2 2 2" xfId="21451" xr:uid="{00000000-0005-0000-0000-0000892F0000}"/>
    <cellStyle name="Normal 5 3 7 2 2 2 2 3" xfId="14195" xr:uid="{00000000-0005-0000-0000-00008A2F0000}"/>
    <cellStyle name="Normal 5 3 7 2 2 2 3" xfId="17823" xr:uid="{00000000-0005-0000-0000-00008B2F0000}"/>
    <cellStyle name="Normal 5 3 7 2 2 2 4" xfId="10567" xr:uid="{00000000-0005-0000-0000-00008C2F0000}"/>
    <cellStyle name="Normal 5 3 7 2 2 3" xfId="5125" xr:uid="{00000000-0005-0000-0000-00008D2F0000}"/>
    <cellStyle name="Normal 5 3 7 2 2 3 2" xfId="19637" xr:uid="{00000000-0005-0000-0000-00008E2F0000}"/>
    <cellStyle name="Normal 5 3 7 2 2 3 3" xfId="12381" xr:uid="{00000000-0005-0000-0000-00008F2F0000}"/>
    <cellStyle name="Normal 5 3 7 2 2 4" xfId="16009" xr:uid="{00000000-0005-0000-0000-0000902F0000}"/>
    <cellStyle name="Normal 5 3 7 2 2 5" xfId="8753" xr:uid="{00000000-0005-0000-0000-0000912F0000}"/>
    <cellStyle name="Normal 5 3 7 2 3" xfId="2404" xr:uid="{00000000-0005-0000-0000-0000922F0000}"/>
    <cellStyle name="Normal 5 3 7 2 3 2" xfId="6032" xr:uid="{00000000-0005-0000-0000-0000932F0000}"/>
    <cellStyle name="Normal 5 3 7 2 3 2 2" xfId="20544" xr:uid="{00000000-0005-0000-0000-0000942F0000}"/>
    <cellStyle name="Normal 5 3 7 2 3 2 3" xfId="13288" xr:uid="{00000000-0005-0000-0000-0000952F0000}"/>
    <cellStyle name="Normal 5 3 7 2 3 3" xfId="16916" xr:uid="{00000000-0005-0000-0000-0000962F0000}"/>
    <cellStyle name="Normal 5 3 7 2 3 4" xfId="9660" xr:uid="{00000000-0005-0000-0000-0000972F0000}"/>
    <cellStyle name="Normal 5 3 7 2 4" xfId="4218" xr:uid="{00000000-0005-0000-0000-0000982F0000}"/>
    <cellStyle name="Normal 5 3 7 2 4 2" xfId="18730" xr:uid="{00000000-0005-0000-0000-0000992F0000}"/>
    <cellStyle name="Normal 5 3 7 2 4 3" xfId="11474" xr:uid="{00000000-0005-0000-0000-00009A2F0000}"/>
    <cellStyle name="Normal 5 3 7 2 5" xfId="15102" xr:uid="{00000000-0005-0000-0000-00009B2F0000}"/>
    <cellStyle name="Normal 5 3 7 2 6" xfId="7846" xr:uid="{00000000-0005-0000-0000-00009C2F0000}"/>
    <cellStyle name="Normal 5 3 7 3" xfId="1151" xr:uid="{00000000-0005-0000-0000-00009D2F0000}"/>
    <cellStyle name="Normal 5 3 7 3 2" xfId="2965" xr:uid="{00000000-0005-0000-0000-00009E2F0000}"/>
    <cellStyle name="Normal 5 3 7 3 2 2" xfId="6593" xr:uid="{00000000-0005-0000-0000-00009F2F0000}"/>
    <cellStyle name="Normal 5 3 7 3 2 2 2" xfId="21105" xr:uid="{00000000-0005-0000-0000-0000A02F0000}"/>
    <cellStyle name="Normal 5 3 7 3 2 2 3" xfId="13849" xr:uid="{00000000-0005-0000-0000-0000A12F0000}"/>
    <cellStyle name="Normal 5 3 7 3 2 3" xfId="17477" xr:uid="{00000000-0005-0000-0000-0000A22F0000}"/>
    <cellStyle name="Normal 5 3 7 3 2 4" xfId="10221" xr:uid="{00000000-0005-0000-0000-0000A32F0000}"/>
    <cellStyle name="Normal 5 3 7 3 3" xfId="4779" xr:uid="{00000000-0005-0000-0000-0000A42F0000}"/>
    <cellStyle name="Normal 5 3 7 3 3 2" xfId="19291" xr:uid="{00000000-0005-0000-0000-0000A52F0000}"/>
    <cellStyle name="Normal 5 3 7 3 3 3" xfId="12035" xr:uid="{00000000-0005-0000-0000-0000A62F0000}"/>
    <cellStyle name="Normal 5 3 7 3 4" xfId="15663" xr:uid="{00000000-0005-0000-0000-0000A72F0000}"/>
    <cellStyle name="Normal 5 3 7 3 5" xfId="8407" xr:uid="{00000000-0005-0000-0000-0000A82F0000}"/>
    <cellStyle name="Normal 5 3 7 4" xfId="2058" xr:uid="{00000000-0005-0000-0000-0000A92F0000}"/>
    <cellStyle name="Normal 5 3 7 4 2" xfId="5686" xr:uid="{00000000-0005-0000-0000-0000AA2F0000}"/>
    <cellStyle name="Normal 5 3 7 4 2 2" xfId="20198" xr:uid="{00000000-0005-0000-0000-0000AB2F0000}"/>
    <cellStyle name="Normal 5 3 7 4 2 3" xfId="12942" xr:uid="{00000000-0005-0000-0000-0000AC2F0000}"/>
    <cellStyle name="Normal 5 3 7 4 3" xfId="16570" xr:uid="{00000000-0005-0000-0000-0000AD2F0000}"/>
    <cellStyle name="Normal 5 3 7 4 4" xfId="9314" xr:uid="{00000000-0005-0000-0000-0000AE2F0000}"/>
    <cellStyle name="Normal 5 3 7 5" xfId="3872" xr:uid="{00000000-0005-0000-0000-0000AF2F0000}"/>
    <cellStyle name="Normal 5 3 7 5 2" xfId="18384" xr:uid="{00000000-0005-0000-0000-0000B02F0000}"/>
    <cellStyle name="Normal 5 3 7 5 3" xfId="11128" xr:uid="{00000000-0005-0000-0000-0000B12F0000}"/>
    <cellStyle name="Normal 5 3 7 6" xfId="14756" xr:uid="{00000000-0005-0000-0000-0000B22F0000}"/>
    <cellStyle name="Normal 5 3 7 7" xfId="7500" xr:uid="{00000000-0005-0000-0000-0000B32F0000}"/>
    <cellStyle name="Normal 5 3 8" xfId="719" xr:uid="{00000000-0005-0000-0000-0000B42F0000}"/>
    <cellStyle name="Normal 5 3 8 2" xfId="1627" xr:uid="{00000000-0005-0000-0000-0000B52F0000}"/>
    <cellStyle name="Normal 5 3 8 2 2" xfId="3441" xr:uid="{00000000-0005-0000-0000-0000B62F0000}"/>
    <cellStyle name="Normal 5 3 8 2 2 2" xfId="7069" xr:uid="{00000000-0005-0000-0000-0000B72F0000}"/>
    <cellStyle name="Normal 5 3 8 2 2 2 2" xfId="21581" xr:uid="{00000000-0005-0000-0000-0000B82F0000}"/>
    <cellStyle name="Normal 5 3 8 2 2 2 3" xfId="14325" xr:uid="{00000000-0005-0000-0000-0000B92F0000}"/>
    <cellStyle name="Normal 5 3 8 2 2 3" xfId="17953" xr:uid="{00000000-0005-0000-0000-0000BA2F0000}"/>
    <cellStyle name="Normal 5 3 8 2 2 4" xfId="10697" xr:uid="{00000000-0005-0000-0000-0000BB2F0000}"/>
    <cellStyle name="Normal 5 3 8 2 3" xfId="5255" xr:uid="{00000000-0005-0000-0000-0000BC2F0000}"/>
    <cellStyle name="Normal 5 3 8 2 3 2" xfId="19767" xr:uid="{00000000-0005-0000-0000-0000BD2F0000}"/>
    <cellStyle name="Normal 5 3 8 2 3 3" xfId="12511" xr:uid="{00000000-0005-0000-0000-0000BE2F0000}"/>
    <cellStyle name="Normal 5 3 8 2 4" xfId="16139" xr:uid="{00000000-0005-0000-0000-0000BF2F0000}"/>
    <cellStyle name="Normal 5 3 8 2 5" xfId="8883" xr:uid="{00000000-0005-0000-0000-0000C02F0000}"/>
    <cellStyle name="Normal 5 3 8 3" xfId="2534" xr:uid="{00000000-0005-0000-0000-0000C12F0000}"/>
    <cellStyle name="Normal 5 3 8 3 2" xfId="6162" xr:uid="{00000000-0005-0000-0000-0000C22F0000}"/>
    <cellStyle name="Normal 5 3 8 3 2 2" xfId="20674" xr:uid="{00000000-0005-0000-0000-0000C32F0000}"/>
    <cellStyle name="Normal 5 3 8 3 2 3" xfId="13418" xr:uid="{00000000-0005-0000-0000-0000C42F0000}"/>
    <cellStyle name="Normal 5 3 8 3 3" xfId="17046" xr:uid="{00000000-0005-0000-0000-0000C52F0000}"/>
    <cellStyle name="Normal 5 3 8 3 4" xfId="9790" xr:uid="{00000000-0005-0000-0000-0000C62F0000}"/>
    <cellStyle name="Normal 5 3 8 4" xfId="4348" xr:uid="{00000000-0005-0000-0000-0000C72F0000}"/>
    <cellStyle name="Normal 5 3 8 4 2" xfId="18860" xr:uid="{00000000-0005-0000-0000-0000C82F0000}"/>
    <cellStyle name="Normal 5 3 8 4 3" xfId="11604" xr:uid="{00000000-0005-0000-0000-0000C92F0000}"/>
    <cellStyle name="Normal 5 3 8 5" xfId="15232" xr:uid="{00000000-0005-0000-0000-0000CA2F0000}"/>
    <cellStyle name="Normal 5 3 8 6" xfId="7976" xr:uid="{00000000-0005-0000-0000-0000CB2F0000}"/>
    <cellStyle name="Normal 5 3 9" xfId="373" xr:uid="{00000000-0005-0000-0000-0000CC2F0000}"/>
    <cellStyle name="Normal 5 3 9 2" xfId="1281" xr:uid="{00000000-0005-0000-0000-0000CD2F0000}"/>
    <cellStyle name="Normal 5 3 9 2 2" xfId="3095" xr:uid="{00000000-0005-0000-0000-0000CE2F0000}"/>
    <cellStyle name="Normal 5 3 9 2 2 2" xfId="6723" xr:uid="{00000000-0005-0000-0000-0000CF2F0000}"/>
    <cellStyle name="Normal 5 3 9 2 2 2 2" xfId="21235" xr:uid="{00000000-0005-0000-0000-0000D02F0000}"/>
    <cellStyle name="Normal 5 3 9 2 2 2 3" xfId="13979" xr:uid="{00000000-0005-0000-0000-0000D12F0000}"/>
    <cellStyle name="Normal 5 3 9 2 2 3" xfId="17607" xr:uid="{00000000-0005-0000-0000-0000D22F0000}"/>
    <cellStyle name="Normal 5 3 9 2 2 4" xfId="10351" xr:uid="{00000000-0005-0000-0000-0000D32F0000}"/>
    <cellStyle name="Normal 5 3 9 2 3" xfId="4909" xr:uid="{00000000-0005-0000-0000-0000D42F0000}"/>
    <cellStyle name="Normal 5 3 9 2 3 2" xfId="19421" xr:uid="{00000000-0005-0000-0000-0000D52F0000}"/>
    <cellStyle name="Normal 5 3 9 2 3 3" xfId="12165" xr:uid="{00000000-0005-0000-0000-0000D62F0000}"/>
    <cellStyle name="Normal 5 3 9 2 4" xfId="15793" xr:uid="{00000000-0005-0000-0000-0000D72F0000}"/>
    <cellStyle name="Normal 5 3 9 2 5" xfId="8537" xr:uid="{00000000-0005-0000-0000-0000D82F0000}"/>
    <cellStyle name="Normal 5 3 9 3" xfId="2188" xr:uid="{00000000-0005-0000-0000-0000D92F0000}"/>
    <cellStyle name="Normal 5 3 9 3 2" xfId="5816" xr:uid="{00000000-0005-0000-0000-0000DA2F0000}"/>
    <cellStyle name="Normal 5 3 9 3 2 2" xfId="20328" xr:uid="{00000000-0005-0000-0000-0000DB2F0000}"/>
    <cellStyle name="Normal 5 3 9 3 2 3" xfId="13072" xr:uid="{00000000-0005-0000-0000-0000DC2F0000}"/>
    <cellStyle name="Normal 5 3 9 3 3" xfId="16700" xr:uid="{00000000-0005-0000-0000-0000DD2F0000}"/>
    <cellStyle name="Normal 5 3 9 3 4" xfId="9444" xr:uid="{00000000-0005-0000-0000-0000DE2F0000}"/>
    <cellStyle name="Normal 5 3 9 4" xfId="4002" xr:uid="{00000000-0005-0000-0000-0000DF2F0000}"/>
    <cellStyle name="Normal 5 3 9 4 2" xfId="18514" xr:uid="{00000000-0005-0000-0000-0000E02F0000}"/>
    <cellStyle name="Normal 5 3 9 4 3" xfId="11258" xr:uid="{00000000-0005-0000-0000-0000E12F0000}"/>
    <cellStyle name="Normal 5 3 9 5" xfId="14886" xr:uid="{00000000-0005-0000-0000-0000E22F0000}"/>
    <cellStyle name="Normal 5 3 9 6" xfId="7630" xr:uid="{00000000-0005-0000-0000-0000E32F0000}"/>
    <cellStyle name="Normal 5 4" xfId="15" xr:uid="{00000000-0005-0000-0000-0000E42F0000}"/>
    <cellStyle name="Normal 5 4 10" xfId="851" xr:uid="{00000000-0005-0000-0000-0000E52F0000}"/>
    <cellStyle name="Normal 5 4 10 2" xfId="1759" xr:uid="{00000000-0005-0000-0000-0000E62F0000}"/>
    <cellStyle name="Normal 5 4 10 2 2" xfId="3573" xr:uid="{00000000-0005-0000-0000-0000E72F0000}"/>
    <cellStyle name="Normal 5 4 10 2 2 2" xfId="7201" xr:uid="{00000000-0005-0000-0000-0000E82F0000}"/>
    <cellStyle name="Normal 5 4 10 2 2 2 2" xfId="21713" xr:uid="{00000000-0005-0000-0000-0000E92F0000}"/>
    <cellStyle name="Normal 5 4 10 2 2 2 3" xfId="14457" xr:uid="{00000000-0005-0000-0000-0000EA2F0000}"/>
    <cellStyle name="Normal 5 4 10 2 2 3" xfId="18085" xr:uid="{00000000-0005-0000-0000-0000EB2F0000}"/>
    <cellStyle name="Normal 5 4 10 2 2 4" xfId="10829" xr:uid="{00000000-0005-0000-0000-0000EC2F0000}"/>
    <cellStyle name="Normal 5 4 10 2 3" xfId="5387" xr:uid="{00000000-0005-0000-0000-0000ED2F0000}"/>
    <cellStyle name="Normal 5 4 10 2 3 2" xfId="19899" xr:uid="{00000000-0005-0000-0000-0000EE2F0000}"/>
    <cellStyle name="Normal 5 4 10 2 3 3" xfId="12643" xr:uid="{00000000-0005-0000-0000-0000EF2F0000}"/>
    <cellStyle name="Normal 5 4 10 2 4" xfId="16271" xr:uid="{00000000-0005-0000-0000-0000F02F0000}"/>
    <cellStyle name="Normal 5 4 10 2 5" xfId="9015" xr:uid="{00000000-0005-0000-0000-0000F12F0000}"/>
    <cellStyle name="Normal 5 4 10 3" xfId="2666" xr:uid="{00000000-0005-0000-0000-0000F22F0000}"/>
    <cellStyle name="Normal 5 4 10 3 2" xfId="6294" xr:uid="{00000000-0005-0000-0000-0000F32F0000}"/>
    <cellStyle name="Normal 5 4 10 3 2 2" xfId="20806" xr:uid="{00000000-0005-0000-0000-0000F42F0000}"/>
    <cellStyle name="Normal 5 4 10 3 2 3" xfId="13550" xr:uid="{00000000-0005-0000-0000-0000F52F0000}"/>
    <cellStyle name="Normal 5 4 10 3 3" xfId="17178" xr:uid="{00000000-0005-0000-0000-0000F62F0000}"/>
    <cellStyle name="Normal 5 4 10 3 4" xfId="9922" xr:uid="{00000000-0005-0000-0000-0000F72F0000}"/>
    <cellStyle name="Normal 5 4 10 4" xfId="4480" xr:uid="{00000000-0005-0000-0000-0000F82F0000}"/>
    <cellStyle name="Normal 5 4 10 4 2" xfId="18992" xr:uid="{00000000-0005-0000-0000-0000F92F0000}"/>
    <cellStyle name="Normal 5 4 10 4 3" xfId="11736" xr:uid="{00000000-0005-0000-0000-0000FA2F0000}"/>
    <cellStyle name="Normal 5 4 10 5" xfId="15364" xr:uid="{00000000-0005-0000-0000-0000FB2F0000}"/>
    <cellStyle name="Normal 5 4 10 6" xfId="8108" xr:uid="{00000000-0005-0000-0000-0000FC2F0000}"/>
    <cellStyle name="Normal 5 4 11" xfId="937" xr:uid="{00000000-0005-0000-0000-0000FD2F0000}"/>
    <cellStyle name="Normal 5 4 11 2" xfId="2751" xr:uid="{00000000-0005-0000-0000-0000FE2F0000}"/>
    <cellStyle name="Normal 5 4 11 2 2" xfId="6379" xr:uid="{00000000-0005-0000-0000-0000FF2F0000}"/>
    <cellStyle name="Normal 5 4 11 2 2 2" xfId="20891" xr:uid="{00000000-0005-0000-0000-000000300000}"/>
    <cellStyle name="Normal 5 4 11 2 2 3" xfId="13635" xr:uid="{00000000-0005-0000-0000-000001300000}"/>
    <cellStyle name="Normal 5 4 11 2 3" xfId="17263" xr:uid="{00000000-0005-0000-0000-000002300000}"/>
    <cellStyle name="Normal 5 4 11 2 4" xfId="10007" xr:uid="{00000000-0005-0000-0000-000003300000}"/>
    <cellStyle name="Normal 5 4 11 3" xfId="4565" xr:uid="{00000000-0005-0000-0000-000004300000}"/>
    <cellStyle name="Normal 5 4 11 3 2" xfId="19077" xr:uid="{00000000-0005-0000-0000-000005300000}"/>
    <cellStyle name="Normal 5 4 11 3 3" xfId="11821" xr:uid="{00000000-0005-0000-0000-000006300000}"/>
    <cellStyle name="Normal 5 4 11 4" xfId="15449" xr:uid="{00000000-0005-0000-0000-000007300000}"/>
    <cellStyle name="Normal 5 4 11 5" xfId="8193" xr:uid="{00000000-0005-0000-0000-000008300000}"/>
    <cellStyle name="Normal 5 4 12" xfId="1844" xr:uid="{00000000-0005-0000-0000-000009300000}"/>
    <cellStyle name="Normal 5 4 12 2" xfId="5472" xr:uid="{00000000-0005-0000-0000-00000A300000}"/>
    <cellStyle name="Normal 5 4 12 2 2" xfId="19984" xr:uid="{00000000-0005-0000-0000-00000B300000}"/>
    <cellStyle name="Normal 5 4 12 2 3" xfId="12728" xr:uid="{00000000-0005-0000-0000-00000C300000}"/>
    <cellStyle name="Normal 5 4 12 3" xfId="16356" xr:uid="{00000000-0005-0000-0000-00000D300000}"/>
    <cellStyle name="Normal 5 4 12 4" xfId="9100" xr:uid="{00000000-0005-0000-0000-00000E300000}"/>
    <cellStyle name="Normal 5 4 13" xfId="3658" xr:uid="{00000000-0005-0000-0000-00000F300000}"/>
    <cellStyle name="Normal 5 4 13 2" xfId="18170" xr:uid="{00000000-0005-0000-0000-000010300000}"/>
    <cellStyle name="Normal 5 4 13 3" xfId="10914" xr:uid="{00000000-0005-0000-0000-000011300000}"/>
    <cellStyle name="Normal 5 4 14" xfId="14542" xr:uid="{00000000-0005-0000-0000-000012300000}"/>
    <cellStyle name="Normal 5 4 15" xfId="7286" xr:uid="{00000000-0005-0000-0000-000013300000}"/>
    <cellStyle name="Normal 5 4 2" xfId="36" xr:uid="{00000000-0005-0000-0000-000014300000}"/>
    <cellStyle name="Normal 5 4 2 10" xfId="947" xr:uid="{00000000-0005-0000-0000-000015300000}"/>
    <cellStyle name="Normal 5 4 2 10 2" xfId="2761" xr:uid="{00000000-0005-0000-0000-000016300000}"/>
    <cellStyle name="Normal 5 4 2 10 2 2" xfId="6389" xr:uid="{00000000-0005-0000-0000-000017300000}"/>
    <cellStyle name="Normal 5 4 2 10 2 2 2" xfId="20901" xr:uid="{00000000-0005-0000-0000-000018300000}"/>
    <cellStyle name="Normal 5 4 2 10 2 2 3" xfId="13645" xr:uid="{00000000-0005-0000-0000-000019300000}"/>
    <cellStyle name="Normal 5 4 2 10 2 3" xfId="17273" xr:uid="{00000000-0005-0000-0000-00001A300000}"/>
    <cellStyle name="Normal 5 4 2 10 2 4" xfId="10017" xr:uid="{00000000-0005-0000-0000-00001B300000}"/>
    <cellStyle name="Normal 5 4 2 10 3" xfId="4575" xr:uid="{00000000-0005-0000-0000-00001C300000}"/>
    <cellStyle name="Normal 5 4 2 10 3 2" xfId="19087" xr:uid="{00000000-0005-0000-0000-00001D300000}"/>
    <cellStyle name="Normal 5 4 2 10 3 3" xfId="11831" xr:uid="{00000000-0005-0000-0000-00001E300000}"/>
    <cellStyle name="Normal 5 4 2 10 4" xfId="15459" xr:uid="{00000000-0005-0000-0000-00001F300000}"/>
    <cellStyle name="Normal 5 4 2 10 5" xfId="8203" xr:uid="{00000000-0005-0000-0000-000020300000}"/>
    <cellStyle name="Normal 5 4 2 11" xfId="1854" xr:uid="{00000000-0005-0000-0000-000021300000}"/>
    <cellStyle name="Normal 5 4 2 11 2" xfId="5482" xr:uid="{00000000-0005-0000-0000-000022300000}"/>
    <cellStyle name="Normal 5 4 2 11 2 2" xfId="19994" xr:uid="{00000000-0005-0000-0000-000023300000}"/>
    <cellStyle name="Normal 5 4 2 11 2 3" xfId="12738" xr:uid="{00000000-0005-0000-0000-000024300000}"/>
    <cellStyle name="Normal 5 4 2 11 3" xfId="16366" xr:uid="{00000000-0005-0000-0000-000025300000}"/>
    <cellStyle name="Normal 5 4 2 11 4" xfId="9110" xr:uid="{00000000-0005-0000-0000-000026300000}"/>
    <cellStyle name="Normal 5 4 2 12" xfId="3668" xr:uid="{00000000-0005-0000-0000-000027300000}"/>
    <cellStyle name="Normal 5 4 2 12 2" xfId="18180" xr:uid="{00000000-0005-0000-0000-000028300000}"/>
    <cellStyle name="Normal 5 4 2 12 3" xfId="10924" xr:uid="{00000000-0005-0000-0000-000029300000}"/>
    <cellStyle name="Normal 5 4 2 13" xfId="14552" xr:uid="{00000000-0005-0000-0000-00002A300000}"/>
    <cellStyle name="Normal 5 4 2 14" xfId="7296" xr:uid="{00000000-0005-0000-0000-00002B300000}"/>
    <cellStyle name="Normal 5 4 2 2" xfId="58" xr:uid="{00000000-0005-0000-0000-00002C300000}"/>
    <cellStyle name="Normal 5 4 2 2 10" xfId="1875" xr:uid="{00000000-0005-0000-0000-00002D300000}"/>
    <cellStyle name="Normal 5 4 2 2 10 2" xfId="5503" xr:uid="{00000000-0005-0000-0000-00002E300000}"/>
    <cellStyle name="Normal 5 4 2 2 10 2 2" xfId="20015" xr:uid="{00000000-0005-0000-0000-00002F300000}"/>
    <cellStyle name="Normal 5 4 2 2 10 2 3" xfId="12759" xr:uid="{00000000-0005-0000-0000-000030300000}"/>
    <cellStyle name="Normal 5 4 2 2 10 3" xfId="16387" xr:uid="{00000000-0005-0000-0000-000031300000}"/>
    <cellStyle name="Normal 5 4 2 2 10 4" xfId="9131" xr:uid="{00000000-0005-0000-0000-000032300000}"/>
    <cellStyle name="Normal 5 4 2 2 11" xfId="3689" xr:uid="{00000000-0005-0000-0000-000033300000}"/>
    <cellStyle name="Normal 5 4 2 2 11 2" xfId="18201" xr:uid="{00000000-0005-0000-0000-000034300000}"/>
    <cellStyle name="Normal 5 4 2 2 11 3" xfId="10945" xr:uid="{00000000-0005-0000-0000-000035300000}"/>
    <cellStyle name="Normal 5 4 2 2 12" xfId="14573" xr:uid="{00000000-0005-0000-0000-000036300000}"/>
    <cellStyle name="Normal 5 4 2 2 13" xfId="7317" xr:uid="{00000000-0005-0000-0000-000037300000}"/>
    <cellStyle name="Normal 5 4 2 2 2" xfId="100" xr:uid="{00000000-0005-0000-0000-000038300000}"/>
    <cellStyle name="Normal 5 4 2 2 2 10" xfId="14615" xr:uid="{00000000-0005-0000-0000-000039300000}"/>
    <cellStyle name="Normal 5 4 2 2 2 11" xfId="7359" xr:uid="{00000000-0005-0000-0000-00003A300000}"/>
    <cellStyle name="Normal 5 4 2 2 2 2" xfId="188" xr:uid="{00000000-0005-0000-0000-00003B300000}"/>
    <cellStyle name="Normal 5 4 2 2 2 2 2" xfId="534" xr:uid="{00000000-0005-0000-0000-00003C300000}"/>
    <cellStyle name="Normal 5 4 2 2 2 2 2 2" xfId="1442" xr:uid="{00000000-0005-0000-0000-00003D300000}"/>
    <cellStyle name="Normal 5 4 2 2 2 2 2 2 2" xfId="3256" xr:uid="{00000000-0005-0000-0000-00003E300000}"/>
    <cellStyle name="Normal 5 4 2 2 2 2 2 2 2 2" xfId="6884" xr:uid="{00000000-0005-0000-0000-00003F300000}"/>
    <cellStyle name="Normal 5 4 2 2 2 2 2 2 2 2 2" xfId="21396" xr:uid="{00000000-0005-0000-0000-000040300000}"/>
    <cellStyle name="Normal 5 4 2 2 2 2 2 2 2 2 3" xfId="14140" xr:uid="{00000000-0005-0000-0000-000041300000}"/>
    <cellStyle name="Normal 5 4 2 2 2 2 2 2 2 3" xfId="17768" xr:uid="{00000000-0005-0000-0000-000042300000}"/>
    <cellStyle name="Normal 5 4 2 2 2 2 2 2 2 4" xfId="10512" xr:uid="{00000000-0005-0000-0000-000043300000}"/>
    <cellStyle name="Normal 5 4 2 2 2 2 2 2 3" xfId="5070" xr:uid="{00000000-0005-0000-0000-000044300000}"/>
    <cellStyle name="Normal 5 4 2 2 2 2 2 2 3 2" xfId="19582" xr:uid="{00000000-0005-0000-0000-000045300000}"/>
    <cellStyle name="Normal 5 4 2 2 2 2 2 2 3 3" xfId="12326" xr:uid="{00000000-0005-0000-0000-000046300000}"/>
    <cellStyle name="Normal 5 4 2 2 2 2 2 2 4" xfId="15954" xr:uid="{00000000-0005-0000-0000-000047300000}"/>
    <cellStyle name="Normal 5 4 2 2 2 2 2 2 5" xfId="8698" xr:uid="{00000000-0005-0000-0000-000048300000}"/>
    <cellStyle name="Normal 5 4 2 2 2 2 2 3" xfId="2349" xr:uid="{00000000-0005-0000-0000-000049300000}"/>
    <cellStyle name="Normal 5 4 2 2 2 2 2 3 2" xfId="5977" xr:uid="{00000000-0005-0000-0000-00004A300000}"/>
    <cellStyle name="Normal 5 4 2 2 2 2 2 3 2 2" xfId="20489" xr:uid="{00000000-0005-0000-0000-00004B300000}"/>
    <cellStyle name="Normal 5 4 2 2 2 2 2 3 2 3" xfId="13233" xr:uid="{00000000-0005-0000-0000-00004C300000}"/>
    <cellStyle name="Normal 5 4 2 2 2 2 2 3 3" xfId="16861" xr:uid="{00000000-0005-0000-0000-00004D300000}"/>
    <cellStyle name="Normal 5 4 2 2 2 2 2 3 4" xfId="9605" xr:uid="{00000000-0005-0000-0000-00004E300000}"/>
    <cellStyle name="Normal 5 4 2 2 2 2 2 4" xfId="4163" xr:uid="{00000000-0005-0000-0000-00004F300000}"/>
    <cellStyle name="Normal 5 4 2 2 2 2 2 4 2" xfId="18675" xr:uid="{00000000-0005-0000-0000-000050300000}"/>
    <cellStyle name="Normal 5 4 2 2 2 2 2 4 3" xfId="11419" xr:uid="{00000000-0005-0000-0000-000051300000}"/>
    <cellStyle name="Normal 5 4 2 2 2 2 2 5" xfId="15047" xr:uid="{00000000-0005-0000-0000-000052300000}"/>
    <cellStyle name="Normal 5 4 2 2 2 2 2 6" xfId="7791" xr:uid="{00000000-0005-0000-0000-000053300000}"/>
    <cellStyle name="Normal 5 4 2 2 2 2 3" xfId="1096" xr:uid="{00000000-0005-0000-0000-000054300000}"/>
    <cellStyle name="Normal 5 4 2 2 2 2 3 2" xfId="2910" xr:uid="{00000000-0005-0000-0000-000055300000}"/>
    <cellStyle name="Normal 5 4 2 2 2 2 3 2 2" xfId="6538" xr:uid="{00000000-0005-0000-0000-000056300000}"/>
    <cellStyle name="Normal 5 4 2 2 2 2 3 2 2 2" xfId="21050" xr:uid="{00000000-0005-0000-0000-000057300000}"/>
    <cellStyle name="Normal 5 4 2 2 2 2 3 2 2 3" xfId="13794" xr:uid="{00000000-0005-0000-0000-000058300000}"/>
    <cellStyle name="Normal 5 4 2 2 2 2 3 2 3" xfId="17422" xr:uid="{00000000-0005-0000-0000-000059300000}"/>
    <cellStyle name="Normal 5 4 2 2 2 2 3 2 4" xfId="10166" xr:uid="{00000000-0005-0000-0000-00005A300000}"/>
    <cellStyle name="Normal 5 4 2 2 2 2 3 3" xfId="4724" xr:uid="{00000000-0005-0000-0000-00005B300000}"/>
    <cellStyle name="Normal 5 4 2 2 2 2 3 3 2" xfId="19236" xr:uid="{00000000-0005-0000-0000-00005C300000}"/>
    <cellStyle name="Normal 5 4 2 2 2 2 3 3 3" xfId="11980" xr:uid="{00000000-0005-0000-0000-00005D300000}"/>
    <cellStyle name="Normal 5 4 2 2 2 2 3 4" xfId="15608" xr:uid="{00000000-0005-0000-0000-00005E300000}"/>
    <cellStyle name="Normal 5 4 2 2 2 2 3 5" xfId="8352" xr:uid="{00000000-0005-0000-0000-00005F300000}"/>
    <cellStyle name="Normal 5 4 2 2 2 2 4" xfId="2003" xr:uid="{00000000-0005-0000-0000-000060300000}"/>
    <cellStyle name="Normal 5 4 2 2 2 2 4 2" xfId="5631" xr:uid="{00000000-0005-0000-0000-000061300000}"/>
    <cellStyle name="Normal 5 4 2 2 2 2 4 2 2" xfId="20143" xr:uid="{00000000-0005-0000-0000-000062300000}"/>
    <cellStyle name="Normal 5 4 2 2 2 2 4 2 3" xfId="12887" xr:uid="{00000000-0005-0000-0000-000063300000}"/>
    <cellStyle name="Normal 5 4 2 2 2 2 4 3" xfId="16515" xr:uid="{00000000-0005-0000-0000-000064300000}"/>
    <cellStyle name="Normal 5 4 2 2 2 2 4 4" xfId="9259" xr:uid="{00000000-0005-0000-0000-000065300000}"/>
    <cellStyle name="Normal 5 4 2 2 2 2 5" xfId="3817" xr:uid="{00000000-0005-0000-0000-000066300000}"/>
    <cellStyle name="Normal 5 4 2 2 2 2 5 2" xfId="18329" xr:uid="{00000000-0005-0000-0000-000067300000}"/>
    <cellStyle name="Normal 5 4 2 2 2 2 5 3" xfId="11073" xr:uid="{00000000-0005-0000-0000-000068300000}"/>
    <cellStyle name="Normal 5 4 2 2 2 2 6" xfId="14701" xr:uid="{00000000-0005-0000-0000-000069300000}"/>
    <cellStyle name="Normal 5 4 2 2 2 2 7" xfId="7445" xr:uid="{00000000-0005-0000-0000-00006A300000}"/>
    <cellStyle name="Normal 5 4 2 2 2 3" xfId="318" xr:uid="{00000000-0005-0000-0000-00006B300000}"/>
    <cellStyle name="Normal 5 4 2 2 2 3 2" xfId="664" xr:uid="{00000000-0005-0000-0000-00006C300000}"/>
    <cellStyle name="Normal 5 4 2 2 2 3 2 2" xfId="1572" xr:uid="{00000000-0005-0000-0000-00006D300000}"/>
    <cellStyle name="Normal 5 4 2 2 2 3 2 2 2" xfId="3386" xr:uid="{00000000-0005-0000-0000-00006E300000}"/>
    <cellStyle name="Normal 5 4 2 2 2 3 2 2 2 2" xfId="7014" xr:uid="{00000000-0005-0000-0000-00006F300000}"/>
    <cellStyle name="Normal 5 4 2 2 2 3 2 2 2 2 2" xfId="21526" xr:uid="{00000000-0005-0000-0000-000070300000}"/>
    <cellStyle name="Normal 5 4 2 2 2 3 2 2 2 2 3" xfId="14270" xr:uid="{00000000-0005-0000-0000-000071300000}"/>
    <cellStyle name="Normal 5 4 2 2 2 3 2 2 2 3" xfId="17898" xr:uid="{00000000-0005-0000-0000-000072300000}"/>
    <cellStyle name="Normal 5 4 2 2 2 3 2 2 2 4" xfId="10642" xr:uid="{00000000-0005-0000-0000-000073300000}"/>
    <cellStyle name="Normal 5 4 2 2 2 3 2 2 3" xfId="5200" xr:uid="{00000000-0005-0000-0000-000074300000}"/>
    <cellStyle name="Normal 5 4 2 2 2 3 2 2 3 2" xfId="19712" xr:uid="{00000000-0005-0000-0000-000075300000}"/>
    <cellStyle name="Normal 5 4 2 2 2 3 2 2 3 3" xfId="12456" xr:uid="{00000000-0005-0000-0000-000076300000}"/>
    <cellStyle name="Normal 5 4 2 2 2 3 2 2 4" xfId="16084" xr:uid="{00000000-0005-0000-0000-000077300000}"/>
    <cellStyle name="Normal 5 4 2 2 2 3 2 2 5" xfId="8828" xr:uid="{00000000-0005-0000-0000-000078300000}"/>
    <cellStyle name="Normal 5 4 2 2 2 3 2 3" xfId="2479" xr:uid="{00000000-0005-0000-0000-000079300000}"/>
    <cellStyle name="Normal 5 4 2 2 2 3 2 3 2" xfId="6107" xr:uid="{00000000-0005-0000-0000-00007A300000}"/>
    <cellStyle name="Normal 5 4 2 2 2 3 2 3 2 2" xfId="20619" xr:uid="{00000000-0005-0000-0000-00007B300000}"/>
    <cellStyle name="Normal 5 4 2 2 2 3 2 3 2 3" xfId="13363" xr:uid="{00000000-0005-0000-0000-00007C300000}"/>
    <cellStyle name="Normal 5 4 2 2 2 3 2 3 3" xfId="16991" xr:uid="{00000000-0005-0000-0000-00007D300000}"/>
    <cellStyle name="Normal 5 4 2 2 2 3 2 3 4" xfId="9735" xr:uid="{00000000-0005-0000-0000-00007E300000}"/>
    <cellStyle name="Normal 5 4 2 2 2 3 2 4" xfId="4293" xr:uid="{00000000-0005-0000-0000-00007F300000}"/>
    <cellStyle name="Normal 5 4 2 2 2 3 2 4 2" xfId="18805" xr:uid="{00000000-0005-0000-0000-000080300000}"/>
    <cellStyle name="Normal 5 4 2 2 2 3 2 4 3" xfId="11549" xr:uid="{00000000-0005-0000-0000-000081300000}"/>
    <cellStyle name="Normal 5 4 2 2 2 3 2 5" xfId="15177" xr:uid="{00000000-0005-0000-0000-000082300000}"/>
    <cellStyle name="Normal 5 4 2 2 2 3 2 6" xfId="7921" xr:uid="{00000000-0005-0000-0000-000083300000}"/>
    <cellStyle name="Normal 5 4 2 2 2 3 3" xfId="1226" xr:uid="{00000000-0005-0000-0000-000084300000}"/>
    <cellStyle name="Normal 5 4 2 2 2 3 3 2" xfId="3040" xr:uid="{00000000-0005-0000-0000-000085300000}"/>
    <cellStyle name="Normal 5 4 2 2 2 3 3 2 2" xfId="6668" xr:uid="{00000000-0005-0000-0000-000086300000}"/>
    <cellStyle name="Normal 5 4 2 2 2 3 3 2 2 2" xfId="21180" xr:uid="{00000000-0005-0000-0000-000087300000}"/>
    <cellStyle name="Normal 5 4 2 2 2 3 3 2 2 3" xfId="13924" xr:uid="{00000000-0005-0000-0000-000088300000}"/>
    <cellStyle name="Normal 5 4 2 2 2 3 3 2 3" xfId="17552" xr:uid="{00000000-0005-0000-0000-000089300000}"/>
    <cellStyle name="Normal 5 4 2 2 2 3 3 2 4" xfId="10296" xr:uid="{00000000-0005-0000-0000-00008A300000}"/>
    <cellStyle name="Normal 5 4 2 2 2 3 3 3" xfId="4854" xr:uid="{00000000-0005-0000-0000-00008B300000}"/>
    <cellStyle name="Normal 5 4 2 2 2 3 3 3 2" xfId="19366" xr:uid="{00000000-0005-0000-0000-00008C300000}"/>
    <cellStyle name="Normal 5 4 2 2 2 3 3 3 3" xfId="12110" xr:uid="{00000000-0005-0000-0000-00008D300000}"/>
    <cellStyle name="Normal 5 4 2 2 2 3 3 4" xfId="15738" xr:uid="{00000000-0005-0000-0000-00008E300000}"/>
    <cellStyle name="Normal 5 4 2 2 2 3 3 5" xfId="8482" xr:uid="{00000000-0005-0000-0000-00008F300000}"/>
    <cellStyle name="Normal 5 4 2 2 2 3 4" xfId="2133" xr:uid="{00000000-0005-0000-0000-000090300000}"/>
    <cellStyle name="Normal 5 4 2 2 2 3 4 2" xfId="5761" xr:uid="{00000000-0005-0000-0000-000091300000}"/>
    <cellStyle name="Normal 5 4 2 2 2 3 4 2 2" xfId="20273" xr:uid="{00000000-0005-0000-0000-000092300000}"/>
    <cellStyle name="Normal 5 4 2 2 2 3 4 2 3" xfId="13017" xr:uid="{00000000-0005-0000-0000-000093300000}"/>
    <cellStyle name="Normal 5 4 2 2 2 3 4 3" xfId="16645" xr:uid="{00000000-0005-0000-0000-000094300000}"/>
    <cellStyle name="Normal 5 4 2 2 2 3 4 4" xfId="9389" xr:uid="{00000000-0005-0000-0000-000095300000}"/>
    <cellStyle name="Normal 5 4 2 2 2 3 5" xfId="3947" xr:uid="{00000000-0005-0000-0000-000096300000}"/>
    <cellStyle name="Normal 5 4 2 2 2 3 5 2" xfId="18459" xr:uid="{00000000-0005-0000-0000-000097300000}"/>
    <cellStyle name="Normal 5 4 2 2 2 3 5 3" xfId="11203" xr:uid="{00000000-0005-0000-0000-000098300000}"/>
    <cellStyle name="Normal 5 4 2 2 2 3 6" xfId="14831" xr:uid="{00000000-0005-0000-0000-000099300000}"/>
    <cellStyle name="Normal 5 4 2 2 2 3 7" xfId="7575" xr:uid="{00000000-0005-0000-0000-00009A300000}"/>
    <cellStyle name="Normal 5 4 2 2 2 4" xfId="794" xr:uid="{00000000-0005-0000-0000-00009B300000}"/>
    <cellStyle name="Normal 5 4 2 2 2 4 2" xfId="1702" xr:uid="{00000000-0005-0000-0000-00009C300000}"/>
    <cellStyle name="Normal 5 4 2 2 2 4 2 2" xfId="3516" xr:uid="{00000000-0005-0000-0000-00009D300000}"/>
    <cellStyle name="Normal 5 4 2 2 2 4 2 2 2" xfId="7144" xr:uid="{00000000-0005-0000-0000-00009E300000}"/>
    <cellStyle name="Normal 5 4 2 2 2 4 2 2 2 2" xfId="21656" xr:uid="{00000000-0005-0000-0000-00009F300000}"/>
    <cellStyle name="Normal 5 4 2 2 2 4 2 2 2 3" xfId="14400" xr:uid="{00000000-0005-0000-0000-0000A0300000}"/>
    <cellStyle name="Normal 5 4 2 2 2 4 2 2 3" xfId="18028" xr:uid="{00000000-0005-0000-0000-0000A1300000}"/>
    <cellStyle name="Normal 5 4 2 2 2 4 2 2 4" xfId="10772" xr:uid="{00000000-0005-0000-0000-0000A2300000}"/>
    <cellStyle name="Normal 5 4 2 2 2 4 2 3" xfId="5330" xr:uid="{00000000-0005-0000-0000-0000A3300000}"/>
    <cellStyle name="Normal 5 4 2 2 2 4 2 3 2" xfId="19842" xr:uid="{00000000-0005-0000-0000-0000A4300000}"/>
    <cellStyle name="Normal 5 4 2 2 2 4 2 3 3" xfId="12586" xr:uid="{00000000-0005-0000-0000-0000A5300000}"/>
    <cellStyle name="Normal 5 4 2 2 2 4 2 4" xfId="16214" xr:uid="{00000000-0005-0000-0000-0000A6300000}"/>
    <cellStyle name="Normal 5 4 2 2 2 4 2 5" xfId="8958" xr:uid="{00000000-0005-0000-0000-0000A7300000}"/>
    <cellStyle name="Normal 5 4 2 2 2 4 3" xfId="2609" xr:uid="{00000000-0005-0000-0000-0000A8300000}"/>
    <cellStyle name="Normal 5 4 2 2 2 4 3 2" xfId="6237" xr:uid="{00000000-0005-0000-0000-0000A9300000}"/>
    <cellStyle name="Normal 5 4 2 2 2 4 3 2 2" xfId="20749" xr:uid="{00000000-0005-0000-0000-0000AA300000}"/>
    <cellStyle name="Normal 5 4 2 2 2 4 3 2 3" xfId="13493" xr:uid="{00000000-0005-0000-0000-0000AB300000}"/>
    <cellStyle name="Normal 5 4 2 2 2 4 3 3" xfId="17121" xr:uid="{00000000-0005-0000-0000-0000AC300000}"/>
    <cellStyle name="Normal 5 4 2 2 2 4 3 4" xfId="9865" xr:uid="{00000000-0005-0000-0000-0000AD300000}"/>
    <cellStyle name="Normal 5 4 2 2 2 4 4" xfId="4423" xr:uid="{00000000-0005-0000-0000-0000AE300000}"/>
    <cellStyle name="Normal 5 4 2 2 2 4 4 2" xfId="18935" xr:uid="{00000000-0005-0000-0000-0000AF300000}"/>
    <cellStyle name="Normal 5 4 2 2 2 4 4 3" xfId="11679" xr:uid="{00000000-0005-0000-0000-0000B0300000}"/>
    <cellStyle name="Normal 5 4 2 2 2 4 5" xfId="15307" xr:uid="{00000000-0005-0000-0000-0000B1300000}"/>
    <cellStyle name="Normal 5 4 2 2 2 4 6" xfId="8051" xr:uid="{00000000-0005-0000-0000-0000B2300000}"/>
    <cellStyle name="Normal 5 4 2 2 2 5" xfId="448" xr:uid="{00000000-0005-0000-0000-0000B3300000}"/>
    <cellStyle name="Normal 5 4 2 2 2 5 2" xfId="1356" xr:uid="{00000000-0005-0000-0000-0000B4300000}"/>
    <cellStyle name="Normal 5 4 2 2 2 5 2 2" xfId="3170" xr:uid="{00000000-0005-0000-0000-0000B5300000}"/>
    <cellStyle name="Normal 5 4 2 2 2 5 2 2 2" xfId="6798" xr:uid="{00000000-0005-0000-0000-0000B6300000}"/>
    <cellStyle name="Normal 5 4 2 2 2 5 2 2 2 2" xfId="21310" xr:uid="{00000000-0005-0000-0000-0000B7300000}"/>
    <cellStyle name="Normal 5 4 2 2 2 5 2 2 2 3" xfId="14054" xr:uid="{00000000-0005-0000-0000-0000B8300000}"/>
    <cellStyle name="Normal 5 4 2 2 2 5 2 2 3" xfId="17682" xr:uid="{00000000-0005-0000-0000-0000B9300000}"/>
    <cellStyle name="Normal 5 4 2 2 2 5 2 2 4" xfId="10426" xr:uid="{00000000-0005-0000-0000-0000BA300000}"/>
    <cellStyle name="Normal 5 4 2 2 2 5 2 3" xfId="4984" xr:uid="{00000000-0005-0000-0000-0000BB300000}"/>
    <cellStyle name="Normal 5 4 2 2 2 5 2 3 2" xfId="19496" xr:uid="{00000000-0005-0000-0000-0000BC300000}"/>
    <cellStyle name="Normal 5 4 2 2 2 5 2 3 3" xfId="12240" xr:uid="{00000000-0005-0000-0000-0000BD300000}"/>
    <cellStyle name="Normal 5 4 2 2 2 5 2 4" xfId="15868" xr:uid="{00000000-0005-0000-0000-0000BE300000}"/>
    <cellStyle name="Normal 5 4 2 2 2 5 2 5" xfId="8612" xr:uid="{00000000-0005-0000-0000-0000BF300000}"/>
    <cellStyle name="Normal 5 4 2 2 2 5 3" xfId="2263" xr:uid="{00000000-0005-0000-0000-0000C0300000}"/>
    <cellStyle name="Normal 5 4 2 2 2 5 3 2" xfId="5891" xr:uid="{00000000-0005-0000-0000-0000C1300000}"/>
    <cellStyle name="Normal 5 4 2 2 2 5 3 2 2" xfId="20403" xr:uid="{00000000-0005-0000-0000-0000C2300000}"/>
    <cellStyle name="Normal 5 4 2 2 2 5 3 2 3" xfId="13147" xr:uid="{00000000-0005-0000-0000-0000C3300000}"/>
    <cellStyle name="Normal 5 4 2 2 2 5 3 3" xfId="16775" xr:uid="{00000000-0005-0000-0000-0000C4300000}"/>
    <cellStyle name="Normal 5 4 2 2 2 5 3 4" xfId="9519" xr:uid="{00000000-0005-0000-0000-0000C5300000}"/>
    <cellStyle name="Normal 5 4 2 2 2 5 4" xfId="4077" xr:uid="{00000000-0005-0000-0000-0000C6300000}"/>
    <cellStyle name="Normal 5 4 2 2 2 5 4 2" xfId="18589" xr:uid="{00000000-0005-0000-0000-0000C7300000}"/>
    <cellStyle name="Normal 5 4 2 2 2 5 4 3" xfId="11333" xr:uid="{00000000-0005-0000-0000-0000C8300000}"/>
    <cellStyle name="Normal 5 4 2 2 2 5 5" xfId="14961" xr:uid="{00000000-0005-0000-0000-0000C9300000}"/>
    <cellStyle name="Normal 5 4 2 2 2 5 6" xfId="7705" xr:uid="{00000000-0005-0000-0000-0000CA300000}"/>
    <cellStyle name="Normal 5 4 2 2 2 6" xfId="927" xr:uid="{00000000-0005-0000-0000-0000CB300000}"/>
    <cellStyle name="Normal 5 4 2 2 2 6 2" xfId="1834" xr:uid="{00000000-0005-0000-0000-0000CC300000}"/>
    <cellStyle name="Normal 5 4 2 2 2 6 2 2" xfId="3648" xr:uid="{00000000-0005-0000-0000-0000CD300000}"/>
    <cellStyle name="Normal 5 4 2 2 2 6 2 2 2" xfId="7276" xr:uid="{00000000-0005-0000-0000-0000CE300000}"/>
    <cellStyle name="Normal 5 4 2 2 2 6 2 2 2 2" xfId="21788" xr:uid="{00000000-0005-0000-0000-0000CF300000}"/>
    <cellStyle name="Normal 5 4 2 2 2 6 2 2 2 3" xfId="14532" xr:uid="{00000000-0005-0000-0000-0000D0300000}"/>
    <cellStyle name="Normal 5 4 2 2 2 6 2 2 3" xfId="18160" xr:uid="{00000000-0005-0000-0000-0000D1300000}"/>
    <cellStyle name="Normal 5 4 2 2 2 6 2 2 4" xfId="10904" xr:uid="{00000000-0005-0000-0000-0000D2300000}"/>
    <cellStyle name="Normal 5 4 2 2 2 6 2 3" xfId="5462" xr:uid="{00000000-0005-0000-0000-0000D3300000}"/>
    <cellStyle name="Normal 5 4 2 2 2 6 2 3 2" xfId="19974" xr:uid="{00000000-0005-0000-0000-0000D4300000}"/>
    <cellStyle name="Normal 5 4 2 2 2 6 2 3 3" xfId="12718" xr:uid="{00000000-0005-0000-0000-0000D5300000}"/>
    <cellStyle name="Normal 5 4 2 2 2 6 2 4" xfId="16346" xr:uid="{00000000-0005-0000-0000-0000D6300000}"/>
    <cellStyle name="Normal 5 4 2 2 2 6 2 5" xfId="9090" xr:uid="{00000000-0005-0000-0000-0000D7300000}"/>
    <cellStyle name="Normal 5 4 2 2 2 6 3" xfId="2741" xr:uid="{00000000-0005-0000-0000-0000D8300000}"/>
    <cellStyle name="Normal 5 4 2 2 2 6 3 2" xfId="6369" xr:uid="{00000000-0005-0000-0000-0000D9300000}"/>
    <cellStyle name="Normal 5 4 2 2 2 6 3 2 2" xfId="20881" xr:uid="{00000000-0005-0000-0000-0000DA300000}"/>
    <cellStyle name="Normal 5 4 2 2 2 6 3 2 3" xfId="13625" xr:uid="{00000000-0005-0000-0000-0000DB300000}"/>
    <cellStyle name="Normal 5 4 2 2 2 6 3 3" xfId="17253" xr:uid="{00000000-0005-0000-0000-0000DC300000}"/>
    <cellStyle name="Normal 5 4 2 2 2 6 3 4" xfId="9997" xr:uid="{00000000-0005-0000-0000-0000DD300000}"/>
    <cellStyle name="Normal 5 4 2 2 2 6 4" xfId="4555" xr:uid="{00000000-0005-0000-0000-0000DE300000}"/>
    <cellStyle name="Normal 5 4 2 2 2 6 4 2" xfId="19067" xr:uid="{00000000-0005-0000-0000-0000DF300000}"/>
    <cellStyle name="Normal 5 4 2 2 2 6 4 3" xfId="11811" xr:uid="{00000000-0005-0000-0000-0000E0300000}"/>
    <cellStyle name="Normal 5 4 2 2 2 6 5" xfId="15439" xr:uid="{00000000-0005-0000-0000-0000E1300000}"/>
    <cellStyle name="Normal 5 4 2 2 2 6 6" xfId="8183" xr:uid="{00000000-0005-0000-0000-0000E2300000}"/>
    <cellStyle name="Normal 5 4 2 2 2 7" xfId="1010" xr:uid="{00000000-0005-0000-0000-0000E3300000}"/>
    <cellStyle name="Normal 5 4 2 2 2 7 2" xfId="2824" xr:uid="{00000000-0005-0000-0000-0000E4300000}"/>
    <cellStyle name="Normal 5 4 2 2 2 7 2 2" xfId="6452" xr:uid="{00000000-0005-0000-0000-0000E5300000}"/>
    <cellStyle name="Normal 5 4 2 2 2 7 2 2 2" xfId="20964" xr:uid="{00000000-0005-0000-0000-0000E6300000}"/>
    <cellStyle name="Normal 5 4 2 2 2 7 2 2 3" xfId="13708" xr:uid="{00000000-0005-0000-0000-0000E7300000}"/>
    <cellStyle name="Normal 5 4 2 2 2 7 2 3" xfId="17336" xr:uid="{00000000-0005-0000-0000-0000E8300000}"/>
    <cellStyle name="Normal 5 4 2 2 2 7 2 4" xfId="10080" xr:uid="{00000000-0005-0000-0000-0000E9300000}"/>
    <cellStyle name="Normal 5 4 2 2 2 7 3" xfId="4638" xr:uid="{00000000-0005-0000-0000-0000EA300000}"/>
    <cellStyle name="Normal 5 4 2 2 2 7 3 2" xfId="19150" xr:uid="{00000000-0005-0000-0000-0000EB300000}"/>
    <cellStyle name="Normal 5 4 2 2 2 7 3 3" xfId="11894" xr:uid="{00000000-0005-0000-0000-0000EC300000}"/>
    <cellStyle name="Normal 5 4 2 2 2 7 4" xfId="15522" xr:uid="{00000000-0005-0000-0000-0000ED300000}"/>
    <cellStyle name="Normal 5 4 2 2 2 7 5" xfId="8266" xr:uid="{00000000-0005-0000-0000-0000EE300000}"/>
    <cellStyle name="Normal 5 4 2 2 2 8" xfId="1917" xr:uid="{00000000-0005-0000-0000-0000EF300000}"/>
    <cellStyle name="Normal 5 4 2 2 2 8 2" xfId="5545" xr:uid="{00000000-0005-0000-0000-0000F0300000}"/>
    <cellStyle name="Normal 5 4 2 2 2 8 2 2" xfId="20057" xr:uid="{00000000-0005-0000-0000-0000F1300000}"/>
    <cellStyle name="Normal 5 4 2 2 2 8 2 3" xfId="12801" xr:uid="{00000000-0005-0000-0000-0000F2300000}"/>
    <cellStyle name="Normal 5 4 2 2 2 8 3" xfId="16429" xr:uid="{00000000-0005-0000-0000-0000F3300000}"/>
    <cellStyle name="Normal 5 4 2 2 2 8 4" xfId="9173" xr:uid="{00000000-0005-0000-0000-0000F4300000}"/>
    <cellStyle name="Normal 5 4 2 2 2 9" xfId="3731" xr:uid="{00000000-0005-0000-0000-0000F5300000}"/>
    <cellStyle name="Normal 5 4 2 2 2 9 2" xfId="18243" xr:uid="{00000000-0005-0000-0000-0000F6300000}"/>
    <cellStyle name="Normal 5 4 2 2 2 9 3" xfId="10987" xr:uid="{00000000-0005-0000-0000-0000F7300000}"/>
    <cellStyle name="Normal 5 4 2 2 3" xfId="232" xr:uid="{00000000-0005-0000-0000-0000F8300000}"/>
    <cellStyle name="Normal 5 4 2 2 3 2" xfId="362" xr:uid="{00000000-0005-0000-0000-0000F9300000}"/>
    <cellStyle name="Normal 5 4 2 2 3 2 2" xfId="708" xr:uid="{00000000-0005-0000-0000-0000FA300000}"/>
    <cellStyle name="Normal 5 4 2 2 3 2 2 2" xfId="1616" xr:uid="{00000000-0005-0000-0000-0000FB300000}"/>
    <cellStyle name="Normal 5 4 2 2 3 2 2 2 2" xfId="3430" xr:uid="{00000000-0005-0000-0000-0000FC300000}"/>
    <cellStyle name="Normal 5 4 2 2 3 2 2 2 2 2" xfId="7058" xr:uid="{00000000-0005-0000-0000-0000FD300000}"/>
    <cellStyle name="Normal 5 4 2 2 3 2 2 2 2 2 2" xfId="21570" xr:uid="{00000000-0005-0000-0000-0000FE300000}"/>
    <cellStyle name="Normal 5 4 2 2 3 2 2 2 2 2 3" xfId="14314" xr:uid="{00000000-0005-0000-0000-0000FF300000}"/>
    <cellStyle name="Normal 5 4 2 2 3 2 2 2 2 3" xfId="17942" xr:uid="{00000000-0005-0000-0000-000000310000}"/>
    <cellStyle name="Normal 5 4 2 2 3 2 2 2 2 4" xfId="10686" xr:uid="{00000000-0005-0000-0000-000001310000}"/>
    <cellStyle name="Normal 5 4 2 2 3 2 2 2 3" xfId="5244" xr:uid="{00000000-0005-0000-0000-000002310000}"/>
    <cellStyle name="Normal 5 4 2 2 3 2 2 2 3 2" xfId="19756" xr:uid="{00000000-0005-0000-0000-000003310000}"/>
    <cellStyle name="Normal 5 4 2 2 3 2 2 2 3 3" xfId="12500" xr:uid="{00000000-0005-0000-0000-000004310000}"/>
    <cellStyle name="Normal 5 4 2 2 3 2 2 2 4" xfId="16128" xr:uid="{00000000-0005-0000-0000-000005310000}"/>
    <cellStyle name="Normal 5 4 2 2 3 2 2 2 5" xfId="8872" xr:uid="{00000000-0005-0000-0000-000006310000}"/>
    <cellStyle name="Normal 5 4 2 2 3 2 2 3" xfId="2523" xr:uid="{00000000-0005-0000-0000-000007310000}"/>
    <cellStyle name="Normal 5 4 2 2 3 2 2 3 2" xfId="6151" xr:uid="{00000000-0005-0000-0000-000008310000}"/>
    <cellStyle name="Normal 5 4 2 2 3 2 2 3 2 2" xfId="20663" xr:uid="{00000000-0005-0000-0000-000009310000}"/>
    <cellStyle name="Normal 5 4 2 2 3 2 2 3 2 3" xfId="13407" xr:uid="{00000000-0005-0000-0000-00000A310000}"/>
    <cellStyle name="Normal 5 4 2 2 3 2 2 3 3" xfId="17035" xr:uid="{00000000-0005-0000-0000-00000B310000}"/>
    <cellStyle name="Normal 5 4 2 2 3 2 2 3 4" xfId="9779" xr:uid="{00000000-0005-0000-0000-00000C310000}"/>
    <cellStyle name="Normal 5 4 2 2 3 2 2 4" xfId="4337" xr:uid="{00000000-0005-0000-0000-00000D310000}"/>
    <cellStyle name="Normal 5 4 2 2 3 2 2 4 2" xfId="18849" xr:uid="{00000000-0005-0000-0000-00000E310000}"/>
    <cellStyle name="Normal 5 4 2 2 3 2 2 4 3" xfId="11593" xr:uid="{00000000-0005-0000-0000-00000F310000}"/>
    <cellStyle name="Normal 5 4 2 2 3 2 2 5" xfId="15221" xr:uid="{00000000-0005-0000-0000-000010310000}"/>
    <cellStyle name="Normal 5 4 2 2 3 2 2 6" xfId="7965" xr:uid="{00000000-0005-0000-0000-000011310000}"/>
    <cellStyle name="Normal 5 4 2 2 3 2 3" xfId="1270" xr:uid="{00000000-0005-0000-0000-000012310000}"/>
    <cellStyle name="Normal 5 4 2 2 3 2 3 2" xfId="3084" xr:uid="{00000000-0005-0000-0000-000013310000}"/>
    <cellStyle name="Normal 5 4 2 2 3 2 3 2 2" xfId="6712" xr:uid="{00000000-0005-0000-0000-000014310000}"/>
    <cellStyle name="Normal 5 4 2 2 3 2 3 2 2 2" xfId="21224" xr:uid="{00000000-0005-0000-0000-000015310000}"/>
    <cellStyle name="Normal 5 4 2 2 3 2 3 2 2 3" xfId="13968" xr:uid="{00000000-0005-0000-0000-000016310000}"/>
    <cellStyle name="Normal 5 4 2 2 3 2 3 2 3" xfId="17596" xr:uid="{00000000-0005-0000-0000-000017310000}"/>
    <cellStyle name="Normal 5 4 2 2 3 2 3 2 4" xfId="10340" xr:uid="{00000000-0005-0000-0000-000018310000}"/>
    <cellStyle name="Normal 5 4 2 2 3 2 3 3" xfId="4898" xr:uid="{00000000-0005-0000-0000-000019310000}"/>
    <cellStyle name="Normal 5 4 2 2 3 2 3 3 2" xfId="19410" xr:uid="{00000000-0005-0000-0000-00001A310000}"/>
    <cellStyle name="Normal 5 4 2 2 3 2 3 3 3" xfId="12154" xr:uid="{00000000-0005-0000-0000-00001B310000}"/>
    <cellStyle name="Normal 5 4 2 2 3 2 3 4" xfId="15782" xr:uid="{00000000-0005-0000-0000-00001C310000}"/>
    <cellStyle name="Normal 5 4 2 2 3 2 3 5" xfId="8526" xr:uid="{00000000-0005-0000-0000-00001D310000}"/>
    <cellStyle name="Normal 5 4 2 2 3 2 4" xfId="2177" xr:uid="{00000000-0005-0000-0000-00001E310000}"/>
    <cellStyle name="Normal 5 4 2 2 3 2 4 2" xfId="5805" xr:uid="{00000000-0005-0000-0000-00001F310000}"/>
    <cellStyle name="Normal 5 4 2 2 3 2 4 2 2" xfId="20317" xr:uid="{00000000-0005-0000-0000-000020310000}"/>
    <cellStyle name="Normal 5 4 2 2 3 2 4 2 3" xfId="13061" xr:uid="{00000000-0005-0000-0000-000021310000}"/>
    <cellStyle name="Normal 5 4 2 2 3 2 4 3" xfId="16689" xr:uid="{00000000-0005-0000-0000-000022310000}"/>
    <cellStyle name="Normal 5 4 2 2 3 2 4 4" xfId="9433" xr:uid="{00000000-0005-0000-0000-000023310000}"/>
    <cellStyle name="Normal 5 4 2 2 3 2 5" xfId="3991" xr:uid="{00000000-0005-0000-0000-000024310000}"/>
    <cellStyle name="Normal 5 4 2 2 3 2 5 2" xfId="18503" xr:uid="{00000000-0005-0000-0000-000025310000}"/>
    <cellStyle name="Normal 5 4 2 2 3 2 5 3" xfId="11247" xr:uid="{00000000-0005-0000-0000-000026310000}"/>
    <cellStyle name="Normal 5 4 2 2 3 2 6" xfId="14875" xr:uid="{00000000-0005-0000-0000-000027310000}"/>
    <cellStyle name="Normal 5 4 2 2 3 2 7" xfId="7619" xr:uid="{00000000-0005-0000-0000-000028310000}"/>
    <cellStyle name="Normal 5 4 2 2 3 3" xfId="838" xr:uid="{00000000-0005-0000-0000-000029310000}"/>
    <cellStyle name="Normal 5 4 2 2 3 3 2" xfId="1746" xr:uid="{00000000-0005-0000-0000-00002A310000}"/>
    <cellStyle name="Normal 5 4 2 2 3 3 2 2" xfId="3560" xr:uid="{00000000-0005-0000-0000-00002B310000}"/>
    <cellStyle name="Normal 5 4 2 2 3 3 2 2 2" xfId="7188" xr:uid="{00000000-0005-0000-0000-00002C310000}"/>
    <cellStyle name="Normal 5 4 2 2 3 3 2 2 2 2" xfId="21700" xr:uid="{00000000-0005-0000-0000-00002D310000}"/>
    <cellStyle name="Normal 5 4 2 2 3 3 2 2 2 3" xfId="14444" xr:uid="{00000000-0005-0000-0000-00002E310000}"/>
    <cellStyle name="Normal 5 4 2 2 3 3 2 2 3" xfId="18072" xr:uid="{00000000-0005-0000-0000-00002F310000}"/>
    <cellStyle name="Normal 5 4 2 2 3 3 2 2 4" xfId="10816" xr:uid="{00000000-0005-0000-0000-000030310000}"/>
    <cellStyle name="Normal 5 4 2 2 3 3 2 3" xfId="5374" xr:uid="{00000000-0005-0000-0000-000031310000}"/>
    <cellStyle name="Normal 5 4 2 2 3 3 2 3 2" xfId="19886" xr:uid="{00000000-0005-0000-0000-000032310000}"/>
    <cellStyle name="Normal 5 4 2 2 3 3 2 3 3" xfId="12630" xr:uid="{00000000-0005-0000-0000-000033310000}"/>
    <cellStyle name="Normal 5 4 2 2 3 3 2 4" xfId="16258" xr:uid="{00000000-0005-0000-0000-000034310000}"/>
    <cellStyle name="Normal 5 4 2 2 3 3 2 5" xfId="9002" xr:uid="{00000000-0005-0000-0000-000035310000}"/>
    <cellStyle name="Normal 5 4 2 2 3 3 3" xfId="2653" xr:uid="{00000000-0005-0000-0000-000036310000}"/>
    <cellStyle name="Normal 5 4 2 2 3 3 3 2" xfId="6281" xr:uid="{00000000-0005-0000-0000-000037310000}"/>
    <cellStyle name="Normal 5 4 2 2 3 3 3 2 2" xfId="20793" xr:uid="{00000000-0005-0000-0000-000038310000}"/>
    <cellStyle name="Normal 5 4 2 2 3 3 3 2 3" xfId="13537" xr:uid="{00000000-0005-0000-0000-000039310000}"/>
    <cellStyle name="Normal 5 4 2 2 3 3 3 3" xfId="17165" xr:uid="{00000000-0005-0000-0000-00003A310000}"/>
    <cellStyle name="Normal 5 4 2 2 3 3 3 4" xfId="9909" xr:uid="{00000000-0005-0000-0000-00003B310000}"/>
    <cellStyle name="Normal 5 4 2 2 3 3 4" xfId="4467" xr:uid="{00000000-0005-0000-0000-00003C310000}"/>
    <cellStyle name="Normal 5 4 2 2 3 3 4 2" xfId="18979" xr:uid="{00000000-0005-0000-0000-00003D310000}"/>
    <cellStyle name="Normal 5 4 2 2 3 3 4 3" xfId="11723" xr:uid="{00000000-0005-0000-0000-00003E310000}"/>
    <cellStyle name="Normal 5 4 2 2 3 3 5" xfId="15351" xr:uid="{00000000-0005-0000-0000-00003F310000}"/>
    <cellStyle name="Normal 5 4 2 2 3 3 6" xfId="8095" xr:uid="{00000000-0005-0000-0000-000040310000}"/>
    <cellStyle name="Normal 5 4 2 2 3 4" xfId="578" xr:uid="{00000000-0005-0000-0000-000041310000}"/>
    <cellStyle name="Normal 5 4 2 2 3 4 2" xfId="1486" xr:uid="{00000000-0005-0000-0000-000042310000}"/>
    <cellStyle name="Normal 5 4 2 2 3 4 2 2" xfId="3300" xr:uid="{00000000-0005-0000-0000-000043310000}"/>
    <cellStyle name="Normal 5 4 2 2 3 4 2 2 2" xfId="6928" xr:uid="{00000000-0005-0000-0000-000044310000}"/>
    <cellStyle name="Normal 5 4 2 2 3 4 2 2 2 2" xfId="21440" xr:uid="{00000000-0005-0000-0000-000045310000}"/>
    <cellStyle name="Normal 5 4 2 2 3 4 2 2 2 3" xfId="14184" xr:uid="{00000000-0005-0000-0000-000046310000}"/>
    <cellStyle name="Normal 5 4 2 2 3 4 2 2 3" xfId="17812" xr:uid="{00000000-0005-0000-0000-000047310000}"/>
    <cellStyle name="Normal 5 4 2 2 3 4 2 2 4" xfId="10556" xr:uid="{00000000-0005-0000-0000-000048310000}"/>
    <cellStyle name="Normal 5 4 2 2 3 4 2 3" xfId="5114" xr:uid="{00000000-0005-0000-0000-000049310000}"/>
    <cellStyle name="Normal 5 4 2 2 3 4 2 3 2" xfId="19626" xr:uid="{00000000-0005-0000-0000-00004A310000}"/>
    <cellStyle name="Normal 5 4 2 2 3 4 2 3 3" xfId="12370" xr:uid="{00000000-0005-0000-0000-00004B310000}"/>
    <cellStyle name="Normal 5 4 2 2 3 4 2 4" xfId="15998" xr:uid="{00000000-0005-0000-0000-00004C310000}"/>
    <cellStyle name="Normal 5 4 2 2 3 4 2 5" xfId="8742" xr:uid="{00000000-0005-0000-0000-00004D310000}"/>
    <cellStyle name="Normal 5 4 2 2 3 4 3" xfId="2393" xr:uid="{00000000-0005-0000-0000-00004E310000}"/>
    <cellStyle name="Normal 5 4 2 2 3 4 3 2" xfId="6021" xr:uid="{00000000-0005-0000-0000-00004F310000}"/>
    <cellStyle name="Normal 5 4 2 2 3 4 3 2 2" xfId="20533" xr:uid="{00000000-0005-0000-0000-000050310000}"/>
    <cellStyle name="Normal 5 4 2 2 3 4 3 2 3" xfId="13277" xr:uid="{00000000-0005-0000-0000-000051310000}"/>
    <cellStyle name="Normal 5 4 2 2 3 4 3 3" xfId="16905" xr:uid="{00000000-0005-0000-0000-000052310000}"/>
    <cellStyle name="Normal 5 4 2 2 3 4 3 4" xfId="9649" xr:uid="{00000000-0005-0000-0000-000053310000}"/>
    <cellStyle name="Normal 5 4 2 2 3 4 4" xfId="4207" xr:uid="{00000000-0005-0000-0000-000054310000}"/>
    <cellStyle name="Normal 5 4 2 2 3 4 4 2" xfId="18719" xr:uid="{00000000-0005-0000-0000-000055310000}"/>
    <cellStyle name="Normal 5 4 2 2 3 4 4 3" xfId="11463" xr:uid="{00000000-0005-0000-0000-000056310000}"/>
    <cellStyle name="Normal 5 4 2 2 3 4 5" xfId="15091" xr:uid="{00000000-0005-0000-0000-000057310000}"/>
    <cellStyle name="Normal 5 4 2 2 3 4 6" xfId="7835" xr:uid="{00000000-0005-0000-0000-000058310000}"/>
    <cellStyle name="Normal 5 4 2 2 3 5" xfId="1140" xr:uid="{00000000-0005-0000-0000-000059310000}"/>
    <cellStyle name="Normal 5 4 2 2 3 5 2" xfId="2954" xr:uid="{00000000-0005-0000-0000-00005A310000}"/>
    <cellStyle name="Normal 5 4 2 2 3 5 2 2" xfId="6582" xr:uid="{00000000-0005-0000-0000-00005B310000}"/>
    <cellStyle name="Normal 5 4 2 2 3 5 2 2 2" xfId="21094" xr:uid="{00000000-0005-0000-0000-00005C310000}"/>
    <cellStyle name="Normal 5 4 2 2 3 5 2 2 3" xfId="13838" xr:uid="{00000000-0005-0000-0000-00005D310000}"/>
    <cellStyle name="Normal 5 4 2 2 3 5 2 3" xfId="17466" xr:uid="{00000000-0005-0000-0000-00005E310000}"/>
    <cellStyle name="Normal 5 4 2 2 3 5 2 4" xfId="10210" xr:uid="{00000000-0005-0000-0000-00005F310000}"/>
    <cellStyle name="Normal 5 4 2 2 3 5 3" xfId="4768" xr:uid="{00000000-0005-0000-0000-000060310000}"/>
    <cellStyle name="Normal 5 4 2 2 3 5 3 2" xfId="19280" xr:uid="{00000000-0005-0000-0000-000061310000}"/>
    <cellStyle name="Normal 5 4 2 2 3 5 3 3" xfId="12024" xr:uid="{00000000-0005-0000-0000-000062310000}"/>
    <cellStyle name="Normal 5 4 2 2 3 5 4" xfId="15652" xr:uid="{00000000-0005-0000-0000-000063310000}"/>
    <cellStyle name="Normal 5 4 2 2 3 5 5" xfId="8396" xr:uid="{00000000-0005-0000-0000-000064310000}"/>
    <cellStyle name="Normal 5 4 2 2 3 6" xfId="2047" xr:uid="{00000000-0005-0000-0000-000065310000}"/>
    <cellStyle name="Normal 5 4 2 2 3 6 2" xfId="5675" xr:uid="{00000000-0005-0000-0000-000066310000}"/>
    <cellStyle name="Normal 5 4 2 2 3 6 2 2" xfId="20187" xr:uid="{00000000-0005-0000-0000-000067310000}"/>
    <cellStyle name="Normal 5 4 2 2 3 6 2 3" xfId="12931" xr:uid="{00000000-0005-0000-0000-000068310000}"/>
    <cellStyle name="Normal 5 4 2 2 3 6 3" xfId="16559" xr:uid="{00000000-0005-0000-0000-000069310000}"/>
    <cellStyle name="Normal 5 4 2 2 3 6 4" xfId="9303" xr:uid="{00000000-0005-0000-0000-00006A310000}"/>
    <cellStyle name="Normal 5 4 2 2 3 7" xfId="3861" xr:uid="{00000000-0005-0000-0000-00006B310000}"/>
    <cellStyle name="Normal 5 4 2 2 3 7 2" xfId="18373" xr:uid="{00000000-0005-0000-0000-00006C310000}"/>
    <cellStyle name="Normal 5 4 2 2 3 7 3" xfId="11117" xr:uid="{00000000-0005-0000-0000-00006D310000}"/>
    <cellStyle name="Normal 5 4 2 2 3 8" xfId="14745" xr:uid="{00000000-0005-0000-0000-00006E310000}"/>
    <cellStyle name="Normal 5 4 2 2 3 9" xfId="7489" xr:uid="{00000000-0005-0000-0000-00006F310000}"/>
    <cellStyle name="Normal 5 4 2 2 4" xfId="146" xr:uid="{00000000-0005-0000-0000-000070310000}"/>
    <cellStyle name="Normal 5 4 2 2 4 2" xfId="492" xr:uid="{00000000-0005-0000-0000-000071310000}"/>
    <cellStyle name="Normal 5 4 2 2 4 2 2" xfId="1400" xr:uid="{00000000-0005-0000-0000-000072310000}"/>
    <cellStyle name="Normal 5 4 2 2 4 2 2 2" xfId="3214" xr:uid="{00000000-0005-0000-0000-000073310000}"/>
    <cellStyle name="Normal 5 4 2 2 4 2 2 2 2" xfId="6842" xr:uid="{00000000-0005-0000-0000-000074310000}"/>
    <cellStyle name="Normal 5 4 2 2 4 2 2 2 2 2" xfId="21354" xr:uid="{00000000-0005-0000-0000-000075310000}"/>
    <cellStyle name="Normal 5 4 2 2 4 2 2 2 2 3" xfId="14098" xr:uid="{00000000-0005-0000-0000-000076310000}"/>
    <cellStyle name="Normal 5 4 2 2 4 2 2 2 3" xfId="17726" xr:uid="{00000000-0005-0000-0000-000077310000}"/>
    <cellStyle name="Normal 5 4 2 2 4 2 2 2 4" xfId="10470" xr:uid="{00000000-0005-0000-0000-000078310000}"/>
    <cellStyle name="Normal 5 4 2 2 4 2 2 3" xfId="5028" xr:uid="{00000000-0005-0000-0000-000079310000}"/>
    <cellStyle name="Normal 5 4 2 2 4 2 2 3 2" xfId="19540" xr:uid="{00000000-0005-0000-0000-00007A310000}"/>
    <cellStyle name="Normal 5 4 2 2 4 2 2 3 3" xfId="12284" xr:uid="{00000000-0005-0000-0000-00007B310000}"/>
    <cellStyle name="Normal 5 4 2 2 4 2 2 4" xfId="15912" xr:uid="{00000000-0005-0000-0000-00007C310000}"/>
    <cellStyle name="Normal 5 4 2 2 4 2 2 5" xfId="8656" xr:uid="{00000000-0005-0000-0000-00007D310000}"/>
    <cellStyle name="Normal 5 4 2 2 4 2 3" xfId="2307" xr:uid="{00000000-0005-0000-0000-00007E310000}"/>
    <cellStyle name="Normal 5 4 2 2 4 2 3 2" xfId="5935" xr:uid="{00000000-0005-0000-0000-00007F310000}"/>
    <cellStyle name="Normal 5 4 2 2 4 2 3 2 2" xfId="20447" xr:uid="{00000000-0005-0000-0000-000080310000}"/>
    <cellStyle name="Normal 5 4 2 2 4 2 3 2 3" xfId="13191" xr:uid="{00000000-0005-0000-0000-000081310000}"/>
    <cellStyle name="Normal 5 4 2 2 4 2 3 3" xfId="16819" xr:uid="{00000000-0005-0000-0000-000082310000}"/>
    <cellStyle name="Normal 5 4 2 2 4 2 3 4" xfId="9563" xr:uid="{00000000-0005-0000-0000-000083310000}"/>
    <cellStyle name="Normal 5 4 2 2 4 2 4" xfId="4121" xr:uid="{00000000-0005-0000-0000-000084310000}"/>
    <cellStyle name="Normal 5 4 2 2 4 2 4 2" xfId="18633" xr:uid="{00000000-0005-0000-0000-000085310000}"/>
    <cellStyle name="Normal 5 4 2 2 4 2 4 3" xfId="11377" xr:uid="{00000000-0005-0000-0000-000086310000}"/>
    <cellStyle name="Normal 5 4 2 2 4 2 5" xfId="15005" xr:uid="{00000000-0005-0000-0000-000087310000}"/>
    <cellStyle name="Normal 5 4 2 2 4 2 6" xfId="7749" xr:uid="{00000000-0005-0000-0000-000088310000}"/>
    <cellStyle name="Normal 5 4 2 2 4 3" xfId="1054" xr:uid="{00000000-0005-0000-0000-000089310000}"/>
    <cellStyle name="Normal 5 4 2 2 4 3 2" xfId="2868" xr:uid="{00000000-0005-0000-0000-00008A310000}"/>
    <cellStyle name="Normal 5 4 2 2 4 3 2 2" xfId="6496" xr:uid="{00000000-0005-0000-0000-00008B310000}"/>
    <cellStyle name="Normal 5 4 2 2 4 3 2 2 2" xfId="21008" xr:uid="{00000000-0005-0000-0000-00008C310000}"/>
    <cellStyle name="Normal 5 4 2 2 4 3 2 2 3" xfId="13752" xr:uid="{00000000-0005-0000-0000-00008D310000}"/>
    <cellStyle name="Normal 5 4 2 2 4 3 2 3" xfId="17380" xr:uid="{00000000-0005-0000-0000-00008E310000}"/>
    <cellStyle name="Normal 5 4 2 2 4 3 2 4" xfId="10124" xr:uid="{00000000-0005-0000-0000-00008F310000}"/>
    <cellStyle name="Normal 5 4 2 2 4 3 3" xfId="4682" xr:uid="{00000000-0005-0000-0000-000090310000}"/>
    <cellStyle name="Normal 5 4 2 2 4 3 3 2" xfId="19194" xr:uid="{00000000-0005-0000-0000-000091310000}"/>
    <cellStyle name="Normal 5 4 2 2 4 3 3 3" xfId="11938" xr:uid="{00000000-0005-0000-0000-000092310000}"/>
    <cellStyle name="Normal 5 4 2 2 4 3 4" xfId="15566" xr:uid="{00000000-0005-0000-0000-000093310000}"/>
    <cellStyle name="Normal 5 4 2 2 4 3 5" xfId="8310" xr:uid="{00000000-0005-0000-0000-000094310000}"/>
    <cellStyle name="Normal 5 4 2 2 4 4" xfId="1961" xr:uid="{00000000-0005-0000-0000-000095310000}"/>
    <cellStyle name="Normal 5 4 2 2 4 4 2" xfId="5589" xr:uid="{00000000-0005-0000-0000-000096310000}"/>
    <cellStyle name="Normal 5 4 2 2 4 4 2 2" xfId="20101" xr:uid="{00000000-0005-0000-0000-000097310000}"/>
    <cellStyle name="Normal 5 4 2 2 4 4 2 3" xfId="12845" xr:uid="{00000000-0005-0000-0000-000098310000}"/>
    <cellStyle name="Normal 5 4 2 2 4 4 3" xfId="16473" xr:uid="{00000000-0005-0000-0000-000099310000}"/>
    <cellStyle name="Normal 5 4 2 2 4 4 4" xfId="9217" xr:uid="{00000000-0005-0000-0000-00009A310000}"/>
    <cellStyle name="Normal 5 4 2 2 4 5" xfId="3775" xr:uid="{00000000-0005-0000-0000-00009B310000}"/>
    <cellStyle name="Normal 5 4 2 2 4 5 2" xfId="18287" xr:uid="{00000000-0005-0000-0000-00009C310000}"/>
    <cellStyle name="Normal 5 4 2 2 4 5 3" xfId="11031" xr:uid="{00000000-0005-0000-0000-00009D310000}"/>
    <cellStyle name="Normal 5 4 2 2 4 6" xfId="14659" xr:uid="{00000000-0005-0000-0000-00009E310000}"/>
    <cellStyle name="Normal 5 4 2 2 4 7" xfId="7403" xr:uid="{00000000-0005-0000-0000-00009F310000}"/>
    <cellStyle name="Normal 5 4 2 2 5" xfId="276" xr:uid="{00000000-0005-0000-0000-0000A0310000}"/>
    <cellStyle name="Normal 5 4 2 2 5 2" xfId="622" xr:uid="{00000000-0005-0000-0000-0000A1310000}"/>
    <cellStyle name="Normal 5 4 2 2 5 2 2" xfId="1530" xr:uid="{00000000-0005-0000-0000-0000A2310000}"/>
    <cellStyle name="Normal 5 4 2 2 5 2 2 2" xfId="3344" xr:uid="{00000000-0005-0000-0000-0000A3310000}"/>
    <cellStyle name="Normal 5 4 2 2 5 2 2 2 2" xfId="6972" xr:uid="{00000000-0005-0000-0000-0000A4310000}"/>
    <cellStyle name="Normal 5 4 2 2 5 2 2 2 2 2" xfId="21484" xr:uid="{00000000-0005-0000-0000-0000A5310000}"/>
    <cellStyle name="Normal 5 4 2 2 5 2 2 2 2 3" xfId="14228" xr:uid="{00000000-0005-0000-0000-0000A6310000}"/>
    <cellStyle name="Normal 5 4 2 2 5 2 2 2 3" xfId="17856" xr:uid="{00000000-0005-0000-0000-0000A7310000}"/>
    <cellStyle name="Normal 5 4 2 2 5 2 2 2 4" xfId="10600" xr:uid="{00000000-0005-0000-0000-0000A8310000}"/>
    <cellStyle name="Normal 5 4 2 2 5 2 2 3" xfId="5158" xr:uid="{00000000-0005-0000-0000-0000A9310000}"/>
    <cellStyle name="Normal 5 4 2 2 5 2 2 3 2" xfId="19670" xr:uid="{00000000-0005-0000-0000-0000AA310000}"/>
    <cellStyle name="Normal 5 4 2 2 5 2 2 3 3" xfId="12414" xr:uid="{00000000-0005-0000-0000-0000AB310000}"/>
    <cellStyle name="Normal 5 4 2 2 5 2 2 4" xfId="16042" xr:uid="{00000000-0005-0000-0000-0000AC310000}"/>
    <cellStyle name="Normal 5 4 2 2 5 2 2 5" xfId="8786" xr:uid="{00000000-0005-0000-0000-0000AD310000}"/>
    <cellStyle name="Normal 5 4 2 2 5 2 3" xfId="2437" xr:uid="{00000000-0005-0000-0000-0000AE310000}"/>
    <cellStyle name="Normal 5 4 2 2 5 2 3 2" xfId="6065" xr:uid="{00000000-0005-0000-0000-0000AF310000}"/>
    <cellStyle name="Normal 5 4 2 2 5 2 3 2 2" xfId="20577" xr:uid="{00000000-0005-0000-0000-0000B0310000}"/>
    <cellStyle name="Normal 5 4 2 2 5 2 3 2 3" xfId="13321" xr:uid="{00000000-0005-0000-0000-0000B1310000}"/>
    <cellStyle name="Normal 5 4 2 2 5 2 3 3" xfId="16949" xr:uid="{00000000-0005-0000-0000-0000B2310000}"/>
    <cellStyle name="Normal 5 4 2 2 5 2 3 4" xfId="9693" xr:uid="{00000000-0005-0000-0000-0000B3310000}"/>
    <cellStyle name="Normal 5 4 2 2 5 2 4" xfId="4251" xr:uid="{00000000-0005-0000-0000-0000B4310000}"/>
    <cellStyle name="Normal 5 4 2 2 5 2 4 2" xfId="18763" xr:uid="{00000000-0005-0000-0000-0000B5310000}"/>
    <cellStyle name="Normal 5 4 2 2 5 2 4 3" xfId="11507" xr:uid="{00000000-0005-0000-0000-0000B6310000}"/>
    <cellStyle name="Normal 5 4 2 2 5 2 5" xfId="15135" xr:uid="{00000000-0005-0000-0000-0000B7310000}"/>
    <cellStyle name="Normal 5 4 2 2 5 2 6" xfId="7879" xr:uid="{00000000-0005-0000-0000-0000B8310000}"/>
    <cellStyle name="Normal 5 4 2 2 5 3" xfId="1184" xr:uid="{00000000-0005-0000-0000-0000B9310000}"/>
    <cellStyle name="Normal 5 4 2 2 5 3 2" xfId="2998" xr:uid="{00000000-0005-0000-0000-0000BA310000}"/>
    <cellStyle name="Normal 5 4 2 2 5 3 2 2" xfId="6626" xr:uid="{00000000-0005-0000-0000-0000BB310000}"/>
    <cellStyle name="Normal 5 4 2 2 5 3 2 2 2" xfId="21138" xr:uid="{00000000-0005-0000-0000-0000BC310000}"/>
    <cellStyle name="Normal 5 4 2 2 5 3 2 2 3" xfId="13882" xr:uid="{00000000-0005-0000-0000-0000BD310000}"/>
    <cellStyle name="Normal 5 4 2 2 5 3 2 3" xfId="17510" xr:uid="{00000000-0005-0000-0000-0000BE310000}"/>
    <cellStyle name="Normal 5 4 2 2 5 3 2 4" xfId="10254" xr:uid="{00000000-0005-0000-0000-0000BF310000}"/>
    <cellStyle name="Normal 5 4 2 2 5 3 3" xfId="4812" xr:uid="{00000000-0005-0000-0000-0000C0310000}"/>
    <cellStyle name="Normal 5 4 2 2 5 3 3 2" xfId="19324" xr:uid="{00000000-0005-0000-0000-0000C1310000}"/>
    <cellStyle name="Normal 5 4 2 2 5 3 3 3" xfId="12068" xr:uid="{00000000-0005-0000-0000-0000C2310000}"/>
    <cellStyle name="Normal 5 4 2 2 5 3 4" xfId="15696" xr:uid="{00000000-0005-0000-0000-0000C3310000}"/>
    <cellStyle name="Normal 5 4 2 2 5 3 5" xfId="8440" xr:uid="{00000000-0005-0000-0000-0000C4310000}"/>
    <cellStyle name="Normal 5 4 2 2 5 4" xfId="2091" xr:uid="{00000000-0005-0000-0000-0000C5310000}"/>
    <cellStyle name="Normal 5 4 2 2 5 4 2" xfId="5719" xr:uid="{00000000-0005-0000-0000-0000C6310000}"/>
    <cellStyle name="Normal 5 4 2 2 5 4 2 2" xfId="20231" xr:uid="{00000000-0005-0000-0000-0000C7310000}"/>
    <cellStyle name="Normal 5 4 2 2 5 4 2 3" xfId="12975" xr:uid="{00000000-0005-0000-0000-0000C8310000}"/>
    <cellStyle name="Normal 5 4 2 2 5 4 3" xfId="16603" xr:uid="{00000000-0005-0000-0000-0000C9310000}"/>
    <cellStyle name="Normal 5 4 2 2 5 4 4" xfId="9347" xr:uid="{00000000-0005-0000-0000-0000CA310000}"/>
    <cellStyle name="Normal 5 4 2 2 5 5" xfId="3905" xr:uid="{00000000-0005-0000-0000-0000CB310000}"/>
    <cellStyle name="Normal 5 4 2 2 5 5 2" xfId="18417" xr:uid="{00000000-0005-0000-0000-0000CC310000}"/>
    <cellStyle name="Normal 5 4 2 2 5 5 3" xfId="11161" xr:uid="{00000000-0005-0000-0000-0000CD310000}"/>
    <cellStyle name="Normal 5 4 2 2 5 6" xfId="14789" xr:uid="{00000000-0005-0000-0000-0000CE310000}"/>
    <cellStyle name="Normal 5 4 2 2 5 7" xfId="7533" xr:uid="{00000000-0005-0000-0000-0000CF310000}"/>
    <cellStyle name="Normal 5 4 2 2 6" xfId="752" xr:uid="{00000000-0005-0000-0000-0000D0310000}"/>
    <cellStyle name="Normal 5 4 2 2 6 2" xfId="1660" xr:uid="{00000000-0005-0000-0000-0000D1310000}"/>
    <cellStyle name="Normal 5 4 2 2 6 2 2" xfId="3474" xr:uid="{00000000-0005-0000-0000-0000D2310000}"/>
    <cellStyle name="Normal 5 4 2 2 6 2 2 2" xfId="7102" xr:uid="{00000000-0005-0000-0000-0000D3310000}"/>
    <cellStyle name="Normal 5 4 2 2 6 2 2 2 2" xfId="21614" xr:uid="{00000000-0005-0000-0000-0000D4310000}"/>
    <cellStyle name="Normal 5 4 2 2 6 2 2 2 3" xfId="14358" xr:uid="{00000000-0005-0000-0000-0000D5310000}"/>
    <cellStyle name="Normal 5 4 2 2 6 2 2 3" xfId="17986" xr:uid="{00000000-0005-0000-0000-0000D6310000}"/>
    <cellStyle name="Normal 5 4 2 2 6 2 2 4" xfId="10730" xr:uid="{00000000-0005-0000-0000-0000D7310000}"/>
    <cellStyle name="Normal 5 4 2 2 6 2 3" xfId="5288" xr:uid="{00000000-0005-0000-0000-0000D8310000}"/>
    <cellStyle name="Normal 5 4 2 2 6 2 3 2" xfId="19800" xr:uid="{00000000-0005-0000-0000-0000D9310000}"/>
    <cellStyle name="Normal 5 4 2 2 6 2 3 3" xfId="12544" xr:uid="{00000000-0005-0000-0000-0000DA310000}"/>
    <cellStyle name="Normal 5 4 2 2 6 2 4" xfId="16172" xr:uid="{00000000-0005-0000-0000-0000DB310000}"/>
    <cellStyle name="Normal 5 4 2 2 6 2 5" xfId="8916" xr:uid="{00000000-0005-0000-0000-0000DC310000}"/>
    <cellStyle name="Normal 5 4 2 2 6 3" xfId="2567" xr:uid="{00000000-0005-0000-0000-0000DD310000}"/>
    <cellStyle name="Normal 5 4 2 2 6 3 2" xfId="6195" xr:uid="{00000000-0005-0000-0000-0000DE310000}"/>
    <cellStyle name="Normal 5 4 2 2 6 3 2 2" xfId="20707" xr:uid="{00000000-0005-0000-0000-0000DF310000}"/>
    <cellStyle name="Normal 5 4 2 2 6 3 2 3" xfId="13451" xr:uid="{00000000-0005-0000-0000-0000E0310000}"/>
    <cellStyle name="Normal 5 4 2 2 6 3 3" xfId="17079" xr:uid="{00000000-0005-0000-0000-0000E1310000}"/>
    <cellStyle name="Normal 5 4 2 2 6 3 4" xfId="9823" xr:uid="{00000000-0005-0000-0000-0000E2310000}"/>
    <cellStyle name="Normal 5 4 2 2 6 4" xfId="4381" xr:uid="{00000000-0005-0000-0000-0000E3310000}"/>
    <cellStyle name="Normal 5 4 2 2 6 4 2" xfId="18893" xr:uid="{00000000-0005-0000-0000-0000E4310000}"/>
    <cellStyle name="Normal 5 4 2 2 6 4 3" xfId="11637" xr:uid="{00000000-0005-0000-0000-0000E5310000}"/>
    <cellStyle name="Normal 5 4 2 2 6 5" xfId="15265" xr:uid="{00000000-0005-0000-0000-0000E6310000}"/>
    <cellStyle name="Normal 5 4 2 2 6 6" xfId="8009" xr:uid="{00000000-0005-0000-0000-0000E7310000}"/>
    <cellStyle name="Normal 5 4 2 2 7" xfId="406" xr:uid="{00000000-0005-0000-0000-0000E8310000}"/>
    <cellStyle name="Normal 5 4 2 2 7 2" xfId="1314" xr:uid="{00000000-0005-0000-0000-0000E9310000}"/>
    <cellStyle name="Normal 5 4 2 2 7 2 2" xfId="3128" xr:uid="{00000000-0005-0000-0000-0000EA310000}"/>
    <cellStyle name="Normal 5 4 2 2 7 2 2 2" xfId="6756" xr:uid="{00000000-0005-0000-0000-0000EB310000}"/>
    <cellStyle name="Normal 5 4 2 2 7 2 2 2 2" xfId="21268" xr:uid="{00000000-0005-0000-0000-0000EC310000}"/>
    <cellStyle name="Normal 5 4 2 2 7 2 2 2 3" xfId="14012" xr:uid="{00000000-0005-0000-0000-0000ED310000}"/>
    <cellStyle name="Normal 5 4 2 2 7 2 2 3" xfId="17640" xr:uid="{00000000-0005-0000-0000-0000EE310000}"/>
    <cellStyle name="Normal 5 4 2 2 7 2 2 4" xfId="10384" xr:uid="{00000000-0005-0000-0000-0000EF310000}"/>
    <cellStyle name="Normal 5 4 2 2 7 2 3" xfId="4942" xr:uid="{00000000-0005-0000-0000-0000F0310000}"/>
    <cellStyle name="Normal 5 4 2 2 7 2 3 2" xfId="19454" xr:uid="{00000000-0005-0000-0000-0000F1310000}"/>
    <cellStyle name="Normal 5 4 2 2 7 2 3 3" xfId="12198" xr:uid="{00000000-0005-0000-0000-0000F2310000}"/>
    <cellStyle name="Normal 5 4 2 2 7 2 4" xfId="15826" xr:uid="{00000000-0005-0000-0000-0000F3310000}"/>
    <cellStyle name="Normal 5 4 2 2 7 2 5" xfId="8570" xr:uid="{00000000-0005-0000-0000-0000F4310000}"/>
    <cellStyle name="Normal 5 4 2 2 7 3" xfId="2221" xr:uid="{00000000-0005-0000-0000-0000F5310000}"/>
    <cellStyle name="Normal 5 4 2 2 7 3 2" xfId="5849" xr:uid="{00000000-0005-0000-0000-0000F6310000}"/>
    <cellStyle name="Normal 5 4 2 2 7 3 2 2" xfId="20361" xr:uid="{00000000-0005-0000-0000-0000F7310000}"/>
    <cellStyle name="Normal 5 4 2 2 7 3 2 3" xfId="13105" xr:uid="{00000000-0005-0000-0000-0000F8310000}"/>
    <cellStyle name="Normal 5 4 2 2 7 3 3" xfId="16733" xr:uid="{00000000-0005-0000-0000-0000F9310000}"/>
    <cellStyle name="Normal 5 4 2 2 7 3 4" xfId="9477" xr:uid="{00000000-0005-0000-0000-0000FA310000}"/>
    <cellStyle name="Normal 5 4 2 2 7 4" xfId="4035" xr:uid="{00000000-0005-0000-0000-0000FB310000}"/>
    <cellStyle name="Normal 5 4 2 2 7 4 2" xfId="18547" xr:uid="{00000000-0005-0000-0000-0000FC310000}"/>
    <cellStyle name="Normal 5 4 2 2 7 4 3" xfId="11291" xr:uid="{00000000-0005-0000-0000-0000FD310000}"/>
    <cellStyle name="Normal 5 4 2 2 7 5" xfId="14919" xr:uid="{00000000-0005-0000-0000-0000FE310000}"/>
    <cellStyle name="Normal 5 4 2 2 7 6" xfId="7663" xr:uid="{00000000-0005-0000-0000-0000FF310000}"/>
    <cellStyle name="Normal 5 4 2 2 8" xfId="883" xr:uid="{00000000-0005-0000-0000-000000320000}"/>
    <cellStyle name="Normal 5 4 2 2 8 2" xfId="1791" xr:uid="{00000000-0005-0000-0000-000001320000}"/>
    <cellStyle name="Normal 5 4 2 2 8 2 2" xfId="3605" xr:uid="{00000000-0005-0000-0000-000002320000}"/>
    <cellStyle name="Normal 5 4 2 2 8 2 2 2" xfId="7233" xr:uid="{00000000-0005-0000-0000-000003320000}"/>
    <cellStyle name="Normal 5 4 2 2 8 2 2 2 2" xfId="21745" xr:uid="{00000000-0005-0000-0000-000004320000}"/>
    <cellStyle name="Normal 5 4 2 2 8 2 2 2 3" xfId="14489" xr:uid="{00000000-0005-0000-0000-000005320000}"/>
    <cellStyle name="Normal 5 4 2 2 8 2 2 3" xfId="18117" xr:uid="{00000000-0005-0000-0000-000006320000}"/>
    <cellStyle name="Normal 5 4 2 2 8 2 2 4" xfId="10861" xr:uid="{00000000-0005-0000-0000-000007320000}"/>
    <cellStyle name="Normal 5 4 2 2 8 2 3" xfId="5419" xr:uid="{00000000-0005-0000-0000-000008320000}"/>
    <cellStyle name="Normal 5 4 2 2 8 2 3 2" xfId="19931" xr:uid="{00000000-0005-0000-0000-000009320000}"/>
    <cellStyle name="Normal 5 4 2 2 8 2 3 3" xfId="12675" xr:uid="{00000000-0005-0000-0000-00000A320000}"/>
    <cellStyle name="Normal 5 4 2 2 8 2 4" xfId="16303" xr:uid="{00000000-0005-0000-0000-00000B320000}"/>
    <cellStyle name="Normal 5 4 2 2 8 2 5" xfId="9047" xr:uid="{00000000-0005-0000-0000-00000C320000}"/>
    <cellStyle name="Normal 5 4 2 2 8 3" xfId="2698" xr:uid="{00000000-0005-0000-0000-00000D320000}"/>
    <cellStyle name="Normal 5 4 2 2 8 3 2" xfId="6326" xr:uid="{00000000-0005-0000-0000-00000E320000}"/>
    <cellStyle name="Normal 5 4 2 2 8 3 2 2" xfId="20838" xr:uid="{00000000-0005-0000-0000-00000F320000}"/>
    <cellStyle name="Normal 5 4 2 2 8 3 2 3" xfId="13582" xr:uid="{00000000-0005-0000-0000-000010320000}"/>
    <cellStyle name="Normal 5 4 2 2 8 3 3" xfId="17210" xr:uid="{00000000-0005-0000-0000-000011320000}"/>
    <cellStyle name="Normal 5 4 2 2 8 3 4" xfId="9954" xr:uid="{00000000-0005-0000-0000-000012320000}"/>
    <cellStyle name="Normal 5 4 2 2 8 4" xfId="4512" xr:uid="{00000000-0005-0000-0000-000013320000}"/>
    <cellStyle name="Normal 5 4 2 2 8 4 2" xfId="19024" xr:uid="{00000000-0005-0000-0000-000014320000}"/>
    <cellStyle name="Normal 5 4 2 2 8 4 3" xfId="11768" xr:uid="{00000000-0005-0000-0000-000015320000}"/>
    <cellStyle name="Normal 5 4 2 2 8 5" xfId="15396" xr:uid="{00000000-0005-0000-0000-000016320000}"/>
    <cellStyle name="Normal 5 4 2 2 8 6" xfId="8140" xr:uid="{00000000-0005-0000-0000-000017320000}"/>
    <cellStyle name="Normal 5 4 2 2 9" xfId="968" xr:uid="{00000000-0005-0000-0000-000018320000}"/>
    <cellStyle name="Normal 5 4 2 2 9 2" xfId="2782" xr:uid="{00000000-0005-0000-0000-000019320000}"/>
    <cellStyle name="Normal 5 4 2 2 9 2 2" xfId="6410" xr:uid="{00000000-0005-0000-0000-00001A320000}"/>
    <cellStyle name="Normal 5 4 2 2 9 2 2 2" xfId="20922" xr:uid="{00000000-0005-0000-0000-00001B320000}"/>
    <cellStyle name="Normal 5 4 2 2 9 2 2 3" xfId="13666" xr:uid="{00000000-0005-0000-0000-00001C320000}"/>
    <cellStyle name="Normal 5 4 2 2 9 2 3" xfId="17294" xr:uid="{00000000-0005-0000-0000-00001D320000}"/>
    <cellStyle name="Normal 5 4 2 2 9 2 4" xfId="10038" xr:uid="{00000000-0005-0000-0000-00001E320000}"/>
    <cellStyle name="Normal 5 4 2 2 9 3" xfId="4596" xr:uid="{00000000-0005-0000-0000-00001F320000}"/>
    <cellStyle name="Normal 5 4 2 2 9 3 2" xfId="19108" xr:uid="{00000000-0005-0000-0000-000020320000}"/>
    <cellStyle name="Normal 5 4 2 2 9 3 3" xfId="11852" xr:uid="{00000000-0005-0000-0000-000021320000}"/>
    <cellStyle name="Normal 5 4 2 2 9 4" xfId="15480" xr:uid="{00000000-0005-0000-0000-000022320000}"/>
    <cellStyle name="Normal 5 4 2 2 9 5" xfId="8224" xr:uid="{00000000-0005-0000-0000-000023320000}"/>
    <cellStyle name="Normal 5 4 2 3" xfId="79" xr:uid="{00000000-0005-0000-0000-000024320000}"/>
    <cellStyle name="Normal 5 4 2 3 10" xfId="14594" xr:uid="{00000000-0005-0000-0000-000025320000}"/>
    <cellStyle name="Normal 5 4 2 3 11" xfId="7338" xr:uid="{00000000-0005-0000-0000-000026320000}"/>
    <cellStyle name="Normal 5 4 2 3 2" xfId="167" xr:uid="{00000000-0005-0000-0000-000027320000}"/>
    <cellStyle name="Normal 5 4 2 3 2 2" xfId="513" xr:uid="{00000000-0005-0000-0000-000028320000}"/>
    <cellStyle name="Normal 5 4 2 3 2 2 2" xfId="1421" xr:uid="{00000000-0005-0000-0000-000029320000}"/>
    <cellStyle name="Normal 5 4 2 3 2 2 2 2" xfId="3235" xr:uid="{00000000-0005-0000-0000-00002A320000}"/>
    <cellStyle name="Normal 5 4 2 3 2 2 2 2 2" xfId="6863" xr:uid="{00000000-0005-0000-0000-00002B320000}"/>
    <cellStyle name="Normal 5 4 2 3 2 2 2 2 2 2" xfId="21375" xr:uid="{00000000-0005-0000-0000-00002C320000}"/>
    <cellStyle name="Normal 5 4 2 3 2 2 2 2 2 3" xfId="14119" xr:uid="{00000000-0005-0000-0000-00002D320000}"/>
    <cellStyle name="Normal 5 4 2 3 2 2 2 2 3" xfId="17747" xr:uid="{00000000-0005-0000-0000-00002E320000}"/>
    <cellStyle name="Normal 5 4 2 3 2 2 2 2 4" xfId="10491" xr:uid="{00000000-0005-0000-0000-00002F320000}"/>
    <cellStyle name="Normal 5 4 2 3 2 2 2 3" xfId="5049" xr:uid="{00000000-0005-0000-0000-000030320000}"/>
    <cellStyle name="Normal 5 4 2 3 2 2 2 3 2" xfId="19561" xr:uid="{00000000-0005-0000-0000-000031320000}"/>
    <cellStyle name="Normal 5 4 2 3 2 2 2 3 3" xfId="12305" xr:uid="{00000000-0005-0000-0000-000032320000}"/>
    <cellStyle name="Normal 5 4 2 3 2 2 2 4" xfId="15933" xr:uid="{00000000-0005-0000-0000-000033320000}"/>
    <cellStyle name="Normal 5 4 2 3 2 2 2 5" xfId="8677" xr:uid="{00000000-0005-0000-0000-000034320000}"/>
    <cellStyle name="Normal 5 4 2 3 2 2 3" xfId="2328" xr:uid="{00000000-0005-0000-0000-000035320000}"/>
    <cellStyle name="Normal 5 4 2 3 2 2 3 2" xfId="5956" xr:uid="{00000000-0005-0000-0000-000036320000}"/>
    <cellStyle name="Normal 5 4 2 3 2 2 3 2 2" xfId="20468" xr:uid="{00000000-0005-0000-0000-000037320000}"/>
    <cellStyle name="Normal 5 4 2 3 2 2 3 2 3" xfId="13212" xr:uid="{00000000-0005-0000-0000-000038320000}"/>
    <cellStyle name="Normal 5 4 2 3 2 2 3 3" xfId="16840" xr:uid="{00000000-0005-0000-0000-000039320000}"/>
    <cellStyle name="Normal 5 4 2 3 2 2 3 4" xfId="9584" xr:uid="{00000000-0005-0000-0000-00003A320000}"/>
    <cellStyle name="Normal 5 4 2 3 2 2 4" xfId="4142" xr:uid="{00000000-0005-0000-0000-00003B320000}"/>
    <cellStyle name="Normal 5 4 2 3 2 2 4 2" xfId="18654" xr:uid="{00000000-0005-0000-0000-00003C320000}"/>
    <cellStyle name="Normal 5 4 2 3 2 2 4 3" xfId="11398" xr:uid="{00000000-0005-0000-0000-00003D320000}"/>
    <cellStyle name="Normal 5 4 2 3 2 2 5" xfId="15026" xr:uid="{00000000-0005-0000-0000-00003E320000}"/>
    <cellStyle name="Normal 5 4 2 3 2 2 6" xfId="7770" xr:uid="{00000000-0005-0000-0000-00003F320000}"/>
    <cellStyle name="Normal 5 4 2 3 2 3" xfId="1075" xr:uid="{00000000-0005-0000-0000-000040320000}"/>
    <cellStyle name="Normal 5 4 2 3 2 3 2" xfId="2889" xr:uid="{00000000-0005-0000-0000-000041320000}"/>
    <cellStyle name="Normal 5 4 2 3 2 3 2 2" xfId="6517" xr:uid="{00000000-0005-0000-0000-000042320000}"/>
    <cellStyle name="Normal 5 4 2 3 2 3 2 2 2" xfId="21029" xr:uid="{00000000-0005-0000-0000-000043320000}"/>
    <cellStyle name="Normal 5 4 2 3 2 3 2 2 3" xfId="13773" xr:uid="{00000000-0005-0000-0000-000044320000}"/>
    <cellStyle name="Normal 5 4 2 3 2 3 2 3" xfId="17401" xr:uid="{00000000-0005-0000-0000-000045320000}"/>
    <cellStyle name="Normal 5 4 2 3 2 3 2 4" xfId="10145" xr:uid="{00000000-0005-0000-0000-000046320000}"/>
    <cellStyle name="Normal 5 4 2 3 2 3 3" xfId="4703" xr:uid="{00000000-0005-0000-0000-000047320000}"/>
    <cellStyle name="Normal 5 4 2 3 2 3 3 2" xfId="19215" xr:uid="{00000000-0005-0000-0000-000048320000}"/>
    <cellStyle name="Normal 5 4 2 3 2 3 3 3" xfId="11959" xr:uid="{00000000-0005-0000-0000-000049320000}"/>
    <cellStyle name="Normal 5 4 2 3 2 3 4" xfId="15587" xr:uid="{00000000-0005-0000-0000-00004A320000}"/>
    <cellStyle name="Normal 5 4 2 3 2 3 5" xfId="8331" xr:uid="{00000000-0005-0000-0000-00004B320000}"/>
    <cellStyle name="Normal 5 4 2 3 2 4" xfId="1982" xr:uid="{00000000-0005-0000-0000-00004C320000}"/>
    <cellStyle name="Normal 5 4 2 3 2 4 2" xfId="5610" xr:uid="{00000000-0005-0000-0000-00004D320000}"/>
    <cellStyle name="Normal 5 4 2 3 2 4 2 2" xfId="20122" xr:uid="{00000000-0005-0000-0000-00004E320000}"/>
    <cellStyle name="Normal 5 4 2 3 2 4 2 3" xfId="12866" xr:uid="{00000000-0005-0000-0000-00004F320000}"/>
    <cellStyle name="Normal 5 4 2 3 2 4 3" xfId="16494" xr:uid="{00000000-0005-0000-0000-000050320000}"/>
    <cellStyle name="Normal 5 4 2 3 2 4 4" xfId="9238" xr:uid="{00000000-0005-0000-0000-000051320000}"/>
    <cellStyle name="Normal 5 4 2 3 2 5" xfId="3796" xr:uid="{00000000-0005-0000-0000-000052320000}"/>
    <cellStyle name="Normal 5 4 2 3 2 5 2" xfId="18308" xr:uid="{00000000-0005-0000-0000-000053320000}"/>
    <cellStyle name="Normal 5 4 2 3 2 5 3" xfId="11052" xr:uid="{00000000-0005-0000-0000-000054320000}"/>
    <cellStyle name="Normal 5 4 2 3 2 6" xfId="14680" xr:uid="{00000000-0005-0000-0000-000055320000}"/>
    <cellStyle name="Normal 5 4 2 3 2 7" xfId="7424" xr:uid="{00000000-0005-0000-0000-000056320000}"/>
    <cellStyle name="Normal 5 4 2 3 3" xfId="297" xr:uid="{00000000-0005-0000-0000-000057320000}"/>
    <cellStyle name="Normal 5 4 2 3 3 2" xfId="643" xr:uid="{00000000-0005-0000-0000-000058320000}"/>
    <cellStyle name="Normal 5 4 2 3 3 2 2" xfId="1551" xr:uid="{00000000-0005-0000-0000-000059320000}"/>
    <cellStyle name="Normal 5 4 2 3 3 2 2 2" xfId="3365" xr:uid="{00000000-0005-0000-0000-00005A320000}"/>
    <cellStyle name="Normal 5 4 2 3 3 2 2 2 2" xfId="6993" xr:uid="{00000000-0005-0000-0000-00005B320000}"/>
    <cellStyle name="Normal 5 4 2 3 3 2 2 2 2 2" xfId="21505" xr:uid="{00000000-0005-0000-0000-00005C320000}"/>
    <cellStyle name="Normal 5 4 2 3 3 2 2 2 2 3" xfId="14249" xr:uid="{00000000-0005-0000-0000-00005D320000}"/>
    <cellStyle name="Normal 5 4 2 3 3 2 2 2 3" xfId="17877" xr:uid="{00000000-0005-0000-0000-00005E320000}"/>
    <cellStyle name="Normal 5 4 2 3 3 2 2 2 4" xfId="10621" xr:uid="{00000000-0005-0000-0000-00005F320000}"/>
    <cellStyle name="Normal 5 4 2 3 3 2 2 3" xfId="5179" xr:uid="{00000000-0005-0000-0000-000060320000}"/>
    <cellStyle name="Normal 5 4 2 3 3 2 2 3 2" xfId="19691" xr:uid="{00000000-0005-0000-0000-000061320000}"/>
    <cellStyle name="Normal 5 4 2 3 3 2 2 3 3" xfId="12435" xr:uid="{00000000-0005-0000-0000-000062320000}"/>
    <cellStyle name="Normal 5 4 2 3 3 2 2 4" xfId="16063" xr:uid="{00000000-0005-0000-0000-000063320000}"/>
    <cellStyle name="Normal 5 4 2 3 3 2 2 5" xfId="8807" xr:uid="{00000000-0005-0000-0000-000064320000}"/>
    <cellStyle name="Normal 5 4 2 3 3 2 3" xfId="2458" xr:uid="{00000000-0005-0000-0000-000065320000}"/>
    <cellStyle name="Normal 5 4 2 3 3 2 3 2" xfId="6086" xr:uid="{00000000-0005-0000-0000-000066320000}"/>
    <cellStyle name="Normal 5 4 2 3 3 2 3 2 2" xfId="20598" xr:uid="{00000000-0005-0000-0000-000067320000}"/>
    <cellStyle name="Normal 5 4 2 3 3 2 3 2 3" xfId="13342" xr:uid="{00000000-0005-0000-0000-000068320000}"/>
    <cellStyle name="Normal 5 4 2 3 3 2 3 3" xfId="16970" xr:uid="{00000000-0005-0000-0000-000069320000}"/>
    <cellStyle name="Normal 5 4 2 3 3 2 3 4" xfId="9714" xr:uid="{00000000-0005-0000-0000-00006A320000}"/>
    <cellStyle name="Normal 5 4 2 3 3 2 4" xfId="4272" xr:uid="{00000000-0005-0000-0000-00006B320000}"/>
    <cellStyle name="Normal 5 4 2 3 3 2 4 2" xfId="18784" xr:uid="{00000000-0005-0000-0000-00006C320000}"/>
    <cellStyle name="Normal 5 4 2 3 3 2 4 3" xfId="11528" xr:uid="{00000000-0005-0000-0000-00006D320000}"/>
    <cellStyle name="Normal 5 4 2 3 3 2 5" xfId="15156" xr:uid="{00000000-0005-0000-0000-00006E320000}"/>
    <cellStyle name="Normal 5 4 2 3 3 2 6" xfId="7900" xr:uid="{00000000-0005-0000-0000-00006F320000}"/>
    <cellStyle name="Normal 5 4 2 3 3 3" xfId="1205" xr:uid="{00000000-0005-0000-0000-000070320000}"/>
    <cellStyle name="Normal 5 4 2 3 3 3 2" xfId="3019" xr:uid="{00000000-0005-0000-0000-000071320000}"/>
    <cellStyle name="Normal 5 4 2 3 3 3 2 2" xfId="6647" xr:uid="{00000000-0005-0000-0000-000072320000}"/>
    <cellStyle name="Normal 5 4 2 3 3 3 2 2 2" xfId="21159" xr:uid="{00000000-0005-0000-0000-000073320000}"/>
    <cellStyle name="Normal 5 4 2 3 3 3 2 2 3" xfId="13903" xr:uid="{00000000-0005-0000-0000-000074320000}"/>
    <cellStyle name="Normal 5 4 2 3 3 3 2 3" xfId="17531" xr:uid="{00000000-0005-0000-0000-000075320000}"/>
    <cellStyle name="Normal 5 4 2 3 3 3 2 4" xfId="10275" xr:uid="{00000000-0005-0000-0000-000076320000}"/>
    <cellStyle name="Normal 5 4 2 3 3 3 3" xfId="4833" xr:uid="{00000000-0005-0000-0000-000077320000}"/>
    <cellStyle name="Normal 5 4 2 3 3 3 3 2" xfId="19345" xr:uid="{00000000-0005-0000-0000-000078320000}"/>
    <cellStyle name="Normal 5 4 2 3 3 3 3 3" xfId="12089" xr:uid="{00000000-0005-0000-0000-000079320000}"/>
    <cellStyle name="Normal 5 4 2 3 3 3 4" xfId="15717" xr:uid="{00000000-0005-0000-0000-00007A320000}"/>
    <cellStyle name="Normal 5 4 2 3 3 3 5" xfId="8461" xr:uid="{00000000-0005-0000-0000-00007B320000}"/>
    <cellStyle name="Normal 5 4 2 3 3 4" xfId="2112" xr:uid="{00000000-0005-0000-0000-00007C320000}"/>
    <cellStyle name="Normal 5 4 2 3 3 4 2" xfId="5740" xr:uid="{00000000-0005-0000-0000-00007D320000}"/>
    <cellStyle name="Normal 5 4 2 3 3 4 2 2" xfId="20252" xr:uid="{00000000-0005-0000-0000-00007E320000}"/>
    <cellStyle name="Normal 5 4 2 3 3 4 2 3" xfId="12996" xr:uid="{00000000-0005-0000-0000-00007F320000}"/>
    <cellStyle name="Normal 5 4 2 3 3 4 3" xfId="16624" xr:uid="{00000000-0005-0000-0000-000080320000}"/>
    <cellStyle name="Normal 5 4 2 3 3 4 4" xfId="9368" xr:uid="{00000000-0005-0000-0000-000081320000}"/>
    <cellStyle name="Normal 5 4 2 3 3 5" xfId="3926" xr:uid="{00000000-0005-0000-0000-000082320000}"/>
    <cellStyle name="Normal 5 4 2 3 3 5 2" xfId="18438" xr:uid="{00000000-0005-0000-0000-000083320000}"/>
    <cellStyle name="Normal 5 4 2 3 3 5 3" xfId="11182" xr:uid="{00000000-0005-0000-0000-000084320000}"/>
    <cellStyle name="Normal 5 4 2 3 3 6" xfId="14810" xr:uid="{00000000-0005-0000-0000-000085320000}"/>
    <cellStyle name="Normal 5 4 2 3 3 7" xfId="7554" xr:uid="{00000000-0005-0000-0000-000086320000}"/>
    <cellStyle name="Normal 5 4 2 3 4" xfId="773" xr:uid="{00000000-0005-0000-0000-000087320000}"/>
    <cellStyle name="Normal 5 4 2 3 4 2" xfId="1681" xr:uid="{00000000-0005-0000-0000-000088320000}"/>
    <cellStyle name="Normal 5 4 2 3 4 2 2" xfId="3495" xr:uid="{00000000-0005-0000-0000-000089320000}"/>
    <cellStyle name="Normal 5 4 2 3 4 2 2 2" xfId="7123" xr:uid="{00000000-0005-0000-0000-00008A320000}"/>
    <cellStyle name="Normal 5 4 2 3 4 2 2 2 2" xfId="21635" xr:uid="{00000000-0005-0000-0000-00008B320000}"/>
    <cellStyle name="Normal 5 4 2 3 4 2 2 2 3" xfId="14379" xr:uid="{00000000-0005-0000-0000-00008C320000}"/>
    <cellStyle name="Normal 5 4 2 3 4 2 2 3" xfId="18007" xr:uid="{00000000-0005-0000-0000-00008D320000}"/>
    <cellStyle name="Normal 5 4 2 3 4 2 2 4" xfId="10751" xr:uid="{00000000-0005-0000-0000-00008E320000}"/>
    <cellStyle name="Normal 5 4 2 3 4 2 3" xfId="5309" xr:uid="{00000000-0005-0000-0000-00008F320000}"/>
    <cellStyle name="Normal 5 4 2 3 4 2 3 2" xfId="19821" xr:uid="{00000000-0005-0000-0000-000090320000}"/>
    <cellStyle name="Normal 5 4 2 3 4 2 3 3" xfId="12565" xr:uid="{00000000-0005-0000-0000-000091320000}"/>
    <cellStyle name="Normal 5 4 2 3 4 2 4" xfId="16193" xr:uid="{00000000-0005-0000-0000-000092320000}"/>
    <cellStyle name="Normal 5 4 2 3 4 2 5" xfId="8937" xr:uid="{00000000-0005-0000-0000-000093320000}"/>
    <cellStyle name="Normal 5 4 2 3 4 3" xfId="2588" xr:uid="{00000000-0005-0000-0000-000094320000}"/>
    <cellStyle name="Normal 5 4 2 3 4 3 2" xfId="6216" xr:uid="{00000000-0005-0000-0000-000095320000}"/>
    <cellStyle name="Normal 5 4 2 3 4 3 2 2" xfId="20728" xr:uid="{00000000-0005-0000-0000-000096320000}"/>
    <cellStyle name="Normal 5 4 2 3 4 3 2 3" xfId="13472" xr:uid="{00000000-0005-0000-0000-000097320000}"/>
    <cellStyle name="Normal 5 4 2 3 4 3 3" xfId="17100" xr:uid="{00000000-0005-0000-0000-000098320000}"/>
    <cellStyle name="Normal 5 4 2 3 4 3 4" xfId="9844" xr:uid="{00000000-0005-0000-0000-000099320000}"/>
    <cellStyle name="Normal 5 4 2 3 4 4" xfId="4402" xr:uid="{00000000-0005-0000-0000-00009A320000}"/>
    <cellStyle name="Normal 5 4 2 3 4 4 2" xfId="18914" xr:uid="{00000000-0005-0000-0000-00009B320000}"/>
    <cellStyle name="Normal 5 4 2 3 4 4 3" xfId="11658" xr:uid="{00000000-0005-0000-0000-00009C320000}"/>
    <cellStyle name="Normal 5 4 2 3 4 5" xfId="15286" xr:uid="{00000000-0005-0000-0000-00009D320000}"/>
    <cellStyle name="Normal 5 4 2 3 4 6" xfId="8030" xr:uid="{00000000-0005-0000-0000-00009E320000}"/>
    <cellStyle name="Normal 5 4 2 3 5" xfId="427" xr:uid="{00000000-0005-0000-0000-00009F320000}"/>
    <cellStyle name="Normal 5 4 2 3 5 2" xfId="1335" xr:uid="{00000000-0005-0000-0000-0000A0320000}"/>
    <cellStyle name="Normal 5 4 2 3 5 2 2" xfId="3149" xr:uid="{00000000-0005-0000-0000-0000A1320000}"/>
    <cellStyle name="Normal 5 4 2 3 5 2 2 2" xfId="6777" xr:uid="{00000000-0005-0000-0000-0000A2320000}"/>
    <cellStyle name="Normal 5 4 2 3 5 2 2 2 2" xfId="21289" xr:uid="{00000000-0005-0000-0000-0000A3320000}"/>
    <cellStyle name="Normal 5 4 2 3 5 2 2 2 3" xfId="14033" xr:uid="{00000000-0005-0000-0000-0000A4320000}"/>
    <cellStyle name="Normal 5 4 2 3 5 2 2 3" xfId="17661" xr:uid="{00000000-0005-0000-0000-0000A5320000}"/>
    <cellStyle name="Normal 5 4 2 3 5 2 2 4" xfId="10405" xr:uid="{00000000-0005-0000-0000-0000A6320000}"/>
    <cellStyle name="Normal 5 4 2 3 5 2 3" xfId="4963" xr:uid="{00000000-0005-0000-0000-0000A7320000}"/>
    <cellStyle name="Normal 5 4 2 3 5 2 3 2" xfId="19475" xr:uid="{00000000-0005-0000-0000-0000A8320000}"/>
    <cellStyle name="Normal 5 4 2 3 5 2 3 3" xfId="12219" xr:uid="{00000000-0005-0000-0000-0000A9320000}"/>
    <cellStyle name="Normal 5 4 2 3 5 2 4" xfId="15847" xr:uid="{00000000-0005-0000-0000-0000AA320000}"/>
    <cellStyle name="Normal 5 4 2 3 5 2 5" xfId="8591" xr:uid="{00000000-0005-0000-0000-0000AB320000}"/>
    <cellStyle name="Normal 5 4 2 3 5 3" xfId="2242" xr:uid="{00000000-0005-0000-0000-0000AC320000}"/>
    <cellStyle name="Normal 5 4 2 3 5 3 2" xfId="5870" xr:uid="{00000000-0005-0000-0000-0000AD320000}"/>
    <cellStyle name="Normal 5 4 2 3 5 3 2 2" xfId="20382" xr:uid="{00000000-0005-0000-0000-0000AE320000}"/>
    <cellStyle name="Normal 5 4 2 3 5 3 2 3" xfId="13126" xr:uid="{00000000-0005-0000-0000-0000AF320000}"/>
    <cellStyle name="Normal 5 4 2 3 5 3 3" xfId="16754" xr:uid="{00000000-0005-0000-0000-0000B0320000}"/>
    <cellStyle name="Normal 5 4 2 3 5 3 4" xfId="9498" xr:uid="{00000000-0005-0000-0000-0000B1320000}"/>
    <cellStyle name="Normal 5 4 2 3 5 4" xfId="4056" xr:uid="{00000000-0005-0000-0000-0000B2320000}"/>
    <cellStyle name="Normal 5 4 2 3 5 4 2" xfId="18568" xr:uid="{00000000-0005-0000-0000-0000B3320000}"/>
    <cellStyle name="Normal 5 4 2 3 5 4 3" xfId="11312" xr:uid="{00000000-0005-0000-0000-0000B4320000}"/>
    <cellStyle name="Normal 5 4 2 3 5 5" xfId="14940" xr:uid="{00000000-0005-0000-0000-0000B5320000}"/>
    <cellStyle name="Normal 5 4 2 3 5 6" xfId="7684" xr:uid="{00000000-0005-0000-0000-0000B6320000}"/>
    <cellStyle name="Normal 5 4 2 3 6" xfId="905" xr:uid="{00000000-0005-0000-0000-0000B7320000}"/>
    <cellStyle name="Normal 5 4 2 3 6 2" xfId="1812" xr:uid="{00000000-0005-0000-0000-0000B8320000}"/>
    <cellStyle name="Normal 5 4 2 3 6 2 2" xfId="3626" xr:uid="{00000000-0005-0000-0000-0000B9320000}"/>
    <cellStyle name="Normal 5 4 2 3 6 2 2 2" xfId="7254" xr:uid="{00000000-0005-0000-0000-0000BA320000}"/>
    <cellStyle name="Normal 5 4 2 3 6 2 2 2 2" xfId="21766" xr:uid="{00000000-0005-0000-0000-0000BB320000}"/>
    <cellStyle name="Normal 5 4 2 3 6 2 2 2 3" xfId="14510" xr:uid="{00000000-0005-0000-0000-0000BC320000}"/>
    <cellStyle name="Normal 5 4 2 3 6 2 2 3" xfId="18138" xr:uid="{00000000-0005-0000-0000-0000BD320000}"/>
    <cellStyle name="Normal 5 4 2 3 6 2 2 4" xfId="10882" xr:uid="{00000000-0005-0000-0000-0000BE320000}"/>
    <cellStyle name="Normal 5 4 2 3 6 2 3" xfId="5440" xr:uid="{00000000-0005-0000-0000-0000BF320000}"/>
    <cellStyle name="Normal 5 4 2 3 6 2 3 2" xfId="19952" xr:uid="{00000000-0005-0000-0000-0000C0320000}"/>
    <cellStyle name="Normal 5 4 2 3 6 2 3 3" xfId="12696" xr:uid="{00000000-0005-0000-0000-0000C1320000}"/>
    <cellStyle name="Normal 5 4 2 3 6 2 4" xfId="16324" xr:uid="{00000000-0005-0000-0000-0000C2320000}"/>
    <cellStyle name="Normal 5 4 2 3 6 2 5" xfId="9068" xr:uid="{00000000-0005-0000-0000-0000C3320000}"/>
    <cellStyle name="Normal 5 4 2 3 6 3" xfId="2719" xr:uid="{00000000-0005-0000-0000-0000C4320000}"/>
    <cellStyle name="Normal 5 4 2 3 6 3 2" xfId="6347" xr:uid="{00000000-0005-0000-0000-0000C5320000}"/>
    <cellStyle name="Normal 5 4 2 3 6 3 2 2" xfId="20859" xr:uid="{00000000-0005-0000-0000-0000C6320000}"/>
    <cellStyle name="Normal 5 4 2 3 6 3 2 3" xfId="13603" xr:uid="{00000000-0005-0000-0000-0000C7320000}"/>
    <cellStyle name="Normal 5 4 2 3 6 3 3" xfId="17231" xr:uid="{00000000-0005-0000-0000-0000C8320000}"/>
    <cellStyle name="Normal 5 4 2 3 6 3 4" xfId="9975" xr:uid="{00000000-0005-0000-0000-0000C9320000}"/>
    <cellStyle name="Normal 5 4 2 3 6 4" xfId="4533" xr:uid="{00000000-0005-0000-0000-0000CA320000}"/>
    <cellStyle name="Normal 5 4 2 3 6 4 2" xfId="19045" xr:uid="{00000000-0005-0000-0000-0000CB320000}"/>
    <cellStyle name="Normal 5 4 2 3 6 4 3" xfId="11789" xr:uid="{00000000-0005-0000-0000-0000CC320000}"/>
    <cellStyle name="Normal 5 4 2 3 6 5" xfId="15417" xr:uid="{00000000-0005-0000-0000-0000CD320000}"/>
    <cellStyle name="Normal 5 4 2 3 6 6" xfId="8161" xr:uid="{00000000-0005-0000-0000-0000CE320000}"/>
    <cellStyle name="Normal 5 4 2 3 7" xfId="989" xr:uid="{00000000-0005-0000-0000-0000CF320000}"/>
    <cellStyle name="Normal 5 4 2 3 7 2" xfId="2803" xr:uid="{00000000-0005-0000-0000-0000D0320000}"/>
    <cellStyle name="Normal 5 4 2 3 7 2 2" xfId="6431" xr:uid="{00000000-0005-0000-0000-0000D1320000}"/>
    <cellStyle name="Normal 5 4 2 3 7 2 2 2" xfId="20943" xr:uid="{00000000-0005-0000-0000-0000D2320000}"/>
    <cellStyle name="Normal 5 4 2 3 7 2 2 3" xfId="13687" xr:uid="{00000000-0005-0000-0000-0000D3320000}"/>
    <cellStyle name="Normal 5 4 2 3 7 2 3" xfId="17315" xr:uid="{00000000-0005-0000-0000-0000D4320000}"/>
    <cellStyle name="Normal 5 4 2 3 7 2 4" xfId="10059" xr:uid="{00000000-0005-0000-0000-0000D5320000}"/>
    <cellStyle name="Normal 5 4 2 3 7 3" xfId="4617" xr:uid="{00000000-0005-0000-0000-0000D6320000}"/>
    <cellStyle name="Normal 5 4 2 3 7 3 2" xfId="19129" xr:uid="{00000000-0005-0000-0000-0000D7320000}"/>
    <cellStyle name="Normal 5 4 2 3 7 3 3" xfId="11873" xr:uid="{00000000-0005-0000-0000-0000D8320000}"/>
    <cellStyle name="Normal 5 4 2 3 7 4" xfId="15501" xr:uid="{00000000-0005-0000-0000-0000D9320000}"/>
    <cellStyle name="Normal 5 4 2 3 7 5" xfId="8245" xr:uid="{00000000-0005-0000-0000-0000DA320000}"/>
    <cellStyle name="Normal 5 4 2 3 8" xfId="1896" xr:uid="{00000000-0005-0000-0000-0000DB320000}"/>
    <cellStyle name="Normal 5 4 2 3 8 2" xfId="5524" xr:uid="{00000000-0005-0000-0000-0000DC320000}"/>
    <cellStyle name="Normal 5 4 2 3 8 2 2" xfId="20036" xr:uid="{00000000-0005-0000-0000-0000DD320000}"/>
    <cellStyle name="Normal 5 4 2 3 8 2 3" xfId="12780" xr:uid="{00000000-0005-0000-0000-0000DE320000}"/>
    <cellStyle name="Normal 5 4 2 3 8 3" xfId="16408" xr:uid="{00000000-0005-0000-0000-0000DF320000}"/>
    <cellStyle name="Normal 5 4 2 3 8 4" xfId="9152" xr:uid="{00000000-0005-0000-0000-0000E0320000}"/>
    <cellStyle name="Normal 5 4 2 3 9" xfId="3710" xr:uid="{00000000-0005-0000-0000-0000E1320000}"/>
    <cellStyle name="Normal 5 4 2 3 9 2" xfId="18222" xr:uid="{00000000-0005-0000-0000-0000E2320000}"/>
    <cellStyle name="Normal 5 4 2 3 9 3" xfId="10966" xr:uid="{00000000-0005-0000-0000-0000E3320000}"/>
    <cellStyle name="Normal 5 4 2 4" xfId="211" xr:uid="{00000000-0005-0000-0000-0000E4320000}"/>
    <cellStyle name="Normal 5 4 2 4 2" xfId="341" xr:uid="{00000000-0005-0000-0000-0000E5320000}"/>
    <cellStyle name="Normal 5 4 2 4 2 2" xfId="687" xr:uid="{00000000-0005-0000-0000-0000E6320000}"/>
    <cellStyle name="Normal 5 4 2 4 2 2 2" xfId="1595" xr:uid="{00000000-0005-0000-0000-0000E7320000}"/>
    <cellStyle name="Normal 5 4 2 4 2 2 2 2" xfId="3409" xr:uid="{00000000-0005-0000-0000-0000E8320000}"/>
    <cellStyle name="Normal 5 4 2 4 2 2 2 2 2" xfId="7037" xr:uid="{00000000-0005-0000-0000-0000E9320000}"/>
    <cellStyle name="Normal 5 4 2 4 2 2 2 2 2 2" xfId="21549" xr:uid="{00000000-0005-0000-0000-0000EA320000}"/>
    <cellStyle name="Normal 5 4 2 4 2 2 2 2 2 3" xfId="14293" xr:uid="{00000000-0005-0000-0000-0000EB320000}"/>
    <cellStyle name="Normal 5 4 2 4 2 2 2 2 3" xfId="17921" xr:uid="{00000000-0005-0000-0000-0000EC320000}"/>
    <cellStyle name="Normal 5 4 2 4 2 2 2 2 4" xfId="10665" xr:uid="{00000000-0005-0000-0000-0000ED320000}"/>
    <cellStyle name="Normal 5 4 2 4 2 2 2 3" xfId="5223" xr:uid="{00000000-0005-0000-0000-0000EE320000}"/>
    <cellStyle name="Normal 5 4 2 4 2 2 2 3 2" xfId="19735" xr:uid="{00000000-0005-0000-0000-0000EF320000}"/>
    <cellStyle name="Normal 5 4 2 4 2 2 2 3 3" xfId="12479" xr:uid="{00000000-0005-0000-0000-0000F0320000}"/>
    <cellStyle name="Normal 5 4 2 4 2 2 2 4" xfId="16107" xr:uid="{00000000-0005-0000-0000-0000F1320000}"/>
    <cellStyle name="Normal 5 4 2 4 2 2 2 5" xfId="8851" xr:uid="{00000000-0005-0000-0000-0000F2320000}"/>
    <cellStyle name="Normal 5 4 2 4 2 2 3" xfId="2502" xr:uid="{00000000-0005-0000-0000-0000F3320000}"/>
    <cellStyle name="Normal 5 4 2 4 2 2 3 2" xfId="6130" xr:uid="{00000000-0005-0000-0000-0000F4320000}"/>
    <cellStyle name="Normal 5 4 2 4 2 2 3 2 2" xfId="20642" xr:uid="{00000000-0005-0000-0000-0000F5320000}"/>
    <cellStyle name="Normal 5 4 2 4 2 2 3 2 3" xfId="13386" xr:uid="{00000000-0005-0000-0000-0000F6320000}"/>
    <cellStyle name="Normal 5 4 2 4 2 2 3 3" xfId="17014" xr:uid="{00000000-0005-0000-0000-0000F7320000}"/>
    <cellStyle name="Normal 5 4 2 4 2 2 3 4" xfId="9758" xr:uid="{00000000-0005-0000-0000-0000F8320000}"/>
    <cellStyle name="Normal 5 4 2 4 2 2 4" xfId="4316" xr:uid="{00000000-0005-0000-0000-0000F9320000}"/>
    <cellStyle name="Normal 5 4 2 4 2 2 4 2" xfId="18828" xr:uid="{00000000-0005-0000-0000-0000FA320000}"/>
    <cellStyle name="Normal 5 4 2 4 2 2 4 3" xfId="11572" xr:uid="{00000000-0005-0000-0000-0000FB320000}"/>
    <cellStyle name="Normal 5 4 2 4 2 2 5" xfId="15200" xr:uid="{00000000-0005-0000-0000-0000FC320000}"/>
    <cellStyle name="Normal 5 4 2 4 2 2 6" xfId="7944" xr:uid="{00000000-0005-0000-0000-0000FD320000}"/>
    <cellStyle name="Normal 5 4 2 4 2 3" xfId="1249" xr:uid="{00000000-0005-0000-0000-0000FE320000}"/>
    <cellStyle name="Normal 5 4 2 4 2 3 2" xfId="3063" xr:uid="{00000000-0005-0000-0000-0000FF320000}"/>
    <cellStyle name="Normal 5 4 2 4 2 3 2 2" xfId="6691" xr:uid="{00000000-0005-0000-0000-000000330000}"/>
    <cellStyle name="Normal 5 4 2 4 2 3 2 2 2" xfId="21203" xr:uid="{00000000-0005-0000-0000-000001330000}"/>
    <cellStyle name="Normal 5 4 2 4 2 3 2 2 3" xfId="13947" xr:uid="{00000000-0005-0000-0000-000002330000}"/>
    <cellStyle name="Normal 5 4 2 4 2 3 2 3" xfId="17575" xr:uid="{00000000-0005-0000-0000-000003330000}"/>
    <cellStyle name="Normal 5 4 2 4 2 3 2 4" xfId="10319" xr:uid="{00000000-0005-0000-0000-000004330000}"/>
    <cellStyle name="Normal 5 4 2 4 2 3 3" xfId="4877" xr:uid="{00000000-0005-0000-0000-000005330000}"/>
    <cellStyle name="Normal 5 4 2 4 2 3 3 2" xfId="19389" xr:uid="{00000000-0005-0000-0000-000006330000}"/>
    <cellStyle name="Normal 5 4 2 4 2 3 3 3" xfId="12133" xr:uid="{00000000-0005-0000-0000-000007330000}"/>
    <cellStyle name="Normal 5 4 2 4 2 3 4" xfId="15761" xr:uid="{00000000-0005-0000-0000-000008330000}"/>
    <cellStyle name="Normal 5 4 2 4 2 3 5" xfId="8505" xr:uid="{00000000-0005-0000-0000-000009330000}"/>
    <cellStyle name="Normal 5 4 2 4 2 4" xfId="2156" xr:uid="{00000000-0005-0000-0000-00000A330000}"/>
    <cellStyle name="Normal 5 4 2 4 2 4 2" xfId="5784" xr:uid="{00000000-0005-0000-0000-00000B330000}"/>
    <cellStyle name="Normal 5 4 2 4 2 4 2 2" xfId="20296" xr:uid="{00000000-0005-0000-0000-00000C330000}"/>
    <cellStyle name="Normal 5 4 2 4 2 4 2 3" xfId="13040" xr:uid="{00000000-0005-0000-0000-00000D330000}"/>
    <cellStyle name="Normal 5 4 2 4 2 4 3" xfId="16668" xr:uid="{00000000-0005-0000-0000-00000E330000}"/>
    <cellStyle name="Normal 5 4 2 4 2 4 4" xfId="9412" xr:uid="{00000000-0005-0000-0000-00000F330000}"/>
    <cellStyle name="Normal 5 4 2 4 2 5" xfId="3970" xr:uid="{00000000-0005-0000-0000-000010330000}"/>
    <cellStyle name="Normal 5 4 2 4 2 5 2" xfId="18482" xr:uid="{00000000-0005-0000-0000-000011330000}"/>
    <cellStyle name="Normal 5 4 2 4 2 5 3" xfId="11226" xr:uid="{00000000-0005-0000-0000-000012330000}"/>
    <cellStyle name="Normal 5 4 2 4 2 6" xfId="14854" xr:uid="{00000000-0005-0000-0000-000013330000}"/>
    <cellStyle name="Normal 5 4 2 4 2 7" xfId="7598" xr:uid="{00000000-0005-0000-0000-000014330000}"/>
    <cellStyle name="Normal 5 4 2 4 3" xfId="817" xr:uid="{00000000-0005-0000-0000-000015330000}"/>
    <cellStyle name="Normal 5 4 2 4 3 2" xfId="1725" xr:uid="{00000000-0005-0000-0000-000016330000}"/>
    <cellStyle name="Normal 5 4 2 4 3 2 2" xfId="3539" xr:uid="{00000000-0005-0000-0000-000017330000}"/>
    <cellStyle name="Normal 5 4 2 4 3 2 2 2" xfId="7167" xr:uid="{00000000-0005-0000-0000-000018330000}"/>
    <cellStyle name="Normal 5 4 2 4 3 2 2 2 2" xfId="21679" xr:uid="{00000000-0005-0000-0000-000019330000}"/>
    <cellStyle name="Normal 5 4 2 4 3 2 2 2 3" xfId="14423" xr:uid="{00000000-0005-0000-0000-00001A330000}"/>
    <cellStyle name="Normal 5 4 2 4 3 2 2 3" xfId="18051" xr:uid="{00000000-0005-0000-0000-00001B330000}"/>
    <cellStyle name="Normal 5 4 2 4 3 2 2 4" xfId="10795" xr:uid="{00000000-0005-0000-0000-00001C330000}"/>
    <cellStyle name="Normal 5 4 2 4 3 2 3" xfId="5353" xr:uid="{00000000-0005-0000-0000-00001D330000}"/>
    <cellStyle name="Normal 5 4 2 4 3 2 3 2" xfId="19865" xr:uid="{00000000-0005-0000-0000-00001E330000}"/>
    <cellStyle name="Normal 5 4 2 4 3 2 3 3" xfId="12609" xr:uid="{00000000-0005-0000-0000-00001F330000}"/>
    <cellStyle name="Normal 5 4 2 4 3 2 4" xfId="16237" xr:uid="{00000000-0005-0000-0000-000020330000}"/>
    <cellStyle name="Normal 5 4 2 4 3 2 5" xfId="8981" xr:uid="{00000000-0005-0000-0000-000021330000}"/>
    <cellStyle name="Normal 5 4 2 4 3 3" xfId="2632" xr:uid="{00000000-0005-0000-0000-000022330000}"/>
    <cellStyle name="Normal 5 4 2 4 3 3 2" xfId="6260" xr:uid="{00000000-0005-0000-0000-000023330000}"/>
    <cellStyle name="Normal 5 4 2 4 3 3 2 2" xfId="20772" xr:uid="{00000000-0005-0000-0000-000024330000}"/>
    <cellStyle name="Normal 5 4 2 4 3 3 2 3" xfId="13516" xr:uid="{00000000-0005-0000-0000-000025330000}"/>
    <cellStyle name="Normal 5 4 2 4 3 3 3" xfId="17144" xr:uid="{00000000-0005-0000-0000-000026330000}"/>
    <cellStyle name="Normal 5 4 2 4 3 3 4" xfId="9888" xr:uid="{00000000-0005-0000-0000-000027330000}"/>
    <cellStyle name="Normal 5 4 2 4 3 4" xfId="4446" xr:uid="{00000000-0005-0000-0000-000028330000}"/>
    <cellStyle name="Normal 5 4 2 4 3 4 2" xfId="18958" xr:uid="{00000000-0005-0000-0000-000029330000}"/>
    <cellStyle name="Normal 5 4 2 4 3 4 3" xfId="11702" xr:uid="{00000000-0005-0000-0000-00002A330000}"/>
    <cellStyle name="Normal 5 4 2 4 3 5" xfId="15330" xr:uid="{00000000-0005-0000-0000-00002B330000}"/>
    <cellStyle name="Normal 5 4 2 4 3 6" xfId="8074" xr:uid="{00000000-0005-0000-0000-00002C330000}"/>
    <cellStyle name="Normal 5 4 2 4 4" xfId="557" xr:uid="{00000000-0005-0000-0000-00002D330000}"/>
    <cellStyle name="Normal 5 4 2 4 4 2" xfId="1465" xr:uid="{00000000-0005-0000-0000-00002E330000}"/>
    <cellStyle name="Normal 5 4 2 4 4 2 2" xfId="3279" xr:uid="{00000000-0005-0000-0000-00002F330000}"/>
    <cellStyle name="Normal 5 4 2 4 4 2 2 2" xfId="6907" xr:uid="{00000000-0005-0000-0000-000030330000}"/>
    <cellStyle name="Normal 5 4 2 4 4 2 2 2 2" xfId="21419" xr:uid="{00000000-0005-0000-0000-000031330000}"/>
    <cellStyle name="Normal 5 4 2 4 4 2 2 2 3" xfId="14163" xr:uid="{00000000-0005-0000-0000-000032330000}"/>
    <cellStyle name="Normal 5 4 2 4 4 2 2 3" xfId="17791" xr:uid="{00000000-0005-0000-0000-000033330000}"/>
    <cellStyle name="Normal 5 4 2 4 4 2 2 4" xfId="10535" xr:uid="{00000000-0005-0000-0000-000034330000}"/>
    <cellStyle name="Normal 5 4 2 4 4 2 3" xfId="5093" xr:uid="{00000000-0005-0000-0000-000035330000}"/>
    <cellStyle name="Normal 5 4 2 4 4 2 3 2" xfId="19605" xr:uid="{00000000-0005-0000-0000-000036330000}"/>
    <cellStyle name="Normal 5 4 2 4 4 2 3 3" xfId="12349" xr:uid="{00000000-0005-0000-0000-000037330000}"/>
    <cellStyle name="Normal 5 4 2 4 4 2 4" xfId="15977" xr:uid="{00000000-0005-0000-0000-000038330000}"/>
    <cellStyle name="Normal 5 4 2 4 4 2 5" xfId="8721" xr:uid="{00000000-0005-0000-0000-000039330000}"/>
    <cellStyle name="Normal 5 4 2 4 4 3" xfId="2372" xr:uid="{00000000-0005-0000-0000-00003A330000}"/>
    <cellStyle name="Normal 5 4 2 4 4 3 2" xfId="6000" xr:uid="{00000000-0005-0000-0000-00003B330000}"/>
    <cellStyle name="Normal 5 4 2 4 4 3 2 2" xfId="20512" xr:uid="{00000000-0005-0000-0000-00003C330000}"/>
    <cellStyle name="Normal 5 4 2 4 4 3 2 3" xfId="13256" xr:uid="{00000000-0005-0000-0000-00003D330000}"/>
    <cellStyle name="Normal 5 4 2 4 4 3 3" xfId="16884" xr:uid="{00000000-0005-0000-0000-00003E330000}"/>
    <cellStyle name="Normal 5 4 2 4 4 3 4" xfId="9628" xr:uid="{00000000-0005-0000-0000-00003F330000}"/>
    <cellStyle name="Normal 5 4 2 4 4 4" xfId="4186" xr:uid="{00000000-0005-0000-0000-000040330000}"/>
    <cellStyle name="Normal 5 4 2 4 4 4 2" xfId="18698" xr:uid="{00000000-0005-0000-0000-000041330000}"/>
    <cellStyle name="Normal 5 4 2 4 4 4 3" xfId="11442" xr:uid="{00000000-0005-0000-0000-000042330000}"/>
    <cellStyle name="Normal 5 4 2 4 4 5" xfId="15070" xr:uid="{00000000-0005-0000-0000-000043330000}"/>
    <cellStyle name="Normal 5 4 2 4 4 6" xfId="7814" xr:uid="{00000000-0005-0000-0000-000044330000}"/>
    <cellStyle name="Normal 5 4 2 4 5" xfId="1119" xr:uid="{00000000-0005-0000-0000-000045330000}"/>
    <cellStyle name="Normal 5 4 2 4 5 2" xfId="2933" xr:uid="{00000000-0005-0000-0000-000046330000}"/>
    <cellStyle name="Normal 5 4 2 4 5 2 2" xfId="6561" xr:uid="{00000000-0005-0000-0000-000047330000}"/>
    <cellStyle name="Normal 5 4 2 4 5 2 2 2" xfId="21073" xr:uid="{00000000-0005-0000-0000-000048330000}"/>
    <cellStyle name="Normal 5 4 2 4 5 2 2 3" xfId="13817" xr:uid="{00000000-0005-0000-0000-000049330000}"/>
    <cellStyle name="Normal 5 4 2 4 5 2 3" xfId="17445" xr:uid="{00000000-0005-0000-0000-00004A330000}"/>
    <cellStyle name="Normal 5 4 2 4 5 2 4" xfId="10189" xr:uid="{00000000-0005-0000-0000-00004B330000}"/>
    <cellStyle name="Normal 5 4 2 4 5 3" xfId="4747" xr:uid="{00000000-0005-0000-0000-00004C330000}"/>
    <cellStyle name="Normal 5 4 2 4 5 3 2" xfId="19259" xr:uid="{00000000-0005-0000-0000-00004D330000}"/>
    <cellStyle name="Normal 5 4 2 4 5 3 3" xfId="12003" xr:uid="{00000000-0005-0000-0000-00004E330000}"/>
    <cellStyle name="Normal 5 4 2 4 5 4" xfId="15631" xr:uid="{00000000-0005-0000-0000-00004F330000}"/>
    <cellStyle name="Normal 5 4 2 4 5 5" xfId="8375" xr:uid="{00000000-0005-0000-0000-000050330000}"/>
    <cellStyle name="Normal 5 4 2 4 6" xfId="2026" xr:uid="{00000000-0005-0000-0000-000051330000}"/>
    <cellStyle name="Normal 5 4 2 4 6 2" xfId="5654" xr:uid="{00000000-0005-0000-0000-000052330000}"/>
    <cellStyle name="Normal 5 4 2 4 6 2 2" xfId="20166" xr:uid="{00000000-0005-0000-0000-000053330000}"/>
    <cellStyle name="Normal 5 4 2 4 6 2 3" xfId="12910" xr:uid="{00000000-0005-0000-0000-000054330000}"/>
    <cellStyle name="Normal 5 4 2 4 6 3" xfId="16538" xr:uid="{00000000-0005-0000-0000-000055330000}"/>
    <cellStyle name="Normal 5 4 2 4 6 4" xfId="9282" xr:uid="{00000000-0005-0000-0000-000056330000}"/>
    <cellStyle name="Normal 5 4 2 4 7" xfId="3840" xr:uid="{00000000-0005-0000-0000-000057330000}"/>
    <cellStyle name="Normal 5 4 2 4 7 2" xfId="18352" xr:uid="{00000000-0005-0000-0000-000058330000}"/>
    <cellStyle name="Normal 5 4 2 4 7 3" xfId="11096" xr:uid="{00000000-0005-0000-0000-000059330000}"/>
    <cellStyle name="Normal 5 4 2 4 8" xfId="14724" xr:uid="{00000000-0005-0000-0000-00005A330000}"/>
    <cellStyle name="Normal 5 4 2 4 9" xfId="7468" xr:uid="{00000000-0005-0000-0000-00005B330000}"/>
    <cellStyle name="Normal 5 4 2 5" xfId="125" xr:uid="{00000000-0005-0000-0000-00005C330000}"/>
    <cellStyle name="Normal 5 4 2 5 2" xfId="471" xr:uid="{00000000-0005-0000-0000-00005D330000}"/>
    <cellStyle name="Normal 5 4 2 5 2 2" xfId="1379" xr:uid="{00000000-0005-0000-0000-00005E330000}"/>
    <cellStyle name="Normal 5 4 2 5 2 2 2" xfId="3193" xr:uid="{00000000-0005-0000-0000-00005F330000}"/>
    <cellStyle name="Normal 5 4 2 5 2 2 2 2" xfId="6821" xr:uid="{00000000-0005-0000-0000-000060330000}"/>
    <cellStyle name="Normal 5 4 2 5 2 2 2 2 2" xfId="21333" xr:uid="{00000000-0005-0000-0000-000061330000}"/>
    <cellStyle name="Normal 5 4 2 5 2 2 2 2 3" xfId="14077" xr:uid="{00000000-0005-0000-0000-000062330000}"/>
    <cellStyle name="Normal 5 4 2 5 2 2 2 3" xfId="17705" xr:uid="{00000000-0005-0000-0000-000063330000}"/>
    <cellStyle name="Normal 5 4 2 5 2 2 2 4" xfId="10449" xr:uid="{00000000-0005-0000-0000-000064330000}"/>
    <cellStyle name="Normal 5 4 2 5 2 2 3" xfId="5007" xr:uid="{00000000-0005-0000-0000-000065330000}"/>
    <cellStyle name="Normal 5 4 2 5 2 2 3 2" xfId="19519" xr:uid="{00000000-0005-0000-0000-000066330000}"/>
    <cellStyle name="Normal 5 4 2 5 2 2 3 3" xfId="12263" xr:uid="{00000000-0005-0000-0000-000067330000}"/>
    <cellStyle name="Normal 5 4 2 5 2 2 4" xfId="15891" xr:uid="{00000000-0005-0000-0000-000068330000}"/>
    <cellStyle name="Normal 5 4 2 5 2 2 5" xfId="8635" xr:uid="{00000000-0005-0000-0000-000069330000}"/>
    <cellStyle name="Normal 5 4 2 5 2 3" xfId="2286" xr:uid="{00000000-0005-0000-0000-00006A330000}"/>
    <cellStyle name="Normal 5 4 2 5 2 3 2" xfId="5914" xr:uid="{00000000-0005-0000-0000-00006B330000}"/>
    <cellStyle name="Normal 5 4 2 5 2 3 2 2" xfId="20426" xr:uid="{00000000-0005-0000-0000-00006C330000}"/>
    <cellStyle name="Normal 5 4 2 5 2 3 2 3" xfId="13170" xr:uid="{00000000-0005-0000-0000-00006D330000}"/>
    <cellStyle name="Normal 5 4 2 5 2 3 3" xfId="16798" xr:uid="{00000000-0005-0000-0000-00006E330000}"/>
    <cellStyle name="Normal 5 4 2 5 2 3 4" xfId="9542" xr:uid="{00000000-0005-0000-0000-00006F330000}"/>
    <cellStyle name="Normal 5 4 2 5 2 4" xfId="4100" xr:uid="{00000000-0005-0000-0000-000070330000}"/>
    <cellStyle name="Normal 5 4 2 5 2 4 2" xfId="18612" xr:uid="{00000000-0005-0000-0000-000071330000}"/>
    <cellStyle name="Normal 5 4 2 5 2 4 3" xfId="11356" xr:uid="{00000000-0005-0000-0000-000072330000}"/>
    <cellStyle name="Normal 5 4 2 5 2 5" xfId="14984" xr:uid="{00000000-0005-0000-0000-000073330000}"/>
    <cellStyle name="Normal 5 4 2 5 2 6" xfId="7728" xr:uid="{00000000-0005-0000-0000-000074330000}"/>
    <cellStyle name="Normal 5 4 2 5 3" xfId="1033" xr:uid="{00000000-0005-0000-0000-000075330000}"/>
    <cellStyle name="Normal 5 4 2 5 3 2" xfId="2847" xr:uid="{00000000-0005-0000-0000-000076330000}"/>
    <cellStyle name="Normal 5 4 2 5 3 2 2" xfId="6475" xr:uid="{00000000-0005-0000-0000-000077330000}"/>
    <cellStyle name="Normal 5 4 2 5 3 2 2 2" xfId="20987" xr:uid="{00000000-0005-0000-0000-000078330000}"/>
    <cellStyle name="Normal 5 4 2 5 3 2 2 3" xfId="13731" xr:uid="{00000000-0005-0000-0000-000079330000}"/>
    <cellStyle name="Normal 5 4 2 5 3 2 3" xfId="17359" xr:uid="{00000000-0005-0000-0000-00007A330000}"/>
    <cellStyle name="Normal 5 4 2 5 3 2 4" xfId="10103" xr:uid="{00000000-0005-0000-0000-00007B330000}"/>
    <cellStyle name="Normal 5 4 2 5 3 3" xfId="4661" xr:uid="{00000000-0005-0000-0000-00007C330000}"/>
    <cellStyle name="Normal 5 4 2 5 3 3 2" xfId="19173" xr:uid="{00000000-0005-0000-0000-00007D330000}"/>
    <cellStyle name="Normal 5 4 2 5 3 3 3" xfId="11917" xr:uid="{00000000-0005-0000-0000-00007E330000}"/>
    <cellStyle name="Normal 5 4 2 5 3 4" xfId="15545" xr:uid="{00000000-0005-0000-0000-00007F330000}"/>
    <cellStyle name="Normal 5 4 2 5 3 5" xfId="8289" xr:uid="{00000000-0005-0000-0000-000080330000}"/>
    <cellStyle name="Normal 5 4 2 5 4" xfId="1940" xr:uid="{00000000-0005-0000-0000-000081330000}"/>
    <cellStyle name="Normal 5 4 2 5 4 2" xfId="5568" xr:uid="{00000000-0005-0000-0000-000082330000}"/>
    <cellStyle name="Normal 5 4 2 5 4 2 2" xfId="20080" xr:uid="{00000000-0005-0000-0000-000083330000}"/>
    <cellStyle name="Normal 5 4 2 5 4 2 3" xfId="12824" xr:uid="{00000000-0005-0000-0000-000084330000}"/>
    <cellStyle name="Normal 5 4 2 5 4 3" xfId="16452" xr:uid="{00000000-0005-0000-0000-000085330000}"/>
    <cellStyle name="Normal 5 4 2 5 4 4" xfId="9196" xr:uid="{00000000-0005-0000-0000-000086330000}"/>
    <cellStyle name="Normal 5 4 2 5 5" xfId="3754" xr:uid="{00000000-0005-0000-0000-000087330000}"/>
    <cellStyle name="Normal 5 4 2 5 5 2" xfId="18266" xr:uid="{00000000-0005-0000-0000-000088330000}"/>
    <cellStyle name="Normal 5 4 2 5 5 3" xfId="11010" xr:uid="{00000000-0005-0000-0000-000089330000}"/>
    <cellStyle name="Normal 5 4 2 5 6" xfId="14638" xr:uid="{00000000-0005-0000-0000-00008A330000}"/>
    <cellStyle name="Normal 5 4 2 5 7" xfId="7382" xr:uid="{00000000-0005-0000-0000-00008B330000}"/>
    <cellStyle name="Normal 5 4 2 6" xfId="255" xr:uid="{00000000-0005-0000-0000-00008C330000}"/>
    <cellStyle name="Normal 5 4 2 6 2" xfId="601" xr:uid="{00000000-0005-0000-0000-00008D330000}"/>
    <cellStyle name="Normal 5 4 2 6 2 2" xfId="1509" xr:uid="{00000000-0005-0000-0000-00008E330000}"/>
    <cellStyle name="Normal 5 4 2 6 2 2 2" xfId="3323" xr:uid="{00000000-0005-0000-0000-00008F330000}"/>
    <cellStyle name="Normal 5 4 2 6 2 2 2 2" xfId="6951" xr:uid="{00000000-0005-0000-0000-000090330000}"/>
    <cellStyle name="Normal 5 4 2 6 2 2 2 2 2" xfId="21463" xr:uid="{00000000-0005-0000-0000-000091330000}"/>
    <cellStyle name="Normal 5 4 2 6 2 2 2 2 3" xfId="14207" xr:uid="{00000000-0005-0000-0000-000092330000}"/>
    <cellStyle name="Normal 5 4 2 6 2 2 2 3" xfId="17835" xr:uid="{00000000-0005-0000-0000-000093330000}"/>
    <cellStyle name="Normal 5 4 2 6 2 2 2 4" xfId="10579" xr:uid="{00000000-0005-0000-0000-000094330000}"/>
    <cellStyle name="Normal 5 4 2 6 2 2 3" xfId="5137" xr:uid="{00000000-0005-0000-0000-000095330000}"/>
    <cellStyle name="Normal 5 4 2 6 2 2 3 2" xfId="19649" xr:uid="{00000000-0005-0000-0000-000096330000}"/>
    <cellStyle name="Normal 5 4 2 6 2 2 3 3" xfId="12393" xr:uid="{00000000-0005-0000-0000-000097330000}"/>
    <cellStyle name="Normal 5 4 2 6 2 2 4" xfId="16021" xr:uid="{00000000-0005-0000-0000-000098330000}"/>
    <cellStyle name="Normal 5 4 2 6 2 2 5" xfId="8765" xr:uid="{00000000-0005-0000-0000-000099330000}"/>
    <cellStyle name="Normal 5 4 2 6 2 3" xfId="2416" xr:uid="{00000000-0005-0000-0000-00009A330000}"/>
    <cellStyle name="Normal 5 4 2 6 2 3 2" xfId="6044" xr:uid="{00000000-0005-0000-0000-00009B330000}"/>
    <cellStyle name="Normal 5 4 2 6 2 3 2 2" xfId="20556" xr:uid="{00000000-0005-0000-0000-00009C330000}"/>
    <cellStyle name="Normal 5 4 2 6 2 3 2 3" xfId="13300" xr:uid="{00000000-0005-0000-0000-00009D330000}"/>
    <cellStyle name="Normal 5 4 2 6 2 3 3" xfId="16928" xr:uid="{00000000-0005-0000-0000-00009E330000}"/>
    <cellStyle name="Normal 5 4 2 6 2 3 4" xfId="9672" xr:uid="{00000000-0005-0000-0000-00009F330000}"/>
    <cellStyle name="Normal 5 4 2 6 2 4" xfId="4230" xr:uid="{00000000-0005-0000-0000-0000A0330000}"/>
    <cellStyle name="Normal 5 4 2 6 2 4 2" xfId="18742" xr:uid="{00000000-0005-0000-0000-0000A1330000}"/>
    <cellStyle name="Normal 5 4 2 6 2 4 3" xfId="11486" xr:uid="{00000000-0005-0000-0000-0000A2330000}"/>
    <cellStyle name="Normal 5 4 2 6 2 5" xfId="15114" xr:uid="{00000000-0005-0000-0000-0000A3330000}"/>
    <cellStyle name="Normal 5 4 2 6 2 6" xfId="7858" xr:uid="{00000000-0005-0000-0000-0000A4330000}"/>
    <cellStyle name="Normal 5 4 2 6 3" xfId="1163" xr:uid="{00000000-0005-0000-0000-0000A5330000}"/>
    <cellStyle name="Normal 5 4 2 6 3 2" xfId="2977" xr:uid="{00000000-0005-0000-0000-0000A6330000}"/>
    <cellStyle name="Normal 5 4 2 6 3 2 2" xfId="6605" xr:uid="{00000000-0005-0000-0000-0000A7330000}"/>
    <cellStyle name="Normal 5 4 2 6 3 2 2 2" xfId="21117" xr:uid="{00000000-0005-0000-0000-0000A8330000}"/>
    <cellStyle name="Normal 5 4 2 6 3 2 2 3" xfId="13861" xr:uid="{00000000-0005-0000-0000-0000A9330000}"/>
    <cellStyle name="Normal 5 4 2 6 3 2 3" xfId="17489" xr:uid="{00000000-0005-0000-0000-0000AA330000}"/>
    <cellStyle name="Normal 5 4 2 6 3 2 4" xfId="10233" xr:uid="{00000000-0005-0000-0000-0000AB330000}"/>
    <cellStyle name="Normal 5 4 2 6 3 3" xfId="4791" xr:uid="{00000000-0005-0000-0000-0000AC330000}"/>
    <cellStyle name="Normal 5 4 2 6 3 3 2" xfId="19303" xr:uid="{00000000-0005-0000-0000-0000AD330000}"/>
    <cellStyle name="Normal 5 4 2 6 3 3 3" xfId="12047" xr:uid="{00000000-0005-0000-0000-0000AE330000}"/>
    <cellStyle name="Normal 5 4 2 6 3 4" xfId="15675" xr:uid="{00000000-0005-0000-0000-0000AF330000}"/>
    <cellStyle name="Normal 5 4 2 6 3 5" xfId="8419" xr:uid="{00000000-0005-0000-0000-0000B0330000}"/>
    <cellStyle name="Normal 5 4 2 6 4" xfId="2070" xr:uid="{00000000-0005-0000-0000-0000B1330000}"/>
    <cellStyle name="Normal 5 4 2 6 4 2" xfId="5698" xr:uid="{00000000-0005-0000-0000-0000B2330000}"/>
    <cellStyle name="Normal 5 4 2 6 4 2 2" xfId="20210" xr:uid="{00000000-0005-0000-0000-0000B3330000}"/>
    <cellStyle name="Normal 5 4 2 6 4 2 3" xfId="12954" xr:uid="{00000000-0005-0000-0000-0000B4330000}"/>
    <cellStyle name="Normal 5 4 2 6 4 3" xfId="16582" xr:uid="{00000000-0005-0000-0000-0000B5330000}"/>
    <cellStyle name="Normal 5 4 2 6 4 4" xfId="9326" xr:uid="{00000000-0005-0000-0000-0000B6330000}"/>
    <cellStyle name="Normal 5 4 2 6 5" xfId="3884" xr:uid="{00000000-0005-0000-0000-0000B7330000}"/>
    <cellStyle name="Normal 5 4 2 6 5 2" xfId="18396" xr:uid="{00000000-0005-0000-0000-0000B8330000}"/>
    <cellStyle name="Normal 5 4 2 6 5 3" xfId="11140" xr:uid="{00000000-0005-0000-0000-0000B9330000}"/>
    <cellStyle name="Normal 5 4 2 6 6" xfId="14768" xr:uid="{00000000-0005-0000-0000-0000BA330000}"/>
    <cellStyle name="Normal 5 4 2 6 7" xfId="7512" xr:uid="{00000000-0005-0000-0000-0000BB330000}"/>
    <cellStyle name="Normal 5 4 2 7" xfId="731" xr:uid="{00000000-0005-0000-0000-0000BC330000}"/>
    <cellStyle name="Normal 5 4 2 7 2" xfId="1639" xr:uid="{00000000-0005-0000-0000-0000BD330000}"/>
    <cellStyle name="Normal 5 4 2 7 2 2" xfId="3453" xr:uid="{00000000-0005-0000-0000-0000BE330000}"/>
    <cellStyle name="Normal 5 4 2 7 2 2 2" xfId="7081" xr:uid="{00000000-0005-0000-0000-0000BF330000}"/>
    <cellStyle name="Normal 5 4 2 7 2 2 2 2" xfId="21593" xr:uid="{00000000-0005-0000-0000-0000C0330000}"/>
    <cellStyle name="Normal 5 4 2 7 2 2 2 3" xfId="14337" xr:uid="{00000000-0005-0000-0000-0000C1330000}"/>
    <cellStyle name="Normal 5 4 2 7 2 2 3" xfId="17965" xr:uid="{00000000-0005-0000-0000-0000C2330000}"/>
    <cellStyle name="Normal 5 4 2 7 2 2 4" xfId="10709" xr:uid="{00000000-0005-0000-0000-0000C3330000}"/>
    <cellStyle name="Normal 5 4 2 7 2 3" xfId="5267" xr:uid="{00000000-0005-0000-0000-0000C4330000}"/>
    <cellStyle name="Normal 5 4 2 7 2 3 2" xfId="19779" xr:uid="{00000000-0005-0000-0000-0000C5330000}"/>
    <cellStyle name="Normal 5 4 2 7 2 3 3" xfId="12523" xr:uid="{00000000-0005-0000-0000-0000C6330000}"/>
    <cellStyle name="Normal 5 4 2 7 2 4" xfId="16151" xr:uid="{00000000-0005-0000-0000-0000C7330000}"/>
    <cellStyle name="Normal 5 4 2 7 2 5" xfId="8895" xr:uid="{00000000-0005-0000-0000-0000C8330000}"/>
    <cellStyle name="Normal 5 4 2 7 3" xfId="2546" xr:uid="{00000000-0005-0000-0000-0000C9330000}"/>
    <cellStyle name="Normal 5 4 2 7 3 2" xfId="6174" xr:uid="{00000000-0005-0000-0000-0000CA330000}"/>
    <cellStyle name="Normal 5 4 2 7 3 2 2" xfId="20686" xr:uid="{00000000-0005-0000-0000-0000CB330000}"/>
    <cellStyle name="Normal 5 4 2 7 3 2 3" xfId="13430" xr:uid="{00000000-0005-0000-0000-0000CC330000}"/>
    <cellStyle name="Normal 5 4 2 7 3 3" xfId="17058" xr:uid="{00000000-0005-0000-0000-0000CD330000}"/>
    <cellStyle name="Normal 5 4 2 7 3 4" xfId="9802" xr:uid="{00000000-0005-0000-0000-0000CE330000}"/>
    <cellStyle name="Normal 5 4 2 7 4" xfId="4360" xr:uid="{00000000-0005-0000-0000-0000CF330000}"/>
    <cellStyle name="Normal 5 4 2 7 4 2" xfId="18872" xr:uid="{00000000-0005-0000-0000-0000D0330000}"/>
    <cellStyle name="Normal 5 4 2 7 4 3" xfId="11616" xr:uid="{00000000-0005-0000-0000-0000D1330000}"/>
    <cellStyle name="Normal 5 4 2 7 5" xfId="15244" xr:uid="{00000000-0005-0000-0000-0000D2330000}"/>
    <cellStyle name="Normal 5 4 2 7 6" xfId="7988" xr:uid="{00000000-0005-0000-0000-0000D3330000}"/>
    <cellStyle name="Normal 5 4 2 8" xfId="385" xr:uid="{00000000-0005-0000-0000-0000D4330000}"/>
    <cellStyle name="Normal 5 4 2 8 2" xfId="1293" xr:uid="{00000000-0005-0000-0000-0000D5330000}"/>
    <cellStyle name="Normal 5 4 2 8 2 2" xfId="3107" xr:uid="{00000000-0005-0000-0000-0000D6330000}"/>
    <cellStyle name="Normal 5 4 2 8 2 2 2" xfId="6735" xr:uid="{00000000-0005-0000-0000-0000D7330000}"/>
    <cellStyle name="Normal 5 4 2 8 2 2 2 2" xfId="21247" xr:uid="{00000000-0005-0000-0000-0000D8330000}"/>
    <cellStyle name="Normal 5 4 2 8 2 2 2 3" xfId="13991" xr:uid="{00000000-0005-0000-0000-0000D9330000}"/>
    <cellStyle name="Normal 5 4 2 8 2 2 3" xfId="17619" xr:uid="{00000000-0005-0000-0000-0000DA330000}"/>
    <cellStyle name="Normal 5 4 2 8 2 2 4" xfId="10363" xr:uid="{00000000-0005-0000-0000-0000DB330000}"/>
    <cellStyle name="Normal 5 4 2 8 2 3" xfId="4921" xr:uid="{00000000-0005-0000-0000-0000DC330000}"/>
    <cellStyle name="Normal 5 4 2 8 2 3 2" xfId="19433" xr:uid="{00000000-0005-0000-0000-0000DD330000}"/>
    <cellStyle name="Normal 5 4 2 8 2 3 3" xfId="12177" xr:uid="{00000000-0005-0000-0000-0000DE330000}"/>
    <cellStyle name="Normal 5 4 2 8 2 4" xfId="15805" xr:uid="{00000000-0005-0000-0000-0000DF330000}"/>
    <cellStyle name="Normal 5 4 2 8 2 5" xfId="8549" xr:uid="{00000000-0005-0000-0000-0000E0330000}"/>
    <cellStyle name="Normal 5 4 2 8 3" xfId="2200" xr:uid="{00000000-0005-0000-0000-0000E1330000}"/>
    <cellStyle name="Normal 5 4 2 8 3 2" xfId="5828" xr:uid="{00000000-0005-0000-0000-0000E2330000}"/>
    <cellStyle name="Normal 5 4 2 8 3 2 2" xfId="20340" xr:uid="{00000000-0005-0000-0000-0000E3330000}"/>
    <cellStyle name="Normal 5 4 2 8 3 2 3" xfId="13084" xr:uid="{00000000-0005-0000-0000-0000E4330000}"/>
    <cellStyle name="Normal 5 4 2 8 3 3" xfId="16712" xr:uid="{00000000-0005-0000-0000-0000E5330000}"/>
    <cellStyle name="Normal 5 4 2 8 3 4" xfId="9456" xr:uid="{00000000-0005-0000-0000-0000E6330000}"/>
    <cellStyle name="Normal 5 4 2 8 4" xfId="4014" xr:uid="{00000000-0005-0000-0000-0000E7330000}"/>
    <cellStyle name="Normal 5 4 2 8 4 2" xfId="18526" xr:uid="{00000000-0005-0000-0000-0000E8330000}"/>
    <cellStyle name="Normal 5 4 2 8 4 3" xfId="11270" xr:uid="{00000000-0005-0000-0000-0000E9330000}"/>
    <cellStyle name="Normal 5 4 2 8 5" xfId="14898" xr:uid="{00000000-0005-0000-0000-0000EA330000}"/>
    <cellStyle name="Normal 5 4 2 8 6" xfId="7642" xr:uid="{00000000-0005-0000-0000-0000EB330000}"/>
    <cellStyle name="Normal 5 4 2 9" xfId="861" xr:uid="{00000000-0005-0000-0000-0000EC330000}"/>
    <cellStyle name="Normal 5 4 2 9 2" xfId="1769" xr:uid="{00000000-0005-0000-0000-0000ED330000}"/>
    <cellStyle name="Normal 5 4 2 9 2 2" xfId="3583" xr:uid="{00000000-0005-0000-0000-0000EE330000}"/>
    <cellStyle name="Normal 5 4 2 9 2 2 2" xfId="7211" xr:uid="{00000000-0005-0000-0000-0000EF330000}"/>
    <cellStyle name="Normal 5 4 2 9 2 2 2 2" xfId="21723" xr:uid="{00000000-0005-0000-0000-0000F0330000}"/>
    <cellStyle name="Normal 5 4 2 9 2 2 2 3" xfId="14467" xr:uid="{00000000-0005-0000-0000-0000F1330000}"/>
    <cellStyle name="Normal 5 4 2 9 2 2 3" xfId="18095" xr:uid="{00000000-0005-0000-0000-0000F2330000}"/>
    <cellStyle name="Normal 5 4 2 9 2 2 4" xfId="10839" xr:uid="{00000000-0005-0000-0000-0000F3330000}"/>
    <cellStyle name="Normal 5 4 2 9 2 3" xfId="5397" xr:uid="{00000000-0005-0000-0000-0000F4330000}"/>
    <cellStyle name="Normal 5 4 2 9 2 3 2" xfId="19909" xr:uid="{00000000-0005-0000-0000-0000F5330000}"/>
    <cellStyle name="Normal 5 4 2 9 2 3 3" xfId="12653" xr:uid="{00000000-0005-0000-0000-0000F6330000}"/>
    <cellStyle name="Normal 5 4 2 9 2 4" xfId="16281" xr:uid="{00000000-0005-0000-0000-0000F7330000}"/>
    <cellStyle name="Normal 5 4 2 9 2 5" xfId="9025" xr:uid="{00000000-0005-0000-0000-0000F8330000}"/>
    <cellStyle name="Normal 5 4 2 9 3" xfId="2676" xr:uid="{00000000-0005-0000-0000-0000F9330000}"/>
    <cellStyle name="Normal 5 4 2 9 3 2" xfId="6304" xr:uid="{00000000-0005-0000-0000-0000FA330000}"/>
    <cellStyle name="Normal 5 4 2 9 3 2 2" xfId="20816" xr:uid="{00000000-0005-0000-0000-0000FB330000}"/>
    <cellStyle name="Normal 5 4 2 9 3 2 3" xfId="13560" xr:uid="{00000000-0005-0000-0000-0000FC330000}"/>
    <cellStyle name="Normal 5 4 2 9 3 3" xfId="17188" xr:uid="{00000000-0005-0000-0000-0000FD330000}"/>
    <cellStyle name="Normal 5 4 2 9 3 4" xfId="9932" xr:uid="{00000000-0005-0000-0000-0000FE330000}"/>
    <cellStyle name="Normal 5 4 2 9 4" xfId="4490" xr:uid="{00000000-0005-0000-0000-0000FF330000}"/>
    <cellStyle name="Normal 5 4 2 9 4 2" xfId="19002" xr:uid="{00000000-0005-0000-0000-000000340000}"/>
    <cellStyle name="Normal 5 4 2 9 4 3" xfId="11746" xr:uid="{00000000-0005-0000-0000-000001340000}"/>
    <cellStyle name="Normal 5 4 2 9 5" xfId="15374" xr:uid="{00000000-0005-0000-0000-000002340000}"/>
    <cellStyle name="Normal 5 4 2 9 6" xfId="8118" xr:uid="{00000000-0005-0000-0000-000003340000}"/>
    <cellStyle name="Normal 5 4 3" xfId="48" xr:uid="{00000000-0005-0000-0000-000004340000}"/>
    <cellStyle name="Normal 5 4 3 10" xfId="1865" xr:uid="{00000000-0005-0000-0000-000005340000}"/>
    <cellStyle name="Normal 5 4 3 10 2" xfId="5493" xr:uid="{00000000-0005-0000-0000-000006340000}"/>
    <cellStyle name="Normal 5 4 3 10 2 2" xfId="20005" xr:uid="{00000000-0005-0000-0000-000007340000}"/>
    <cellStyle name="Normal 5 4 3 10 2 3" xfId="12749" xr:uid="{00000000-0005-0000-0000-000008340000}"/>
    <cellStyle name="Normal 5 4 3 10 3" xfId="16377" xr:uid="{00000000-0005-0000-0000-000009340000}"/>
    <cellStyle name="Normal 5 4 3 10 4" xfId="9121" xr:uid="{00000000-0005-0000-0000-00000A340000}"/>
    <cellStyle name="Normal 5 4 3 11" xfId="3679" xr:uid="{00000000-0005-0000-0000-00000B340000}"/>
    <cellStyle name="Normal 5 4 3 11 2" xfId="18191" xr:uid="{00000000-0005-0000-0000-00000C340000}"/>
    <cellStyle name="Normal 5 4 3 11 3" xfId="10935" xr:uid="{00000000-0005-0000-0000-00000D340000}"/>
    <cellStyle name="Normal 5 4 3 12" xfId="14563" xr:uid="{00000000-0005-0000-0000-00000E340000}"/>
    <cellStyle name="Normal 5 4 3 13" xfId="7307" xr:uid="{00000000-0005-0000-0000-00000F340000}"/>
    <cellStyle name="Normal 5 4 3 2" xfId="90" xr:uid="{00000000-0005-0000-0000-000010340000}"/>
    <cellStyle name="Normal 5 4 3 2 10" xfId="14605" xr:uid="{00000000-0005-0000-0000-000011340000}"/>
    <cellStyle name="Normal 5 4 3 2 11" xfId="7349" xr:uid="{00000000-0005-0000-0000-000012340000}"/>
    <cellStyle name="Normal 5 4 3 2 2" xfId="178" xr:uid="{00000000-0005-0000-0000-000013340000}"/>
    <cellStyle name="Normal 5 4 3 2 2 2" xfId="524" xr:uid="{00000000-0005-0000-0000-000014340000}"/>
    <cellStyle name="Normal 5 4 3 2 2 2 2" xfId="1432" xr:uid="{00000000-0005-0000-0000-000015340000}"/>
    <cellStyle name="Normal 5 4 3 2 2 2 2 2" xfId="3246" xr:uid="{00000000-0005-0000-0000-000016340000}"/>
    <cellStyle name="Normal 5 4 3 2 2 2 2 2 2" xfId="6874" xr:uid="{00000000-0005-0000-0000-000017340000}"/>
    <cellStyle name="Normal 5 4 3 2 2 2 2 2 2 2" xfId="21386" xr:uid="{00000000-0005-0000-0000-000018340000}"/>
    <cellStyle name="Normal 5 4 3 2 2 2 2 2 2 3" xfId="14130" xr:uid="{00000000-0005-0000-0000-000019340000}"/>
    <cellStyle name="Normal 5 4 3 2 2 2 2 2 3" xfId="17758" xr:uid="{00000000-0005-0000-0000-00001A340000}"/>
    <cellStyle name="Normal 5 4 3 2 2 2 2 2 4" xfId="10502" xr:uid="{00000000-0005-0000-0000-00001B340000}"/>
    <cellStyle name="Normal 5 4 3 2 2 2 2 3" xfId="5060" xr:uid="{00000000-0005-0000-0000-00001C340000}"/>
    <cellStyle name="Normal 5 4 3 2 2 2 2 3 2" xfId="19572" xr:uid="{00000000-0005-0000-0000-00001D340000}"/>
    <cellStyle name="Normal 5 4 3 2 2 2 2 3 3" xfId="12316" xr:uid="{00000000-0005-0000-0000-00001E340000}"/>
    <cellStyle name="Normal 5 4 3 2 2 2 2 4" xfId="15944" xr:uid="{00000000-0005-0000-0000-00001F340000}"/>
    <cellStyle name="Normal 5 4 3 2 2 2 2 5" xfId="8688" xr:uid="{00000000-0005-0000-0000-000020340000}"/>
    <cellStyle name="Normal 5 4 3 2 2 2 3" xfId="2339" xr:uid="{00000000-0005-0000-0000-000021340000}"/>
    <cellStyle name="Normal 5 4 3 2 2 2 3 2" xfId="5967" xr:uid="{00000000-0005-0000-0000-000022340000}"/>
    <cellStyle name="Normal 5 4 3 2 2 2 3 2 2" xfId="20479" xr:uid="{00000000-0005-0000-0000-000023340000}"/>
    <cellStyle name="Normal 5 4 3 2 2 2 3 2 3" xfId="13223" xr:uid="{00000000-0005-0000-0000-000024340000}"/>
    <cellStyle name="Normal 5 4 3 2 2 2 3 3" xfId="16851" xr:uid="{00000000-0005-0000-0000-000025340000}"/>
    <cellStyle name="Normal 5 4 3 2 2 2 3 4" xfId="9595" xr:uid="{00000000-0005-0000-0000-000026340000}"/>
    <cellStyle name="Normal 5 4 3 2 2 2 4" xfId="4153" xr:uid="{00000000-0005-0000-0000-000027340000}"/>
    <cellStyle name="Normal 5 4 3 2 2 2 4 2" xfId="18665" xr:uid="{00000000-0005-0000-0000-000028340000}"/>
    <cellStyle name="Normal 5 4 3 2 2 2 4 3" xfId="11409" xr:uid="{00000000-0005-0000-0000-000029340000}"/>
    <cellStyle name="Normal 5 4 3 2 2 2 5" xfId="15037" xr:uid="{00000000-0005-0000-0000-00002A340000}"/>
    <cellStyle name="Normal 5 4 3 2 2 2 6" xfId="7781" xr:uid="{00000000-0005-0000-0000-00002B340000}"/>
    <cellStyle name="Normal 5 4 3 2 2 3" xfId="1086" xr:uid="{00000000-0005-0000-0000-00002C340000}"/>
    <cellStyle name="Normal 5 4 3 2 2 3 2" xfId="2900" xr:uid="{00000000-0005-0000-0000-00002D340000}"/>
    <cellStyle name="Normal 5 4 3 2 2 3 2 2" xfId="6528" xr:uid="{00000000-0005-0000-0000-00002E340000}"/>
    <cellStyle name="Normal 5 4 3 2 2 3 2 2 2" xfId="21040" xr:uid="{00000000-0005-0000-0000-00002F340000}"/>
    <cellStyle name="Normal 5 4 3 2 2 3 2 2 3" xfId="13784" xr:uid="{00000000-0005-0000-0000-000030340000}"/>
    <cellStyle name="Normal 5 4 3 2 2 3 2 3" xfId="17412" xr:uid="{00000000-0005-0000-0000-000031340000}"/>
    <cellStyle name="Normal 5 4 3 2 2 3 2 4" xfId="10156" xr:uid="{00000000-0005-0000-0000-000032340000}"/>
    <cellStyle name="Normal 5 4 3 2 2 3 3" xfId="4714" xr:uid="{00000000-0005-0000-0000-000033340000}"/>
    <cellStyle name="Normal 5 4 3 2 2 3 3 2" xfId="19226" xr:uid="{00000000-0005-0000-0000-000034340000}"/>
    <cellStyle name="Normal 5 4 3 2 2 3 3 3" xfId="11970" xr:uid="{00000000-0005-0000-0000-000035340000}"/>
    <cellStyle name="Normal 5 4 3 2 2 3 4" xfId="15598" xr:uid="{00000000-0005-0000-0000-000036340000}"/>
    <cellStyle name="Normal 5 4 3 2 2 3 5" xfId="8342" xr:uid="{00000000-0005-0000-0000-000037340000}"/>
    <cellStyle name="Normal 5 4 3 2 2 4" xfId="1993" xr:uid="{00000000-0005-0000-0000-000038340000}"/>
    <cellStyle name="Normal 5 4 3 2 2 4 2" xfId="5621" xr:uid="{00000000-0005-0000-0000-000039340000}"/>
    <cellStyle name="Normal 5 4 3 2 2 4 2 2" xfId="20133" xr:uid="{00000000-0005-0000-0000-00003A340000}"/>
    <cellStyle name="Normal 5 4 3 2 2 4 2 3" xfId="12877" xr:uid="{00000000-0005-0000-0000-00003B340000}"/>
    <cellStyle name="Normal 5 4 3 2 2 4 3" xfId="16505" xr:uid="{00000000-0005-0000-0000-00003C340000}"/>
    <cellStyle name="Normal 5 4 3 2 2 4 4" xfId="9249" xr:uid="{00000000-0005-0000-0000-00003D340000}"/>
    <cellStyle name="Normal 5 4 3 2 2 5" xfId="3807" xr:uid="{00000000-0005-0000-0000-00003E340000}"/>
    <cellStyle name="Normal 5 4 3 2 2 5 2" xfId="18319" xr:uid="{00000000-0005-0000-0000-00003F340000}"/>
    <cellStyle name="Normal 5 4 3 2 2 5 3" xfId="11063" xr:uid="{00000000-0005-0000-0000-000040340000}"/>
    <cellStyle name="Normal 5 4 3 2 2 6" xfId="14691" xr:uid="{00000000-0005-0000-0000-000041340000}"/>
    <cellStyle name="Normal 5 4 3 2 2 7" xfId="7435" xr:uid="{00000000-0005-0000-0000-000042340000}"/>
    <cellStyle name="Normal 5 4 3 2 3" xfId="308" xr:uid="{00000000-0005-0000-0000-000043340000}"/>
    <cellStyle name="Normal 5 4 3 2 3 2" xfId="654" xr:uid="{00000000-0005-0000-0000-000044340000}"/>
    <cellStyle name="Normal 5 4 3 2 3 2 2" xfId="1562" xr:uid="{00000000-0005-0000-0000-000045340000}"/>
    <cellStyle name="Normal 5 4 3 2 3 2 2 2" xfId="3376" xr:uid="{00000000-0005-0000-0000-000046340000}"/>
    <cellStyle name="Normal 5 4 3 2 3 2 2 2 2" xfId="7004" xr:uid="{00000000-0005-0000-0000-000047340000}"/>
    <cellStyle name="Normal 5 4 3 2 3 2 2 2 2 2" xfId="21516" xr:uid="{00000000-0005-0000-0000-000048340000}"/>
    <cellStyle name="Normal 5 4 3 2 3 2 2 2 2 3" xfId="14260" xr:uid="{00000000-0005-0000-0000-000049340000}"/>
    <cellStyle name="Normal 5 4 3 2 3 2 2 2 3" xfId="17888" xr:uid="{00000000-0005-0000-0000-00004A340000}"/>
    <cellStyle name="Normal 5 4 3 2 3 2 2 2 4" xfId="10632" xr:uid="{00000000-0005-0000-0000-00004B340000}"/>
    <cellStyle name="Normal 5 4 3 2 3 2 2 3" xfId="5190" xr:uid="{00000000-0005-0000-0000-00004C340000}"/>
    <cellStyle name="Normal 5 4 3 2 3 2 2 3 2" xfId="19702" xr:uid="{00000000-0005-0000-0000-00004D340000}"/>
    <cellStyle name="Normal 5 4 3 2 3 2 2 3 3" xfId="12446" xr:uid="{00000000-0005-0000-0000-00004E340000}"/>
    <cellStyle name="Normal 5 4 3 2 3 2 2 4" xfId="16074" xr:uid="{00000000-0005-0000-0000-00004F340000}"/>
    <cellStyle name="Normal 5 4 3 2 3 2 2 5" xfId="8818" xr:uid="{00000000-0005-0000-0000-000050340000}"/>
    <cellStyle name="Normal 5 4 3 2 3 2 3" xfId="2469" xr:uid="{00000000-0005-0000-0000-000051340000}"/>
    <cellStyle name="Normal 5 4 3 2 3 2 3 2" xfId="6097" xr:uid="{00000000-0005-0000-0000-000052340000}"/>
    <cellStyle name="Normal 5 4 3 2 3 2 3 2 2" xfId="20609" xr:uid="{00000000-0005-0000-0000-000053340000}"/>
    <cellStyle name="Normal 5 4 3 2 3 2 3 2 3" xfId="13353" xr:uid="{00000000-0005-0000-0000-000054340000}"/>
    <cellStyle name="Normal 5 4 3 2 3 2 3 3" xfId="16981" xr:uid="{00000000-0005-0000-0000-000055340000}"/>
    <cellStyle name="Normal 5 4 3 2 3 2 3 4" xfId="9725" xr:uid="{00000000-0005-0000-0000-000056340000}"/>
    <cellStyle name="Normal 5 4 3 2 3 2 4" xfId="4283" xr:uid="{00000000-0005-0000-0000-000057340000}"/>
    <cellStyle name="Normal 5 4 3 2 3 2 4 2" xfId="18795" xr:uid="{00000000-0005-0000-0000-000058340000}"/>
    <cellStyle name="Normal 5 4 3 2 3 2 4 3" xfId="11539" xr:uid="{00000000-0005-0000-0000-000059340000}"/>
    <cellStyle name="Normal 5 4 3 2 3 2 5" xfId="15167" xr:uid="{00000000-0005-0000-0000-00005A340000}"/>
    <cellStyle name="Normal 5 4 3 2 3 2 6" xfId="7911" xr:uid="{00000000-0005-0000-0000-00005B340000}"/>
    <cellStyle name="Normal 5 4 3 2 3 3" xfId="1216" xr:uid="{00000000-0005-0000-0000-00005C340000}"/>
    <cellStyle name="Normal 5 4 3 2 3 3 2" xfId="3030" xr:uid="{00000000-0005-0000-0000-00005D340000}"/>
    <cellStyle name="Normal 5 4 3 2 3 3 2 2" xfId="6658" xr:uid="{00000000-0005-0000-0000-00005E340000}"/>
    <cellStyle name="Normal 5 4 3 2 3 3 2 2 2" xfId="21170" xr:uid="{00000000-0005-0000-0000-00005F340000}"/>
    <cellStyle name="Normal 5 4 3 2 3 3 2 2 3" xfId="13914" xr:uid="{00000000-0005-0000-0000-000060340000}"/>
    <cellStyle name="Normal 5 4 3 2 3 3 2 3" xfId="17542" xr:uid="{00000000-0005-0000-0000-000061340000}"/>
    <cellStyle name="Normal 5 4 3 2 3 3 2 4" xfId="10286" xr:uid="{00000000-0005-0000-0000-000062340000}"/>
    <cellStyle name="Normal 5 4 3 2 3 3 3" xfId="4844" xr:uid="{00000000-0005-0000-0000-000063340000}"/>
    <cellStyle name="Normal 5 4 3 2 3 3 3 2" xfId="19356" xr:uid="{00000000-0005-0000-0000-000064340000}"/>
    <cellStyle name="Normal 5 4 3 2 3 3 3 3" xfId="12100" xr:uid="{00000000-0005-0000-0000-000065340000}"/>
    <cellStyle name="Normal 5 4 3 2 3 3 4" xfId="15728" xr:uid="{00000000-0005-0000-0000-000066340000}"/>
    <cellStyle name="Normal 5 4 3 2 3 3 5" xfId="8472" xr:uid="{00000000-0005-0000-0000-000067340000}"/>
    <cellStyle name="Normal 5 4 3 2 3 4" xfId="2123" xr:uid="{00000000-0005-0000-0000-000068340000}"/>
    <cellStyle name="Normal 5 4 3 2 3 4 2" xfId="5751" xr:uid="{00000000-0005-0000-0000-000069340000}"/>
    <cellStyle name="Normal 5 4 3 2 3 4 2 2" xfId="20263" xr:uid="{00000000-0005-0000-0000-00006A340000}"/>
    <cellStyle name="Normal 5 4 3 2 3 4 2 3" xfId="13007" xr:uid="{00000000-0005-0000-0000-00006B340000}"/>
    <cellStyle name="Normal 5 4 3 2 3 4 3" xfId="16635" xr:uid="{00000000-0005-0000-0000-00006C340000}"/>
    <cellStyle name="Normal 5 4 3 2 3 4 4" xfId="9379" xr:uid="{00000000-0005-0000-0000-00006D340000}"/>
    <cellStyle name="Normal 5 4 3 2 3 5" xfId="3937" xr:uid="{00000000-0005-0000-0000-00006E340000}"/>
    <cellStyle name="Normal 5 4 3 2 3 5 2" xfId="18449" xr:uid="{00000000-0005-0000-0000-00006F340000}"/>
    <cellStyle name="Normal 5 4 3 2 3 5 3" xfId="11193" xr:uid="{00000000-0005-0000-0000-000070340000}"/>
    <cellStyle name="Normal 5 4 3 2 3 6" xfId="14821" xr:uid="{00000000-0005-0000-0000-000071340000}"/>
    <cellStyle name="Normal 5 4 3 2 3 7" xfId="7565" xr:uid="{00000000-0005-0000-0000-000072340000}"/>
    <cellStyle name="Normal 5 4 3 2 4" xfId="784" xr:uid="{00000000-0005-0000-0000-000073340000}"/>
    <cellStyle name="Normal 5 4 3 2 4 2" xfId="1692" xr:uid="{00000000-0005-0000-0000-000074340000}"/>
    <cellStyle name="Normal 5 4 3 2 4 2 2" xfId="3506" xr:uid="{00000000-0005-0000-0000-000075340000}"/>
    <cellStyle name="Normal 5 4 3 2 4 2 2 2" xfId="7134" xr:uid="{00000000-0005-0000-0000-000076340000}"/>
    <cellStyle name="Normal 5 4 3 2 4 2 2 2 2" xfId="21646" xr:uid="{00000000-0005-0000-0000-000077340000}"/>
    <cellStyle name="Normal 5 4 3 2 4 2 2 2 3" xfId="14390" xr:uid="{00000000-0005-0000-0000-000078340000}"/>
    <cellStyle name="Normal 5 4 3 2 4 2 2 3" xfId="18018" xr:uid="{00000000-0005-0000-0000-000079340000}"/>
    <cellStyle name="Normal 5 4 3 2 4 2 2 4" xfId="10762" xr:uid="{00000000-0005-0000-0000-00007A340000}"/>
    <cellStyle name="Normal 5 4 3 2 4 2 3" xfId="5320" xr:uid="{00000000-0005-0000-0000-00007B340000}"/>
    <cellStyle name="Normal 5 4 3 2 4 2 3 2" xfId="19832" xr:uid="{00000000-0005-0000-0000-00007C340000}"/>
    <cellStyle name="Normal 5 4 3 2 4 2 3 3" xfId="12576" xr:uid="{00000000-0005-0000-0000-00007D340000}"/>
    <cellStyle name="Normal 5 4 3 2 4 2 4" xfId="16204" xr:uid="{00000000-0005-0000-0000-00007E340000}"/>
    <cellStyle name="Normal 5 4 3 2 4 2 5" xfId="8948" xr:uid="{00000000-0005-0000-0000-00007F340000}"/>
    <cellStyle name="Normal 5 4 3 2 4 3" xfId="2599" xr:uid="{00000000-0005-0000-0000-000080340000}"/>
    <cellStyle name="Normal 5 4 3 2 4 3 2" xfId="6227" xr:uid="{00000000-0005-0000-0000-000081340000}"/>
    <cellStyle name="Normal 5 4 3 2 4 3 2 2" xfId="20739" xr:uid="{00000000-0005-0000-0000-000082340000}"/>
    <cellStyle name="Normal 5 4 3 2 4 3 2 3" xfId="13483" xr:uid="{00000000-0005-0000-0000-000083340000}"/>
    <cellStyle name="Normal 5 4 3 2 4 3 3" xfId="17111" xr:uid="{00000000-0005-0000-0000-000084340000}"/>
    <cellStyle name="Normal 5 4 3 2 4 3 4" xfId="9855" xr:uid="{00000000-0005-0000-0000-000085340000}"/>
    <cellStyle name="Normal 5 4 3 2 4 4" xfId="4413" xr:uid="{00000000-0005-0000-0000-000086340000}"/>
    <cellStyle name="Normal 5 4 3 2 4 4 2" xfId="18925" xr:uid="{00000000-0005-0000-0000-000087340000}"/>
    <cellStyle name="Normal 5 4 3 2 4 4 3" xfId="11669" xr:uid="{00000000-0005-0000-0000-000088340000}"/>
    <cellStyle name="Normal 5 4 3 2 4 5" xfId="15297" xr:uid="{00000000-0005-0000-0000-000089340000}"/>
    <cellStyle name="Normal 5 4 3 2 4 6" xfId="8041" xr:uid="{00000000-0005-0000-0000-00008A340000}"/>
    <cellStyle name="Normal 5 4 3 2 5" xfId="438" xr:uid="{00000000-0005-0000-0000-00008B340000}"/>
    <cellStyle name="Normal 5 4 3 2 5 2" xfId="1346" xr:uid="{00000000-0005-0000-0000-00008C340000}"/>
    <cellStyle name="Normal 5 4 3 2 5 2 2" xfId="3160" xr:uid="{00000000-0005-0000-0000-00008D340000}"/>
    <cellStyle name="Normal 5 4 3 2 5 2 2 2" xfId="6788" xr:uid="{00000000-0005-0000-0000-00008E340000}"/>
    <cellStyle name="Normal 5 4 3 2 5 2 2 2 2" xfId="21300" xr:uid="{00000000-0005-0000-0000-00008F340000}"/>
    <cellStyle name="Normal 5 4 3 2 5 2 2 2 3" xfId="14044" xr:uid="{00000000-0005-0000-0000-000090340000}"/>
    <cellStyle name="Normal 5 4 3 2 5 2 2 3" xfId="17672" xr:uid="{00000000-0005-0000-0000-000091340000}"/>
    <cellStyle name="Normal 5 4 3 2 5 2 2 4" xfId="10416" xr:uid="{00000000-0005-0000-0000-000092340000}"/>
    <cellStyle name="Normal 5 4 3 2 5 2 3" xfId="4974" xr:uid="{00000000-0005-0000-0000-000093340000}"/>
    <cellStyle name="Normal 5 4 3 2 5 2 3 2" xfId="19486" xr:uid="{00000000-0005-0000-0000-000094340000}"/>
    <cellStyle name="Normal 5 4 3 2 5 2 3 3" xfId="12230" xr:uid="{00000000-0005-0000-0000-000095340000}"/>
    <cellStyle name="Normal 5 4 3 2 5 2 4" xfId="15858" xr:uid="{00000000-0005-0000-0000-000096340000}"/>
    <cellStyle name="Normal 5 4 3 2 5 2 5" xfId="8602" xr:uid="{00000000-0005-0000-0000-000097340000}"/>
    <cellStyle name="Normal 5 4 3 2 5 3" xfId="2253" xr:uid="{00000000-0005-0000-0000-000098340000}"/>
    <cellStyle name="Normal 5 4 3 2 5 3 2" xfId="5881" xr:uid="{00000000-0005-0000-0000-000099340000}"/>
    <cellStyle name="Normal 5 4 3 2 5 3 2 2" xfId="20393" xr:uid="{00000000-0005-0000-0000-00009A340000}"/>
    <cellStyle name="Normal 5 4 3 2 5 3 2 3" xfId="13137" xr:uid="{00000000-0005-0000-0000-00009B340000}"/>
    <cellStyle name="Normal 5 4 3 2 5 3 3" xfId="16765" xr:uid="{00000000-0005-0000-0000-00009C340000}"/>
    <cellStyle name="Normal 5 4 3 2 5 3 4" xfId="9509" xr:uid="{00000000-0005-0000-0000-00009D340000}"/>
    <cellStyle name="Normal 5 4 3 2 5 4" xfId="4067" xr:uid="{00000000-0005-0000-0000-00009E340000}"/>
    <cellStyle name="Normal 5 4 3 2 5 4 2" xfId="18579" xr:uid="{00000000-0005-0000-0000-00009F340000}"/>
    <cellStyle name="Normal 5 4 3 2 5 4 3" xfId="11323" xr:uid="{00000000-0005-0000-0000-0000A0340000}"/>
    <cellStyle name="Normal 5 4 3 2 5 5" xfId="14951" xr:uid="{00000000-0005-0000-0000-0000A1340000}"/>
    <cellStyle name="Normal 5 4 3 2 5 6" xfId="7695" xr:uid="{00000000-0005-0000-0000-0000A2340000}"/>
    <cellStyle name="Normal 5 4 3 2 6" xfId="926" xr:uid="{00000000-0005-0000-0000-0000A3340000}"/>
    <cellStyle name="Normal 5 4 3 2 6 2" xfId="1833" xr:uid="{00000000-0005-0000-0000-0000A4340000}"/>
    <cellStyle name="Normal 5 4 3 2 6 2 2" xfId="3647" xr:uid="{00000000-0005-0000-0000-0000A5340000}"/>
    <cellStyle name="Normal 5 4 3 2 6 2 2 2" xfId="7275" xr:uid="{00000000-0005-0000-0000-0000A6340000}"/>
    <cellStyle name="Normal 5 4 3 2 6 2 2 2 2" xfId="21787" xr:uid="{00000000-0005-0000-0000-0000A7340000}"/>
    <cellStyle name="Normal 5 4 3 2 6 2 2 2 3" xfId="14531" xr:uid="{00000000-0005-0000-0000-0000A8340000}"/>
    <cellStyle name="Normal 5 4 3 2 6 2 2 3" xfId="18159" xr:uid="{00000000-0005-0000-0000-0000A9340000}"/>
    <cellStyle name="Normal 5 4 3 2 6 2 2 4" xfId="10903" xr:uid="{00000000-0005-0000-0000-0000AA340000}"/>
    <cellStyle name="Normal 5 4 3 2 6 2 3" xfId="5461" xr:uid="{00000000-0005-0000-0000-0000AB340000}"/>
    <cellStyle name="Normal 5 4 3 2 6 2 3 2" xfId="19973" xr:uid="{00000000-0005-0000-0000-0000AC340000}"/>
    <cellStyle name="Normal 5 4 3 2 6 2 3 3" xfId="12717" xr:uid="{00000000-0005-0000-0000-0000AD340000}"/>
    <cellStyle name="Normal 5 4 3 2 6 2 4" xfId="16345" xr:uid="{00000000-0005-0000-0000-0000AE340000}"/>
    <cellStyle name="Normal 5 4 3 2 6 2 5" xfId="9089" xr:uid="{00000000-0005-0000-0000-0000AF340000}"/>
    <cellStyle name="Normal 5 4 3 2 6 3" xfId="2740" xr:uid="{00000000-0005-0000-0000-0000B0340000}"/>
    <cellStyle name="Normal 5 4 3 2 6 3 2" xfId="6368" xr:uid="{00000000-0005-0000-0000-0000B1340000}"/>
    <cellStyle name="Normal 5 4 3 2 6 3 2 2" xfId="20880" xr:uid="{00000000-0005-0000-0000-0000B2340000}"/>
    <cellStyle name="Normal 5 4 3 2 6 3 2 3" xfId="13624" xr:uid="{00000000-0005-0000-0000-0000B3340000}"/>
    <cellStyle name="Normal 5 4 3 2 6 3 3" xfId="17252" xr:uid="{00000000-0005-0000-0000-0000B4340000}"/>
    <cellStyle name="Normal 5 4 3 2 6 3 4" xfId="9996" xr:uid="{00000000-0005-0000-0000-0000B5340000}"/>
    <cellStyle name="Normal 5 4 3 2 6 4" xfId="4554" xr:uid="{00000000-0005-0000-0000-0000B6340000}"/>
    <cellStyle name="Normal 5 4 3 2 6 4 2" xfId="19066" xr:uid="{00000000-0005-0000-0000-0000B7340000}"/>
    <cellStyle name="Normal 5 4 3 2 6 4 3" xfId="11810" xr:uid="{00000000-0005-0000-0000-0000B8340000}"/>
    <cellStyle name="Normal 5 4 3 2 6 5" xfId="15438" xr:uid="{00000000-0005-0000-0000-0000B9340000}"/>
    <cellStyle name="Normal 5 4 3 2 6 6" xfId="8182" xr:uid="{00000000-0005-0000-0000-0000BA340000}"/>
    <cellStyle name="Normal 5 4 3 2 7" xfId="1000" xr:uid="{00000000-0005-0000-0000-0000BB340000}"/>
    <cellStyle name="Normal 5 4 3 2 7 2" xfId="2814" xr:uid="{00000000-0005-0000-0000-0000BC340000}"/>
    <cellStyle name="Normal 5 4 3 2 7 2 2" xfId="6442" xr:uid="{00000000-0005-0000-0000-0000BD340000}"/>
    <cellStyle name="Normal 5 4 3 2 7 2 2 2" xfId="20954" xr:uid="{00000000-0005-0000-0000-0000BE340000}"/>
    <cellStyle name="Normal 5 4 3 2 7 2 2 3" xfId="13698" xr:uid="{00000000-0005-0000-0000-0000BF340000}"/>
    <cellStyle name="Normal 5 4 3 2 7 2 3" xfId="17326" xr:uid="{00000000-0005-0000-0000-0000C0340000}"/>
    <cellStyle name="Normal 5 4 3 2 7 2 4" xfId="10070" xr:uid="{00000000-0005-0000-0000-0000C1340000}"/>
    <cellStyle name="Normal 5 4 3 2 7 3" xfId="4628" xr:uid="{00000000-0005-0000-0000-0000C2340000}"/>
    <cellStyle name="Normal 5 4 3 2 7 3 2" xfId="19140" xr:uid="{00000000-0005-0000-0000-0000C3340000}"/>
    <cellStyle name="Normal 5 4 3 2 7 3 3" xfId="11884" xr:uid="{00000000-0005-0000-0000-0000C4340000}"/>
    <cellStyle name="Normal 5 4 3 2 7 4" xfId="15512" xr:uid="{00000000-0005-0000-0000-0000C5340000}"/>
    <cellStyle name="Normal 5 4 3 2 7 5" xfId="8256" xr:uid="{00000000-0005-0000-0000-0000C6340000}"/>
    <cellStyle name="Normal 5 4 3 2 8" xfId="1907" xr:uid="{00000000-0005-0000-0000-0000C7340000}"/>
    <cellStyle name="Normal 5 4 3 2 8 2" xfId="5535" xr:uid="{00000000-0005-0000-0000-0000C8340000}"/>
    <cellStyle name="Normal 5 4 3 2 8 2 2" xfId="20047" xr:uid="{00000000-0005-0000-0000-0000C9340000}"/>
    <cellStyle name="Normal 5 4 3 2 8 2 3" xfId="12791" xr:uid="{00000000-0005-0000-0000-0000CA340000}"/>
    <cellStyle name="Normal 5 4 3 2 8 3" xfId="16419" xr:uid="{00000000-0005-0000-0000-0000CB340000}"/>
    <cellStyle name="Normal 5 4 3 2 8 4" xfId="9163" xr:uid="{00000000-0005-0000-0000-0000CC340000}"/>
    <cellStyle name="Normal 5 4 3 2 9" xfId="3721" xr:uid="{00000000-0005-0000-0000-0000CD340000}"/>
    <cellStyle name="Normal 5 4 3 2 9 2" xfId="18233" xr:uid="{00000000-0005-0000-0000-0000CE340000}"/>
    <cellStyle name="Normal 5 4 3 2 9 3" xfId="10977" xr:uid="{00000000-0005-0000-0000-0000CF340000}"/>
    <cellStyle name="Normal 5 4 3 3" xfId="222" xr:uid="{00000000-0005-0000-0000-0000D0340000}"/>
    <cellStyle name="Normal 5 4 3 3 2" xfId="352" xr:uid="{00000000-0005-0000-0000-0000D1340000}"/>
    <cellStyle name="Normal 5 4 3 3 2 2" xfId="698" xr:uid="{00000000-0005-0000-0000-0000D2340000}"/>
    <cellStyle name="Normal 5 4 3 3 2 2 2" xfId="1606" xr:uid="{00000000-0005-0000-0000-0000D3340000}"/>
    <cellStyle name="Normal 5 4 3 3 2 2 2 2" xfId="3420" xr:uid="{00000000-0005-0000-0000-0000D4340000}"/>
    <cellStyle name="Normal 5 4 3 3 2 2 2 2 2" xfId="7048" xr:uid="{00000000-0005-0000-0000-0000D5340000}"/>
    <cellStyle name="Normal 5 4 3 3 2 2 2 2 2 2" xfId="21560" xr:uid="{00000000-0005-0000-0000-0000D6340000}"/>
    <cellStyle name="Normal 5 4 3 3 2 2 2 2 2 3" xfId="14304" xr:uid="{00000000-0005-0000-0000-0000D7340000}"/>
    <cellStyle name="Normal 5 4 3 3 2 2 2 2 3" xfId="17932" xr:uid="{00000000-0005-0000-0000-0000D8340000}"/>
    <cellStyle name="Normal 5 4 3 3 2 2 2 2 4" xfId="10676" xr:uid="{00000000-0005-0000-0000-0000D9340000}"/>
    <cellStyle name="Normal 5 4 3 3 2 2 2 3" xfId="5234" xr:uid="{00000000-0005-0000-0000-0000DA340000}"/>
    <cellStyle name="Normal 5 4 3 3 2 2 2 3 2" xfId="19746" xr:uid="{00000000-0005-0000-0000-0000DB340000}"/>
    <cellStyle name="Normal 5 4 3 3 2 2 2 3 3" xfId="12490" xr:uid="{00000000-0005-0000-0000-0000DC340000}"/>
    <cellStyle name="Normal 5 4 3 3 2 2 2 4" xfId="16118" xr:uid="{00000000-0005-0000-0000-0000DD340000}"/>
    <cellStyle name="Normal 5 4 3 3 2 2 2 5" xfId="8862" xr:uid="{00000000-0005-0000-0000-0000DE340000}"/>
    <cellStyle name="Normal 5 4 3 3 2 2 3" xfId="2513" xr:uid="{00000000-0005-0000-0000-0000DF340000}"/>
    <cellStyle name="Normal 5 4 3 3 2 2 3 2" xfId="6141" xr:uid="{00000000-0005-0000-0000-0000E0340000}"/>
    <cellStyle name="Normal 5 4 3 3 2 2 3 2 2" xfId="20653" xr:uid="{00000000-0005-0000-0000-0000E1340000}"/>
    <cellStyle name="Normal 5 4 3 3 2 2 3 2 3" xfId="13397" xr:uid="{00000000-0005-0000-0000-0000E2340000}"/>
    <cellStyle name="Normal 5 4 3 3 2 2 3 3" xfId="17025" xr:uid="{00000000-0005-0000-0000-0000E3340000}"/>
    <cellStyle name="Normal 5 4 3 3 2 2 3 4" xfId="9769" xr:uid="{00000000-0005-0000-0000-0000E4340000}"/>
    <cellStyle name="Normal 5 4 3 3 2 2 4" xfId="4327" xr:uid="{00000000-0005-0000-0000-0000E5340000}"/>
    <cellStyle name="Normal 5 4 3 3 2 2 4 2" xfId="18839" xr:uid="{00000000-0005-0000-0000-0000E6340000}"/>
    <cellStyle name="Normal 5 4 3 3 2 2 4 3" xfId="11583" xr:uid="{00000000-0005-0000-0000-0000E7340000}"/>
    <cellStyle name="Normal 5 4 3 3 2 2 5" xfId="15211" xr:uid="{00000000-0005-0000-0000-0000E8340000}"/>
    <cellStyle name="Normal 5 4 3 3 2 2 6" xfId="7955" xr:uid="{00000000-0005-0000-0000-0000E9340000}"/>
    <cellStyle name="Normal 5 4 3 3 2 3" xfId="1260" xr:uid="{00000000-0005-0000-0000-0000EA340000}"/>
    <cellStyle name="Normal 5 4 3 3 2 3 2" xfId="3074" xr:uid="{00000000-0005-0000-0000-0000EB340000}"/>
    <cellStyle name="Normal 5 4 3 3 2 3 2 2" xfId="6702" xr:uid="{00000000-0005-0000-0000-0000EC340000}"/>
    <cellStyle name="Normal 5 4 3 3 2 3 2 2 2" xfId="21214" xr:uid="{00000000-0005-0000-0000-0000ED340000}"/>
    <cellStyle name="Normal 5 4 3 3 2 3 2 2 3" xfId="13958" xr:uid="{00000000-0005-0000-0000-0000EE340000}"/>
    <cellStyle name="Normal 5 4 3 3 2 3 2 3" xfId="17586" xr:uid="{00000000-0005-0000-0000-0000EF340000}"/>
    <cellStyle name="Normal 5 4 3 3 2 3 2 4" xfId="10330" xr:uid="{00000000-0005-0000-0000-0000F0340000}"/>
    <cellStyle name="Normal 5 4 3 3 2 3 3" xfId="4888" xr:uid="{00000000-0005-0000-0000-0000F1340000}"/>
    <cellStyle name="Normal 5 4 3 3 2 3 3 2" xfId="19400" xr:uid="{00000000-0005-0000-0000-0000F2340000}"/>
    <cellStyle name="Normal 5 4 3 3 2 3 3 3" xfId="12144" xr:uid="{00000000-0005-0000-0000-0000F3340000}"/>
    <cellStyle name="Normal 5 4 3 3 2 3 4" xfId="15772" xr:uid="{00000000-0005-0000-0000-0000F4340000}"/>
    <cellStyle name="Normal 5 4 3 3 2 3 5" xfId="8516" xr:uid="{00000000-0005-0000-0000-0000F5340000}"/>
    <cellStyle name="Normal 5 4 3 3 2 4" xfId="2167" xr:uid="{00000000-0005-0000-0000-0000F6340000}"/>
    <cellStyle name="Normal 5 4 3 3 2 4 2" xfId="5795" xr:uid="{00000000-0005-0000-0000-0000F7340000}"/>
    <cellStyle name="Normal 5 4 3 3 2 4 2 2" xfId="20307" xr:uid="{00000000-0005-0000-0000-0000F8340000}"/>
    <cellStyle name="Normal 5 4 3 3 2 4 2 3" xfId="13051" xr:uid="{00000000-0005-0000-0000-0000F9340000}"/>
    <cellStyle name="Normal 5 4 3 3 2 4 3" xfId="16679" xr:uid="{00000000-0005-0000-0000-0000FA340000}"/>
    <cellStyle name="Normal 5 4 3 3 2 4 4" xfId="9423" xr:uid="{00000000-0005-0000-0000-0000FB340000}"/>
    <cellStyle name="Normal 5 4 3 3 2 5" xfId="3981" xr:uid="{00000000-0005-0000-0000-0000FC340000}"/>
    <cellStyle name="Normal 5 4 3 3 2 5 2" xfId="18493" xr:uid="{00000000-0005-0000-0000-0000FD340000}"/>
    <cellStyle name="Normal 5 4 3 3 2 5 3" xfId="11237" xr:uid="{00000000-0005-0000-0000-0000FE340000}"/>
    <cellStyle name="Normal 5 4 3 3 2 6" xfId="14865" xr:uid="{00000000-0005-0000-0000-0000FF340000}"/>
    <cellStyle name="Normal 5 4 3 3 2 7" xfId="7609" xr:uid="{00000000-0005-0000-0000-000000350000}"/>
    <cellStyle name="Normal 5 4 3 3 3" xfId="828" xr:uid="{00000000-0005-0000-0000-000001350000}"/>
    <cellStyle name="Normal 5 4 3 3 3 2" xfId="1736" xr:uid="{00000000-0005-0000-0000-000002350000}"/>
    <cellStyle name="Normal 5 4 3 3 3 2 2" xfId="3550" xr:uid="{00000000-0005-0000-0000-000003350000}"/>
    <cellStyle name="Normal 5 4 3 3 3 2 2 2" xfId="7178" xr:uid="{00000000-0005-0000-0000-000004350000}"/>
    <cellStyle name="Normal 5 4 3 3 3 2 2 2 2" xfId="21690" xr:uid="{00000000-0005-0000-0000-000005350000}"/>
    <cellStyle name="Normal 5 4 3 3 3 2 2 2 3" xfId="14434" xr:uid="{00000000-0005-0000-0000-000006350000}"/>
    <cellStyle name="Normal 5 4 3 3 3 2 2 3" xfId="18062" xr:uid="{00000000-0005-0000-0000-000007350000}"/>
    <cellStyle name="Normal 5 4 3 3 3 2 2 4" xfId="10806" xr:uid="{00000000-0005-0000-0000-000008350000}"/>
    <cellStyle name="Normal 5 4 3 3 3 2 3" xfId="5364" xr:uid="{00000000-0005-0000-0000-000009350000}"/>
    <cellStyle name="Normal 5 4 3 3 3 2 3 2" xfId="19876" xr:uid="{00000000-0005-0000-0000-00000A350000}"/>
    <cellStyle name="Normal 5 4 3 3 3 2 3 3" xfId="12620" xr:uid="{00000000-0005-0000-0000-00000B350000}"/>
    <cellStyle name="Normal 5 4 3 3 3 2 4" xfId="16248" xr:uid="{00000000-0005-0000-0000-00000C350000}"/>
    <cellStyle name="Normal 5 4 3 3 3 2 5" xfId="8992" xr:uid="{00000000-0005-0000-0000-00000D350000}"/>
    <cellStyle name="Normal 5 4 3 3 3 3" xfId="2643" xr:uid="{00000000-0005-0000-0000-00000E350000}"/>
    <cellStyle name="Normal 5 4 3 3 3 3 2" xfId="6271" xr:uid="{00000000-0005-0000-0000-00000F350000}"/>
    <cellStyle name="Normal 5 4 3 3 3 3 2 2" xfId="20783" xr:uid="{00000000-0005-0000-0000-000010350000}"/>
    <cellStyle name="Normal 5 4 3 3 3 3 2 3" xfId="13527" xr:uid="{00000000-0005-0000-0000-000011350000}"/>
    <cellStyle name="Normal 5 4 3 3 3 3 3" xfId="17155" xr:uid="{00000000-0005-0000-0000-000012350000}"/>
    <cellStyle name="Normal 5 4 3 3 3 3 4" xfId="9899" xr:uid="{00000000-0005-0000-0000-000013350000}"/>
    <cellStyle name="Normal 5 4 3 3 3 4" xfId="4457" xr:uid="{00000000-0005-0000-0000-000014350000}"/>
    <cellStyle name="Normal 5 4 3 3 3 4 2" xfId="18969" xr:uid="{00000000-0005-0000-0000-000015350000}"/>
    <cellStyle name="Normal 5 4 3 3 3 4 3" xfId="11713" xr:uid="{00000000-0005-0000-0000-000016350000}"/>
    <cellStyle name="Normal 5 4 3 3 3 5" xfId="15341" xr:uid="{00000000-0005-0000-0000-000017350000}"/>
    <cellStyle name="Normal 5 4 3 3 3 6" xfId="8085" xr:uid="{00000000-0005-0000-0000-000018350000}"/>
    <cellStyle name="Normal 5 4 3 3 4" xfId="568" xr:uid="{00000000-0005-0000-0000-000019350000}"/>
    <cellStyle name="Normal 5 4 3 3 4 2" xfId="1476" xr:uid="{00000000-0005-0000-0000-00001A350000}"/>
    <cellStyle name="Normal 5 4 3 3 4 2 2" xfId="3290" xr:uid="{00000000-0005-0000-0000-00001B350000}"/>
    <cellStyle name="Normal 5 4 3 3 4 2 2 2" xfId="6918" xr:uid="{00000000-0005-0000-0000-00001C350000}"/>
    <cellStyle name="Normal 5 4 3 3 4 2 2 2 2" xfId="21430" xr:uid="{00000000-0005-0000-0000-00001D350000}"/>
    <cellStyle name="Normal 5 4 3 3 4 2 2 2 3" xfId="14174" xr:uid="{00000000-0005-0000-0000-00001E350000}"/>
    <cellStyle name="Normal 5 4 3 3 4 2 2 3" xfId="17802" xr:uid="{00000000-0005-0000-0000-00001F350000}"/>
    <cellStyle name="Normal 5 4 3 3 4 2 2 4" xfId="10546" xr:uid="{00000000-0005-0000-0000-000020350000}"/>
    <cellStyle name="Normal 5 4 3 3 4 2 3" xfId="5104" xr:uid="{00000000-0005-0000-0000-000021350000}"/>
    <cellStyle name="Normal 5 4 3 3 4 2 3 2" xfId="19616" xr:uid="{00000000-0005-0000-0000-000022350000}"/>
    <cellStyle name="Normal 5 4 3 3 4 2 3 3" xfId="12360" xr:uid="{00000000-0005-0000-0000-000023350000}"/>
    <cellStyle name="Normal 5 4 3 3 4 2 4" xfId="15988" xr:uid="{00000000-0005-0000-0000-000024350000}"/>
    <cellStyle name="Normal 5 4 3 3 4 2 5" xfId="8732" xr:uid="{00000000-0005-0000-0000-000025350000}"/>
    <cellStyle name="Normal 5 4 3 3 4 3" xfId="2383" xr:uid="{00000000-0005-0000-0000-000026350000}"/>
    <cellStyle name="Normal 5 4 3 3 4 3 2" xfId="6011" xr:uid="{00000000-0005-0000-0000-000027350000}"/>
    <cellStyle name="Normal 5 4 3 3 4 3 2 2" xfId="20523" xr:uid="{00000000-0005-0000-0000-000028350000}"/>
    <cellStyle name="Normal 5 4 3 3 4 3 2 3" xfId="13267" xr:uid="{00000000-0005-0000-0000-000029350000}"/>
    <cellStyle name="Normal 5 4 3 3 4 3 3" xfId="16895" xr:uid="{00000000-0005-0000-0000-00002A350000}"/>
    <cellStyle name="Normal 5 4 3 3 4 3 4" xfId="9639" xr:uid="{00000000-0005-0000-0000-00002B350000}"/>
    <cellStyle name="Normal 5 4 3 3 4 4" xfId="4197" xr:uid="{00000000-0005-0000-0000-00002C350000}"/>
    <cellStyle name="Normal 5 4 3 3 4 4 2" xfId="18709" xr:uid="{00000000-0005-0000-0000-00002D350000}"/>
    <cellStyle name="Normal 5 4 3 3 4 4 3" xfId="11453" xr:uid="{00000000-0005-0000-0000-00002E350000}"/>
    <cellStyle name="Normal 5 4 3 3 4 5" xfId="15081" xr:uid="{00000000-0005-0000-0000-00002F350000}"/>
    <cellStyle name="Normal 5 4 3 3 4 6" xfId="7825" xr:uid="{00000000-0005-0000-0000-000030350000}"/>
    <cellStyle name="Normal 5 4 3 3 5" xfId="1130" xr:uid="{00000000-0005-0000-0000-000031350000}"/>
    <cellStyle name="Normal 5 4 3 3 5 2" xfId="2944" xr:uid="{00000000-0005-0000-0000-000032350000}"/>
    <cellStyle name="Normal 5 4 3 3 5 2 2" xfId="6572" xr:uid="{00000000-0005-0000-0000-000033350000}"/>
    <cellStyle name="Normal 5 4 3 3 5 2 2 2" xfId="21084" xr:uid="{00000000-0005-0000-0000-000034350000}"/>
    <cellStyle name="Normal 5 4 3 3 5 2 2 3" xfId="13828" xr:uid="{00000000-0005-0000-0000-000035350000}"/>
    <cellStyle name="Normal 5 4 3 3 5 2 3" xfId="17456" xr:uid="{00000000-0005-0000-0000-000036350000}"/>
    <cellStyle name="Normal 5 4 3 3 5 2 4" xfId="10200" xr:uid="{00000000-0005-0000-0000-000037350000}"/>
    <cellStyle name="Normal 5 4 3 3 5 3" xfId="4758" xr:uid="{00000000-0005-0000-0000-000038350000}"/>
    <cellStyle name="Normal 5 4 3 3 5 3 2" xfId="19270" xr:uid="{00000000-0005-0000-0000-000039350000}"/>
    <cellStyle name="Normal 5 4 3 3 5 3 3" xfId="12014" xr:uid="{00000000-0005-0000-0000-00003A350000}"/>
    <cellStyle name="Normal 5 4 3 3 5 4" xfId="15642" xr:uid="{00000000-0005-0000-0000-00003B350000}"/>
    <cellStyle name="Normal 5 4 3 3 5 5" xfId="8386" xr:uid="{00000000-0005-0000-0000-00003C350000}"/>
    <cellStyle name="Normal 5 4 3 3 6" xfId="2037" xr:uid="{00000000-0005-0000-0000-00003D350000}"/>
    <cellStyle name="Normal 5 4 3 3 6 2" xfId="5665" xr:uid="{00000000-0005-0000-0000-00003E350000}"/>
    <cellStyle name="Normal 5 4 3 3 6 2 2" xfId="20177" xr:uid="{00000000-0005-0000-0000-00003F350000}"/>
    <cellStyle name="Normal 5 4 3 3 6 2 3" xfId="12921" xr:uid="{00000000-0005-0000-0000-000040350000}"/>
    <cellStyle name="Normal 5 4 3 3 6 3" xfId="16549" xr:uid="{00000000-0005-0000-0000-000041350000}"/>
    <cellStyle name="Normal 5 4 3 3 6 4" xfId="9293" xr:uid="{00000000-0005-0000-0000-000042350000}"/>
    <cellStyle name="Normal 5 4 3 3 7" xfId="3851" xr:uid="{00000000-0005-0000-0000-000043350000}"/>
    <cellStyle name="Normal 5 4 3 3 7 2" xfId="18363" xr:uid="{00000000-0005-0000-0000-000044350000}"/>
    <cellStyle name="Normal 5 4 3 3 7 3" xfId="11107" xr:uid="{00000000-0005-0000-0000-000045350000}"/>
    <cellStyle name="Normal 5 4 3 3 8" xfId="14735" xr:uid="{00000000-0005-0000-0000-000046350000}"/>
    <cellStyle name="Normal 5 4 3 3 9" xfId="7479" xr:uid="{00000000-0005-0000-0000-000047350000}"/>
    <cellStyle name="Normal 5 4 3 4" xfId="136" xr:uid="{00000000-0005-0000-0000-000048350000}"/>
    <cellStyle name="Normal 5 4 3 4 2" xfId="482" xr:uid="{00000000-0005-0000-0000-000049350000}"/>
    <cellStyle name="Normal 5 4 3 4 2 2" xfId="1390" xr:uid="{00000000-0005-0000-0000-00004A350000}"/>
    <cellStyle name="Normal 5 4 3 4 2 2 2" xfId="3204" xr:uid="{00000000-0005-0000-0000-00004B350000}"/>
    <cellStyle name="Normal 5 4 3 4 2 2 2 2" xfId="6832" xr:uid="{00000000-0005-0000-0000-00004C350000}"/>
    <cellStyle name="Normal 5 4 3 4 2 2 2 2 2" xfId="21344" xr:uid="{00000000-0005-0000-0000-00004D350000}"/>
    <cellStyle name="Normal 5 4 3 4 2 2 2 2 3" xfId="14088" xr:uid="{00000000-0005-0000-0000-00004E350000}"/>
    <cellStyle name="Normal 5 4 3 4 2 2 2 3" xfId="17716" xr:uid="{00000000-0005-0000-0000-00004F350000}"/>
    <cellStyle name="Normal 5 4 3 4 2 2 2 4" xfId="10460" xr:uid="{00000000-0005-0000-0000-000050350000}"/>
    <cellStyle name="Normal 5 4 3 4 2 2 3" xfId="5018" xr:uid="{00000000-0005-0000-0000-000051350000}"/>
    <cellStyle name="Normal 5 4 3 4 2 2 3 2" xfId="19530" xr:uid="{00000000-0005-0000-0000-000052350000}"/>
    <cellStyle name="Normal 5 4 3 4 2 2 3 3" xfId="12274" xr:uid="{00000000-0005-0000-0000-000053350000}"/>
    <cellStyle name="Normal 5 4 3 4 2 2 4" xfId="15902" xr:uid="{00000000-0005-0000-0000-000054350000}"/>
    <cellStyle name="Normal 5 4 3 4 2 2 5" xfId="8646" xr:uid="{00000000-0005-0000-0000-000055350000}"/>
    <cellStyle name="Normal 5 4 3 4 2 3" xfId="2297" xr:uid="{00000000-0005-0000-0000-000056350000}"/>
    <cellStyle name="Normal 5 4 3 4 2 3 2" xfId="5925" xr:uid="{00000000-0005-0000-0000-000057350000}"/>
    <cellStyle name="Normal 5 4 3 4 2 3 2 2" xfId="20437" xr:uid="{00000000-0005-0000-0000-000058350000}"/>
    <cellStyle name="Normal 5 4 3 4 2 3 2 3" xfId="13181" xr:uid="{00000000-0005-0000-0000-000059350000}"/>
    <cellStyle name="Normal 5 4 3 4 2 3 3" xfId="16809" xr:uid="{00000000-0005-0000-0000-00005A350000}"/>
    <cellStyle name="Normal 5 4 3 4 2 3 4" xfId="9553" xr:uid="{00000000-0005-0000-0000-00005B350000}"/>
    <cellStyle name="Normal 5 4 3 4 2 4" xfId="4111" xr:uid="{00000000-0005-0000-0000-00005C350000}"/>
    <cellStyle name="Normal 5 4 3 4 2 4 2" xfId="18623" xr:uid="{00000000-0005-0000-0000-00005D350000}"/>
    <cellStyle name="Normal 5 4 3 4 2 4 3" xfId="11367" xr:uid="{00000000-0005-0000-0000-00005E350000}"/>
    <cellStyle name="Normal 5 4 3 4 2 5" xfId="14995" xr:uid="{00000000-0005-0000-0000-00005F350000}"/>
    <cellStyle name="Normal 5 4 3 4 2 6" xfId="7739" xr:uid="{00000000-0005-0000-0000-000060350000}"/>
    <cellStyle name="Normal 5 4 3 4 3" xfId="1044" xr:uid="{00000000-0005-0000-0000-000061350000}"/>
    <cellStyle name="Normal 5 4 3 4 3 2" xfId="2858" xr:uid="{00000000-0005-0000-0000-000062350000}"/>
    <cellStyle name="Normal 5 4 3 4 3 2 2" xfId="6486" xr:uid="{00000000-0005-0000-0000-000063350000}"/>
    <cellStyle name="Normal 5 4 3 4 3 2 2 2" xfId="20998" xr:uid="{00000000-0005-0000-0000-000064350000}"/>
    <cellStyle name="Normal 5 4 3 4 3 2 2 3" xfId="13742" xr:uid="{00000000-0005-0000-0000-000065350000}"/>
    <cellStyle name="Normal 5 4 3 4 3 2 3" xfId="17370" xr:uid="{00000000-0005-0000-0000-000066350000}"/>
    <cellStyle name="Normal 5 4 3 4 3 2 4" xfId="10114" xr:uid="{00000000-0005-0000-0000-000067350000}"/>
    <cellStyle name="Normal 5 4 3 4 3 3" xfId="4672" xr:uid="{00000000-0005-0000-0000-000068350000}"/>
    <cellStyle name="Normal 5 4 3 4 3 3 2" xfId="19184" xr:uid="{00000000-0005-0000-0000-000069350000}"/>
    <cellStyle name="Normal 5 4 3 4 3 3 3" xfId="11928" xr:uid="{00000000-0005-0000-0000-00006A350000}"/>
    <cellStyle name="Normal 5 4 3 4 3 4" xfId="15556" xr:uid="{00000000-0005-0000-0000-00006B350000}"/>
    <cellStyle name="Normal 5 4 3 4 3 5" xfId="8300" xr:uid="{00000000-0005-0000-0000-00006C350000}"/>
    <cellStyle name="Normal 5 4 3 4 4" xfId="1951" xr:uid="{00000000-0005-0000-0000-00006D350000}"/>
    <cellStyle name="Normal 5 4 3 4 4 2" xfId="5579" xr:uid="{00000000-0005-0000-0000-00006E350000}"/>
    <cellStyle name="Normal 5 4 3 4 4 2 2" xfId="20091" xr:uid="{00000000-0005-0000-0000-00006F350000}"/>
    <cellStyle name="Normal 5 4 3 4 4 2 3" xfId="12835" xr:uid="{00000000-0005-0000-0000-000070350000}"/>
    <cellStyle name="Normal 5 4 3 4 4 3" xfId="16463" xr:uid="{00000000-0005-0000-0000-000071350000}"/>
    <cellStyle name="Normal 5 4 3 4 4 4" xfId="9207" xr:uid="{00000000-0005-0000-0000-000072350000}"/>
    <cellStyle name="Normal 5 4 3 4 5" xfId="3765" xr:uid="{00000000-0005-0000-0000-000073350000}"/>
    <cellStyle name="Normal 5 4 3 4 5 2" xfId="18277" xr:uid="{00000000-0005-0000-0000-000074350000}"/>
    <cellStyle name="Normal 5 4 3 4 5 3" xfId="11021" xr:uid="{00000000-0005-0000-0000-000075350000}"/>
    <cellStyle name="Normal 5 4 3 4 6" xfId="14649" xr:uid="{00000000-0005-0000-0000-000076350000}"/>
    <cellStyle name="Normal 5 4 3 4 7" xfId="7393" xr:uid="{00000000-0005-0000-0000-000077350000}"/>
    <cellStyle name="Normal 5 4 3 5" xfId="266" xr:uid="{00000000-0005-0000-0000-000078350000}"/>
    <cellStyle name="Normal 5 4 3 5 2" xfId="612" xr:uid="{00000000-0005-0000-0000-000079350000}"/>
    <cellStyle name="Normal 5 4 3 5 2 2" xfId="1520" xr:uid="{00000000-0005-0000-0000-00007A350000}"/>
    <cellStyle name="Normal 5 4 3 5 2 2 2" xfId="3334" xr:uid="{00000000-0005-0000-0000-00007B350000}"/>
    <cellStyle name="Normal 5 4 3 5 2 2 2 2" xfId="6962" xr:uid="{00000000-0005-0000-0000-00007C350000}"/>
    <cellStyle name="Normal 5 4 3 5 2 2 2 2 2" xfId="21474" xr:uid="{00000000-0005-0000-0000-00007D350000}"/>
    <cellStyle name="Normal 5 4 3 5 2 2 2 2 3" xfId="14218" xr:uid="{00000000-0005-0000-0000-00007E350000}"/>
    <cellStyle name="Normal 5 4 3 5 2 2 2 3" xfId="17846" xr:uid="{00000000-0005-0000-0000-00007F350000}"/>
    <cellStyle name="Normal 5 4 3 5 2 2 2 4" xfId="10590" xr:uid="{00000000-0005-0000-0000-000080350000}"/>
    <cellStyle name="Normal 5 4 3 5 2 2 3" xfId="5148" xr:uid="{00000000-0005-0000-0000-000081350000}"/>
    <cellStyle name="Normal 5 4 3 5 2 2 3 2" xfId="19660" xr:uid="{00000000-0005-0000-0000-000082350000}"/>
    <cellStyle name="Normal 5 4 3 5 2 2 3 3" xfId="12404" xr:uid="{00000000-0005-0000-0000-000083350000}"/>
    <cellStyle name="Normal 5 4 3 5 2 2 4" xfId="16032" xr:uid="{00000000-0005-0000-0000-000084350000}"/>
    <cellStyle name="Normal 5 4 3 5 2 2 5" xfId="8776" xr:uid="{00000000-0005-0000-0000-000085350000}"/>
    <cellStyle name="Normal 5 4 3 5 2 3" xfId="2427" xr:uid="{00000000-0005-0000-0000-000086350000}"/>
    <cellStyle name="Normal 5 4 3 5 2 3 2" xfId="6055" xr:uid="{00000000-0005-0000-0000-000087350000}"/>
    <cellStyle name="Normal 5 4 3 5 2 3 2 2" xfId="20567" xr:uid="{00000000-0005-0000-0000-000088350000}"/>
    <cellStyle name="Normal 5 4 3 5 2 3 2 3" xfId="13311" xr:uid="{00000000-0005-0000-0000-000089350000}"/>
    <cellStyle name="Normal 5 4 3 5 2 3 3" xfId="16939" xr:uid="{00000000-0005-0000-0000-00008A350000}"/>
    <cellStyle name="Normal 5 4 3 5 2 3 4" xfId="9683" xr:uid="{00000000-0005-0000-0000-00008B350000}"/>
    <cellStyle name="Normal 5 4 3 5 2 4" xfId="4241" xr:uid="{00000000-0005-0000-0000-00008C350000}"/>
    <cellStyle name="Normal 5 4 3 5 2 4 2" xfId="18753" xr:uid="{00000000-0005-0000-0000-00008D350000}"/>
    <cellStyle name="Normal 5 4 3 5 2 4 3" xfId="11497" xr:uid="{00000000-0005-0000-0000-00008E350000}"/>
    <cellStyle name="Normal 5 4 3 5 2 5" xfId="15125" xr:uid="{00000000-0005-0000-0000-00008F350000}"/>
    <cellStyle name="Normal 5 4 3 5 2 6" xfId="7869" xr:uid="{00000000-0005-0000-0000-000090350000}"/>
    <cellStyle name="Normal 5 4 3 5 3" xfId="1174" xr:uid="{00000000-0005-0000-0000-000091350000}"/>
    <cellStyle name="Normal 5 4 3 5 3 2" xfId="2988" xr:uid="{00000000-0005-0000-0000-000092350000}"/>
    <cellStyle name="Normal 5 4 3 5 3 2 2" xfId="6616" xr:uid="{00000000-0005-0000-0000-000093350000}"/>
    <cellStyle name="Normal 5 4 3 5 3 2 2 2" xfId="21128" xr:uid="{00000000-0005-0000-0000-000094350000}"/>
    <cellStyle name="Normal 5 4 3 5 3 2 2 3" xfId="13872" xr:uid="{00000000-0005-0000-0000-000095350000}"/>
    <cellStyle name="Normal 5 4 3 5 3 2 3" xfId="17500" xr:uid="{00000000-0005-0000-0000-000096350000}"/>
    <cellStyle name="Normal 5 4 3 5 3 2 4" xfId="10244" xr:uid="{00000000-0005-0000-0000-000097350000}"/>
    <cellStyle name="Normal 5 4 3 5 3 3" xfId="4802" xr:uid="{00000000-0005-0000-0000-000098350000}"/>
    <cellStyle name="Normal 5 4 3 5 3 3 2" xfId="19314" xr:uid="{00000000-0005-0000-0000-000099350000}"/>
    <cellStyle name="Normal 5 4 3 5 3 3 3" xfId="12058" xr:uid="{00000000-0005-0000-0000-00009A350000}"/>
    <cellStyle name="Normal 5 4 3 5 3 4" xfId="15686" xr:uid="{00000000-0005-0000-0000-00009B350000}"/>
    <cellStyle name="Normal 5 4 3 5 3 5" xfId="8430" xr:uid="{00000000-0005-0000-0000-00009C350000}"/>
    <cellStyle name="Normal 5 4 3 5 4" xfId="2081" xr:uid="{00000000-0005-0000-0000-00009D350000}"/>
    <cellStyle name="Normal 5 4 3 5 4 2" xfId="5709" xr:uid="{00000000-0005-0000-0000-00009E350000}"/>
    <cellStyle name="Normal 5 4 3 5 4 2 2" xfId="20221" xr:uid="{00000000-0005-0000-0000-00009F350000}"/>
    <cellStyle name="Normal 5 4 3 5 4 2 3" xfId="12965" xr:uid="{00000000-0005-0000-0000-0000A0350000}"/>
    <cellStyle name="Normal 5 4 3 5 4 3" xfId="16593" xr:uid="{00000000-0005-0000-0000-0000A1350000}"/>
    <cellStyle name="Normal 5 4 3 5 4 4" xfId="9337" xr:uid="{00000000-0005-0000-0000-0000A2350000}"/>
    <cellStyle name="Normal 5 4 3 5 5" xfId="3895" xr:uid="{00000000-0005-0000-0000-0000A3350000}"/>
    <cellStyle name="Normal 5 4 3 5 5 2" xfId="18407" xr:uid="{00000000-0005-0000-0000-0000A4350000}"/>
    <cellStyle name="Normal 5 4 3 5 5 3" xfId="11151" xr:uid="{00000000-0005-0000-0000-0000A5350000}"/>
    <cellStyle name="Normal 5 4 3 5 6" xfId="14779" xr:uid="{00000000-0005-0000-0000-0000A6350000}"/>
    <cellStyle name="Normal 5 4 3 5 7" xfId="7523" xr:uid="{00000000-0005-0000-0000-0000A7350000}"/>
    <cellStyle name="Normal 5 4 3 6" xfId="742" xr:uid="{00000000-0005-0000-0000-0000A8350000}"/>
    <cellStyle name="Normal 5 4 3 6 2" xfId="1650" xr:uid="{00000000-0005-0000-0000-0000A9350000}"/>
    <cellStyle name="Normal 5 4 3 6 2 2" xfId="3464" xr:uid="{00000000-0005-0000-0000-0000AA350000}"/>
    <cellStyle name="Normal 5 4 3 6 2 2 2" xfId="7092" xr:uid="{00000000-0005-0000-0000-0000AB350000}"/>
    <cellStyle name="Normal 5 4 3 6 2 2 2 2" xfId="21604" xr:uid="{00000000-0005-0000-0000-0000AC350000}"/>
    <cellStyle name="Normal 5 4 3 6 2 2 2 3" xfId="14348" xr:uid="{00000000-0005-0000-0000-0000AD350000}"/>
    <cellStyle name="Normal 5 4 3 6 2 2 3" xfId="17976" xr:uid="{00000000-0005-0000-0000-0000AE350000}"/>
    <cellStyle name="Normal 5 4 3 6 2 2 4" xfId="10720" xr:uid="{00000000-0005-0000-0000-0000AF350000}"/>
    <cellStyle name="Normal 5 4 3 6 2 3" xfId="5278" xr:uid="{00000000-0005-0000-0000-0000B0350000}"/>
    <cellStyle name="Normal 5 4 3 6 2 3 2" xfId="19790" xr:uid="{00000000-0005-0000-0000-0000B1350000}"/>
    <cellStyle name="Normal 5 4 3 6 2 3 3" xfId="12534" xr:uid="{00000000-0005-0000-0000-0000B2350000}"/>
    <cellStyle name="Normal 5 4 3 6 2 4" xfId="16162" xr:uid="{00000000-0005-0000-0000-0000B3350000}"/>
    <cellStyle name="Normal 5 4 3 6 2 5" xfId="8906" xr:uid="{00000000-0005-0000-0000-0000B4350000}"/>
    <cellStyle name="Normal 5 4 3 6 3" xfId="2557" xr:uid="{00000000-0005-0000-0000-0000B5350000}"/>
    <cellStyle name="Normal 5 4 3 6 3 2" xfId="6185" xr:uid="{00000000-0005-0000-0000-0000B6350000}"/>
    <cellStyle name="Normal 5 4 3 6 3 2 2" xfId="20697" xr:uid="{00000000-0005-0000-0000-0000B7350000}"/>
    <cellStyle name="Normal 5 4 3 6 3 2 3" xfId="13441" xr:uid="{00000000-0005-0000-0000-0000B8350000}"/>
    <cellStyle name="Normal 5 4 3 6 3 3" xfId="17069" xr:uid="{00000000-0005-0000-0000-0000B9350000}"/>
    <cellStyle name="Normal 5 4 3 6 3 4" xfId="9813" xr:uid="{00000000-0005-0000-0000-0000BA350000}"/>
    <cellStyle name="Normal 5 4 3 6 4" xfId="4371" xr:uid="{00000000-0005-0000-0000-0000BB350000}"/>
    <cellStyle name="Normal 5 4 3 6 4 2" xfId="18883" xr:uid="{00000000-0005-0000-0000-0000BC350000}"/>
    <cellStyle name="Normal 5 4 3 6 4 3" xfId="11627" xr:uid="{00000000-0005-0000-0000-0000BD350000}"/>
    <cellStyle name="Normal 5 4 3 6 5" xfId="15255" xr:uid="{00000000-0005-0000-0000-0000BE350000}"/>
    <cellStyle name="Normal 5 4 3 6 6" xfId="7999" xr:uid="{00000000-0005-0000-0000-0000BF350000}"/>
    <cellStyle name="Normal 5 4 3 7" xfId="396" xr:uid="{00000000-0005-0000-0000-0000C0350000}"/>
    <cellStyle name="Normal 5 4 3 7 2" xfId="1304" xr:uid="{00000000-0005-0000-0000-0000C1350000}"/>
    <cellStyle name="Normal 5 4 3 7 2 2" xfId="3118" xr:uid="{00000000-0005-0000-0000-0000C2350000}"/>
    <cellStyle name="Normal 5 4 3 7 2 2 2" xfId="6746" xr:uid="{00000000-0005-0000-0000-0000C3350000}"/>
    <cellStyle name="Normal 5 4 3 7 2 2 2 2" xfId="21258" xr:uid="{00000000-0005-0000-0000-0000C4350000}"/>
    <cellStyle name="Normal 5 4 3 7 2 2 2 3" xfId="14002" xr:uid="{00000000-0005-0000-0000-0000C5350000}"/>
    <cellStyle name="Normal 5 4 3 7 2 2 3" xfId="17630" xr:uid="{00000000-0005-0000-0000-0000C6350000}"/>
    <cellStyle name="Normal 5 4 3 7 2 2 4" xfId="10374" xr:uid="{00000000-0005-0000-0000-0000C7350000}"/>
    <cellStyle name="Normal 5 4 3 7 2 3" xfId="4932" xr:uid="{00000000-0005-0000-0000-0000C8350000}"/>
    <cellStyle name="Normal 5 4 3 7 2 3 2" xfId="19444" xr:uid="{00000000-0005-0000-0000-0000C9350000}"/>
    <cellStyle name="Normal 5 4 3 7 2 3 3" xfId="12188" xr:uid="{00000000-0005-0000-0000-0000CA350000}"/>
    <cellStyle name="Normal 5 4 3 7 2 4" xfId="15816" xr:uid="{00000000-0005-0000-0000-0000CB350000}"/>
    <cellStyle name="Normal 5 4 3 7 2 5" xfId="8560" xr:uid="{00000000-0005-0000-0000-0000CC350000}"/>
    <cellStyle name="Normal 5 4 3 7 3" xfId="2211" xr:uid="{00000000-0005-0000-0000-0000CD350000}"/>
    <cellStyle name="Normal 5 4 3 7 3 2" xfId="5839" xr:uid="{00000000-0005-0000-0000-0000CE350000}"/>
    <cellStyle name="Normal 5 4 3 7 3 2 2" xfId="20351" xr:uid="{00000000-0005-0000-0000-0000CF350000}"/>
    <cellStyle name="Normal 5 4 3 7 3 2 3" xfId="13095" xr:uid="{00000000-0005-0000-0000-0000D0350000}"/>
    <cellStyle name="Normal 5 4 3 7 3 3" xfId="16723" xr:uid="{00000000-0005-0000-0000-0000D1350000}"/>
    <cellStyle name="Normal 5 4 3 7 3 4" xfId="9467" xr:uid="{00000000-0005-0000-0000-0000D2350000}"/>
    <cellStyle name="Normal 5 4 3 7 4" xfId="4025" xr:uid="{00000000-0005-0000-0000-0000D3350000}"/>
    <cellStyle name="Normal 5 4 3 7 4 2" xfId="18537" xr:uid="{00000000-0005-0000-0000-0000D4350000}"/>
    <cellStyle name="Normal 5 4 3 7 4 3" xfId="11281" xr:uid="{00000000-0005-0000-0000-0000D5350000}"/>
    <cellStyle name="Normal 5 4 3 7 5" xfId="14909" xr:uid="{00000000-0005-0000-0000-0000D6350000}"/>
    <cellStyle name="Normal 5 4 3 7 6" xfId="7653" xr:uid="{00000000-0005-0000-0000-0000D7350000}"/>
    <cellStyle name="Normal 5 4 3 8" xfId="882" xr:uid="{00000000-0005-0000-0000-0000D8350000}"/>
    <cellStyle name="Normal 5 4 3 8 2" xfId="1790" xr:uid="{00000000-0005-0000-0000-0000D9350000}"/>
    <cellStyle name="Normal 5 4 3 8 2 2" xfId="3604" xr:uid="{00000000-0005-0000-0000-0000DA350000}"/>
    <cellStyle name="Normal 5 4 3 8 2 2 2" xfId="7232" xr:uid="{00000000-0005-0000-0000-0000DB350000}"/>
    <cellStyle name="Normal 5 4 3 8 2 2 2 2" xfId="21744" xr:uid="{00000000-0005-0000-0000-0000DC350000}"/>
    <cellStyle name="Normal 5 4 3 8 2 2 2 3" xfId="14488" xr:uid="{00000000-0005-0000-0000-0000DD350000}"/>
    <cellStyle name="Normal 5 4 3 8 2 2 3" xfId="18116" xr:uid="{00000000-0005-0000-0000-0000DE350000}"/>
    <cellStyle name="Normal 5 4 3 8 2 2 4" xfId="10860" xr:uid="{00000000-0005-0000-0000-0000DF350000}"/>
    <cellStyle name="Normal 5 4 3 8 2 3" xfId="5418" xr:uid="{00000000-0005-0000-0000-0000E0350000}"/>
    <cellStyle name="Normal 5 4 3 8 2 3 2" xfId="19930" xr:uid="{00000000-0005-0000-0000-0000E1350000}"/>
    <cellStyle name="Normal 5 4 3 8 2 3 3" xfId="12674" xr:uid="{00000000-0005-0000-0000-0000E2350000}"/>
    <cellStyle name="Normal 5 4 3 8 2 4" xfId="16302" xr:uid="{00000000-0005-0000-0000-0000E3350000}"/>
    <cellStyle name="Normal 5 4 3 8 2 5" xfId="9046" xr:uid="{00000000-0005-0000-0000-0000E4350000}"/>
    <cellStyle name="Normal 5 4 3 8 3" xfId="2697" xr:uid="{00000000-0005-0000-0000-0000E5350000}"/>
    <cellStyle name="Normal 5 4 3 8 3 2" xfId="6325" xr:uid="{00000000-0005-0000-0000-0000E6350000}"/>
    <cellStyle name="Normal 5 4 3 8 3 2 2" xfId="20837" xr:uid="{00000000-0005-0000-0000-0000E7350000}"/>
    <cellStyle name="Normal 5 4 3 8 3 2 3" xfId="13581" xr:uid="{00000000-0005-0000-0000-0000E8350000}"/>
    <cellStyle name="Normal 5 4 3 8 3 3" xfId="17209" xr:uid="{00000000-0005-0000-0000-0000E9350000}"/>
    <cellStyle name="Normal 5 4 3 8 3 4" xfId="9953" xr:uid="{00000000-0005-0000-0000-0000EA350000}"/>
    <cellStyle name="Normal 5 4 3 8 4" xfId="4511" xr:uid="{00000000-0005-0000-0000-0000EB350000}"/>
    <cellStyle name="Normal 5 4 3 8 4 2" xfId="19023" xr:uid="{00000000-0005-0000-0000-0000EC350000}"/>
    <cellStyle name="Normal 5 4 3 8 4 3" xfId="11767" xr:uid="{00000000-0005-0000-0000-0000ED350000}"/>
    <cellStyle name="Normal 5 4 3 8 5" xfId="15395" xr:uid="{00000000-0005-0000-0000-0000EE350000}"/>
    <cellStyle name="Normal 5 4 3 8 6" xfId="8139" xr:uid="{00000000-0005-0000-0000-0000EF350000}"/>
    <cellStyle name="Normal 5 4 3 9" xfId="958" xr:uid="{00000000-0005-0000-0000-0000F0350000}"/>
    <cellStyle name="Normal 5 4 3 9 2" xfId="2772" xr:uid="{00000000-0005-0000-0000-0000F1350000}"/>
    <cellStyle name="Normal 5 4 3 9 2 2" xfId="6400" xr:uid="{00000000-0005-0000-0000-0000F2350000}"/>
    <cellStyle name="Normal 5 4 3 9 2 2 2" xfId="20912" xr:uid="{00000000-0005-0000-0000-0000F3350000}"/>
    <cellStyle name="Normal 5 4 3 9 2 2 3" xfId="13656" xr:uid="{00000000-0005-0000-0000-0000F4350000}"/>
    <cellStyle name="Normal 5 4 3 9 2 3" xfId="17284" xr:uid="{00000000-0005-0000-0000-0000F5350000}"/>
    <cellStyle name="Normal 5 4 3 9 2 4" xfId="10028" xr:uid="{00000000-0005-0000-0000-0000F6350000}"/>
    <cellStyle name="Normal 5 4 3 9 3" xfId="4586" xr:uid="{00000000-0005-0000-0000-0000F7350000}"/>
    <cellStyle name="Normal 5 4 3 9 3 2" xfId="19098" xr:uid="{00000000-0005-0000-0000-0000F8350000}"/>
    <cellStyle name="Normal 5 4 3 9 3 3" xfId="11842" xr:uid="{00000000-0005-0000-0000-0000F9350000}"/>
    <cellStyle name="Normal 5 4 3 9 4" xfId="15470" xr:uid="{00000000-0005-0000-0000-0000FA350000}"/>
    <cellStyle name="Normal 5 4 3 9 5" xfId="8214" xr:uid="{00000000-0005-0000-0000-0000FB350000}"/>
    <cellStyle name="Normal 5 4 4" xfId="69" xr:uid="{00000000-0005-0000-0000-0000FC350000}"/>
    <cellStyle name="Normal 5 4 4 10" xfId="14584" xr:uid="{00000000-0005-0000-0000-0000FD350000}"/>
    <cellStyle name="Normal 5 4 4 11" xfId="7328" xr:uid="{00000000-0005-0000-0000-0000FE350000}"/>
    <cellStyle name="Normal 5 4 4 2" xfId="157" xr:uid="{00000000-0005-0000-0000-0000FF350000}"/>
    <cellStyle name="Normal 5 4 4 2 2" xfId="503" xr:uid="{00000000-0005-0000-0000-000000360000}"/>
    <cellStyle name="Normal 5 4 4 2 2 2" xfId="1411" xr:uid="{00000000-0005-0000-0000-000001360000}"/>
    <cellStyle name="Normal 5 4 4 2 2 2 2" xfId="3225" xr:uid="{00000000-0005-0000-0000-000002360000}"/>
    <cellStyle name="Normal 5 4 4 2 2 2 2 2" xfId="6853" xr:uid="{00000000-0005-0000-0000-000003360000}"/>
    <cellStyle name="Normal 5 4 4 2 2 2 2 2 2" xfId="21365" xr:uid="{00000000-0005-0000-0000-000004360000}"/>
    <cellStyle name="Normal 5 4 4 2 2 2 2 2 3" xfId="14109" xr:uid="{00000000-0005-0000-0000-000005360000}"/>
    <cellStyle name="Normal 5 4 4 2 2 2 2 3" xfId="17737" xr:uid="{00000000-0005-0000-0000-000006360000}"/>
    <cellStyle name="Normal 5 4 4 2 2 2 2 4" xfId="10481" xr:uid="{00000000-0005-0000-0000-000007360000}"/>
    <cellStyle name="Normal 5 4 4 2 2 2 3" xfId="5039" xr:uid="{00000000-0005-0000-0000-000008360000}"/>
    <cellStyle name="Normal 5 4 4 2 2 2 3 2" xfId="19551" xr:uid="{00000000-0005-0000-0000-000009360000}"/>
    <cellStyle name="Normal 5 4 4 2 2 2 3 3" xfId="12295" xr:uid="{00000000-0005-0000-0000-00000A360000}"/>
    <cellStyle name="Normal 5 4 4 2 2 2 4" xfId="15923" xr:uid="{00000000-0005-0000-0000-00000B360000}"/>
    <cellStyle name="Normal 5 4 4 2 2 2 5" xfId="8667" xr:uid="{00000000-0005-0000-0000-00000C360000}"/>
    <cellStyle name="Normal 5 4 4 2 2 3" xfId="2318" xr:uid="{00000000-0005-0000-0000-00000D360000}"/>
    <cellStyle name="Normal 5 4 4 2 2 3 2" xfId="5946" xr:uid="{00000000-0005-0000-0000-00000E360000}"/>
    <cellStyle name="Normal 5 4 4 2 2 3 2 2" xfId="20458" xr:uid="{00000000-0005-0000-0000-00000F360000}"/>
    <cellStyle name="Normal 5 4 4 2 2 3 2 3" xfId="13202" xr:uid="{00000000-0005-0000-0000-000010360000}"/>
    <cellStyle name="Normal 5 4 4 2 2 3 3" xfId="16830" xr:uid="{00000000-0005-0000-0000-000011360000}"/>
    <cellStyle name="Normal 5 4 4 2 2 3 4" xfId="9574" xr:uid="{00000000-0005-0000-0000-000012360000}"/>
    <cellStyle name="Normal 5 4 4 2 2 4" xfId="4132" xr:uid="{00000000-0005-0000-0000-000013360000}"/>
    <cellStyle name="Normal 5 4 4 2 2 4 2" xfId="18644" xr:uid="{00000000-0005-0000-0000-000014360000}"/>
    <cellStyle name="Normal 5 4 4 2 2 4 3" xfId="11388" xr:uid="{00000000-0005-0000-0000-000015360000}"/>
    <cellStyle name="Normal 5 4 4 2 2 5" xfId="15016" xr:uid="{00000000-0005-0000-0000-000016360000}"/>
    <cellStyle name="Normal 5 4 4 2 2 6" xfId="7760" xr:uid="{00000000-0005-0000-0000-000017360000}"/>
    <cellStyle name="Normal 5 4 4 2 3" xfId="1065" xr:uid="{00000000-0005-0000-0000-000018360000}"/>
    <cellStyle name="Normal 5 4 4 2 3 2" xfId="2879" xr:uid="{00000000-0005-0000-0000-000019360000}"/>
    <cellStyle name="Normal 5 4 4 2 3 2 2" xfId="6507" xr:uid="{00000000-0005-0000-0000-00001A360000}"/>
    <cellStyle name="Normal 5 4 4 2 3 2 2 2" xfId="21019" xr:uid="{00000000-0005-0000-0000-00001B360000}"/>
    <cellStyle name="Normal 5 4 4 2 3 2 2 3" xfId="13763" xr:uid="{00000000-0005-0000-0000-00001C360000}"/>
    <cellStyle name="Normal 5 4 4 2 3 2 3" xfId="17391" xr:uid="{00000000-0005-0000-0000-00001D360000}"/>
    <cellStyle name="Normal 5 4 4 2 3 2 4" xfId="10135" xr:uid="{00000000-0005-0000-0000-00001E360000}"/>
    <cellStyle name="Normal 5 4 4 2 3 3" xfId="4693" xr:uid="{00000000-0005-0000-0000-00001F360000}"/>
    <cellStyle name="Normal 5 4 4 2 3 3 2" xfId="19205" xr:uid="{00000000-0005-0000-0000-000020360000}"/>
    <cellStyle name="Normal 5 4 4 2 3 3 3" xfId="11949" xr:uid="{00000000-0005-0000-0000-000021360000}"/>
    <cellStyle name="Normal 5 4 4 2 3 4" xfId="15577" xr:uid="{00000000-0005-0000-0000-000022360000}"/>
    <cellStyle name="Normal 5 4 4 2 3 5" xfId="8321" xr:uid="{00000000-0005-0000-0000-000023360000}"/>
    <cellStyle name="Normal 5 4 4 2 4" xfId="1972" xr:uid="{00000000-0005-0000-0000-000024360000}"/>
    <cellStyle name="Normal 5 4 4 2 4 2" xfId="5600" xr:uid="{00000000-0005-0000-0000-000025360000}"/>
    <cellStyle name="Normal 5 4 4 2 4 2 2" xfId="20112" xr:uid="{00000000-0005-0000-0000-000026360000}"/>
    <cellStyle name="Normal 5 4 4 2 4 2 3" xfId="12856" xr:uid="{00000000-0005-0000-0000-000027360000}"/>
    <cellStyle name="Normal 5 4 4 2 4 3" xfId="16484" xr:uid="{00000000-0005-0000-0000-000028360000}"/>
    <cellStyle name="Normal 5 4 4 2 4 4" xfId="9228" xr:uid="{00000000-0005-0000-0000-000029360000}"/>
    <cellStyle name="Normal 5 4 4 2 5" xfId="3786" xr:uid="{00000000-0005-0000-0000-00002A360000}"/>
    <cellStyle name="Normal 5 4 4 2 5 2" xfId="18298" xr:uid="{00000000-0005-0000-0000-00002B360000}"/>
    <cellStyle name="Normal 5 4 4 2 5 3" xfId="11042" xr:uid="{00000000-0005-0000-0000-00002C360000}"/>
    <cellStyle name="Normal 5 4 4 2 6" xfId="14670" xr:uid="{00000000-0005-0000-0000-00002D360000}"/>
    <cellStyle name="Normal 5 4 4 2 7" xfId="7414" xr:uid="{00000000-0005-0000-0000-00002E360000}"/>
    <cellStyle name="Normal 5 4 4 3" xfId="287" xr:uid="{00000000-0005-0000-0000-00002F360000}"/>
    <cellStyle name="Normal 5 4 4 3 2" xfId="633" xr:uid="{00000000-0005-0000-0000-000030360000}"/>
    <cellStyle name="Normal 5 4 4 3 2 2" xfId="1541" xr:uid="{00000000-0005-0000-0000-000031360000}"/>
    <cellStyle name="Normal 5 4 4 3 2 2 2" xfId="3355" xr:uid="{00000000-0005-0000-0000-000032360000}"/>
    <cellStyle name="Normal 5 4 4 3 2 2 2 2" xfId="6983" xr:uid="{00000000-0005-0000-0000-000033360000}"/>
    <cellStyle name="Normal 5 4 4 3 2 2 2 2 2" xfId="21495" xr:uid="{00000000-0005-0000-0000-000034360000}"/>
    <cellStyle name="Normal 5 4 4 3 2 2 2 2 3" xfId="14239" xr:uid="{00000000-0005-0000-0000-000035360000}"/>
    <cellStyle name="Normal 5 4 4 3 2 2 2 3" xfId="17867" xr:uid="{00000000-0005-0000-0000-000036360000}"/>
    <cellStyle name="Normal 5 4 4 3 2 2 2 4" xfId="10611" xr:uid="{00000000-0005-0000-0000-000037360000}"/>
    <cellStyle name="Normal 5 4 4 3 2 2 3" xfId="5169" xr:uid="{00000000-0005-0000-0000-000038360000}"/>
    <cellStyle name="Normal 5 4 4 3 2 2 3 2" xfId="19681" xr:uid="{00000000-0005-0000-0000-000039360000}"/>
    <cellStyle name="Normal 5 4 4 3 2 2 3 3" xfId="12425" xr:uid="{00000000-0005-0000-0000-00003A360000}"/>
    <cellStyle name="Normal 5 4 4 3 2 2 4" xfId="16053" xr:uid="{00000000-0005-0000-0000-00003B360000}"/>
    <cellStyle name="Normal 5 4 4 3 2 2 5" xfId="8797" xr:uid="{00000000-0005-0000-0000-00003C360000}"/>
    <cellStyle name="Normal 5 4 4 3 2 3" xfId="2448" xr:uid="{00000000-0005-0000-0000-00003D360000}"/>
    <cellStyle name="Normal 5 4 4 3 2 3 2" xfId="6076" xr:uid="{00000000-0005-0000-0000-00003E360000}"/>
    <cellStyle name="Normal 5 4 4 3 2 3 2 2" xfId="20588" xr:uid="{00000000-0005-0000-0000-00003F360000}"/>
    <cellStyle name="Normal 5 4 4 3 2 3 2 3" xfId="13332" xr:uid="{00000000-0005-0000-0000-000040360000}"/>
    <cellStyle name="Normal 5 4 4 3 2 3 3" xfId="16960" xr:uid="{00000000-0005-0000-0000-000041360000}"/>
    <cellStyle name="Normal 5 4 4 3 2 3 4" xfId="9704" xr:uid="{00000000-0005-0000-0000-000042360000}"/>
    <cellStyle name="Normal 5 4 4 3 2 4" xfId="4262" xr:uid="{00000000-0005-0000-0000-000043360000}"/>
    <cellStyle name="Normal 5 4 4 3 2 4 2" xfId="18774" xr:uid="{00000000-0005-0000-0000-000044360000}"/>
    <cellStyle name="Normal 5 4 4 3 2 4 3" xfId="11518" xr:uid="{00000000-0005-0000-0000-000045360000}"/>
    <cellStyle name="Normal 5 4 4 3 2 5" xfId="15146" xr:uid="{00000000-0005-0000-0000-000046360000}"/>
    <cellStyle name="Normal 5 4 4 3 2 6" xfId="7890" xr:uid="{00000000-0005-0000-0000-000047360000}"/>
    <cellStyle name="Normal 5 4 4 3 3" xfId="1195" xr:uid="{00000000-0005-0000-0000-000048360000}"/>
    <cellStyle name="Normal 5 4 4 3 3 2" xfId="3009" xr:uid="{00000000-0005-0000-0000-000049360000}"/>
    <cellStyle name="Normal 5 4 4 3 3 2 2" xfId="6637" xr:uid="{00000000-0005-0000-0000-00004A360000}"/>
    <cellStyle name="Normal 5 4 4 3 3 2 2 2" xfId="21149" xr:uid="{00000000-0005-0000-0000-00004B360000}"/>
    <cellStyle name="Normal 5 4 4 3 3 2 2 3" xfId="13893" xr:uid="{00000000-0005-0000-0000-00004C360000}"/>
    <cellStyle name="Normal 5 4 4 3 3 2 3" xfId="17521" xr:uid="{00000000-0005-0000-0000-00004D360000}"/>
    <cellStyle name="Normal 5 4 4 3 3 2 4" xfId="10265" xr:uid="{00000000-0005-0000-0000-00004E360000}"/>
    <cellStyle name="Normal 5 4 4 3 3 3" xfId="4823" xr:uid="{00000000-0005-0000-0000-00004F360000}"/>
    <cellStyle name="Normal 5 4 4 3 3 3 2" xfId="19335" xr:uid="{00000000-0005-0000-0000-000050360000}"/>
    <cellStyle name="Normal 5 4 4 3 3 3 3" xfId="12079" xr:uid="{00000000-0005-0000-0000-000051360000}"/>
    <cellStyle name="Normal 5 4 4 3 3 4" xfId="15707" xr:uid="{00000000-0005-0000-0000-000052360000}"/>
    <cellStyle name="Normal 5 4 4 3 3 5" xfId="8451" xr:uid="{00000000-0005-0000-0000-000053360000}"/>
    <cellStyle name="Normal 5 4 4 3 4" xfId="2102" xr:uid="{00000000-0005-0000-0000-000054360000}"/>
    <cellStyle name="Normal 5 4 4 3 4 2" xfId="5730" xr:uid="{00000000-0005-0000-0000-000055360000}"/>
    <cellStyle name="Normal 5 4 4 3 4 2 2" xfId="20242" xr:uid="{00000000-0005-0000-0000-000056360000}"/>
    <cellStyle name="Normal 5 4 4 3 4 2 3" xfId="12986" xr:uid="{00000000-0005-0000-0000-000057360000}"/>
    <cellStyle name="Normal 5 4 4 3 4 3" xfId="16614" xr:uid="{00000000-0005-0000-0000-000058360000}"/>
    <cellStyle name="Normal 5 4 4 3 4 4" xfId="9358" xr:uid="{00000000-0005-0000-0000-000059360000}"/>
    <cellStyle name="Normal 5 4 4 3 5" xfId="3916" xr:uid="{00000000-0005-0000-0000-00005A360000}"/>
    <cellStyle name="Normal 5 4 4 3 5 2" xfId="18428" xr:uid="{00000000-0005-0000-0000-00005B360000}"/>
    <cellStyle name="Normal 5 4 4 3 5 3" xfId="11172" xr:uid="{00000000-0005-0000-0000-00005C360000}"/>
    <cellStyle name="Normal 5 4 4 3 6" xfId="14800" xr:uid="{00000000-0005-0000-0000-00005D360000}"/>
    <cellStyle name="Normal 5 4 4 3 7" xfId="7544" xr:uid="{00000000-0005-0000-0000-00005E360000}"/>
    <cellStyle name="Normal 5 4 4 4" xfId="763" xr:uid="{00000000-0005-0000-0000-00005F360000}"/>
    <cellStyle name="Normal 5 4 4 4 2" xfId="1671" xr:uid="{00000000-0005-0000-0000-000060360000}"/>
    <cellStyle name="Normal 5 4 4 4 2 2" xfId="3485" xr:uid="{00000000-0005-0000-0000-000061360000}"/>
    <cellStyle name="Normal 5 4 4 4 2 2 2" xfId="7113" xr:uid="{00000000-0005-0000-0000-000062360000}"/>
    <cellStyle name="Normal 5 4 4 4 2 2 2 2" xfId="21625" xr:uid="{00000000-0005-0000-0000-000063360000}"/>
    <cellStyle name="Normal 5 4 4 4 2 2 2 3" xfId="14369" xr:uid="{00000000-0005-0000-0000-000064360000}"/>
    <cellStyle name="Normal 5 4 4 4 2 2 3" xfId="17997" xr:uid="{00000000-0005-0000-0000-000065360000}"/>
    <cellStyle name="Normal 5 4 4 4 2 2 4" xfId="10741" xr:uid="{00000000-0005-0000-0000-000066360000}"/>
    <cellStyle name="Normal 5 4 4 4 2 3" xfId="5299" xr:uid="{00000000-0005-0000-0000-000067360000}"/>
    <cellStyle name="Normal 5 4 4 4 2 3 2" xfId="19811" xr:uid="{00000000-0005-0000-0000-000068360000}"/>
    <cellStyle name="Normal 5 4 4 4 2 3 3" xfId="12555" xr:uid="{00000000-0005-0000-0000-000069360000}"/>
    <cellStyle name="Normal 5 4 4 4 2 4" xfId="16183" xr:uid="{00000000-0005-0000-0000-00006A360000}"/>
    <cellStyle name="Normal 5 4 4 4 2 5" xfId="8927" xr:uid="{00000000-0005-0000-0000-00006B360000}"/>
    <cellStyle name="Normal 5 4 4 4 3" xfId="2578" xr:uid="{00000000-0005-0000-0000-00006C360000}"/>
    <cellStyle name="Normal 5 4 4 4 3 2" xfId="6206" xr:uid="{00000000-0005-0000-0000-00006D360000}"/>
    <cellStyle name="Normal 5 4 4 4 3 2 2" xfId="20718" xr:uid="{00000000-0005-0000-0000-00006E360000}"/>
    <cellStyle name="Normal 5 4 4 4 3 2 3" xfId="13462" xr:uid="{00000000-0005-0000-0000-00006F360000}"/>
    <cellStyle name="Normal 5 4 4 4 3 3" xfId="17090" xr:uid="{00000000-0005-0000-0000-000070360000}"/>
    <cellStyle name="Normal 5 4 4 4 3 4" xfId="9834" xr:uid="{00000000-0005-0000-0000-000071360000}"/>
    <cellStyle name="Normal 5 4 4 4 4" xfId="4392" xr:uid="{00000000-0005-0000-0000-000072360000}"/>
    <cellStyle name="Normal 5 4 4 4 4 2" xfId="18904" xr:uid="{00000000-0005-0000-0000-000073360000}"/>
    <cellStyle name="Normal 5 4 4 4 4 3" xfId="11648" xr:uid="{00000000-0005-0000-0000-000074360000}"/>
    <cellStyle name="Normal 5 4 4 4 5" xfId="15276" xr:uid="{00000000-0005-0000-0000-000075360000}"/>
    <cellStyle name="Normal 5 4 4 4 6" xfId="8020" xr:uid="{00000000-0005-0000-0000-000076360000}"/>
    <cellStyle name="Normal 5 4 4 5" xfId="417" xr:uid="{00000000-0005-0000-0000-000077360000}"/>
    <cellStyle name="Normal 5 4 4 5 2" xfId="1325" xr:uid="{00000000-0005-0000-0000-000078360000}"/>
    <cellStyle name="Normal 5 4 4 5 2 2" xfId="3139" xr:uid="{00000000-0005-0000-0000-000079360000}"/>
    <cellStyle name="Normal 5 4 4 5 2 2 2" xfId="6767" xr:uid="{00000000-0005-0000-0000-00007A360000}"/>
    <cellStyle name="Normal 5 4 4 5 2 2 2 2" xfId="21279" xr:uid="{00000000-0005-0000-0000-00007B360000}"/>
    <cellStyle name="Normal 5 4 4 5 2 2 2 3" xfId="14023" xr:uid="{00000000-0005-0000-0000-00007C360000}"/>
    <cellStyle name="Normal 5 4 4 5 2 2 3" xfId="17651" xr:uid="{00000000-0005-0000-0000-00007D360000}"/>
    <cellStyle name="Normal 5 4 4 5 2 2 4" xfId="10395" xr:uid="{00000000-0005-0000-0000-00007E360000}"/>
    <cellStyle name="Normal 5 4 4 5 2 3" xfId="4953" xr:uid="{00000000-0005-0000-0000-00007F360000}"/>
    <cellStyle name="Normal 5 4 4 5 2 3 2" xfId="19465" xr:uid="{00000000-0005-0000-0000-000080360000}"/>
    <cellStyle name="Normal 5 4 4 5 2 3 3" xfId="12209" xr:uid="{00000000-0005-0000-0000-000081360000}"/>
    <cellStyle name="Normal 5 4 4 5 2 4" xfId="15837" xr:uid="{00000000-0005-0000-0000-000082360000}"/>
    <cellStyle name="Normal 5 4 4 5 2 5" xfId="8581" xr:uid="{00000000-0005-0000-0000-000083360000}"/>
    <cellStyle name="Normal 5 4 4 5 3" xfId="2232" xr:uid="{00000000-0005-0000-0000-000084360000}"/>
    <cellStyle name="Normal 5 4 4 5 3 2" xfId="5860" xr:uid="{00000000-0005-0000-0000-000085360000}"/>
    <cellStyle name="Normal 5 4 4 5 3 2 2" xfId="20372" xr:uid="{00000000-0005-0000-0000-000086360000}"/>
    <cellStyle name="Normal 5 4 4 5 3 2 3" xfId="13116" xr:uid="{00000000-0005-0000-0000-000087360000}"/>
    <cellStyle name="Normal 5 4 4 5 3 3" xfId="16744" xr:uid="{00000000-0005-0000-0000-000088360000}"/>
    <cellStyle name="Normal 5 4 4 5 3 4" xfId="9488" xr:uid="{00000000-0005-0000-0000-000089360000}"/>
    <cellStyle name="Normal 5 4 4 5 4" xfId="4046" xr:uid="{00000000-0005-0000-0000-00008A360000}"/>
    <cellStyle name="Normal 5 4 4 5 4 2" xfId="18558" xr:uid="{00000000-0005-0000-0000-00008B360000}"/>
    <cellStyle name="Normal 5 4 4 5 4 3" xfId="11302" xr:uid="{00000000-0005-0000-0000-00008C360000}"/>
    <cellStyle name="Normal 5 4 4 5 5" xfId="14930" xr:uid="{00000000-0005-0000-0000-00008D360000}"/>
    <cellStyle name="Normal 5 4 4 5 6" xfId="7674" xr:uid="{00000000-0005-0000-0000-00008E360000}"/>
    <cellStyle name="Normal 5 4 4 6" xfId="894" xr:uid="{00000000-0005-0000-0000-00008F360000}"/>
    <cellStyle name="Normal 5 4 4 6 2" xfId="1802" xr:uid="{00000000-0005-0000-0000-000090360000}"/>
    <cellStyle name="Normal 5 4 4 6 2 2" xfId="3616" xr:uid="{00000000-0005-0000-0000-000091360000}"/>
    <cellStyle name="Normal 5 4 4 6 2 2 2" xfId="7244" xr:uid="{00000000-0005-0000-0000-000092360000}"/>
    <cellStyle name="Normal 5 4 4 6 2 2 2 2" xfId="21756" xr:uid="{00000000-0005-0000-0000-000093360000}"/>
    <cellStyle name="Normal 5 4 4 6 2 2 2 3" xfId="14500" xr:uid="{00000000-0005-0000-0000-000094360000}"/>
    <cellStyle name="Normal 5 4 4 6 2 2 3" xfId="18128" xr:uid="{00000000-0005-0000-0000-000095360000}"/>
    <cellStyle name="Normal 5 4 4 6 2 2 4" xfId="10872" xr:uid="{00000000-0005-0000-0000-000096360000}"/>
    <cellStyle name="Normal 5 4 4 6 2 3" xfId="5430" xr:uid="{00000000-0005-0000-0000-000097360000}"/>
    <cellStyle name="Normal 5 4 4 6 2 3 2" xfId="19942" xr:uid="{00000000-0005-0000-0000-000098360000}"/>
    <cellStyle name="Normal 5 4 4 6 2 3 3" xfId="12686" xr:uid="{00000000-0005-0000-0000-000099360000}"/>
    <cellStyle name="Normal 5 4 4 6 2 4" xfId="16314" xr:uid="{00000000-0005-0000-0000-00009A360000}"/>
    <cellStyle name="Normal 5 4 4 6 2 5" xfId="9058" xr:uid="{00000000-0005-0000-0000-00009B360000}"/>
    <cellStyle name="Normal 5 4 4 6 3" xfId="2709" xr:uid="{00000000-0005-0000-0000-00009C360000}"/>
    <cellStyle name="Normal 5 4 4 6 3 2" xfId="6337" xr:uid="{00000000-0005-0000-0000-00009D360000}"/>
    <cellStyle name="Normal 5 4 4 6 3 2 2" xfId="20849" xr:uid="{00000000-0005-0000-0000-00009E360000}"/>
    <cellStyle name="Normal 5 4 4 6 3 2 3" xfId="13593" xr:uid="{00000000-0005-0000-0000-00009F360000}"/>
    <cellStyle name="Normal 5 4 4 6 3 3" xfId="17221" xr:uid="{00000000-0005-0000-0000-0000A0360000}"/>
    <cellStyle name="Normal 5 4 4 6 3 4" xfId="9965" xr:uid="{00000000-0005-0000-0000-0000A1360000}"/>
    <cellStyle name="Normal 5 4 4 6 4" xfId="4523" xr:uid="{00000000-0005-0000-0000-0000A2360000}"/>
    <cellStyle name="Normal 5 4 4 6 4 2" xfId="19035" xr:uid="{00000000-0005-0000-0000-0000A3360000}"/>
    <cellStyle name="Normal 5 4 4 6 4 3" xfId="11779" xr:uid="{00000000-0005-0000-0000-0000A4360000}"/>
    <cellStyle name="Normal 5 4 4 6 5" xfId="15407" xr:uid="{00000000-0005-0000-0000-0000A5360000}"/>
    <cellStyle name="Normal 5 4 4 6 6" xfId="8151" xr:uid="{00000000-0005-0000-0000-0000A6360000}"/>
    <cellStyle name="Normal 5 4 4 7" xfId="979" xr:uid="{00000000-0005-0000-0000-0000A7360000}"/>
    <cellStyle name="Normal 5 4 4 7 2" xfId="2793" xr:uid="{00000000-0005-0000-0000-0000A8360000}"/>
    <cellStyle name="Normal 5 4 4 7 2 2" xfId="6421" xr:uid="{00000000-0005-0000-0000-0000A9360000}"/>
    <cellStyle name="Normal 5 4 4 7 2 2 2" xfId="20933" xr:uid="{00000000-0005-0000-0000-0000AA360000}"/>
    <cellStyle name="Normal 5 4 4 7 2 2 3" xfId="13677" xr:uid="{00000000-0005-0000-0000-0000AB360000}"/>
    <cellStyle name="Normal 5 4 4 7 2 3" xfId="17305" xr:uid="{00000000-0005-0000-0000-0000AC360000}"/>
    <cellStyle name="Normal 5 4 4 7 2 4" xfId="10049" xr:uid="{00000000-0005-0000-0000-0000AD360000}"/>
    <cellStyle name="Normal 5 4 4 7 3" xfId="4607" xr:uid="{00000000-0005-0000-0000-0000AE360000}"/>
    <cellStyle name="Normal 5 4 4 7 3 2" xfId="19119" xr:uid="{00000000-0005-0000-0000-0000AF360000}"/>
    <cellStyle name="Normal 5 4 4 7 3 3" xfId="11863" xr:uid="{00000000-0005-0000-0000-0000B0360000}"/>
    <cellStyle name="Normal 5 4 4 7 4" xfId="15491" xr:uid="{00000000-0005-0000-0000-0000B1360000}"/>
    <cellStyle name="Normal 5 4 4 7 5" xfId="8235" xr:uid="{00000000-0005-0000-0000-0000B2360000}"/>
    <cellStyle name="Normal 5 4 4 8" xfId="1886" xr:uid="{00000000-0005-0000-0000-0000B3360000}"/>
    <cellStyle name="Normal 5 4 4 8 2" xfId="5514" xr:uid="{00000000-0005-0000-0000-0000B4360000}"/>
    <cellStyle name="Normal 5 4 4 8 2 2" xfId="20026" xr:uid="{00000000-0005-0000-0000-0000B5360000}"/>
    <cellStyle name="Normal 5 4 4 8 2 3" xfId="12770" xr:uid="{00000000-0005-0000-0000-0000B6360000}"/>
    <cellStyle name="Normal 5 4 4 8 3" xfId="16398" xr:uid="{00000000-0005-0000-0000-0000B7360000}"/>
    <cellStyle name="Normal 5 4 4 8 4" xfId="9142" xr:uid="{00000000-0005-0000-0000-0000B8360000}"/>
    <cellStyle name="Normal 5 4 4 9" xfId="3700" xr:uid="{00000000-0005-0000-0000-0000B9360000}"/>
    <cellStyle name="Normal 5 4 4 9 2" xfId="18212" xr:uid="{00000000-0005-0000-0000-0000BA360000}"/>
    <cellStyle name="Normal 5 4 4 9 3" xfId="10956" xr:uid="{00000000-0005-0000-0000-0000BB360000}"/>
    <cellStyle name="Normal 5 4 5" xfId="201" xr:uid="{00000000-0005-0000-0000-0000BC360000}"/>
    <cellStyle name="Normal 5 4 5 2" xfId="331" xr:uid="{00000000-0005-0000-0000-0000BD360000}"/>
    <cellStyle name="Normal 5 4 5 2 2" xfId="677" xr:uid="{00000000-0005-0000-0000-0000BE360000}"/>
    <cellStyle name="Normal 5 4 5 2 2 2" xfId="1585" xr:uid="{00000000-0005-0000-0000-0000BF360000}"/>
    <cellStyle name="Normal 5 4 5 2 2 2 2" xfId="3399" xr:uid="{00000000-0005-0000-0000-0000C0360000}"/>
    <cellStyle name="Normal 5 4 5 2 2 2 2 2" xfId="7027" xr:uid="{00000000-0005-0000-0000-0000C1360000}"/>
    <cellStyle name="Normal 5 4 5 2 2 2 2 2 2" xfId="21539" xr:uid="{00000000-0005-0000-0000-0000C2360000}"/>
    <cellStyle name="Normal 5 4 5 2 2 2 2 2 3" xfId="14283" xr:uid="{00000000-0005-0000-0000-0000C3360000}"/>
    <cellStyle name="Normal 5 4 5 2 2 2 2 3" xfId="17911" xr:uid="{00000000-0005-0000-0000-0000C4360000}"/>
    <cellStyle name="Normal 5 4 5 2 2 2 2 4" xfId="10655" xr:uid="{00000000-0005-0000-0000-0000C5360000}"/>
    <cellStyle name="Normal 5 4 5 2 2 2 3" xfId="5213" xr:uid="{00000000-0005-0000-0000-0000C6360000}"/>
    <cellStyle name="Normal 5 4 5 2 2 2 3 2" xfId="19725" xr:uid="{00000000-0005-0000-0000-0000C7360000}"/>
    <cellStyle name="Normal 5 4 5 2 2 2 3 3" xfId="12469" xr:uid="{00000000-0005-0000-0000-0000C8360000}"/>
    <cellStyle name="Normal 5 4 5 2 2 2 4" xfId="16097" xr:uid="{00000000-0005-0000-0000-0000C9360000}"/>
    <cellStyle name="Normal 5 4 5 2 2 2 5" xfId="8841" xr:uid="{00000000-0005-0000-0000-0000CA360000}"/>
    <cellStyle name="Normal 5 4 5 2 2 3" xfId="2492" xr:uid="{00000000-0005-0000-0000-0000CB360000}"/>
    <cellStyle name="Normal 5 4 5 2 2 3 2" xfId="6120" xr:uid="{00000000-0005-0000-0000-0000CC360000}"/>
    <cellStyle name="Normal 5 4 5 2 2 3 2 2" xfId="20632" xr:uid="{00000000-0005-0000-0000-0000CD360000}"/>
    <cellStyle name="Normal 5 4 5 2 2 3 2 3" xfId="13376" xr:uid="{00000000-0005-0000-0000-0000CE360000}"/>
    <cellStyle name="Normal 5 4 5 2 2 3 3" xfId="17004" xr:uid="{00000000-0005-0000-0000-0000CF360000}"/>
    <cellStyle name="Normal 5 4 5 2 2 3 4" xfId="9748" xr:uid="{00000000-0005-0000-0000-0000D0360000}"/>
    <cellStyle name="Normal 5 4 5 2 2 4" xfId="4306" xr:uid="{00000000-0005-0000-0000-0000D1360000}"/>
    <cellStyle name="Normal 5 4 5 2 2 4 2" xfId="18818" xr:uid="{00000000-0005-0000-0000-0000D2360000}"/>
    <cellStyle name="Normal 5 4 5 2 2 4 3" xfId="11562" xr:uid="{00000000-0005-0000-0000-0000D3360000}"/>
    <cellStyle name="Normal 5 4 5 2 2 5" xfId="15190" xr:uid="{00000000-0005-0000-0000-0000D4360000}"/>
    <cellStyle name="Normal 5 4 5 2 2 6" xfId="7934" xr:uid="{00000000-0005-0000-0000-0000D5360000}"/>
    <cellStyle name="Normal 5 4 5 2 3" xfId="1239" xr:uid="{00000000-0005-0000-0000-0000D6360000}"/>
    <cellStyle name="Normal 5 4 5 2 3 2" xfId="3053" xr:uid="{00000000-0005-0000-0000-0000D7360000}"/>
    <cellStyle name="Normal 5 4 5 2 3 2 2" xfId="6681" xr:uid="{00000000-0005-0000-0000-0000D8360000}"/>
    <cellStyle name="Normal 5 4 5 2 3 2 2 2" xfId="21193" xr:uid="{00000000-0005-0000-0000-0000D9360000}"/>
    <cellStyle name="Normal 5 4 5 2 3 2 2 3" xfId="13937" xr:uid="{00000000-0005-0000-0000-0000DA360000}"/>
    <cellStyle name="Normal 5 4 5 2 3 2 3" xfId="17565" xr:uid="{00000000-0005-0000-0000-0000DB360000}"/>
    <cellStyle name="Normal 5 4 5 2 3 2 4" xfId="10309" xr:uid="{00000000-0005-0000-0000-0000DC360000}"/>
    <cellStyle name="Normal 5 4 5 2 3 3" xfId="4867" xr:uid="{00000000-0005-0000-0000-0000DD360000}"/>
    <cellStyle name="Normal 5 4 5 2 3 3 2" xfId="19379" xr:uid="{00000000-0005-0000-0000-0000DE360000}"/>
    <cellStyle name="Normal 5 4 5 2 3 3 3" xfId="12123" xr:uid="{00000000-0005-0000-0000-0000DF360000}"/>
    <cellStyle name="Normal 5 4 5 2 3 4" xfId="15751" xr:uid="{00000000-0005-0000-0000-0000E0360000}"/>
    <cellStyle name="Normal 5 4 5 2 3 5" xfId="8495" xr:uid="{00000000-0005-0000-0000-0000E1360000}"/>
    <cellStyle name="Normal 5 4 5 2 4" xfId="2146" xr:uid="{00000000-0005-0000-0000-0000E2360000}"/>
    <cellStyle name="Normal 5 4 5 2 4 2" xfId="5774" xr:uid="{00000000-0005-0000-0000-0000E3360000}"/>
    <cellStyle name="Normal 5 4 5 2 4 2 2" xfId="20286" xr:uid="{00000000-0005-0000-0000-0000E4360000}"/>
    <cellStyle name="Normal 5 4 5 2 4 2 3" xfId="13030" xr:uid="{00000000-0005-0000-0000-0000E5360000}"/>
    <cellStyle name="Normal 5 4 5 2 4 3" xfId="16658" xr:uid="{00000000-0005-0000-0000-0000E6360000}"/>
    <cellStyle name="Normal 5 4 5 2 4 4" xfId="9402" xr:uid="{00000000-0005-0000-0000-0000E7360000}"/>
    <cellStyle name="Normal 5 4 5 2 5" xfId="3960" xr:uid="{00000000-0005-0000-0000-0000E8360000}"/>
    <cellStyle name="Normal 5 4 5 2 5 2" xfId="18472" xr:uid="{00000000-0005-0000-0000-0000E9360000}"/>
    <cellStyle name="Normal 5 4 5 2 5 3" xfId="11216" xr:uid="{00000000-0005-0000-0000-0000EA360000}"/>
    <cellStyle name="Normal 5 4 5 2 6" xfId="14844" xr:uid="{00000000-0005-0000-0000-0000EB360000}"/>
    <cellStyle name="Normal 5 4 5 2 7" xfId="7588" xr:uid="{00000000-0005-0000-0000-0000EC360000}"/>
    <cellStyle name="Normal 5 4 5 3" xfId="807" xr:uid="{00000000-0005-0000-0000-0000ED360000}"/>
    <cellStyle name="Normal 5 4 5 3 2" xfId="1715" xr:uid="{00000000-0005-0000-0000-0000EE360000}"/>
    <cellStyle name="Normal 5 4 5 3 2 2" xfId="3529" xr:uid="{00000000-0005-0000-0000-0000EF360000}"/>
    <cellStyle name="Normal 5 4 5 3 2 2 2" xfId="7157" xr:uid="{00000000-0005-0000-0000-0000F0360000}"/>
    <cellStyle name="Normal 5 4 5 3 2 2 2 2" xfId="21669" xr:uid="{00000000-0005-0000-0000-0000F1360000}"/>
    <cellStyle name="Normal 5 4 5 3 2 2 2 3" xfId="14413" xr:uid="{00000000-0005-0000-0000-0000F2360000}"/>
    <cellStyle name="Normal 5 4 5 3 2 2 3" xfId="18041" xr:uid="{00000000-0005-0000-0000-0000F3360000}"/>
    <cellStyle name="Normal 5 4 5 3 2 2 4" xfId="10785" xr:uid="{00000000-0005-0000-0000-0000F4360000}"/>
    <cellStyle name="Normal 5 4 5 3 2 3" xfId="5343" xr:uid="{00000000-0005-0000-0000-0000F5360000}"/>
    <cellStyle name="Normal 5 4 5 3 2 3 2" xfId="19855" xr:uid="{00000000-0005-0000-0000-0000F6360000}"/>
    <cellStyle name="Normal 5 4 5 3 2 3 3" xfId="12599" xr:uid="{00000000-0005-0000-0000-0000F7360000}"/>
    <cellStyle name="Normal 5 4 5 3 2 4" xfId="16227" xr:uid="{00000000-0005-0000-0000-0000F8360000}"/>
    <cellStyle name="Normal 5 4 5 3 2 5" xfId="8971" xr:uid="{00000000-0005-0000-0000-0000F9360000}"/>
    <cellStyle name="Normal 5 4 5 3 3" xfId="2622" xr:uid="{00000000-0005-0000-0000-0000FA360000}"/>
    <cellStyle name="Normal 5 4 5 3 3 2" xfId="6250" xr:uid="{00000000-0005-0000-0000-0000FB360000}"/>
    <cellStyle name="Normal 5 4 5 3 3 2 2" xfId="20762" xr:uid="{00000000-0005-0000-0000-0000FC360000}"/>
    <cellStyle name="Normal 5 4 5 3 3 2 3" xfId="13506" xr:uid="{00000000-0005-0000-0000-0000FD360000}"/>
    <cellStyle name="Normal 5 4 5 3 3 3" xfId="17134" xr:uid="{00000000-0005-0000-0000-0000FE360000}"/>
    <cellStyle name="Normal 5 4 5 3 3 4" xfId="9878" xr:uid="{00000000-0005-0000-0000-0000FF360000}"/>
    <cellStyle name="Normal 5 4 5 3 4" xfId="4436" xr:uid="{00000000-0005-0000-0000-000000370000}"/>
    <cellStyle name="Normal 5 4 5 3 4 2" xfId="18948" xr:uid="{00000000-0005-0000-0000-000001370000}"/>
    <cellStyle name="Normal 5 4 5 3 4 3" xfId="11692" xr:uid="{00000000-0005-0000-0000-000002370000}"/>
    <cellStyle name="Normal 5 4 5 3 5" xfId="15320" xr:uid="{00000000-0005-0000-0000-000003370000}"/>
    <cellStyle name="Normal 5 4 5 3 6" xfId="8064" xr:uid="{00000000-0005-0000-0000-000004370000}"/>
    <cellStyle name="Normal 5 4 5 4" xfId="547" xr:uid="{00000000-0005-0000-0000-000005370000}"/>
    <cellStyle name="Normal 5 4 5 4 2" xfId="1455" xr:uid="{00000000-0005-0000-0000-000006370000}"/>
    <cellStyle name="Normal 5 4 5 4 2 2" xfId="3269" xr:uid="{00000000-0005-0000-0000-000007370000}"/>
    <cellStyle name="Normal 5 4 5 4 2 2 2" xfId="6897" xr:uid="{00000000-0005-0000-0000-000008370000}"/>
    <cellStyle name="Normal 5 4 5 4 2 2 2 2" xfId="21409" xr:uid="{00000000-0005-0000-0000-000009370000}"/>
    <cellStyle name="Normal 5 4 5 4 2 2 2 3" xfId="14153" xr:uid="{00000000-0005-0000-0000-00000A370000}"/>
    <cellStyle name="Normal 5 4 5 4 2 2 3" xfId="17781" xr:uid="{00000000-0005-0000-0000-00000B370000}"/>
    <cellStyle name="Normal 5 4 5 4 2 2 4" xfId="10525" xr:uid="{00000000-0005-0000-0000-00000C370000}"/>
    <cellStyle name="Normal 5 4 5 4 2 3" xfId="5083" xr:uid="{00000000-0005-0000-0000-00000D370000}"/>
    <cellStyle name="Normal 5 4 5 4 2 3 2" xfId="19595" xr:uid="{00000000-0005-0000-0000-00000E370000}"/>
    <cellStyle name="Normal 5 4 5 4 2 3 3" xfId="12339" xr:uid="{00000000-0005-0000-0000-00000F370000}"/>
    <cellStyle name="Normal 5 4 5 4 2 4" xfId="15967" xr:uid="{00000000-0005-0000-0000-000010370000}"/>
    <cellStyle name="Normal 5 4 5 4 2 5" xfId="8711" xr:uid="{00000000-0005-0000-0000-000011370000}"/>
    <cellStyle name="Normal 5 4 5 4 3" xfId="2362" xr:uid="{00000000-0005-0000-0000-000012370000}"/>
    <cellStyle name="Normal 5 4 5 4 3 2" xfId="5990" xr:uid="{00000000-0005-0000-0000-000013370000}"/>
    <cellStyle name="Normal 5 4 5 4 3 2 2" xfId="20502" xr:uid="{00000000-0005-0000-0000-000014370000}"/>
    <cellStyle name="Normal 5 4 5 4 3 2 3" xfId="13246" xr:uid="{00000000-0005-0000-0000-000015370000}"/>
    <cellStyle name="Normal 5 4 5 4 3 3" xfId="16874" xr:uid="{00000000-0005-0000-0000-000016370000}"/>
    <cellStyle name="Normal 5 4 5 4 3 4" xfId="9618" xr:uid="{00000000-0005-0000-0000-000017370000}"/>
    <cellStyle name="Normal 5 4 5 4 4" xfId="4176" xr:uid="{00000000-0005-0000-0000-000018370000}"/>
    <cellStyle name="Normal 5 4 5 4 4 2" xfId="18688" xr:uid="{00000000-0005-0000-0000-000019370000}"/>
    <cellStyle name="Normal 5 4 5 4 4 3" xfId="11432" xr:uid="{00000000-0005-0000-0000-00001A370000}"/>
    <cellStyle name="Normal 5 4 5 4 5" xfId="15060" xr:uid="{00000000-0005-0000-0000-00001B370000}"/>
    <cellStyle name="Normal 5 4 5 4 6" xfId="7804" xr:uid="{00000000-0005-0000-0000-00001C370000}"/>
    <cellStyle name="Normal 5 4 5 5" xfId="1109" xr:uid="{00000000-0005-0000-0000-00001D370000}"/>
    <cellStyle name="Normal 5 4 5 5 2" xfId="2923" xr:uid="{00000000-0005-0000-0000-00001E370000}"/>
    <cellStyle name="Normal 5 4 5 5 2 2" xfId="6551" xr:uid="{00000000-0005-0000-0000-00001F370000}"/>
    <cellStyle name="Normal 5 4 5 5 2 2 2" xfId="21063" xr:uid="{00000000-0005-0000-0000-000020370000}"/>
    <cellStyle name="Normal 5 4 5 5 2 2 3" xfId="13807" xr:uid="{00000000-0005-0000-0000-000021370000}"/>
    <cellStyle name="Normal 5 4 5 5 2 3" xfId="17435" xr:uid="{00000000-0005-0000-0000-000022370000}"/>
    <cellStyle name="Normal 5 4 5 5 2 4" xfId="10179" xr:uid="{00000000-0005-0000-0000-000023370000}"/>
    <cellStyle name="Normal 5 4 5 5 3" xfId="4737" xr:uid="{00000000-0005-0000-0000-000024370000}"/>
    <cellStyle name="Normal 5 4 5 5 3 2" xfId="19249" xr:uid="{00000000-0005-0000-0000-000025370000}"/>
    <cellStyle name="Normal 5 4 5 5 3 3" xfId="11993" xr:uid="{00000000-0005-0000-0000-000026370000}"/>
    <cellStyle name="Normal 5 4 5 5 4" xfId="15621" xr:uid="{00000000-0005-0000-0000-000027370000}"/>
    <cellStyle name="Normal 5 4 5 5 5" xfId="8365" xr:uid="{00000000-0005-0000-0000-000028370000}"/>
    <cellStyle name="Normal 5 4 5 6" xfId="2016" xr:uid="{00000000-0005-0000-0000-000029370000}"/>
    <cellStyle name="Normal 5 4 5 6 2" xfId="5644" xr:uid="{00000000-0005-0000-0000-00002A370000}"/>
    <cellStyle name="Normal 5 4 5 6 2 2" xfId="20156" xr:uid="{00000000-0005-0000-0000-00002B370000}"/>
    <cellStyle name="Normal 5 4 5 6 2 3" xfId="12900" xr:uid="{00000000-0005-0000-0000-00002C370000}"/>
    <cellStyle name="Normal 5 4 5 6 3" xfId="16528" xr:uid="{00000000-0005-0000-0000-00002D370000}"/>
    <cellStyle name="Normal 5 4 5 6 4" xfId="9272" xr:uid="{00000000-0005-0000-0000-00002E370000}"/>
    <cellStyle name="Normal 5 4 5 7" xfId="3830" xr:uid="{00000000-0005-0000-0000-00002F370000}"/>
    <cellStyle name="Normal 5 4 5 7 2" xfId="18342" xr:uid="{00000000-0005-0000-0000-000030370000}"/>
    <cellStyle name="Normal 5 4 5 7 3" xfId="11086" xr:uid="{00000000-0005-0000-0000-000031370000}"/>
    <cellStyle name="Normal 5 4 5 8" xfId="14714" xr:uid="{00000000-0005-0000-0000-000032370000}"/>
    <cellStyle name="Normal 5 4 5 9" xfId="7458" xr:uid="{00000000-0005-0000-0000-000033370000}"/>
    <cellStyle name="Normal 5 4 6" xfId="115" xr:uid="{00000000-0005-0000-0000-000034370000}"/>
    <cellStyle name="Normal 5 4 6 2" xfId="461" xr:uid="{00000000-0005-0000-0000-000035370000}"/>
    <cellStyle name="Normal 5 4 6 2 2" xfId="1369" xr:uid="{00000000-0005-0000-0000-000036370000}"/>
    <cellStyle name="Normal 5 4 6 2 2 2" xfId="3183" xr:uid="{00000000-0005-0000-0000-000037370000}"/>
    <cellStyle name="Normal 5 4 6 2 2 2 2" xfId="6811" xr:uid="{00000000-0005-0000-0000-000038370000}"/>
    <cellStyle name="Normal 5 4 6 2 2 2 2 2" xfId="21323" xr:uid="{00000000-0005-0000-0000-000039370000}"/>
    <cellStyle name="Normal 5 4 6 2 2 2 2 3" xfId="14067" xr:uid="{00000000-0005-0000-0000-00003A370000}"/>
    <cellStyle name="Normal 5 4 6 2 2 2 3" xfId="17695" xr:uid="{00000000-0005-0000-0000-00003B370000}"/>
    <cellStyle name="Normal 5 4 6 2 2 2 4" xfId="10439" xr:uid="{00000000-0005-0000-0000-00003C370000}"/>
    <cellStyle name="Normal 5 4 6 2 2 3" xfId="4997" xr:uid="{00000000-0005-0000-0000-00003D370000}"/>
    <cellStyle name="Normal 5 4 6 2 2 3 2" xfId="19509" xr:uid="{00000000-0005-0000-0000-00003E370000}"/>
    <cellStyle name="Normal 5 4 6 2 2 3 3" xfId="12253" xr:uid="{00000000-0005-0000-0000-00003F370000}"/>
    <cellStyle name="Normal 5 4 6 2 2 4" xfId="15881" xr:uid="{00000000-0005-0000-0000-000040370000}"/>
    <cellStyle name="Normal 5 4 6 2 2 5" xfId="8625" xr:uid="{00000000-0005-0000-0000-000041370000}"/>
    <cellStyle name="Normal 5 4 6 2 3" xfId="2276" xr:uid="{00000000-0005-0000-0000-000042370000}"/>
    <cellStyle name="Normal 5 4 6 2 3 2" xfId="5904" xr:uid="{00000000-0005-0000-0000-000043370000}"/>
    <cellStyle name="Normal 5 4 6 2 3 2 2" xfId="20416" xr:uid="{00000000-0005-0000-0000-000044370000}"/>
    <cellStyle name="Normal 5 4 6 2 3 2 3" xfId="13160" xr:uid="{00000000-0005-0000-0000-000045370000}"/>
    <cellStyle name="Normal 5 4 6 2 3 3" xfId="16788" xr:uid="{00000000-0005-0000-0000-000046370000}"/>
    <cellStyle name="Normal 5 4 6 2 3 4" xfId="9532" xr:uid="{00000000-0005-0000-0000-000047370000}"/>
    <cellStyle name="Normal 5 4 6 2 4" xfId="4090" xr:uid="{00000000-0005-0000-0000-000048370000}"/>
    <cellStyle name="Normal 5 4 6 2 4 2" xfId="18602" xr:uid="{00000000-0005-0000-0000-000049370000}"/>
    <cellStyle name="Normal 5 4 6 2 4 3" xfId="11346" xr:uid="{00000000-0005-0000-0000-00004A370000}"/>
    <cellStyle name="Normal 5 4 6 2 5" xfId="14974" xr:uid="{00000000-0005-0000-0000-00004B370000}"/>
    <cellStyle name="Normal 5 4 6 2 6" xfId="7718" xr:uid="{00000000-0005-0000-0000-00004C370000}"/>
    <cellStyle name="Normal 5 4 6 3" xfId="1023" xr:uid="{00000000-0005-0000-0000-00004D370000}"/>
    <cellStyle name="Normal 5 4 6 3 2" xfId="2837" xr:uid="{00000000-0005-0000-0000-00004E370000}"/>
    <cellStyle name="Normal 5 4 6 3 2 2" xfId="6465" xr:uid="{00000000-0005-0000-0000-00004F370000}"/>
    <cellStyle name="Normal 5 4 6 3 2 2 2" xfId="20977" xr:uid="{00000000-0005-0000-0000-000050370000}"/>
    <cellStyle name="Normal 5 4 6 3 2 2 3" xfId="13721" xr:uid="{00000000-0005-0000-0000-000051370000}"/>
    <cellStyle name="Normal 5 4 6 3 2 3" xfId="17349" xr:uid="{00000000-0005-0000-0000-000052370000}"/>
    <cellStyle name="Normal 5 4 6 3 2 4" xfId="10093" xr:uid="{00000000-0005-0000-0000-000053370000}"/>
    <cellStyle name="Normal 5 4 6 3 3" xfId="4651" xr:uid="{00000000-0005-0000-0000-000054370000}"/>
    <cellStyle name="Normal 5 4 6 3 3 2" xfId="19163" xr:uid="{00000000-0005-0000-0000-000055370000}"/>
    <cellStyle name="Normal 5 4 6 3 3 3" xfId="11907" xr:uid="{00000000-0005-0000-0000-000056370000}"/>
    <cellStyle name="Normal 5 4 6 3 4" xfId="15535" xr:uid="{00000000-0005-0000-0000-000057370000}"/>
    <cellStyle name="Normal 5 4 6 3 5" xfId="8279" xr:uid="{00000000-0005-0000-0000-000058370000}"/>
    <cellStyle name="Normal 5 4 6 4" xfId="1930" xr:uid="{00000000-0005-0000-0000-000059370000}"/>
    <cellStyle name="Normal 5 4 6 4 2" xfId="5558" xr:uid="{00000000-0005-0000-0000-00005A370000}"/>
    <cellStyle name="Normal 5 4 6 4 2 2" xfId="20070" xr:uid="{00000000-0005-0000-0000-00005B370000}"/>
    <cellStyle name="Normal 5 4 6 4 2 3" xfId="12814" xr:uid="{00000000-0005-0000-0000-00005C370000}"/>
    <cellStyle name="Normal 5 4 6 4 3" xfId="16442" xr:uid="{00000000-0005-0000-0000-00005D370000}"/>
    <cellStyle name="Normal 5 4 6 4 4" xfId="9186" xr:uid="{00000000-0005-0000-0000-00005E370000}"/>
    <cellStyle name="Normal 5 4 6 5" xfId="3744" xr:uid="{00000000-0005-0000-0000-00005F370000}"/>
    <cellStyle name="Normal 5 4 6 5 2" xfId="18256" xr:uid="{00000000-0005-0000-0000-000060370000}"/>
    <cellStyle name="Normal 5 4 6 5 3" xfId="11000" xr:uid="{00000000-0005-0000-0000-000061370000}"/>
    <cellStyle name="Normal 5 4 6 6" xfId="14628" xr:uid="{00000000-0005-0000-0000-000062370000}"/>
    <cellStyle name="Normal 5 4 6 7" xfId="7372" xr:uid="{00000000-0005-0000-0000-000063370000}"/>
    <cellStyle name="Normal 5 4 7" xfId="245" xr:uid="{00000000-0005-0000-0000-000064370000}"/>
    <cellStyle name="Normal 5 4 7 2" xfId="591" xr:uid="{00000000-0005-0000-0000-000065370000}"/>
    <cellStyle name="Normal 5 4 7 2 2" xfId="1499" xr:uid="{00000000-0005-0000-0000-000066370000}"/>
    <cellStyle name="Normal 5 4 7 2 2 2" xfId="3313" xr:uid="{00000000-0005-0000-0000-000067370000}"/>
    <cellStyle name="Normal 5 4 7 2 2 2 2" xfId="6941" xr:uid="{00000000-0005-0000-0000-000068370000}"/>
    <cellStyle name="Normal 5 4 7 2 2 2 2 2" xfId="21453" xr:uid="{00000000-0005-0000-0000-000069370000}"/>
    <cellStyle name="Normal 5 4 7 2 2 2 2 3" xfId="14197" xr:uid="{00000000-0005-0000-0000-00006A370000}"/>
    <cellStyle name="Normal 5 4 7 2 2 2 3" xfId="17825" xr:uid="{00000000-0005-0000-0000-00006B370000}"/>
    <cellStyle name="Normal 5 4 7 2 2 2 4" xfId="10569" xr:uid="{00000000-0005-0000-0000-00006C370000}"/>
    <cellStyle name="Normal 5 4 7 2 2 3" xfId="5127" xr:uid="{00000000-0005-0000-0000-00006D370000}"/>
    <cellStyle name="Normal 5 4 7 2 2 3 2" xfId="19639" xr:uid="{00000000-0005-0000-0000-00006E370000}"/>
    <cellStyle name="Normal 5 4 7 2 2 3 3" xfId="12383" xr:uid="{00000000-0005-0000-0000-00006F370000}"/>
    <cellStyle name="Normal 5 4 7 2 2 4" xfId="16011" xr:uid="{00000000-0005-0000-0000-000070370000}"/>
    <cellStyle name="Normal 5 4 7 2 2 5" xfId="8755" xr:uid="{00000000-0005-0000-0000-000071370000}"/>
    <cellStyle name="Normal 5 4 7 2 3" xfId="2406" xr:uid="{00000000-0005-0000-0000-000072370000}"/>
    <cellStyle name="Normal 5 4 7 2 3 2" xfId="6034" xr:uid="{00000000-0005-0000-0000-000073370000}"/>
    <cellStyle name="Normal 5 4 7 2 3 2 2" xfId="20546" xr:uid="{00000000-0005-0000-0000-000074370000}"/>
    <cellStyle name="Normal 5 4 7 2 3 2 3" xfId="13290" xr:uid="{00000000-0005-0000-0000-000075370000}"/>
    <cellStyle name="Normal 5 4 7 2 3 3" xfId="16918" xr:uid="{00000000-0005-0000-0000-000076370000}"/>
    <cellStyle name="Normal 5 4 7 2 3 4" xfId="9662" xr:uid="{00000000-0005-0000-0000-000077370000}"/>
    <cellStyle name="Normal 5 4 7 2 4" xfId="4220" xr:uid="{00000000-0005-0000-0000-000078370000}"/>
    <cellStyle name="Normal 5 4 7 2 4 2" xfId="18732" xr:uid="{00000000-0005-0000-0000-000079370000}"/>
    <cellStyle name="Normal 5 4 7 2 4 3" xfId="11476" xr:uid="{00000000-0005-0000-0000-00007A370000}"/>
    <cellStyle name="Normal 5 4 7 2 5" xfId="15104" xr:uid="{00000000-0005-0000-0000-00007B370000}"/>
    <cellStyle name="Normal 5 4 7 2 6" xfId="7848" xr:uid="{00000000-0005-0000-0000-00007C370000}"/>
    <cellStyle name="Normal 5 4 7 3" xfId="1153" xr:uid="{00000000-0005-0000-0000-00007D370000}"/>
    <cellStyle name="Normal 5 4 7 3 2" xfId="2967" xr:uid="{00000000-0005-0000-0000-00007E370000}"/>
    <cellStyle name="Normal 5 4 7 3 2 2" xfId="6595" xr:uid="{00000000-0005-0000-0000-00007F370000}"/>
    <cellStyle name="Normal 5 4 7 3 2 2 2" xfId="21107" xr:uid="{00000000-0005-0000-0000-000080370000}"/>
    <cellStyle name="Normal 5 4 7 3 2 2 3" xfId="13851" xr:uid="{00000000-0005-0000-0000-000081370000}"/>
    <cellStyle name="Normal 5 4 7 3 2 3" xfId="17479" xr:uid="{00000000-0005-0000-0000-000082370000}"/>
    <cellStyle name="Normal 5 4 7 3 2 4" xfId="10223" xr:uid="{00000000-0005-0000-0000-000083370000}"/>
    <cellStyle name="Normal 5 4 7 3 3" xfId="4781" xr:uid="{00000000-0005-0000-0000-000084370000}"/>
    <cellStyle name="Normal 5 4 7 3 3 2" xfId="19293" xr:uid="{00000000-0005-0000-0000-000085370000}"/>
    <cellStyle name="Normal 5 4 7 3 3 3" xfId="12037" xr:uid="{00000000-0005-0000-0000-000086370000}"/>
    <cellStyle name="Normal 5 4 7 3 4" xfId="15665" xr:uid="{00000000-0005-0000-0000-000087370000}"/>
    <cellStyle name="Normal 5 4 7 3 5" xfId="8409" xr:uid="{00000000-0005-0000-0000-000088370000}"/>
    <cellStyle name="Normal 5 4 7 4" xfId="2060" xr:uid="{00000000-0005-0000-0000-000089370000}"/>
    <cellStyle name="Normal 5 4 7 4 2" xfId="5688" xr:uid="{00000000-0005-0000-0000-00008A370000}"/>
    <cellStyle name="Normal 5 4 7 4 2 2" xfId="20200" xr:uid="{00000000-0005-0000-0000-00008B370000}"/>
    <cellStyle name="Normal 5 4 7 4 2 3" xfId="12944" xr:uid="{00000000-0005-0000-0000-00008C370000}"/>
    <cellStyle name="Normal 5 4 7 4 3" xfId="16572" xr:uid="{00000000-0005-0000-0000-00008D370000}"/>
    <cellStyle name="Normal 5 4 7 4 4" xfId="9316" xr:uid="{00000000-0005-0000-0000-00008E370000}"/>
    <cellStyle name="Normal 5 4 7 5" xfId="3874" xr:uid="{00000000-0005-0000-0000-00008F370000}"/>
    <cellStyle name="Normal 5 4 7 5 2" xfId="18386" xr:uid="{00000000-0005-0000-0000-000090370000}"/>
    <cellStyle name="Normal 5 4 7 5 3" xfId="11130" xr:uid="{00000000-0005-0000-0000-000091370000}"/>
    <cellStyle name="Normal 5 4 7 6" xfId="14758" xr:uid="{00000000-0005-0000-0000-000092370000}"/>
    <cellStyle name="Normal 5 4 7 7" xfId="7502" xr:uid="{00000000-0005-0000-0000-000093370000}"/>
    <cellStyle name="Normal 5 4 8" xfId="721" xr:uid="{00000000-0005-0000-0000-000094370000}"/>
    <cellStyle name="Normal 5 4 8 2" xfId="1629" xr:uid="{00000000-0005-0000-0000-000095370000}"/>
    <cellStyle name="Normal 5 4 8 2 2" xfId="3443" xr:uid="{00000000-0005-0000-0000-000096370000}"/>
    <cellStyle name="Normal 5 4 8 2 2 2" xfId="7071" xr:uid="{00000000-0005-0000-0000-000097370000}"/>
    <cellStyle name="Normal 5 4 8 2 2 2 2" xfId="21583" xr:uid="{00000000-0005-0000-0000-000098370000}"/>
    <cellStyle name="Normal 5 4 8 2 2 2 3" xfId="14327" xr:uid="{00000000-0005-0000-0000-000099370000}"/>
    <cellStyle name="Normal 5 4 8 2 2 3" xfId="17955" xr:uid="{00000000-0005-0000-0000-00009A370000}"/>
    <cellStyle name="Normal 5 4 8 2 2 4" xfId="10699" xr:uid="{00000000-0005-0000-0000-00009B370000}"/>
    <cellStyle name="Normal 5 4 8 2 3" xfId="5257" xr:uid="{00000000-0005-0000-0000-00009C370000}"/>
    <cellStyle name="Normal 5 4 8 2 3 2" xfId="19769" xr:uid="{00000000-0005-0000-0000-00009D370000}"/>
    <cellStyle name="Normal 5 4 8 2 3 3" xfId="12513" xr:uid="{00000000-0005-0000-0000-00009E370000}"/>
    <cellStyle name="Normal 5 4 8 2 4" xfId="16141" xr:uid="{00000000-0005-0000-0000-00009F370000}"/>
    <cellStyle name="Normal 5 4 8 2 5" xfId="8885" xr:uid="{00000000-0005-0000-0000-0000A0370000}"/>
    <cellStyle name="Normal 5 4 8 3" xfId="2536" xr:uid="{00000000-0005-0000-0000-0000A1370000}"/>
    <cellStyle name="Normal 5 4 8 3 2" xfId="6164" xr:uid="{00000000-0005-0000-0000-0000A2370000}"/>
    <cellStyle name="Normal 5 4 8 3 2 2" xfId="20676" xr:uid="{00000000-0005-0000-0000-0000A3370000}"/>
    <cellStyle name="Normal 5 4 8 3 2 3" xfId="13420" xr:uid="{00000000-0005-0000-0000-0000A4370000}"/>
    <cellStyle name="Normal 5 4 8 3 3" xfId="17048" xr:uid="{00000000-0005-0000-0000-0000A5370000}"/>
    <cellStyle name="Normal 5 4 8 3 4" xfId="9792" xr:uid="{00000000-0005-0000-0000-0000A6370000}"/>
    <cellStyle name="Normal 5 4 8 4" xfId="4350" xr:uid="{00000000-0005-0000-0000-0000A7370000}"/>
    <cellStyle name="Normal 5 4 8 4 2" xfId="18862" xr:uid="{00000000-0005-0000-0000-0000A8370000}"/>
    <cellStyle name="Normal 5 4 8 4 3" xfId="11606" xr:uid="{00000000-0005-0000-0000-0000A9370000}"/>
    <cellStyle name="Normal 5 4 8 5" xfId="15234" xr:uid="{00000000-0005-0000-0000-0000AA370000}"/>
    <cellStyle name="Normal 5 4 8 6" xfId="7978" xr:uid="{00000000-0005-0000-0000-0000AB370000}"/>
    <cellStyle name="Normal 5 4 9" xfId="375" xr:uid="{00000000-0005-0000-0000-0000AC370000}"/>
    <cellStyle name="Normal 5 4 9 2" xfId="1283" xr:uid="{00000000-0005-0000-0000-0000AD370000}"/>
    <cellStyle name="Normal 5 4 9 2 2" xfId="3097" xr:uid="{00000000-0005-0000-0000-0000AE370000}"/>
    <cellStyle name="Normal 5 4 9 2 2 2" xfId="6725" xr:uid="{00000000-0005-0000-0000-0000AF370000}"/>
    <cellStyle name="Normal 5 4 9 2 2 2 2" xfId="21237" xr:uid="{00000000-0005-0000-0000-0000B0370000}"/>
    <cellStyle name="Normal 5 4 9 2 2 2 3" xfId="13981" xr:uid="{00000000-0005-0000-0000-0000B1370000}"/>
    <cellStyle name="Normal 5 4 9 2 2 3" xfId="17609" xr:uid="{00000000-0005-0000-0000-0000B2370000}"/>
    <cellStyle name="Normal 5 4 9 2 2 4" xfId="10353" xr:uid="{00000000-0005-0000-0000-0000B3370000}"/>
    <cellStyle name="Normal 5 4 9 2 3" xfId="4911" xr:uid="{00000000-0005-0000-0000-0000B4370000}"/>
    <cellStyle name="Normal 5 4 9 2 3 2" xfId="19423" xr:uid="{00000000-0005-0000-0000-0000B5370000}"/>
    <cellStyle name="Normal 5 4 9 2 3 3" xfId="12167" xr:uid="{00000000-0005-0000-0000-0000B6370000}"/>
    <cellStyle name="Normal 5 4 9 2 4" xfId="15795" xr:uid="{00000000-0005-0000-0000-0000B7370000}"/>
    <cellStyle name="Normal 5 4 9 2 5" xfId="8539" xr:uid="{00000000-0005-0000-0000-0000B8370000}"/>
    <cellStyle name="Normal 5 4 9 3" xfId="2190" xr:uid="{00000000-0005-0000-0000-0000B9370000}"/>
    <cellStyle name="Normal 5 4 9 3 2" xfId="5818" xr:uid="{00000000-0005-0000-0000-0000BA370000}"/>
    <cellStyle name="Normal 5 4 9 3 2 2" xfId="20330" xr:uid="{00000000-0005-0000-0000-0000BB370000}"/>
    <cellStyle name="Normal 5 4 9 3 2 3" xfId="13074" xr:uid="{00000000-0005-0000-0000-0000BC370000}"/>
    <cellStyle name="Normal 5 4 9 3 3" xfId="16702" xr:uid="{00000000-0005-0000-0000-0000BD370000}"/>
    <cellStyle name="Normal 5 4 9 3 4" xfId="9446" xr:uid="{00000000-0005-0000-0000-0000BE370000}"/>
    <cellStyle name="Normal 5 4 9 4" xfId="4004" xr:uid="{00000000-0005-0000-0000-0000BF370000}"/>
    <cellStyle name="Normal 5 4 9 4 2" xfId="18516" xr:uid="{00000000-0005-0000-0000-0000C0370000}"/>
    <cellStyle name="Normal 5 4 9 4 3" xfId="11260" xr:uid="{00000000-0005-0000-0000-0000C1370000}"/>
    <cellStyle name="Normal 5 4 9 5" xfId="14888" xr:uid="{00000000-0005-0000-0000-0000C2370000}"/>
    <cellStyle name="Normal 5 4 9 6" xfId="7632" xr:uid="{00000000-0005-0000-0000-0000C3370000}"/>
    <cellStyle name="Normal 5 5" xfId="33" xr:uid="{00000000-0005-0000-0000-0000C4370000}"/>
    <cellStyle name="Normal 5 5 10" xfId="944" xr:uid="{00000000-0005-0000-0000-0000C5370000}"/>
    <cellStyle name="Normal 5 5 10 2" xfId="2758" xr:uid="{00000000-0005-0000-0000-0000C6370000}"/>
    <cellStyle name="Normal 5 5 10 2 2" xfId="6386" xr:uid="{00000000-0005-0000-0000-0000C7370000}"/>
    <cellStyle name="Normal 5 5 10 2 2 2" xfId="20898" xr:uid="{00000000-0005-0000-0000-0000C8370000}"/>
    <cellStyle name="Normal 5 5 10 2 2 3" xfId="13642" xr:uid="{00000000-0005-0000-0000-0000C9370000}"/>
    <cellStyle name="Normal 5 5 10 2 3" xfId="17270" xr:uid="{00000000-0005-0000-0000-0000CA370000}"/>
    <cellStyle name="Normal 5 5 10 2 4" xfId="10014" xr:uid="{00000000-0005-0000-0000-0000CB370000}"/>
    <cellStyle name="Normal 5 5 10 3" xfId="4572" xr:uid="{00000000-0005-0000-0000-0000CC370000}"/>
    <cellStyle name="Normal 5 5 10 3 2" xfId="19084" xr:uid="{00000000-0005-0000-0000-0000CD370000}"/>
    <cellStyle name="Normal 5 5 10 3 3" xfId="11828" xr:uid="{00000000-0005-0000-0000-0000CE370000}"/>
    <cellStyle name="Normal 5 5 10 4" xfId="15456" xr:uid="{00000000-0005-0000-0000-0000CF370000}"/>
    <cellStyle name="Normal 5 5 10 5" xfId="8200" xr:uid="{00000000-0005-0000-0000-0000D0370000}"/>
    <cellStyle name="Normal 5 5 11" xfId="1851" xr:uid="{00000000-0005-0000-0000-0000D1370000}"/>
    <cellStyle name="Normal 5 5 11 2" xfId="5479" xr:uid="{00000000-0005-0000-0000-0000D2370000}"/>
    <cellStyle name="Normal 5 5 11 2 2" xfId="19991" xr:uid="{00000000-0005-0000-0000-0000D3370000}"/>
    <cellStyle name="Normal 5 5 11 2 3" xfId="12735" xr:uid="{00000000-0005-0000-0000-0000D4370000}"/>
    <cellStyle name="Normal 5 5 11 3" xfId="16363" xr:uid="{00000000-0005-0000-0000-0000D5370000}"/>
    <cellStyle name="Normal 5 5 11 4" xfId="9107" xr:uid="{00000000-0005-0000-0000-0000D6370000}"/>
    <cellStyle name="Normal 5 5 12" xfId="3665" xr:uid="{00000000-0005-0000-0000-0000D7370000}"/>
    <cellStyle name="Normal 5 5 12 2" xfId="18177" xr:uid="{00000000-0005-0000-0000-0000D8370000}"/>
    <cellStyle name="Normal 5 5 12 3" xfId="10921" xr:uid="{00000000-0005-0000-0000-0000D9370000}"/>
    <cellStyle name="Normal 5 5 13" xfId="14549" xr:uid="{00000000-0005-0000-0000-0000DA370000}"/>
    <cellStyle name="Normal 5 5 14" xfId="7293" xr:uid="{00000000-0005-0000-0000-0000DB370000}"/>
    <cellStyle name="Normal 5 5 2" xfId="55" xr:uid="{00000000-0005-0000-0000-0000DC370000}"/>
    <cellStyle name="Normal 5 5 2 10" xfId="1872" xr:uid="{00000000-0005-0000-0000-0000DD370000}"/>
    <cellStyle name="Normal 5 5 2 10 2" xfId="5500" xr:uid="{00000000-0005-0000-0000-0000DE370000}"/>
    <cellStyle name="Normal 5 5 2 10 2 2" xfId="20012" xr:uid="{00000000-0005-0000-0000-0000DF370000}"/>
    <cellStyle name="Normal 5 5 2 10 2 3" xfId="12756" xr:uid="{00000000-0005-0000-0000-0000E0370000}"/>
    <cellStyle name="Normal 5 5 2 10 3" xfId="16384" xr:uid="{00000000-0005-0000-0000-0000E1370000}"/>
    <cellStyle name="Normal 5 5 2 10 4" xfId="9128" xr:uid="{00000000-0005-0000-0000-0000E2370000}"/>
    <cellStyle name="Normal 5 5 2 11" xfId="3686" xr:uid="{00000000-0005-0000-0000-0000E3370000}"/>
    <cellStyle name="Normal 5 5 2 11 2" xfId="18198" xr:uid="{00000000-0005-0000-0000-0000E4370000}"/>
    <cellStyle name="Normal 5 5 2 11 3" xfId="10942" xr:uid="{00000000-0005-0000-0000-0000E5370000}"/>
    <cellStyle name="Normal 5 5 2 12" xfId="14570" xr:uid="{00000000-0005-0000-0000-0000E6370000}"/>
    <cellStyle name="Normal 5 5 2 13" xfId="7314" xr:uid="{00000000-0005-0000-0000-0000E7370000}"/>
    <cellStyle name="Normal 5 5 2 2" xfId="97" xr:uid="{00000000-0005-0000-0000-0000E8370000}"/>
    <cellStyle name="Normal 5 5 2 2 10" xfId="14612" xr:uid="{00000000-0005-0000-0000-0000E9370000}"/>
    <cellStyle name="Normal 5 5 2 2 11" xfId="7356" xr:uid="{00000000-0005-0000-0000-0000EA370000}"/>
    <cellStyle name="Normal 5 5 2 2 2" xfId="185" xr:uid="{00000000-0005-0000-0000-0000EB370000}"/>
    <cellStyle name="Normal 5 5 2 2 2 2" xfId="531" xr:uid="{00000000-0005-0000-0000-0000EC370000}"/>
    <cellStyle name="Normal 5 5 2 2 2 2 2" xfId="1439" xr:uid="{00000000-0005-0000-0000-0000ED370000}"/>
    <cellStyle name="Normal 5 5 2 2 2 2 2 2" xfId="3253" xr:uid="{00000000-0005-0000-0000-0000EE370000}"/>
    <cellStyle name="Normal 5 5 2 2 2 2 2 2 2" xfId="6881" xr:uid="{00000000-0005-0000-0000-0000EF370000}"/>
    <cellStyle name="Normal 5 5 2 2 2 2 2 2 2 2" xfId="21393" xr:uid="{00000000-0005-0000-0000-0000F0370000}"/>
    <cellStyle name="Normal 5 5 2 2 2 2 2 2 2 3" xfId="14137" xr:uid="{00000000-0005-0000-0000-0000F1370000}"/>
    <cellStyle name="Normal 5 5 2 2 2 2 2 2 3" xfId="17765" xr:uid="{00000000-0005-0000-0000-0000F2370000}"/>
    <cellStyle name="Normal 5 5 2 2 2 2 2 2 4" xfId="10509" xr:uid="{00000000-0005-0000-0000-0000F3370000}"/>
    <cellStyle name="Normal 5 5 2 2 2 2 2 3" xfId="5067" xr:uid="{00000000-0005-0000-0000-0000F4370000}"/>
    <cellStyle name="Normal 5 5 2 2 2 2 2 3 2" xfId="19579" xr:uid="{00000000-0005-0000-0000-0000F5370000}"/>
    <cellStyle name="Normal 5 5 2 2 2 2 2 3 3" xfId="12323" xr:uid="{00000000-0005-0000-0000-0000F6370000}"/>
    <cellStyle name="Normal 5 5 2 2 2 2 2 4" xfId="15951" xr:uid="{00000000-0005-0000-0000-0000F7370000}"/>
    <cellStyle name="Normal 5 5 2 2 2 2 2 5" xfId="8695" xr:uid="{00000000-0005-0000-0000-0000F8370000}"/>
    <cellStyle name="Normal 5 5 2 2 2 2 3" xfId="2346" xr:uid="{00000000-0005-0000-0000-0000F9370000}"/>
    <cellStyle name="Normal 5 5 2 2 2 2 3 2" xfId="5974" xr:uid="{00000000-0005-0000-0000-0000FA370000}"/>
    <cellStyle name="Normal 5 5 2 2 2 2 3 2 2" xfId="20486" xr:uid="{00000000-0005-0000-0000-0000FB370000}"/>
    <cellStyle name="Normal 5 5 2 2 2 2 3 2 3" xfId="13230" xr:uid="{00000000-0005-0000-0000-0000FC370000}"/>
    <cellStyle name="Normal 5 5 2 2 2 2 3 3" xfId="16858" xr:uid="{00000000-0005-0000-0000-0000FD370000}"/>
    <cellStyle name="Normal 5 5 2 2 2 2 3 4" xfId="9602" xr:uid="{00000000-0005-0000-0000-0000FE370000}"/>
    <cellStyle name="Normal 5 5 2 2 2 2 4" xfId="4160" xr:uid="{00000000-0005-0000-0000-0000FF370000}"/>
    <cellStyle name="Normal 5 5 2 2 2 2 4 2" xfId="18672" xr:uid="{00000000-0005-0000-0000-000000380000}"/>
    <cellStyle name="Normal 5 5 2 2 2 2 4 3" xfId="11416" xr:uid="{00000000-0005-0000-0000-000001380000}"/>
    <cellStyle name="Normal 5 5 2 2 2 2 5" xfId="15044" xr:uid="{00000000-0005-0000-0000-000002380000}"/>
    <cellStyle name="Normal 5 5 2 2 2 2 6" xfId="7788" xr:uid="{00000000-0005-0000-0000-000003380000}"/>
    <cellStyle name="Normal 5 5 2 2 2 3" xfId="1093" xr:uid="{00000000-0005-0000-0000-000004380000}"/>
    <cellStyle name="Normal 5 5 2 2 2 3 2" xfId="2907" xr:uid="{00000000-0005-0000-0000-000005380000}"/>
    <cellStyle name="Normal 5 5 2 2 2 3 2 2" xfId="6535" xr:uid="{00000000-0005-0000-0000-000006380000}"/>
    <cellStyle name="Normal 5 5 2 2 2 3 2 2 2" xfId="21047" xr:uid="{00000000-0005-0000-0000-000007380000}"/>
    <cellStyle name="Normal 5 5 2 2 2 3 2 2 3" xfId="13791" xr:uid="{00000000-0005-0000-0000-000008380000}"/>
    <cellStyle name="Normal 5 5 2 2 2 3 2 3" xfId="17419" xr:uid="{00000000-0005-0000-0000-000009380000}"/>
    <cellStyle name="Normal 5 5 2 2 2 3 2 4" xfId="10163" xr:uid="{00000000-0005-0000-0000-00000A380000}"/>
    <cellStyle name="Normal 5 5 2 2 2 3 3" xfId="4721" xr:uid="{00000000-0005-0000-0000-00000B380000}"/>
    <cellStyle name="Normal 5 5 2 2 2 3 3 2" xfId="19233" xr:uid="{00000000-0005-0000-0000-00000C380000}"/>
    <cellStyle name="Normal 5 5 2 2 2 3 3 3" xfId="11977" xr:uid="{00000000-0005-0000-0000-00000D380000}"/>
    <cellStyle name="Normal 5 5 2 2 2 3 4" xfId="15605" xr:uid="{00000000-0005-0000-0000-00000E380000}"/>
    <cellStyle name="Normal 5 5 2 2 2 3 5" xfId="8349" xr:uid="{00000000-0005-0000-0000-00000F380000}"/>
    <cellStyle name="Normal 5 5 2 2 2 4" xfId="2000" xr:uid="{00000000-0005-0000-0000-000010380000}"/>
    <cellStyle name="Normal 5 5 2 2 2 4 2" xfId="5628" xr:uid="{00000000-0005-0000-0000-000011380000}"/>
    <cellStyle name="Normal 5 5 2 2 2 4 2 2" xfId="20140" xr:uid="{00000000-0005-0000-0000-000012380000}"/>
    <cellStyle name="Normal 5 5 2 2 2 4 2 3" xfId="12884" xr:uid="{00000000-0005-0000-0000-000013380000}"/>
    <cellStyle name="Normal 5 5 2 2 2 4 3" xfId="16512" xr:uid="{00000000-0005-0000-0000-000014380000}"/>
    <cellStyle name="Normal 5 5 2 2 2 4 4" xfId="9256" xr:uid="{00000000-0005-0000-0000-000015380000}"/>
    <cellStyle name="Normal 5 5 2 2 2 5" xfId="3814" xr:uid="{00000000-0005-0000-0000-000016380000}"/>
    <cellStyle name="Normal 5 5 2 2 2 5 2" xfId="18326" xr:uid="{00000000-0005-0000-0000-000017380000}"/>
    <cellStyle name="Normal 5 5 2 2 2 5 3" xfId="11070" xr:uid="{00000000-0005-0000-0000-000018380000}"/>
    <cellStyle name="Normal 5 5 2 2 2 6" xfId="14698" xr:uid="{00000000-0005-0000-0000-000019380000}"/>
    <cellStyle name="Normal 5 5 2 2 2 7" xfId="7442" xr:uid="{00000000-0005-0000-0000-00001A380000}"/>
    <cellStyle name="Normal 5 5 2 2 3" xfId="315" xr:uid="{00000000-0005-0000-0000-00001B380000}"/>
    <cellStyle name="Normal 5 5 2 2 3 2" xfId="661" xr:uid="{00000000-0005-0000-0000-00001C380000}"/>
    <cellStyle name="Normal 5 5 2 2 3 2 2" xfId="1569" xr:uid="{00000000-0005-0000-0000-00001D380000}"/>
    <cellStyle name="Normal 5 5 2 2 3 2 2 2" xfId="3383" xr:uid="{00000000-0005-0000-0000-00001E380000}"/>
    <cellStyle name="Normal 5 5 2 2 3 2 2 2 2" xfId="7011" xr:uid="{00000000-0005-0000-0000-00001F380000}"/>
    <cellStyle name="Normal 5 5 2 2 3 2 2 2 2 2" xfId="21523" xr:uid="{00000000-0005-0000-0000-000020380000}"/>
    <cellStyle name="Normal 5 5 2 2 3 2 2 2 2 3" xfId="14267" xr:uid="{00000000-0005-0000-0000-000021380000}"/>
    <cellStyle name="Normal 5 5 2 2 3 2 2 2 3" xfId="17895" xr:uid="{00000000-0005-0000-0000-000022380000}"/>
    <cellStyle name="Normal 5 5 2 2 3 2 2 2 4" xfId="10639" xr:uid="{00000000-0005-0000-0000-000023380000}"/>
    <cellStyle name="Normal 5 5 2 2 3 2 2 3" xfId="5197" xr:uid="{00000000-0005-0000-0000-000024380000}"/>
    <cellStyle name="Normal 5 5 2 2 3 2 2 3 2" xfId="19709" xr:uid="{00000000-0005-0000-0000-000025380000}"/>
    <cellStyle name="Normal 5 5 2 2 3 2 2 3 3" xfId="12453" xr:uid="{00000000-0005-0000-0000-000026380000}"/>
    <cellStyle name="Normal 5 5 2 2 3 2 2 4" xfId="16081" xr:uid="{00000000-0005-0000-0000-000027380000}"/>
    <cellStyle name="Normal 5 5 2 2 3 2 2 5" xfId="8825" xr:uid="{00000000-0005-0000-0000-000028380000}"/>
    <cellStyle name="Normal 5 5 2 2 3 2 3" xfId="2476" xr:uid="{00000000-0005-0000-0000-000029380000}"/>
    <cellStyle name="Normal 5 5 2 2 3 2 3 2" xfId="6104" xr:uid="{00000000-0005-0000-0000-00002A380000}"/>
    <cellStyle name="Normal 5 5 2 2 3 2 3 2 2" xfId="20616" xr:uid="{00000000-0005-0000-0000-00002B380000}"/>
    <cellStyle name="Normal 5 5 2 2 3 2 3 2 3" xfId="13360" xr:uid="{00000000-0005-0000-0000-00002C380000}"/>
    <cellStyle name="Normal 5 5 2 2 3 2 3 3" xfId="16988" xr:uid="{00000000-0005-0000-0000-00002D380000}"/>
    <cellStyle name="Normal 5 5 2 2 3 2 3 4" xfId="9732" xr:uid="{00000000-0005-0000-0000-00002E380000}"/>
    <cellStyle name="Normal 5 5 2 2 3 2 4" xfId="4290" xr:uid="{00000000-0005-0000-0000-00002F380000}"/>
    <cellStyle name="Normal 5 5 2 2 3 2 4 2" xfId="18802" xr:uid="{00000000-0005-0000-0000-000030380000}"/>
    <cellStyle name="Normal 5 5 2 2 3 2 4 3" xfId="11546" xr:uid="{00000000-0005-0000-0000-000031380000}"/>
    <cellStyle name="Normal 5 5 2 2 3 2 5" xfId="15174" xr:uid="{00000000-0005-0000-0000-000032380000}"/>
    <cellStyle name="Normal 5 5 2 2 3 2 6" xfId="7918" xr:uid="{00000000-0005-0000-0000-000033380000}"/>
    <cellStyle name="Normal 5 5 2 2 3 3" xfId="1223" xr:uid="{00000000-0005-0000-0000-000034380000}"/>
    <cellStyle name="Normal 5 5 2 2 3 3 2" xfId="3037" xr:uid="{00000000-0005-0000-0000-000035380000}"/>
    <cellStyle name="Normal 5 5 2 2 3 3 2 2" xfId="6665" xr:uid="{00000000-0005-0000-0000-000036380000}"/>
    <cellStyle name="Normal 5 5 2 2 3 3 2 2 2" xfId="21177" xr:uid="{00000000-0005-0000-0000-000037380000}"/>
    <cellStyle name="Normal 5 5 2 2 3 3 2 2 3" xfId="13921" xr:uid="{00000000-0005-0000-0000-000038380000}"/>
    <cellStyle name="Normal 5 5 2 2 3 3 2 3" xfId="17549" xr:uid="{00000000-0005-0000-0000-000039380000}"/>
    <cellStyle name="Normal 5 5 2 2 3 3 2 4" xfId="10293" xr:uid="{00000000-0005-0000-0000-00003A380000}"/>
    <cellStyle name="Normal 5 5 2 2 3 3 3" xfId="4851" xr:uid="{00000000-0005-0000-0000-00003B380000}"/>
    <cellStyle name="Normal 5 5 2 2 3 3 3 2" xfId="19363" xr:uid="{00000000-0005-0000-0000-00003C380000}"/>
    <cellStyle name="Normal 5 5 2 2 3 3 3 3" xfId="12107" xr:uid="{00000000-0005-0000-0000-00003D380000}"/>
    <cellStyle name="Normal 5 5 2 2 3 3 4" xfId="15735" xr:uid="{00000000-0005-0000-0000-00003E380000}"/>
    <cellStyle name="Normal 5 5 2 2 3 3 5" xfId="8479" xr:uid="{00000000-0005-0000-0000-00003F380000}"/>
    <cellStyle name="Normal 5 5 2 2 3 4" xfId="2130" xr:uid="{00000000-0005-0000-0000-000040380000}"/>
    <cellStyle name="Normal 5 5 2 2 3 4 2" xfId="5758" xr:uid="{00000000-0005-0000-0000-000041380000}"/>
    <cellStyle name="Normal 5 5 2 2 3 4 2 2" xfId="20270" xr:uid="{00000000-0005-0000-0000-000042380000}"/>
    <cellStyle name="Normal 5 5 2 2 3 4 2 3" xfId="13014" xr:uid="{00000000-0005-0000-0000-000043380000}"/>
    <cellStyle name="Normal 5 5 2 2 3 4 3" xfId="16642" xr:uid="{00000000-0005-0000-0000-000044380000}"/>
    <cellStyle name="Normal 5 5 2 2 3 4 4" xfId="9386" xr:uid="{00000000-0005-0000-0000-000045380000}"/>
    <cellStyle name="Normal 5 5 2 2 3 5" xfId="3944" xr:uid="{00000000-0005-0000-0000-000046380000}"/>
    <cellStyle name="Normal 5 5 2 2 3 5 2" xfId="18456" xr:uid="{00000000-0005-0000-0000-000047380000}"/>
    <cellStyle name="Normal 5 5 2 2 3 5 3" xfId="11200" xr:uid="{00000000-0005-0000-0000-000048380000}"/>
    <cellStyle name="Normal 5 5 2 2 3 6" xfId="14828" xr:uid="{00000000-0005-0000-0000-000049380000}"/>
    <cellStyle name="Normal 5 5 2 2 3 7" xfId="7572" xr:uid="{00000000-0005-0000-0000-00004A380000}"/>
    <cellStyle name="Normal 5 5 2 2 4" xfId="791" xr:uid="{00000000-0005-0000-0000-00004B380000}"/>
    <cellStyle name="Normal 5 5 2 2 4 2" xfId="1699" xr:uid="{00000000-0005-0000-0000-00004C380000}"/>
    <cellStyle name="Normal 5 5 2 2 4 2 2" xfId="3513" xr:uid="{00000000-0005-0000-0000-00004D380000}"/>
    <cellStyle name="Normal 5 5 2 2 4 2 2 2" xfId="7141" xr:uid="{00000000-0005-0000-0000-00004E380000}"/>
    <cellStyle name="Normal 5 5 2 2 4 2 2 2 2" xfId="21653" xr:uid="{00000000-0005-0000-0000-00004F380000}"/>
    <cellStyle name="Normal 5 5 2 2 4 2 2 2 3" xfId="14397" xr:uid="{00000000-0005-0000-0000-000050380000}"/>
    <cellStyle name="Normal 5 5 2 2 4 2 2 3" xfId="18025" xr:uid="{00000000-0005-0000-0000-000051380000}"/>
    <cellStyle name="Normal 5 5 2 2 4 2 2 4" xfId="10769" xr:uid="{00000000-0005-0000-0000-000052380000}"/>
    <cellStyle name="Normal 5 5 2 2 4 2 3" xfId="5327" xr:uid="{00000000-0005-0000-0000-000053380000}"/>
    <cellStyle name="Normal 5 5 2 2 4 2 3 2" xfId="19839" xr:uid="{00000000-0005-0000-0000-000054380000}"/>
    <cellStyle name="Normal 5 5 2 2 4 2 3 3" xfId="12583" xr:uid="{00000000-0005-0000-0000-000055380000}"/>
    <cellStyle name="Normal 5 5 2 2 4 2 4" xfId="16211" xr:uid="{00000000-0005-0000-0000-000056380000}"/>
    <cellStyle name="Normal 5 5 2 2 4 2 5" xfId="8955" xr:uid="{00000000-0005-0000-0000-000057380000}"/>
    <cellStyle name="Normal 5 5 2 2 4 3" xfId="2606" xr:uid="{00000000-0005-0000-0000-000058380000}"/>
    <cellStyle name="Normal 5 5 2 2 4 3 2" xfId="6234" xr:uid="{00000000-0005-0000-0000-000059380000}"/>
    <cellStyle name="Normal 5 5 2 2 4 3 2 2" xfId="20746" xr:uid="{00000000-0005-0000-0000-00005A380000}"/>
    <cellStyle name="Normal 5 5 2 2 4 3 2 3" xfId="13490" xr:uid="{00000000-0005-0000-0000-00005B380000}"/>
    <cellStyle name="Normal 5 5 2 2 4 3 3" xfId="17118" xr:uid="{00000000-0005-0000-0000-00005C380000}"/>
    <cellStyle name="Normal 5 5 2 2 4 3 4" xfId="9862" xr:uid="{00000000-0005-0000-0000-00005D380000}"/>
    <cellStyle name="Normal 5 5 2 2 4 4" xfId="4420" xr:uid="{00000000-0005-0000-0000-00005E380000}"/>
    <cellStyle name="Normal 5 5 2 2 4 4 2" xfId="18932" xr:uid="{00000000-0005-0000-0000-00005F380000}"/>
    <cellStyle name="Normal 5 5 2 2 4 4 3" xfId="11676" xr:uid="{00000000-0005-0000-0000-000060380000}"/>
    <cellStyle name="Normal 5 5 2 2 4 5" xfId="15304" xr:uid="{00000000-0005-0000-0000-000061380000}"/>
    <cellStyle name="Normal 5 5 2 2 4 6" xfId="8048" xr:uid="{00000000-0005-0000-0000-000062380000}"/>
    <cellStyle name="Normal 5 5 2 2 5" xfId="445" xr:uid="{00000000-0005-0000-0000-000063380000}"/>
    <cellStyle name="Normal 5 5 2 2 5 2" xfId="1353" xr:uid="{00000000-0005-0000-0000-000064380000}"/>
    <cellStyle name="Normal 5 5 2 2 5 2 2" xfId="3167" xr:uid="{00000000-0005-0000-0000-000065380000}"/>
    <cellStyle name="Normal 5 5 2 2 5 2 2 2" xfId="6795" xr:uid="{00000000-0005-0000-0000-000066380000}"/>
    <cellStyle name="Normal 5 5 2 2 5 2 2 2 2" xfId="21307" xr:uid="{00000000-0005-0000-0000-000067380000}"/>
    <cellStyle name="Normal 5 5 2 2 5 2 2 2 3" xfId="14051" xr:uid="{00000000-0005-0000-0000-000068380000}"/>
    <cellStyle name="Normal 5 5 2 2 5 2 2 3" xfId="17679" xr:uid="{00000000-0005-0000-0000-000069380000}"/>
    <cellStyle name="Normal 5 5 2 2 5 2 2 4" xfId="10423" xr:uid="{00000000-0005-0000-0000-00006A380000}"/>
    <cellStyle name="Normal 5 5 2 2 5 2 3" xfId="4981" xr:uid="{00000000-0005-0000-0000-00006B380000}"/>
    <cellStyle name="Normal 5 5 2 2 5 2 3 2" xfId="19493" xr:uid="{00000000-0005-0000-0000-00006C380000}"/>
    <cellStyle name="Normal 5 5 2 2 5 2 3 3" xfId="12237" xr:uid="{00000000-0005-0000-0000-00006D380000}"/>
    <cellStyle name="Normal 5 5 2 2 5 2 4" xfId="15865" xr:uid="{00000000-0005-0000-0000-00006E380000}"/>
    <cellStyle name="Normal 5 5 2 2 5 2 5" xfId="8609" xr:uid="{00000000-0005-0000-0000-00006F380000}"/>
    <cellStyle name="Normal 5 5 2 2 5 3" xfId="2260" xr:uid="{00000000-0005-0000-0000-000070380000}"/>
    <cellStyle name="Normal 5 5 2 2 5 3 2" xfId="5888" xr:uid="{00000000-0005-0000-0000-000071380000}"/>
    <cellStyle name="Normal 5 5 2 2 5 3 2 2" xfId="20400" xr:uid="{00000000-0005-0000-0000-000072380000}"/>
    <cellStyle name="Normal 5 5 2 2 5 3 2 3" xfId="13144" xr:uid="{00000000-0005-0000-0000-000073380000}"/>
    <cellStyle name="Normal 5 5 2 2 5 3 3" xfId="16772" xr:uid="{00000000-0005-0000-0000-000074380000}"/>
    <cellStyle name="Normal 5 5 2 2 5 3 4" xfId="9516" xr:uid="{00000000-0005-0000-0000-000075380000}"/>
    <cellStyle name="Normal 5 5 2 2 5 4" xfId="4074" xr:uid="{00000000-0005-0000-0000-000076380000}"/>
    <cellStyle name="Normal 5 5 2 2 5 4 2" xfId="18586" xr:uid="{00000000-0005-0000-0000-000077380000}"/>
    <cellStyle name="Normal 5 5 2 2 5 4 3" xfId="11330" xr:uid="{00000000-0005-0000-0000-000078380000}"/>
    <cellStyle name="Normal 5 5 2 2 5 5" xfId="14958" xr:uid="{00000000-0005-0000-0000-000079380000}"/>
    <cellStyle name="Normal 5 5 2 2 5 6" xfId="7702" xr:uid="{00000000-0005-0000-0000-00007A380000}"/>
    <cellStyle name="Normal 5 5 2 2 6" xfId="928" xr:uid="{00000000-0005-0000-0000-00007B380000}"/>
    <cellStyle name="Normal 5 5 2 2 6 2" xfId="1835" xr:uid="{00000000-0005-0000-0000-00007C380000}"/>
    <cellStyle name="Normal 5 5 2 2 6 2 2" xfId="3649" xr:uid="{00000000-0005-0000-0000-00007D380000}"/>
    <cellStyle name="Normal 5 5 2 2 6 2 2 2" xfId="7277" xr:uid="{00000000-0005-0000-0000-00007E380000}"/>
    <cellStyle name="Normal 5 5 2 2 6 2 2 2 2" xfId="21789" xr:uid="{00000000-0005-0000-0000-00007F380000}"/>
    <cellStyle name="Normal 5 5 2 2 6 2 2 2 3" xfId="14533" xr:uid="{00000000-0005-0000-0000-000080380000}"/>
    <cellStyle name="Normal 5 5 2 2 6 2 2 3" xfId="18161" xr:uid="{00000000-0005-0000-0000-000081380000}"/>
    <cellStyle name="Normal 5 5 2 2 6 2 2 4" xfId="10905" xr:uid="{00000000-0005-0000-0000-000082380000}"/>
    <cellStyle name="Normal 5 5 2 2 6 2 3" xfId="5463" xr:uid="{00000000-0005-0000-0000-000083380000}"/>
    <cellStyle name="Normal 5 5 2 2 6 2 3 2" xfId="19975" xr:uid="{00000000-0005-0000-0000-000084380000}"/>
    <cellStyle name="Normal 5 5 2 2 6 2 3 3" xfId="12719" xr:uid="{00000000-0005-0000-0000-000085380000}"/>
    <cellStyle name="Normal 5 5 2 2 6 2 4" xfId="16347" xr:uid="{00000000-0005-0000-0000-000086380000}"/>
    <cellStyle name="Normal 5 5 2 2 6 2 5" xfId="9091" xr:uid="{00000000-0005-0000-0000-000087380000}"/>
    <cellStyle name="Normal 5 5 2 2 6 3" xfId="2742" xr:uid="{00000000-0005-0000-0000-000088380000}"/>
    <cellStyle name="Normal 5 5 2 2 6 3 2" xfId="6370" xr:uid="{00000000-0005-0000-0000-000089380000}"/>
    <cellStyle name="Normal 5 5 2 2 6 3 2 2" xfId="20882" xr:uid="{00000000-0005-0000-0000-00008A380000}"/>
    <cellStyle name="Normal 5 5 2 2 6 3 2 3" xfId="13626" xr:uid="{00000000-0005-0000-0000-00008B380000}"/>
    <cellStyle name="Normal 5 5 2 2 6 3 3" xfId="17254" xr:uid="{00000000-0005-0000-0000-00008C380000}"/>
    <cellStyle name="Normal 5 5 2 2 6 3 4" xfId="9998" xr:uid="{00000000-0005-0000-0000-00008D380000}"/>
    <cellStyle name="Normal 5 5 2 2 6 4" xfId="4556" xr:uid="{00000000-0005-0000-0000-00008E380000}"/>
    <cellStyle name="Normal 5 5 2 2 6 4 2" xfId="19068" xr:uid="{00000000-0005-0000-0000-00008F380000}"/>
    <cellStyle name="Normal 5 5 2 2 6 4 3" xfId="11812" xr:uid="{00000000-0005-0000-0000-000090380000}"/>
    <cellStyle name="Normal 5 5 2 2 6 5" xfId="15440" xr:uid="{00000000-0005-0000-0000-000091380000}"/>
    <cellStyle name="Normal 5 5 2 2 6 6" xfId="8184" xr:uid="{00000000-0005-0000-0000-000092380000}"/>
    <cellStyle name="Normal 5 5 2 2 7" xfId="1007" xr:uid="{00000000-0005-0000-0000-000093380000}"/>
    <cellStyle name="Normal 5 5 2 2 7 2" xfId="2821" xr:uid="{00000000-0005-0000-0000-000094380000}"/>
    <cellStyle name="Normal 5 5 2 2 7 2 2" xfId="6449" xr:uid="{00000000-0005-0000-0000-000095380000}"/>
    <cellStyle name="Normal 5 5 2 2 7 2 2 2" xfId="20961" xr:uid="{00000000-0005-0000-0000-000096380000}"/>
    <cellStyle name="Normal 5 5 2 2 7 2 2 3" xfId="13705" xr:uid="{00000000-0005-0000-0000-000097380000}"/>
    <cellStyle name="Normal 5 5 2 2 7 2 3" xfId="17333" xr:uid="{00000000-0005-0000-0000-000098380000}"/>
    <cellStyle name="Normal 5 5 2 2 7 2 4" xfId="10077" xr:uid="{00000000-0005-0000-0000-000099380000}"/>
    <cellStyle name="Normal 5 5 2 2 7 3" xfId="4635" xr:uid="{00000000-0005-0000-0000-00009A380000}"/>
    <cellStyle name="Normal 5 5 2 2 7 3 2" xfId="19147" xr:uid="{00000000-0005-0000-0000-00009B380000}"/>
    <cellStyle name="Normal 5 5 2 2 7 3 3" xfId="11891" xr:uid="{00000000-0005-0000-0000-00009C380000}"/>
    <cellStyle name="Normal 5 5 2 2 7 4" xfId="15519" xr:uid="{00000000-0005-0000-0000-00009D380000}"/>
    <cellStyle name="Normal 5 5 2 2 7 5" xfId="8263" xr:uid="{00000000-0005-0000-0000-00009E380000}"/>
    <cellStyle name="Normal 5 5 2 2 8" xfId="1914" xr:uid="{00000000-0005-0000-0000-00009F380000}"/>
    <cellStyle name="Normal 5 5 2 2 8 2" xfId="5542" xr:uid="{00000000-0005-0000-0000-0000A0380000}"/>
    <cellStyle name="Normal 5 5 2 2 8 2 2" xfId="20054" xr:uid="{00000000-0005-0000-0000-0000A1380000}"/>
    <cellStyle name="Normal 5 5 2 2 8 2 3" xfId="12798" xr:uid="{00000000-0005-0000-0000-0000A2380000}"/>
    <cellStyle name="Normal 5 5 2 2 8 3" xfId="16426" xr:uid="{00000000-0005-0000-0000-0000A3380000}"/>
    <cellStyle name="Normal 5 5 2 2 8 4" xfId="9170" xr:uid="{00000000-0005-0000-0000-0000A4380000}"/>
    <cellStyle name="Normal 5 5 2 2 9" xfId="3728" xr:uid="{00000000-0005-0000-0000-0000A5380000}"/>
    <cellStyle name="Normal 5 5 2 2 9 2" xfId="18240" xr:uid="{00000000-0005-0000-0000-0000A6380000}"/>
    <cellStyle name="Normal 5 5 2 2 9 3" xfId="10984" xr:uid="{00000000-0005-0000-0000-0000A7380000}"/>
    <cellStyle name="Normal 5 5 2 3" xfId="229" xr:uid="{00000000-0005-0000-0000-0000A8380000}"/>
    <cellStyle name="Normal 5 5 2 3 2" xfId="359" xr:uid="{00000000-0005-0000-0000-0000A9380000}"/>
    <cellStyle name="Normal 5 5 2 3 2 2" xfId="705" xr:uid="{00000000-0005-0000-0000-0000AA380000}"/>
    <cellStyle name="Normal 5 5 2 3 2 2 2" xfId="1613" xr:uid="{00000000-0005-0000-0000-0000AB380000}"/>
    <cellStyle name="Normal 5 5 2 3 2 2 2 2" xfId="3427" xr:uid="{00000000-0005-0000-0000-0000AC380000}"/>
    <cellStyle name="Normal 5 5 2 3 2 2 2 2 2" xfId="7055" xr:uid="{00000000-0005-0000-0000-0000AD380000}"/>
    <cellStyle name="Normal 5 5 2 3 2 2 2 2 2 2" xfId="21567" xr:uid="{00000000-0005-0000-0000-0000AE380000}"/>
    <cellStyle name="Normal 5 5 2 3 2 2 2 2 2 3" xfId="14311" xr:uid="{00000000-0005-0000-0000-0000AF380000}"/>
    <cellStyle name="Normal 5 5 2 3 2 2 2 2 3" xfId="17939" xr:uid="{00000000-0005-0000-0000-0000B0380000}"/>
    <cellStyle name="Normal 5 5 2 3 2 2 2 2 4" xfId="10683" xr:uid="{00000000-0005-0000-0000-0000B1380000}"/>
    <cellStyle name="Normal 5 5 2 3 2 2 2 3" xfId="5241" xr:uid="{00000000-0005-0000-0000-0000B2380000}"/>
    <cellStyle name="Normal 5 5 2 3 2 2 2 3 2" xfId="19753" xr:uid="{00000000-0005-0000-0000-0000B3380000}"/>
    <cellStyle name="Normal 5 5 2 3 2 2 2 3 3" xfId="12497" xr:uid="{00000000-0005-0000-0000-0000B4380000}"/>
    <cellStyle name="Normal 5 5 2 3 2 2 2 4" xfId="16125" xr:uid="{00000000-0005-0000-0000-0000B5380000}"/>
    <cellStyle name="Normal 5 5 2 3 2 2 2 5" xfId="8869" xr:uid="{00000000-0005-0000-0000-0000B6380000}"/>
    <cellStyle name="Normal 5 5 2 3 2 2 3" xfId="2520" xr:uid="{00000000-0005-0000-0000-0000B7380000}"/>
    <cellStyle name="Normal 5 5 2 3 2 2 3 2" xfId="6148" xr:uid="{00000000-0005-0000-0000-0000B8380000}"/>
    <cellStyle name="Normal 5 5 2 3 2 2 3 2 2" xfId="20660" xr:uid="{00000000-0005-0000-0000-0000B9380000}"/>
    <cellStyle name="Normal 5 5 2 3 2 2 3 2 3" xfId="13404" xr:uid="{00000000-0005-0000-0000-0000BA380000}"/>
    <cellStyle name="Normal 5 5 2 3 2 2 3 3" xfId="17032" xr:uid="{00000000-0005-0000-0000-0000BB380000}"/>
    <cellStyle name="Normal 5 5 2 3 2 2 3 4" xfId="9776" xr:uid="{00000000-0005-0000-0000-0000BC380000}"/>
    <cellStyle name="Normal 5 5 2 3 2 2 4" xfId="4334" xr:uid="{00000000-0005-0000-0000-0000BD380000}"/>
    <cellStyle name="Normal 5 5 2 3 2 2 4 2" xfId="18846" xr:uid="{00000000-0005-0000-0000-0000BE380000}"/>
    <cellStyle name="Normal 5 5 2 3 2 2 4 3" xfId="11590" xr:uid="{00000000-0005-0000-0000-0000BF380000}"/>
    <cellStyle name="Normal 5 5 2 3 2 2 5" xfId="15218" xr:uid="{00000000-0005-0000-0000-0000C0380000}"/>
    <cellStyle name="Normal 5 5 2 3 2 2 6" xfId="7962" xr:uid="{00000000-0005-0000-0000-0000C1380000}"/>
    <cellStyle name="Normal 5 5 2 3 2 3" xfId="1267" xr:uid="{00000000-0005-0000-0000-0000C2380000}"/>
    <cellStyle name="Normal 5 5 2 3 2 3 2" xfId="3081" xr:uid="{00000000-0005-0000-0000-0000C3380000}"/>
    <cellStyle name="Normal 5 5 2 3 2 3 2 2" xfId="6709" xr:uid="{00000000-0005-0000-0000-0000C4380000}"/>
    <cellStyle name="Normal 5 5 2 3 2 3 2 2 2" xfId="21221" xr:uid="{00000000-0005-0000-0000-0000C5380000}"/>
    <cellStyle name="Normal 5 5 2 3 2 3 2 2 3" xfId="13965" xr:uid="{00000000-0005-0000-0000-0000C6380000}"/>
    <cellStyle name="Normal 5 5 2 3 2 3 2 3" xfId="17593" xr:uid="{00000000-0005-0000-0000-0000C7380000}"/>
    <cellStyle name="Normal 5 5 2 3 2 3 2 4" xfId="10337" xr:uid="{00000000-0005-0000-0000-0000C8380000}"/>
    <cellStyle name="Normal 5 5 2 3 2 3 3" xfId="4895" xr:uid="{00000000-0005-0000-0000-0000C9380000}"/>
    <cellStyle name="Normal 5 5 2 3 2 3 3 2" xfId="19407" xr:uid="{00000000-0005-0000-0000-0000CA380000}"/>
    <cellStyle name="Normal 5 5 2 3 2 3 3 3" xfId="12151" xr:uid="{00000000-0005-0000-0000-0000CB380000}"/>
    <cellStyle name="Normal 5 5 2 3 2 3 4" xfId="15779" xr:uid="{00000000-0005-0000-0000-0000CC380000}"/>
    <cellStyle name="Normal 5 5 2 3 2 3 5" xfId="8523" xr:uid="{00000000-0005-0000-0000-0000CD380000}"/>
    <cellStyle name="Normal 5 5 2 3 2 4" xfId="2174" xr:uid="{00000000-0005-0000-0000-0000CE380000}"/>
    <cellStyle name="Normal 5 5 2 3 2 4 2" xfId="5802" xr:uid="{00000000-0005-0000-0000-0000CF380000}"/>
    <cellStyle name="Normal 5 5 2 3 2 4 2 2" xfId="20314" xr:uid="{00000000-0005-0000-0000-0000D0380000}"/>
    <cellStyle name="Normal 5 5 2 3 2 4 2 3" xfId="13058" xr:uid="{00000000-0005-0000-0000-0000D1380000}"/>
    <cellStyle name="Normal 5 5 2 3 2 4 3" xfId="16686" xr:uid="{00000000-0005-0000-0000-0000D2380000}"/>
    <cellStyle name="Normal 5 5 2 3 2 4 4" xfId="9430" xr:uid="{00000000-0005-0000-0000-0000D3380000}"/>
    <cellStyle name="Normal 5 5 2 3 2 5" xfId="3988" xr:uid="{00000000-0005-0000-0000-0000D4380000}"/>
    <cellStyle name="Normal 5 5 2 3 2 5 2" xfId="18500" xr:uid="{00000000-0005-0000-0000-0000D5380000}"/>
    <cellStyle name="Normal 5 5 2 3 2 5 3" xfId="11244" xr:uid="{00000000-0005-0000-0000-0000D6380000}"/>
    <cellStyle name="Normal 5 5 2 3 2 6" xfId="14872" xr:uid="{00000000-0005-0000-0000-0000D7380000}"/>
    <cellStyle name="Normal 5 5 2 3 2 7" xfId="7616" xr:uid="{00000000-0005-0000-0000-0000D8380000}"/>
    <cellStyle name="Normal 5 5 2 3 3" xfId="835" xr:uid="{00000000-0005-0000-0000-0000D9380000}"/>
    <cellStyle name="Normal 5 5 2 3 3 2" xfId="1743" xr:uid="{00000000-0005-0000-0000-0000DA380000}"/>
    <cellStyle name="Normal 5 5 2 3 3 2 2" xfId="3557" xr:uid="{00000000-0005-0000-0000-0000DB380000}"/>
    <cellStyle name="Normal 5 5 2 3 3 2 2 2" xfId="7185" xr:uid="{00000000-0005-0000-0000-0000DC380000}"/>
    <cellStyle name="Normal 5 5 2 3 3 2 2 2 2" xfId="21697" xr:uid="{00000000-0005-0000-0000-0000DD380000}"/>
    <cellStyle name="Normal 5 5 2 3 3 2 2 2 3" xfId="14441" xr:uid="{00000000-0005-0000-0000-0000DE380000}"/>
    <cellStyle name="Normal 5 5 2 3 3 2 2 3" xfId="18069" xr:uid="{00000000-0005-0000-0000-0000DF380000}"/>
    <cellStyle name="Normal 5 5 2 3 3 2 2 4" xfId="10813" xr:uid="{00000000-0005-0000-0000-0000E0380000}"/>
    <cellStyle name="Normal 5 5 2 3 3 2 3" xfId="5371" xr:uid="{00000000-0005-0000-0000-0000E1380000}"/>
    <cellStyle name="Normal 5 5 2 3 3 2 3 2" xfId="19883" xr:uid="{00000000-0005-0000-0000-0000E2380000}"/>
    <cellStyle name="Normal 5 5 2 3 3 2 3 3" xfId="12627" xr:uid="{00000000-0005-0000-0000-0000E3380000}"/>
    <cellStyle name="Normal 5 5 2 3 3 2 4" xfId="16255" xr:uid="{00000000-0005-0000-0000-0000E4380000}"/>
    <cellStyle name="Normal 5 5 2 3 3 2 5" xfId="8999" xr:uid="{00000000-0005-0000-0000-0000E5380000}"/>
    <cellStyle name="Normal 5 5 2 3 3 3" xfId="2650" xr:uid="{00000000-0005-0000-0000-0000E6380000}"/>
    <cellStyle name="Normal 5 5 2 3 3 3 2" xfId="6278" xr:uid="{00000000-0005-0000-0000-0000E7380000}"/>
    <cellStyle name="Normal 5 5 2 3 3 3 2 2" xfId="20790" xr:uid="{00000000-0005-0000-0000-0000E8380000}"/>
    <cellStyle name="Normal 5 5 2 3 3 3 2 3" xfId="13534" xr:uid="{00000000-0005-0000-0000-0000E9380000}"/>
    <cellStyle name="Normal 5 5 2 3 3 3 3" xfId="17162" xr:uid="{00000000-0005-0000-0000-0000EA380000}"/>
    <cellStyle name="Normal 5 5 2 3 3 3 4" xfId="9906" xr:uid="{00000000-0005-0000-0000-0000EB380000}"/>
    <cellStyle name="Normal 5 5 2 3 3 4" xfId="4464" xr:uid="{00000000-0005-0000-0000-0000EC380000}"/>
    <cellStyle name="Normal 5 5 2 3 3 4 2" xfId="18976" xr:uid="{00000000-0005-0000-0000-0000ED380000}"/>
    <cellStyle name="Normal 5 5 2 3 3 4 3" xfId="11720" xr:uid="{00000000-0005-0000-0000-0000EE380000}"/>
    <cellStyle name="Normal 5 5 2 3 3 5" xfId="15348" xr:uid="{00000000-0005-0000-0000-0000EF380000}"/>
    <cellStyle name="Normal 5 5 2 3 3 6" xfId="8092" xr:uid="{00000000-0005-0000-0000-0000F0380000}"/>
    <cellStyle name="Normal 5 5 2 3 4" xfId="575" xr:uid="{00000000-0005-0000-0000-0000F1380000}"/>
    <cellStyle name="Normal 5 5 2 3 4 2" xfId="1483" xr:uid="{00000000-0005-0000-0000-0000F2380000}"/>
    <cellStyle name="Normal 5 5 2 3 4 2 2" xfId="3297" xr:uid="{00000000-0005-0000-0000-0000F3380000}"/>
    <cellStyle name="Normal 5 5 2 3 4 2 2 2" xfId="6925" xr:uid="{00000000-0005-0000-0000-0000F4380000}"/>
    <cellStyle name="Normal 5 5 2 3 4 2 2 2 2" xfId="21437" xr:uid="{00000000-0005-0000-0000-0000F5380000}"/>
    <cellStyle name="Normal 5 5 2 3 4 2 2 2 3" xfId="14181" xr:uid="{00000000-0005-0000-0000-0000F6380000}"/>
    <cellStyle name="Normal 5 5 2 3 4 2 2 3" xfId="17809" xr:uid="{00000000-0005-0000-0000-0000F7380000}"/>
    <cellStyle name="Normal 5 5 2 3 4 2 2 4" xfId="10553" xr:uid="{00000000-0005-0000-0000-0000F8380000}"/>
    <cellStyle name="Normal 5 5 2 3 4 2 3" xfId="5111" xr:uid="{00000000-0005-0000-0000-0000F9380000}"/>
    <cellStyle name="Normal 5 5 2 3 4 2 3 2" xfId="19623" xr:uid="{00000000-0005-0000-0000-0000FA380000}"/>
    <cellStyle name="Normal 5 5 2 3 4 2 3 3" xfId="12367" xr:uid="{00000000-0005-0000-0000-0000FB380000}"/>
    <cellStyle name="Normal 5 5 2 3 4 2 4" xfId="15995" xr:uid="{00000000-0005-0000-0000-0000FC380000}"/>
    <cellStyle name="Normal 5 5 2 3 4 2 5" xfId="8739" xr:uid="{00000000-0005-0000-0000-0000FD380000}"/>
    <cellStyle name="Normal 5 5 2 3 4 3" xfId="2390" xr:uid="{00000000-0005-0000-0000-0000FE380000}"/>
    <cellStyle name="Normal 5 5 2 3 4 3 2" xfId="6018" xr:uid="{00000000-0005-0000-0000-0000FF380000}"/>
    <cellStyle name="Normal 5 5 2 3 4 3 2 2" xfId="20530" xr:uid="{00000000-0005-0000-0000-000000390000}"/>
    <cellStyle name="Normal 5 5 2 3 4 3 2 3" xfId="13274" xr:uid="{00000000-0005-0000-0000-000001390000}"/>
    <cellStyle name="Normal 5 5 2 3 4 3 3" xfId="16902" xr:uid="{00000000-0005-0000-0000-000002390000}"/>
    <cellStyle name="Normal 5 5 2 3 4 3 4" xfId="9646" xr:uid="{00000000-0005-0000-0000-000003390000}"/>
    <cellStyle name="Normal 5 5 2 3 4 4" xfId="4204" xr:uid="{00000000-0005-0000-0000-000004390000}"/>
    <cellStyle name="Normal 5 5 2 3 4 4 2" xfId="18716" xr:uid="{00000000-0005-0000-0000-000005390000}"/>
    <cellStyle name="Normal 5 5 2 3 4 4 3" xfId="11460" xr:uid="{00000000-0005-0000-0000-000006390000}"/>
    <cellStyle name="Normal 5 5 2 3 4 5" xfId="15088" xr:uid="{00000000-0005-0000-0000-000007390000}"/>
    <cellStyle name="Normal 5 5 2 3 4 6" xfId="7832" xr:uid="{00000000-0005-0000-0000-000008390000}"/>
    <cellStyle name="Normal 5 5 2 3 5" xfId="1137" xr:uid="{00000000-0005-0000-0000-000009390000}"/>
    <cellStyle name="Normal 5 5 2 3 5 2" xfId="2951" xr:uid="{00000000-0005-0000-0000-00000A390000}"/>
    <cellStyle name="Normal 5 5 2 3 5 2 2" xfId="6579" xr:uid="{00000000-0005-0000-0000-00000B390000}"/>
    <cellStyle name="Normal 5 5 2 3 5 2 2 2" xfId="21091" xr:uid="{00000000-0005-0000-0000-00000C390000}"/>
    <cellStyle name="Normal 5 5 2 3 5 2 2 3" xfId="13835" xr:uid="{00000000-0005-0000-0000-00000D390000}"/>
    <cellStyle name="Normal 5 5 2 3 5 2 3" xfId="17463" xr:uid="{00000000-0005-0000-0000-00000E390000}"/>
    <cellStyle name="Normal 5 5 2 3 5 2 4" xfId="10207" xr:uid="{00000000-0005-0000-0000-00000F390000}"/>
    <cellStyle name="Normal 5 5 2 3 5 3" xfId="4765" xr:uid="{00000000-0005-0000-0000-000010390000}"/>
    <cellStyle name="Normal 5 5 2 3 5 3 2" xfId="19277" xr:uid="{00000000-0005-0000-0000-000011390000}"/>
    <cellStyle name="Normal 5 5 2 3 5 3 3" xfId="12021" xr:uid="{00000000-0005-0000-0000-000012390000}"/>
    <cellStyle name="Normal 5 5 2 3 5 4" xfId="15649" xr:uid="{00000000-0005-0000-0000-000013390000}"/>
    <cellStyle name="Normal 5 5 2 3 5 5" xfId="8393" xr:uid="{00000000-0005-0000-0000-000014390000}"/>
    <cellStyle name="Normal 5 5 2 3 6" xfId="2044" xr:uid="{00000000-0005-0000-0000-000015390000}"/>
    <cellStyle name="Normal 5 5 2 3 6 2" xfId="5672" xr:uid="{00000000-0005-0000-0000-000016390000}"/>
    <cellStyle name="Normal 5 5 2 3 6 2 2" xfId="20184" xr:uid="{00000000-0005-0000-0000-000017390000}"/>
    <cellStyle name="Normal 5 5 2 3 6 2 3" xfId="12928" xr:uid="{00000000-0005-0000-0000-000018390000}"/>
    <cellStyle name="Normal 5 5 2 3 6 3" xfId="16556" xr:uid="{00000000-0005-0000-0000-000019390000}"/>
    <cellStyle name="Normal 5 5 2 3 6 4" xfId="9300" xr:uid="{00000000-0005-0000-0000-00001A390000}"/>
    <cellStyle name="Normal 5 5 2 3 7" xfId="3858" xr:uid="{00000000-0005-0000-0000-00001B390000}"/>
    <cellStyle name="Normal 5 5 2 3 7 2" xfId="18370" xr:uid="{00000000-0005-0000-0000-00001C390000}"/>
    <cellStyle name="Normal 5 5 2 3 7 3" xfId="11114" xr:uid="{00000000-0005-0000-0000-00001D390000}"/>
    <cellStyle name="Normal 5 5 2 3 8" xfId="14742" xr:uid="{00000000-0005-0000-0000-00001E390000}"/>
    <cellStyle name="Normal 5 5 2 3 9" xfId="7486" xr:uid="{00000000-0005-0000-0000-00001F390000}"/>
    <cellStyle name="Normal 5 5 2 4" xfId="143" xr:uid="{00000000-0005-0000-0000-000020390000}"/>
    <cellStyle name="Normal 5 5 2 4 2" xfId="489" xr:uid="{00000000-0005-0000-0000-000021390000}"/>
    <cellStyle name="Normal 5 5 2 4 2 2" xfId="1397" xr:uid="{00000000-0005-0000-0000-000022390000}"/>
    <cellStyle name="Normal 5 5 2 4 2 2 2" xfId="3211" xr:uid="{00000000-0005-0000-0000-000023390000}"/>
    <cellStyle name="Normal 5 5 2 4 2 2 2 2" xfId="6839" xr:uid="{00000000-0005-0000-0000-000024390000}"/>
    <cellStyle name="Normal 5 5 2 4 2 2 2 2 2" xfId="21351" xr:uid="{00000000-0005-0000-0000-000025390000}"/>
    <cellStyle name="Normal 5 5 2 4 2 2 2 2 3" xfId="14095" xr:uid="{00000000-0005-0000-0000-000026390000}"/>
    <cellStyle name="Normal 5 5 2 4 2 2 2 3" xfId="17723" xr:uid="{00000000-0005-0000-0000-000027390000}"/>
    <cellStyle name="Normal 5 5 2 4 2 2 2 4" xfId="10467" xr:uid="{00000000-0005-0000-0000-000028390000}"/>
    <cellStyle name="Normal 5 5 2 4 2 2 3" xfId="5025" xr:uid="{00000000-0005-0000-0000-000029390000}"/>
    <cellStyle name="Normal 5 5 2 4 2 2 3 2" xfId="19537" xr:uid="{00000000-0005-0000-0000-00002A390000}"/>
    <cellStyle name="Normal 5 5 2 4 2 2 3 3" xfId="12281" xr:uid="{00000000-0005-0000-0000-00002B390000}"/>
    <cellStyle name="Normal 5 5 2 4 2 2 4" xfId="15909" xr:uid="{00000000-0005-0000-0000-00002C390000}"/>
    <cellStyle name="Normal 5 5 2 4 2 2 5" xfId="8653" xr:uid="{00000000-0005-0000-0000-00002D390000}"/>
    <cellStyle name="Normal 5 5 2 4 2 3" xfId="2304" xr:uid="{00000000-0005-0000-0000-00002E390000}"/>
    <cellStyle name="Normal 5 5 2 4 2 3 2" xfId="5932" xr:uid="{00000000-0005-0000-0000-00002F390000}"/>
    <cellStyle name="Normal 5 5 2 4 2 3 2 2" xfId="20444" xr:uid="{00000000-0005-0000-0000-000030390000}"/>
    <cellStyle name="Normal 5 5 2 4 2 3 2 3" xfId="13188" xr:uid="{00000000-0005-0000-0000-000031390000}"/>
    <cellStyle name="Normal 5 5 2 4 2 3 3" xfId="16816" xr:uid="{00000000-0005-0000-0000-000032390000}"/>
    <cellStyle name="Normal 5 5 2 4 2 3 4" xfId="9560" xr:uid="{00000000-0005-0000-0000-000033390000}"/>
    <cellStyle name="Normal 5 5 2 4 2 4" xfId="4118" xr:uid="{00000000-0005-0000-0000-000034390000}"/>
    <cellStyle name="Normal 5 5 2 4 2 4 2" xfId="18630" xr:uid="{00000000-0005-0000-0000-000035390000}"/>
    <cellStyle name="Normal 5 5 2 4 2 4 3" xfId="11374" xr:uid="{00000000-0005-0000-0000-000036390000}"/>
    <cellStyle name="Normal 5 5 2 4 2 5" xfId="15002" xr:uid="{00000000-0005-0000-0000-000037390000}"/>
    <cellStyle name="Normal 5 5 2 4 2 6" xfId="7746" xr:uid="{00000000-0005-0000-0000-000038390000}"/>
    <cellStyle name="Normal 5 5 2 4 3" xfId="1051" xr:uid="{00000000-0005-0000-0000-000039390000}"/>
    <cellStyle name="Normal 5 5 2 4 3 2" xfId="2865" xr:uid="{00000000-0005-0000-0000-00003A390000}"/>
    <cellStyle name="Normal 5 5 2 4 3 2 2" xfId="6493" xr:uid="{00000000-0005-0000-0000-00003B390000}"/>
    <cellStyle name="Normal 5 5 2 4 3 2 2 2" xfId="21005" xr:uid="{00000000-0005-0000-0000-00003C390000}"/>
    <cellStyle name="Normal 5 5 2 4 3 2 2 3" xfId="13749" xr:uid="{00000000-0005-0000-0000-00003D390000}"/>
    <cellStyle name="Normal 5 5 2 4 3 2 3" xfId="17377" xr:uid="{00000000-0005-0000-0000-00003E390000}"/>
    <cellStyle name="Normal 5 5 2 4 3 2 4" xfId="10121" xr:uid="{00000000-0005-0000-0000-00003F390000}"/>
    <cellStyle name="Normal 5 5 2 4 3 3" xfId="4679" xr:uid="{00000000-0005-0000-0000-000040390000}"/>
    <cellStyle name="Normal 5 5 2 4 3 3 2" xfId="19191" xr:uid="{00000000-0005-0000-0000-000041390000}"/>
    <cellStyle name="Normal 5 5 2 4 3 3 3" xfId="11935" xr:uid="{00000000-0005-0000-0000-000042390000}"/>
    <cellStyle name="Normal 5 5 2 4 3 4" xfId="15563" xr:uid="{00000000-0005-0000-0000-000043390000}"/>
    <cellStyle name="Normal 5 5 2 4 3 5" xfId="8307" xr:uid="{00000000-0005-0000-0000-000044390000}"/>
    <cellStyle name="Normal 5 5 2 4 4" xfId="1958" xr:uid="{00000000-0005-0000-0000-000045390000}"/>
    <cellStyle name="Normal 5 5 2 4 4 2" xfId="5586" xr:uid="{00000000-0005-0000-0000-000046390000}"/>
    <cellStyle name="Normal 5 5 2 4 4 2 2" xfId="20098" xr:uid="{00000000-0005-0000-0000-000047390000}"/>
    <cellStyle name="Normal 5 5 2 4 4 2 3" xfId="12842" xr:uid="{00000000-0005-0000-0000-000048390000}"/>
    <cellStyle name="Normal 5 5 2 4 4 3" xfId="16470" xr:uid="{00000000-0005-0000-0000-000049390000}"/>
    <cellStyle name="Normal 5 5 2 4 4 4" xfId="9214" xr:uid="{00000000-0005-0000-0000-00004A390000}"/>
    <cellStyle name="Normal 5 5 2 4 5" xfId="3772" xr:uid="{00000000-0005-0000-0000-00004B390000}"/>
    <cellStyle name="Normal 5 5 2 4 5 2" xfId="18284" xr:uid="{00000000-0005-0000-0000-00004C390000}"/>
    <cellStyle name="Normal 5 5 2 4 5 3" xfId="11028" xr:uid="{00000000-0005-0000-0000-00004D390000}"/>
    <cellStyle name="Normal 5 5 2 4 6" xfId="14656" xr:uid="{00000000-0005-0000-0000-00004E390000}"/>
    <cellStyle name="Normal 5 5 2 4 7" xfId="7400" xr:uid="{00000000-0005-0000-0000-00004F390000}"/>
    <cellStyle name="Normal 5 5 2 5" xfId="273" xr:uid="{00000000-0005-0000-0000-000050390000}"/>
    <cellStyle name="Normal 5 5 2 5 2" xfId="619" xr:uid="{00000000-0005-0000-0000-000051390000}"/>
    <cellStyle name="Normal 5 5 2 5 2 2" xfId="1527" xr:uid="{00000000-0005-0000-0000-000052390000}"/>
    <cellStyle name="Normal 5 5 2 5 2 2 2" xfId="3341" xr:uid="{00000000-0005-0000-0000-000053390000}"/>
    <cellStyle name="Normal 5 5 2 5 2 2 2 2" xfId="6969" xr:uid="{00000000-0005-0000-0000-000054390000}"/>
    <cellStyle name="Normal 5 5 2 5 2 2 2 2 2" xfId="21481" xr:uid="{00000000-0005-0000-0000-000055390000}"/>
    <cellStyle name="Normal 5 5 2 5 2 2 2 2 3" xfId="14225" xr:uid="{00000000-0005-0000-0000-000056390000}"/>
    <cellStyle name="Normal 5 5 2 5 2 2 2 3" xfId="17853" xr:uid="{00000000-0005-0000-0000-000057390000}"/>
    <cellStyle name="Normal 5 5 2 5 2 2 2 4" xfId="10597" xr:uid="{00000000-0005-0000-0000-000058390000}"/>
    <cellStyle name="Normal 5 5 2 5 2 2 3" xfId="5155" xr:uid="{00000000-0005-0000-0000-000059390000}"/>
    <cellStyle name="Normal 5 5 2 5 2 2 3 2" xfId="19667" xr:uid="{00000000-0005-0000-0000-00005A390000}"/>
    <cellStyle name="Normal 5 5 2 5 2 2 3 3" xfId="12411" xr:uid="{00000000-0005-0000-0000-00005B390000}"/>
    <cellStyle name="Normal 5 5 2 5 2 2 4" xfId="16039" xr:uid="{00000000-0005-0000-0000-00005C390000}"/>
    <cellStyle name="Normal 5 5 2 5 2 2 5" xfId="8783" xr:uid="{00000000-0005-0000-0000-00005D390000}"/>
    <cellStyle name="Normal 5 5 2 5 2 3" xfId="2434" xr:uid="{00000000-0005-0000-0000-00005E390000}"/>
    <cellStyle name="Normal 5 5 2 5 2 3 2" xfId="6062" xr:uid="{00000000-0005-0000-0000-00005F390000}"/>
    <cellStyle name="Normal 5 5 2 5 2 3 2 2" xfId="20574" xr:uid="{00000000-0005-0000-0000-000060390000}"/>
    <cellStyle name="Normal 5 5 2 5 2 3 2 3" xfId="13318" xr:uid="{00000000-0005-0000-0000-000061390000}"/>
    <cellStyle name="Normal 5 5 2 5 2 3 3" xfId="16946" xr:uid="{00000000-0005-0000-0000-000062390000}"/>
    <cellStyle name="Normal 5 5 2 5 2 3 4" xfId="9690" xr:uid="{00000000-0005-0000-0000-000063390000}"/>
    <cellStyle name="Normal 5 5 2 5 2 4" xfId="4248" xr:uid="{00000000-0005-0000-0000-000064390000}"/>
    <cellStyle name="Normal 5 5 2 5 2 4 2" xfId="18760" xr:uid="{00000000-0005-0000-0000-000065390000}"/>
    <cellStyle name="Normal 5 5 2 5 2 4 3" xfId="11504" xr:uid="{00000000-0005-0000-0000-000066390000}"/>
    <cellStyle name="Normal 5 5 2 5 2 5" xfId="15132" xr:uid="{00000000-0005-0000-0000-000067390000}"/>
    <cellStyle name="Normal 5 5 2 5 2 6" xfId="7876" xr:uid="{00000000-0005-0000-0000-000068390000}"/>
    <cellStyle name="Normal 5 5 2 5 3" xfId="1181" xr:uid="{00000000-0005-0000-0000-000069390000}"/>
    <cellStyle name="Normal 5 5 2 5 3 2" xfId="2995" xr:uid="{00000000-0005-0000-0000-00006A390000}"/>
    <cellStyle name="Normal 5 5 2 5 3 2 2" xfId="6623" xr:uid="{00000000-0005-0000-0000-00006B390000}"/>
    <cellStyle name="Normal 5 5 2 5 3 2 2 2" xfId="21135" xr:uid="{00000000-0005-0000-0000-00006C390000}"/>
    <cellStyle name="Normal 5 5 2 5 3 2 2 3" xfId="13879" xr:uid="{00000000-0005-0000-0000-00006D390000}"/>
    <cellStyle name="Normal 5 5 2 5 3 2 3" xfId="17507" xr:uid="{00000000-0005-0000-0000-00006E390000}"/>
    <cellStyle name="Normal 5 5 2 5 3 2 4" xfId="10251" xr:uid="{00000000-0005-0000-0000-00006F390000}"/>
    <cellStyle name="Normal 5 5 2 5 3 3" xfId="4809" xr:uid="{00000000-0005-0000-0000-000070390000}"/>
    <cellStyle name="Normal 5 5 2 5 3 3 2" xfId="19321" xr:uid="{00000000-0005-0000-0000-000071390000}"/>
    <cellStyle name="Normal 5 5 2 5 3 3 3" xfId="12065" xr:uid="{00000000-0005-0000-0000-000072390000}"/>
    <cellStyle name="Normal 5 5 2 5 3 4" xfId="15693" xr:uid="{00000000-0005-0000-0000-000073390000}"/>
    <cellStyle name="Normal 5 5 2 5 3 5" xfId="8437" xr:uid="{00000000-0005-0000-0000-000074390000}"/>
    <cellStyle name="Normal 5 5 2 5 4" xfId="2088" xr:uid="{00000000-0005-0000-0000-000075390000}"/>
    <cellStyle name="Normal 5 5 2 5 4 2" xfId="5716" xr:uid="{00000000-0005-0000-0000-000076390000}"/>
    <cellStyle name="Normal 5 5 2 5 4 2 2" xfId="20228" xr:uid="{00000000-0005-0000-0000-000077390000}"/>
    <cellStyle name="Normal 5 5 2 5 4 2 3" xfId="12972" xr:uid="{00000000-0005-0000-0000-000078390000}"/>
    <cellStyle name="Normal 5 5 2 5 4 3" xfId="16600" xr:uid="{00000000-0005-0000-0000-000079390000}"/>
    <cellStyle name="Normal 5 5 2 5 4 4" xfId="9344" xr:uid="{00000000-0005-0000-0000-00007A390000}"/>
    <cellStyle name="Normal 5 5 2 5 5" xfId="3902" xr:uid="{00000000-0005-0000-0000-00007B390000}"/>
    <cellStyle name="Normal 5 5 2 5 5 2" xfId="18414" xr:uid="{00000000-0005-0000-0000-00007C390000}"/>
    <cellStyle name="Normal 5 5 2 5 5 3" xfId="11158" xr:uid="{00000000-0005-0000-0000-00007D390000}"/>
    <cellStyle name="Normal 5 5 2 5 6" xfId="14786" xr:uid="{00000000-0005-0000-0000-00007E390000}"/>
    <cellStyle name="Normal 5 5 2 5 7" xfId="7530" xr:uid="{00000000-0005-0000-0000-00007F390000}"/>
    <cellStyle name="Normal 5 5 2 6" xfId="749" xr:uid="{00000000-0005-0000-0000-000080390000}"/>
    <cellStyle name="Normal 5 5 2 6 2" xfId="1657" xr:uid="{00000000-0005-0000-0000-000081390000}"/>
    <cellStyle name="Normal 5 5 2 6 2 2" xfId="3471" xr:uid="{00000000-0005-0000-0000-000082390000}"/>
    <cellStyle name="Normal 5 5 2 6 2 2 2" xfId="7099" xr:uid="{00000000-0005-0000-0000-000083390000}"/>
    <cellStyle name="Normal 5 5 2 6 2 2 2 2" xfId="21611" xr:uid="{00000000-0005-0000-0000-000084390000}"/>
    <cellStyle name="Normal 5 5 2 6 2 2 2 3" xfId="14355" xr:uid="{00000000-0005-0000-0000-000085390000}"/>
    <cellStyle name="Normal 5 5 2 6 2 2 3" xfId="17983" xr:uid="{00000000-0005-0000-0000-000086390000}"/>
    <cellStyle name="Normal 5 5 2 6 2 2 4" xfId="10727" xr:uid="{00000000-0005-0000-0000-000087390000}"/>
    <cellStyle name="Normal 5 5 2 6 2 3" xfId="5285" xr:uid="{00000000-0005-0000-0000-000088390000}"/>
    <cellStyle name="Normal 5 5 2 6 2 3 2" xfId="19797" xr:uid="{00000000-0005-0000-0000-000089390000}"/>
    <cellStyle name="Normal 5 5 2 6 2 3 3" xfId="12541" xr:uid="{00000000-0005-0000-0000-00008A390000}"/>
    <cellStyle name="Normal 5 5 2 6 2 4" xfId="16169" xr:uid="{00000000-0005-0000-0000-00008B390000}"/>
    <cellStyle name="Normal 5 5 2 6 2 5" xfId="8913" xr:uid="{00000000-0005-0000-0000-00008C390000}"/>
    <cellStyle name="Normal 5 5 2 6 3" xfId="2564" xr:uid="{00000000-0005-0000-0000-00008D390000}"/>
    <cellStyle name="Normal 5 5 2 6 3 2" xfId="6192" xr:uid="{00000000-0005-0000-0000-00008E390000}"/>
    <cellStyle name="Normal 5 5 2 6 3 2 2" xfId="20704" xr:uid="{00000000-0005-0000-0000-00008F390000}"/>
    <cellStyle name="Normal 5 5 2 6 3 2 3" xfId="13448" xr:uid="{00000000-0005-0000-0000-000090390000}"/>
    <cellStyle name="Normal 5 5 2 6 3 3" xfId="17076" xr:uid="{00000000-0005-0000-0000-000091390000}"/>
    <cellStyle name="Normal 5 5 2 6 3 4" xfId="9820" xr:uid="{00000000-0005-0000-0000-000092390000}"/>
    <cellStyle name="Normal 5 5 2 6 4" xfId="4378" xr:uid="{00000000-0005-0000-0000-000093390000}"/>
    <cellStyle name="Normal 5 5 2 6 4 2" xfId="18890" xr:uid="{00000000-0005-0000-0000-000094390000}"/>
    <cellStyle name="Normal 5 5 2 6 4 3" xfId="11634" xr:uid="{00000000-0005-0000-0000-000095390000}"/>
    <cellStyle name="Normal 5 5 2 6 5" xfId="15262" xr:uid="{00000000-0005-0000-0000-000096390000}"/>
    <cellStyle name="Normal 5 5 2 6 6" xfId="8006" xr:uid="{00000000-0005-0000-0000-000097390000}"/>
    <cellStyle name="Normal 5 5 2 7" xfId="403" xr:uid="{00000000-0005-0000-0000-000098390000}"/>
    <cellStyle name="Normal 5 5 2 7 2" xfId="1311" xr:uid="{00000000-0005-0000-0000-000099390000}"/>
    <cellStyle name="Normal 5 5 2 7 2 2" xfId="3125" xr:uid="{00000000-0005-0000-0000-00009A390000}"/>
    <cellStyle name="Normal 5 5 2 7 2 2 2" xfId="6753" xr:uid="{00000000-0005-0000-0000-00009B390000}"/>
    <cellStyle name="Normal 5 5 2 7 2 2 2 2" xfId="21265" xr:uid="{00000000-0005-0000-0000-00009C390000}"/>
    <cellStyle name="Normal 5 5 2 7 2 2 2 3" xfId="14009" xr:uid="{00000000-0005-0000-0000-00009D390000}"/>
    <cellStyle name="Normal 5 5 2 7 2 2 3" xfId="17637" xr:uid="{00000000-0005-0000-0000-00009E390000}"/>
    <cellStyle name="Normal 5 5 2 7 2 2 4" xfId="10381" xr:uid="{00000000-0005-0000-0000-00009F390000}"/>
    <cellStyle name="Normal 5 5 2 7 2 3" xfId="4939" xr:uid="{00000000-0005-0000-0000-0000A0390000}"/>
    <cellStyle name="Normal 5 5 2 7 2 3 2" xfId="19451" xr:uid="{00000000-0005-0000-0000-0000A1390000}"/>
    <cellStyle name="Normal 5 5 2 7 2 3 3" xfId="12195" xr:uid="{00000000-0005-0000-0000-0000A2390000}"/>
    <cellStyle name="Normal 5 5 2 7 2 4" xfId="15823" xr:uid="{00000000-0005-0000-0000-0000A3390000}"/>
    <cellStyle name="Normal 5 5 2 7 2 5" xfId="8567" xr:uid="{00000000-0005-0000-0000-0000A4390000}"/>
    <cellStyle name="Normal 5 5 2 7 3" xfId="2218" xr:uid="{00000000-0005-0000-0000-0000A5390000}"/>
    <cellStyle name="Normal 5 5 2 7 3 2" xfId="5846" xr:uid="{00000000-0005-0000-0000-0000A6390000}"/>
    <cellStyle name="Normal 5 5 2 7 3 2 2" xfId="20358" xr:uid="{00000000-0005-0000-0000-0000A7390000}"/>
    <cellStyle name="Normal 5 5 2 7 3 2 3" xfId="13102" xr:uid="{00000000-0005-0000-0000-0000A8390000}"/>
    <cellStyle name="Normal 5 5 2 7 3 3" xfId="16730" xr:uid="{00000000-0005-0000-0000-0000A9390000}"/>
    <cellStyle name="Normal 5 5 2 7 3 4" xfId="9474" xr:uid="{00000000-0005-0000-0000-0000AA390000}"/>
    <cellStyle name="Normal 5 5 2 7 4" xfId="4032" xr:uid="{00000000-0005-0000-0000-0000AB390000}"/>
    <cellStyle name="Normal 5 5 2 7 4 2" xfId="18544" xr:uid="{00000000-0005-0000-0000-0000AC390000}"/>
    <cellStyle name="Normal 5 5 2 7 4 3" xfId="11288" xr:uid="{00000000-0005-0000-0000-0000AD390000}"/>
    <cellStyle name="Normal 5 5 2 7 5" xfId="14916" xr:uid="{00000000-0005-0000-0000-0000AE390000}"/>
    <cellStyle name="Normal 5 5 2 7 6" xfId="7660" xr:uid="{00000000-0005-0000-0000-0000AF390000}"/>
    <cellStyle name="Normal 5 5 2 8" xfId="884" xr:uid="{00000000-0005-0000-0000-0000B0390000}"/>
    <cellStyle name="Normal 5 5 2 8 2" xfId="1792" xr:uid="{00000000-0005-0000-0000-0000B1390000}"/>
    <cellStyle name="Normal 5 5 2 8 2 2" xfId="3606" xr:uid="{00000000-0005-0000-0000-0000B2390000}"/>
    <cellStyle name="Normal 5 5 2 8 2 2 2" xfId="7234" xr:uid="{00000000-0005-0000-0000-0000B3390000}"/>
    <cellStyle name="Normal 5 5 2 8 2 2 2 2" xfId="21746" xr:uid="{00000000-0005-0000-0000-0000B4390000}"/>
    <cellStyle name="Normal 5 5 2 8 2 2 2 3" xfId="14490" xr:uid="{00000000-0005-0000-0000-0000B5390000}"/>
    <cellStyle name="Normal 5 5 2 8 2 2 3" xfId="18118" xr:uid="{00000000-0005-0000-0000-0000B6390000}"/>
    <cellStyle name="Normal 5 5 2 8 2 2 4" xfId="10862" xr:uid="{00000000-0005-0000-0000-0000B7390000}"/>
    <cellStyle name="Normal 5 5 2 8 2 3" xfId="5420" xr:uid="{00000000-0005-0000-0000-0000B8390000}"/>
    <cellStyle name="Normal 5 5 2 8 2 3 2" xfId="19932" xr:uid="{00000000-0005-0000-0000-0000B9390000}"/>
    <cellStyle name="Normal 5 5 2 8 2 3 3" xfId="12676" xr:uid="{00000000-0005-0000-0000-0000BA390000}"/>
    <cellStyle name="Normal 5 5 2 8 2 4" xfId="16304" xr:uid="{00000000-0005-0000-0000-0000BB390000}"/>
    <cellStyle name="Normal 5 5 2 8 2 5" xfId="9048" xr:uid="{00000000-0005-0000-0000-0000BC390000}"/>
    <cellStyle name="Normal 5 5 2 8 3" xfId="2699" xr:uid="{00000000-0005-0000-0000-0000BD390000}"/>
    <cellStyle name="Normal 5 5 2 8 3 2" xfId="6327" xr:uid="{00000000-0005-0000-0000-0000BE390000}"/>
    <cellStyle name="Normal 5 5 2 8 3 2 2" xfId="20839" xr:uid="{00000000-0005-0000-0000-0000BF390000}"/>
    <cellStyle name="Normal 5 5 2 8 3 2 3" xfId="13583" xr:uid="{00000000-0005-0000-0000-0000C0390000}"/>
    <cellStyle name="Normal 5 5 2 8 3 3" xfId="17211" xr:uid="{00000000-0005-0000-0000-0000C1390000}"/>
    <cellStyle name="Normal 5 5 2 8 3 4" xfId="9955" xr:uid="{00000000-0005-0000-0000-0000C2390000}"/>
    <cellStyle name="Normal 5 5 2 8 4" xfId="4513" xr:uid="{00000000-0005-0000-0000-0000C3390000}"/>
    <cellStyle name="Normal 5 5 2 8 4 2" xfId="19025" xr:uid="{00000000-0005-0000-0000-0000C4390000}"/>
    <cellStyle name="Normal 5 5 2 8 4 3" xfId="11769" xr:uid="{00000000-0005-0000-0000-0000C5390000}"/>
    <cellStyle name="Normal 5 5 2 8 5" xfId="15397" xr:uid="{00000000-0005-0000-0000-0000C6390000}"/>
    <cellStyle name="Normal 5 5 2 8 6" xfId="8141" xr:uid="{00000000-0005-0000-0000-0000C7390000}"/>
    <cellStyle name="Normal 5 5 2 9" xfId="965" xr:uid="{00000000-0005-0000-0000-0000C8390000}"/>
    <cellStyle name="Normal 5 5 2 9 2" xfId="2779" xr:uid="{00000000-0005-0000-0000-0000C9390000}"/>
    <cellStyle name="Normal 5 5 2 9 2 2" xfId="6407" xr:uid="{00000000-0005-0000-0000-0000CA390000}"/>
    <cellStyle name="Normal 5 5 2 9 2 2 2" xfId="20919" xr:uid="{00000000-0005-0000-0000-0000CB390000}"/>
    <cellStyle name="Normal 5 5 2 9 2 2 3" xfId="13663" xr:uid="{00000000-0005-0000-0000-0000CC390000}"/>
    <cellStyle name="Normal 5 5 2 9 2 3" xfId="17291" xr:uid="{00000000-0005-0000-0000-0000CD390000}"/>
    <cellStyle name="Normal 5 5 2 9 2 4" xfId="10035" xr:uid="{00000000-0005-0000-0000-0000CE390000}"/>
    <cellStyle name="Normal 5 5 2 9 3" xfId="4593" xr:uid="{00000000-0005-0000-0000-0000CF390000}"/>
    <cellStyle name="Normal 5 5 2 9 3 2" xfId="19105" xr:uid="{00000000-0005-0000-0000-0000D0390000}"/>
    <cellStyle name="Normal 5 5 2 9 3 3" xfId="11849" xr:uid="{00000000-0005-0000-0000-0000D1390000}"/>
    <cellStyle name="Normal 5 5 2 9 4" xfId="15477" xr:uid="{00000000-0005-0000-0000-0000D2390000}"/>
    <cellStyle name="Normal 5 5 2 9 5" xfId="8221" xr:uid="{00000000-0005-0000-0000-0000D3390000}"/>
    <cellStyle name="Normal 5 5 3" xfId="76" xr:uid="{00000000-0005-0000-0000-0000D4390000}"/>
    <cellStyle name="Normal 5 5 3 10" xfId="14591" xr:uid="{00000000-0005-0000-0000-0000D5390000}"/>
    <cellStyle name="Normal 5 5 3 11" xfId="7335" xr:uid="{00000000-0005-0000-0000-0000D6390000}"/>
    <cellStyle name="Normal 5 5 3 2" xfId="164" xr:uid="{00000000-0005-0000-0000-0000D7390000}"/>
    <cellStyle name="Normal 5 5 3 2 2" xfId="510" xr:uid="{00000000-0005-0000-0000-0000D8390000}"/>
    <cellStyle name="Normal 5 5 3 2 2 2" xfId="1418" xr:uid="{00000000-0005-0000-0000-0000D9390000}"/>
    <cellStyle name="Normal 5 5 3 2 2 2 2" xfId="3232" xr:uid="{00000000-0005-0000-0000-0000DA390000}"/>
    <cellStyle name="Normal 5 5 3 2 2 2 2 2" xfId="6860" xr:uid="{00000000-0005-0000-0000-0000DB390000}"/>
    <cellStyle name="Normal 5 5 3 2 2 2 2 2 2" xfId="21372" xr:uid="{00000000-0005-0000-0000-0000DC390000}"/>
    <cellStyle name="Normal 5 5 3 2 2 2 2 2 3" xfId="14116" xr:uid="{00000000-0005-0000-0000-0000DD390000}"/>
    <cellStyle name="Normal 5 5 3 2 2 2 2 3" xfId="17744" xr:uid="{00000000-0005-0000-0000-0000DE390000}"/>
    <cellStyle name="Normal 5 5 3 2 2 2 2 4" xfId="10488" xr:uid="{00000000-0005-0000-0000-0000DF390000}"/>
    <cellStyle name="Normal 5 5 3 2 2 2 3" xfId="5046" xr:uid="{00000000-0005-0000-0000-0000E0390000}"/>
    <cellStyle name="Normal 5 5 3 2 2 2 3 2" xfId="19558" xr:uid="{00000000-0005-0000-0000-0000E1390000}"/>
    <cellStyle name="Normal 5 5 3 2 2 2 3 3" xfId="12302" xr:uid="{00000000-0005-0000-0000-0000E2390000}"/>
    <cellStyle name="Normal 5 5 3 2 2 2 4" xfId="15930" xr:uid="{00000000-0005-0000-0000-0000E3390000}"/>
    <cellStyle name="Normal 5 5 3 2 2 2 5" xfId="8674" xr:uid="{00000000-0005-0000-0000-0000E4390000}"/>
    <cellStyle name="Normal 5 5 3 2 2 3" xfId="2325" xr:uid="{00000000-0005-0000-0000-0000E5390000}"/>
    <cellStyle name="Normal 5 5 3 2 2 3 2" xfId="5953" xr:uid="{00000000-0005-0000-0000-0000E6390000}"/>
    <cellStyle name="Normal 5 5 3 2 2 3 2 2" xfId="20465" xr:uid="{00000000-0005-0000-0000-0000E7390000}"/>
    <cellStyle name="Normal 5 5 3 2 2 3 2 3" xfId="13209" xr:uid="{00000000-0005-0000-0000-0000E8390000}"/>
    <cellStyle name="Normal 5 5 3 2 2 3 3" xfId="16837" xr:uid="{00000000-0005-0000-0000-0000E9390000}"/>
    <cellStyle name="Normal 5 5 3 2 2 3 4" xfId="9581" xr:uid="{00000000-0005-0000-0000-0000EA390000}"/>
    <cellStyle name="Normal 5 5 3 2 2 4" xfId="4139" xr:uid="{00000000-0005-0000-0000-0000EB390000}"/>
    <cellStyle name="Normal 5 5 3 2 2 4 2" xfId="18651" xr:uid="{00000000-0005-0000-0000-0000EC390000}"/>
    <cellStyle name="Normal 5 5 3 2 2 4 3" xfId="11395" xr:uid="{00000000-0005-0000-0000-0000ED390000}"/>
    <cellStyle name="Normal 5 5 3 2 2 5" xfId="15023" xr:uid="{00000000-0005-0000-0000-0000EE390000}"/>
    <cellStyle name="Normal 5 5 3 2 2 6" xfId="7767" xr:uid="{00000000-0005-0000-0000-0000EF390000}"/>
    <cellStyle name="Normal 5 5 3 2 3" xfId="1072" xr:uid="{00000000-0005-0000-0000-0000F0390000}"/>
    <cellStyle name="Normal 5 5 3 2 3 2" xfId="2886" xr:uid="{00000000-0005-0000-0000-0000F1390000}"/>
    <cellStyle name="Normal 5 5 3 2 3 2 2" xfId="6514" xr:uid="{00000000-0005-0000-0000-0000F2390000}"/>
    <cellStyle name="Normal 5 5 3 2 3 2 2 2" xfId="21026" xr:uid="{00000000-0005-0000-0000-0000F3390000}"/>
    <cellStyle name="Normal 5 5 3 2 3 2 2 3" xfId="13770" xr:uid="{00000000-0005-0000-0000-0000F4390000}"/>
    <cellStyle name="Normal 5 5 3 2 3 2 3" xfId="17398" xr:uid="{00000000-0005-0000-0000-0000F5390000}"/>
    <cellStyle name="Normal 5 5 3 2 3 2 4" xfId="10142" xr:uid="{00000000-0005-0000-0000-0000F6390000}"/>
    <cellStyle name="Normal 5 5 3 2 3 3" xfId="4700" xr:uid="{00000000-0005-0000-0000-0000F7390000}"/>
    <cellStyle name="Normal 5 5 3 2 3 3 2" xfId="19212" xr:uid="{00000000-0005-0000-0000-0000F8390000}"/>
    <cellStyle name="Normal 5 5 3 2 3 3 3" xfId="11956" xr:uid="{00000000-0005-0000-0000-0000F9390000}"/>
    <cellStyle name="Normal 5 5 3 2 3 4" xfId="15584" xr:uid="{00000000-0005-0000-0000-0000FA390000}"/>
    <cellStyle name="Normal 5 5 3 2 3 5" xfId="8328" xr:uid="{00000000-0005-0000-0000-0000FB390000}"/>
    <cellStyle name="Normal 5 5 3 2 4" xfId="1979" xr:uid="{00000000-0005-0000-0000-0000FC390000}"/>
    <cellStyle name="Normal 5 5 3 2 4 2" xfId="5607" xr:uid="{00000000-0005-0000-0000-0000FD390000}"/>
    <cellStyle name="Normal 5 5 3 2 4 2 2" xfId="20119" xr:uid="{00000000-0005-0000-0000-0000FE390000}"/>
    <cellStyle name="Normal 5 5 3 2 4 2 3" xfId="12863" xr:uid="{00000000-0005-0000-0000-0000FF390000}"/>
    <cellStyle name="Normal 5 5 3 2 4 3" xfId="16491" xr:uid="{00000000-0005-0000-0000-0000003A0000}"/>
    <cellStyle name="Normal 5 5 3 2 4 4" xfId="9235" xr:uid="{00000000-0005-0000-0000-0000013A0000}"/>
    <cellStyle name="Normal 5 5 3 2 5" xfId="3793" xr:uid="{00000000-0005-0000-0000-0000023A0000}"/>
    <cellStyle name="Normal 5 5 3 2 5 2" xfId="18305" xr:uid="{00000000-0005-0000-0000-0000033A0000}"/>
    <cellStyle name="Normal 5 5 3 2 5 3" xfId="11049" xr:uid="{00000000-0005-0000-0000-0000043A0000}"/>
    <cellStyle name="Normal 5 5 3 2 6" xfId="14677" xr:uid="{00000000-0005-0000-0000-0000053A0000}"/>
    <cellStyle name="Normal 5 5 3 2 7" xfId="7421" xr:uid="{00000000-0005-0000-0000-0000063A0000}"/>
    <cellStyle name="Normal 5 5 3 3" xfId="294" xr:uid="{00000000-0005-0000-0000-0000073A0000}"/>
    <cellStyle name="Normal 5 5 3 3 2" xfId="640" xr:uid="{00000000-0005-0000-0000-0000083A0000}"/>
    <cellStyle name="Normal 5 5 3 3 2 2" xfId="1548" xr:uid="{00000000-0005-0000-0000-0000093A0000}"/>
    <cellStyle name="Normal 5 5 3 3 2 2 2" xfId="3362" xr:uid="{00000000-0005-0000-0000-00000A3A0000}"/>
    <cellStyle name="Normal 5 5 3 3 2 2 2 2" xfId="6990" xr:uid="{00000000-0005-0000-0000-00000B3A0000}"/>
    <cellStyle name="Normal 5 5 3 3 2 2 2 2 2" xfId="21502" xr:uid="{00000000-0005-0000-0000-00000C3A0000}"/>
    <cellStyle name="Normal 5 5 3 3 2 2 2 2 3" xfId="14246" xr:uid="{00000000-0005-0000-0000-00000D3A0000}"/>
    <cellStyle name="Normal 5 5 3 3 2 2 2 3" xfId="17874" xr:uid="{00000000-0005-0000-0000-00000E3A0000}"/>
    <cellStyle name="Normal 5 5 3 3 2 2 2 4" xfId="10618" xr:uid="{00000000-0005-0000-0000-00000F3A0000}"/>
    <cellStyle name="Normal 5 5 3 3 2 2 3" xfId="5176" xr:uid="{00000000-0005-0000-0000-0000103A0000}"/>
    <cellStyle name="Normal 5 5 3 3 2 2 3 2" xfId="19688" xr:uid="{00000000-0005-0000-0000-0000113A0000}"/>
    <cellStyle name="Normal 5 5 3 3 2 2 3 3" xfId="12432" xr:uid="{00000000-0005-0000-0000-0000123A0000}"/>
    <cellStyle name="Normal 5 5 3 3 2 2 4" xfId="16060" xr:uid="{00000000-0005-0000-0000-0000133A0000}"/>
    <cellStyle name="Normal 5 5 3 3 2 2 5" xfId="8804" xr:uid="{00000000-0005-0000-0000-0000143A0000}"/>
    <cellStyle name="Normal 5 5 3 3 2 3" xfId="2455" xr:uid="{00000000-0005-0000-0000-0000153A0000}"/>
    <cellStyle name="Normal 5 5 3 3 2 3 2" xfId="6083" xr:uid="{00000000-0005-0000-0000-0000163A0000}"/>
    <cellStyle name="Normal 5 5 3 3 2 3 2 2" xfId="20595" xr:uid="{00000000-0005-0000-0000-0000173A0000}"/>
    <cellStyle name="Normal 5 5 3 3 2 3 2 3" xfId="13339" xr:uid="{00000000-0005-0000-0000-0000183A0000}"/>
    <cellStyle name="Normal 5 5 3 3 2 3 3" xfId="16967" xr:uid="{00000000-0005-0000-0000-0000193A0000}"/>
    <cellStyle name="Normal 5 5 3 3 2 3 4" xfId="9711" xr:uid="{00000000-0005-0000-0000-00001A3A0000}"/>
    <cellStyle name="Normal 5 5 3 3 2 4" xfId="4269" xr:uid="{00000000-0005-0000-0000-00001B3A0000}"/>
    <cellStyle name="Normal 5 5 3 3 2 4 2" xfId="18781" xr:uid="{00000000-0005-0000-0000-00001C3A0000}"/>
    <cellStyle name="Normal 5 5 3 3 2 4 3" xfId="11525" xr:uid="{00000000-0005-0000-0000-00001D3A0000}"/>
    <cellStyle name="Normal 5 5 3 3 2 5" xfId="15153" xr:uid="{00000000-0005-0000-0000-00001E3A0000}"/>
    <cellStyle name="Normal 5 5 3 3 2 6" xfId="7897" xr:uid="{00000000-0005-0000-0000-00001F3A0000}"/>
    <cellStyle name="Normal 5 5 3 3 3" xfId="1202" xr:uid="{00000000-0005-0000-0000-0000203A0000}"/>
    <cellStyle name="Normal 5 5 3 3 3 2" xfId="3016" xr:uid="{00000000-0005-0000-0000-0000213A0000}"/>
    <cellStyle name="Normal 5 5 3 3 3 2 2" xfId="6644" xr:uid="{00000000-0005-0000-0000-0000223A0000}"/>
    <cellStyle name="Normal 5 5 3 3 3 2 2 2" xfId="21156" xr:uid="{00000000-0005-0000-0000-0000233A0000}"/>
    <cellStyle name="Normal 5 5 3 3 3 2 2 3" xfId="13900" xr:uid="{00000000-0005-0000-0000-0000243A0000}"/>
    <cellStyle name="Normal 5 5 3 3 3 2 3" xfId="17528" xr:uid="{00000000-0005-0000-0000-0000253A0000}"/>
    <cellStyle name="Normal 5 5 3 3 3 2 4" xfId="10272" xr:uid="{00000000-0005-0000-0000-0000263A0000}"/>
    <cellStyle name="Normal 5 5 3 3 3 3" xfId="4830" xr:uid="{00000000-0005-0000-0000-0000273A0000}"/>
    <cellStyle name="Normal 5 5 3 3 3 3 2" xfId="19342" xr:uid="{00000000-0005-0000-0000-0000283A0000}"/>
    <cellStyle name="Normal 5 5 3 3 3 3 3" xfId="12086" xr:uid="{00000000-0005-0000-0000-0000293A0000}"/>
    <cellStyle name="Normal 5 5 3 3 3 4" xfId="15714" xr:uid="{00000000-0005-0000-0000-00002A3A0000}"/>
    <cellStyle name="Normal 5 5 3 3 3 5" xfId="8458" xr:uid="{00000000-0005-0000-0000-00002B3A0000}"/>
    <cellStyle name="Normal 5 5 3 3 4" xfId="2109" xr:uid="{00000000-0005-0000-0000-00002C3A0000}"/>
    <cellStyle name="Normal 5 5 3 3 4 2" xfId="5737" xr:uid="{00000000-0005-0000-0000-00002D3A0000}"/>
    <cellStyle name="Normal 5 5 3 3 4 2 2" xfId="20249" xr:uid="{00000000-0005-0000-0000-00002E3A0000}"/>
    <cellStyle name="Normal 5 5 3 3 4 2 3" xfId="12993" xr:uid="{00000000-0005-0000-0000-00002F3A0000}"/>
    <cellStyle name="Normal 5 5 3 3 4 3" xfId="16621" xr:uid="{00000000-0005-0000-0000-0000303A0000}"/>
    <cellStyle name="Normal 5 5 3 3 4 4" xfId="9365" xr:uid="{00000000-0005-0000-0000-0000313A0000}"/>
    <cellStyle name="Normal 5 5 3 3 5" xfId="3923" xr:uid="{00000000-0005-0000-0000-0000323A0000}"/>
    <cellStyle name="Normal 5 5 3 3 5 2" xfId="18435" xr:uid="{00000000-0005-0000-0000-0000333A0000}"/>
    <cellStyle name="Normal 5 5 3 3 5 3" xfId="11179" xr:uid="{00000000-0005-0000-0000-0000343A0000}"/>
    <cellStyle name="Normal 5 5 3 3 6" xfId="14807" xr:uid="{00000000-0005-0000-0000-0000353A0000}"/>
    <cellStyle name="Normal 5 5 3 3 7" xfId="7551" xr:uid="{00000000-0005-0000-0000-0000363A0000}"/>
    <cellStyle name="Normal 5 5 3 4" xfId="770" xr:uid="{00000000-0005-0000-0000-0000373A0000}"/>
    <cellStyle name="Normal 5 5 3 4 2" xfId="1678" xr:uid="{00000000-0005-0000-0000-0000383A0000}"/>
    <cellStyle name="Normal 5 5 3 4 2 2" xfId="3492" xr:uid="{00000000-0005-0000-0000-0000393A0000}"/>
    <cellStyle name="Normal 5 5 3 4 2 2 2" xfId="7120" xr:uid="{00000000-0005-0000-0000-00003A3A0000}"/>
    <cellStyle name="Normal 5 5 3 4 2 2 2 2" xfId="21632" xr:uid="{00000000-0005-0000-0000-00003B3A0000}"/>
    <cellStyle name="Normal 5 5 3 4 2 2 2 3" xfId="14376" xr:uid="{00000000-0005-0000-0000-00003C3A0000}"/>
    <cellStyle name="Normal 5 5 3 4 2 2 3" xfId="18004" xr:uid="{00000000-0005-0000-0000-00003D3A0000}"/>
    <cellStyle name="Normal 5 5 3 4 2 2 4" xfId="10748" xr:uid="{00000000-0005-0000-0000-00003E3A0000}"/>
    <cellStyle name="Normal 5 5 3 4 2 3" xfId="5306" xr:uid="{00000000-0005-0000-0000-00003F3A0000}"/>
    <cellStyle name="Normal 5 5 3 4 2 3 2" xfId="19818" xr:uid="{00000000-0005-0000-0000-0000403A0000}"/>
    <cellStyle name="Normal 5 5 3 4 2 3 3" xfId="12562" xr:uid="{00000000-0005-0000-0000-0000413A0000}"/>
    <cellStyle name="Normal 5 5 3 4 2 4" xfId="16190" xr:uid="{00000000-0005-0000-0000-0000423A0000}"/>
    <cellStyle name="Normal 5 5 3 4 2 5" xfId="8934" xr:uid="{00000000-0005-0000-0000-0000433A0000}"/>
    <cellStyle name="Normal 5 5 3 4 3" xfId="2585" xr:uid="{00000000-0005-0000-0000-0000443A0000}"/>
    <cellStyle name="Normal 5 5 3 4 3 2" xfId="6213" xr:uid="{00000000-0005-0000-0000-0000453A0000}"/>
    <cellStyle name="Normal 5 5 3 4 3 2 2" xfId="20725" xr:uid="{00000000-0005-0000-0000-0000463A0000}"/>
    <cellStyle name="Normal 5 5 3 4 3 2 3" xfId="13469" xr:uid="{00000000-0005-0000-0000-0000473A0000}"/>
    <cellStyle name="Normal 5 5 3 4 3 3" xfId="17097" xr:uid="{00000000-0005-0000-0000-0000483A0000}"/>
    <cellStyle name="Normal 5 5 3 4 3 4" xfId="9841" xr:uid="{00000000-0005-0000-0000-0000493A0000}"/>
    <cellStyle name="Normal 5 5 3 4 4" xfId="4399" xr:uid="{00000000-0005-0000-0000-00004A3A0000}"/>
    <cellStyle name="Normal 5 5 3 4 4 2" xfId="18911" xr:uid="{00000000-0005-0000-0000-00004B3A0000}"/>
    <cellStyle name="Normal 5 5 3 4 4 3" xfId="11655" xr:uid="{00000000-0005-0000-0000-00004C3A0000}"/>
    <cellStyle name="Normal 5 5 3 4 5" xfId="15283" xr:uid="{00000000-0005-0000-0000-00004D3A0000}"/>
    <cellStyle name="Normal 5 5 3 4 6" xfId="8027" xr:uid="{00000000-0005-0000-0000-00004E3A0000}"/>
    <cellStyle name="Normal 5 5 3 5" xfId="424" xr:uid="{00000000-0005-0000-0000-00004F3A0000}"/>
    <cellStyle name="Normal 5 5 3 5 2" xfId="1332" xr:uid="{00000000-0005-0000-0000-0000503A0000}"/>
    <cellStyle name="Normal 5 5 3 5 2 2" xfId="3146" xr:uid="{00000000-0005-0000-0000-0000513A0000}"/>
    <cellStyle name="Normal 5 5 3 5 2 2 2" xfId="6774" xr:uid="{00000000-0005-0000-0000-0000523A0000}"/>
    <cellStyle name="Normal 5 5 3 5 2 2 2 2" xfId="21286" xr:uid="{00000000-0005-0000-0000-0000533A0000}"/>
    <cellStyle name="Normal 5 5 3 5 2 2 2 3" xfId="14030" xr:uid="{00000000-0005-0000-0000-0000543A0000}"/>
    <cellStyle name="Normal 5 5 3 5 2 2 3" xfId="17658" xr:uid="{00000000-0005-0000-0000-0000553A0000}"/>
    <cellStyle name="Normal 5 5 3 5 2 2 4" xfId="10402" xr:uid="{00000000-0005-0000-0000-0000563A0000}"/>
    <cellStyle name="Normal 5 5 3 5 2 3" xfId="4960" xr:uid="{00000000-0005-0000-0000-0000573A0000}"/>
    <cellStyle name="Normal 5 5 3 5 2 3 2" xfId="19472" xr:uid="{00000000-0005-0000-0000-0000583A0000}"/>
    <cellStyle name="Normal 5 5 3 5 2 3 3" xfId="12216" xr:uid="{00000000-0005-0000-0000-0000593A0000}"/>
    <cellStyle name="Normal 5 5 3 5 2 4" xfId="15844" xr:uid="{00000000-0005-0000-0000-00005A3A0000}"/>
    <cellStyle name="Normal 5 5 3 5 2 5" xfId="8588" xr:uid="{00000000-0005-0000-0000-00005B3A0000}"/>
    <cellStyle name="Normal 5 5 3 5 3" xfId="2239" xr:uid="{00000000-0005-0000-0000-00005C3A0000}"/>
    <cellStyle name="Normal 5 5 3 5 3 2" xfId="5867" xr:uid="{00000000-0005-0000-0000-00005D3A0000}"/>
    <cellStyle name="Normal 5 5 3 5 3 2 2" xfId="20379" xr:uid="{00000000-0005-0000-0000-00005E3A0000}"/>
    <cellStyle name="Normal 5 5 3 5 3 2 3" xfId="13123" xr:uid="{00000000-0005-0000-0000-00005F3A0000}"/>
    <cellStyle name="Normal 5 5 3 5 3 3" xfId="16751" xr:uid="{00000000-0005-0000-0000-0000603A0000}"/>
    <cellStyle name="Normal 5 5 3 5 3 4" xfId="9495" xr:uid="{00000000-0005-0000-0000-0000613A0000}"/>
    <cellStyle name="Normal 5 5 3 5 4" xfId="4053" xr:uid="{00000000-0005-0000-0000-0000623A0000}"/>
    <cellStyle name="Normal 5 5 3 5 4 2" xfId="18565" xr:uid="{00000000-0005-0000-0000-0000633A0000}"/>
    <cellStyle name="Normal 5 5 3 5 4 3" xfId="11309" xr:uid="{00000000-0005-0000-0000-0000643A0000}"/>
    <cellStyle name="Normal 5 5 3 5 5" xfId="14937" xr:uid="{00000000-0005-0000-0000-0000653A0000}"/>
    <cellStyle name="Normal 5 5 3 5 6" xfId="7681" xr:uid="{00000000-0005-0000-0000-0000663A0000}"/>
    <cellStyle name="Normal 5 5 3 6" xfId="902" xr:uid="{00000000-0005-0000-0000-0000673A0000}"/>
    <cellStyle name="Normal 5 5 3 6 2" xfId="1809" xr:uid="{00000000-0005-0000-0000-0000683A0000}"/>
    <cellStyle name="Normal 5 5 3 6 2 2" xfId="3623" xr:uid="{00000000-0005-0000-0000-0000693A0000}"/>
    <cellStyle name="Normal 5 5 3 6 2 2 2" xfId="7251" xr:uid="{00000000-0005-0000-0000-00006A3A0000}"/>
    <cellStyle name="Normal 5 5 3 6 2 2 2 2" xfId="21763" xr:uid="{00000000-0005-0000-0000-00006B3A0000}"/>
    <cellStyle name="Normal 5 5 3 6 2 2 2 3" xfId="14507" xr:uid="{00000000-0005-0000-0000-00006C3A0000}"/>
    <cellStyle name="Normal 5 5 3 6 2 2 3" xfId="18135" xr:uid="{00000000-0005-0000-0000-00006D3A0000}"/>
    <cellStyle name="Normal 5 5 3 6 2 2 4" xfId="10879" xr:uid="{00000000-0005-0000-0000-00006E3A0000}"/>
    <cellStyle name="Normal 5 5 3 6 2 3" xfId="5437" xr:uid="{00000000-0005-0000-0000-00006F3A0000}"/>
    <cellStyle name="Normal 5 5 3 6 2 3 2" xfId="19949" xr:uid="{00000000-0005-0000-0000-0000703A0000}"/>
    <cellStyle name="Normal 5 5 3 6 2 3 3" xfId="12693" xr:uid="{00000000-0005-0000-0000-0000713A0000}"/>
    <cellStyle name="Normal 5 5 3 6 2 4" xfId="16321" xr:uid="{00000000-0005-0000-0000-0000723A0000}"/>
    <cellStyle name="Normal 5 5 3 6 2 5" xfId="9065" xr:uid="{00000000-0005-0000-0000-0000733A0000}"/>
    <cellStyle name="Normal 5 5 3 6 3" xfId="2716" xr:uid="{00000000-0005-0000-0000-0000743A0000}"/>
    <cellStyle name="Normal 5 5 3 6 3 2" xfId="6344" xr:uid="{00000000-0005-0000-0000-0000753A0000}"/>
    <cellStyle name="Normal 5 5 3 6 3 2 2" xfId="20856" xr:uid="{00000000-0005-0000-0000-0000763A0000}"/>
    <cellStyle name="Normal 5 5 3 6 3 2 3" xfId="13600" xr:uid="{00000000-0005-0000-0000-0000773A0000}"/>
    <cellStyle name="Normal 5 5 3 6 3 3" xfId="17228" xr:uid="{00000000-0005-0000-0000-0000783A0000}"/>
    <cellStyle name="Normal 5 5 3 6 3 4" xfId="9972" xr:uid="{00000000-0005-0000-0000-0000793A0000}"/>
    <cellStyle name="Normal 5 5 3 6 4" xfId="4530" xr:uid="{00000000-0005-0000-0000-00007A3A0000}"/>
    <cellStyle name="Normal 5 5 3 6 4 2" xfId="19042" xr:uid="{00000000-0005-0000-0000-00007B3A0000}"/>
    <cellStyle name="Normal 5 5 3 6 4 3" xfId="11786" xr:uid="{00000000-0005-0000-0000-00007C3A0000}"/>
    <cellStyle name="Normal 5 5 3 6 5" xfId="15414" xr:uid="{00000000-0005-0000-0000-00007D3A0000}"/>
    <cellStyle name="Normal 5 5 3 6 6" xfId="8158" xr:uid="{00000000-0005-0000-0000-00007E3A0000}"/>
    <cellStyle name="Normal 5 5 3 7" xfId="986" xr:uid="{00000000-0005-0000-0000-00007F3A0000}"/>
    <cellStyle name="Normal 5 5 3 7 2" xfId="2800" xr:uid="{00000000-0005-0000-0000-0000803A0000}"/>
    <cellStyle name="Normal 5 5 3 7 2 2" xfId="6428" xr:uid="{00000000-0005-0000-0000-0000813A0000}"/>
    <cellStyle name="Normal 5 5 3 7 2 2 2" xfId="20940" xr:uid="{00000000-0005-0000-0000-0000823A0000}"/>
    <cellStyle name="Normal 5 5 3 7 2 2 3" xfId="13684" xr:uid="{00000000-0005-0000-0000-0000833A0000}"/>
    <cellStyle name="Normal 5 5 3 7 2 3" xfId="17312" xr:uid="{00000000-0005-0000-0000-0000843A0000}"/>
    <cellStyle name="Normal 5 5 3 7 2 4" xfId="10056" xr:uid="{00000000-0005-0000-0000-0000853A0000}"/>
    <cellStyle name="Normal 5 5 3 7 3" xfId="4614" xr:uid="{00000000-0005-0000-0000-0000863A0000}"/>
    <cellStyle name="Normal 5 5 3 7 3 2" xfId="19126" xr:uid="{00000000-0005-0000-0000-0000873A0000}"/>
    <cellStyle name="Normal 5 5 3 7 3 3" xfId="11870" xr:uid="{00000000-0005-0000-0000-0000883A0000}"/>
    <cellStyle name="Normal 5 5 3 7 4" xfId="15498" xr:uid="{00000000-0005-0000-0000-0000893A0000}"/>
    <cellStyle name="Normal 5 5 3 7 5" xfId="8242" xr:uid="{00000000-0005-0000-0000-00008A3A0000}"/>
    <cellStyle name="Normal 5 5 3 8" xfId="1893" xr:uid="{00000000-0005-0000-0000-00008B3A0000}"/>
    <cellStyle name="Normal 5 5 3 8 2" xfId="5521" xr:uid="{00000000-0005-0000-0000-00008C3A0000}"/>
    <cellStyle name="Normal 5 5 3 8 2 2" xfId="20033" xr:uid="{00000000-0005-0000-0000-00008D3A0000}"/>
    <cellStyle name="Normal 5 5 3 8 2 3" xfId="12777" xr:uid="{00000000-0005-0000-0000-00008E3A0000}"/>
    <cellStyle name="Normal 5 5 3 8 3" xfId="16405" xr:uid="{00000000-0005-0000-0000-00008F3A0000}"/>
    <cellStyle name="Normal 5 5 3 8 4" xfId="9149" xr:uid="{00000000-0005-0000-0000-0000903A0000}"/>
    <cellStyle name="Normal 5 5 3 9" xfId="3707" xr:uid="{00000000-0005-0000-0000-0000913A0000}"/>
    <cellStyle name="Normal 5 5 3 9 2" xfId="18219" xr:uid="{00000000-0005-0000-0000-0000923A0000}"/>
    <cellStyle name="Normal 5 5 3 9 3" xfId="10963" xr:uid="{00000000-0005-0000-0000-0000933A0000}"/>
    <cellStyle name="Normal 5 5 4" xfId="208" xr:uid="{00000000-0005-0000-0000-0000943A0000}"/>
    <cellStyle name="Normal 5 5 4 2" xfId="338" xr:uid="{00000000-0005-0000-0000-0000953A0000}"/>
    <cellStyle name="Normal 5 5 4 2 2" xfId="684" xr:uid="{00000000-0005-0000-0000-0000963A0000}"/>
    <cellStyle name="Normal 5 5 4 2 2 2" xfId="1592" xr:uid="{00000000-0005-0000-0000-0000973A0000}"/>
    <cellStyle name="Normal 5 5 4 2 2 2 2" xfId="3406" xr:uid="{00000000-0005-0000-0000-0000983A0000}"/>
    <cellStyle name="Normal 5 5 4 2 2 2 2 2" xfId="7034" xr:uid="{00000000-0005-0000-0000-0000993A0000}"/>
    <cellStyle name="Normal 5 5 4 2 2 2 2 2 2" xfId="21546" xr:uid="{00000000-0005-0000-0000-00009A3A0000}"/>
    <cellStyle name="Normal 5 5 4 2 2 2 2 2 3" xfId="14290" xr:uid="{00000000-0005-0000-0000-00009B3A0000}"/>
    <cellStyle name="Normal 5 5 4 2 2 2 2 3" xfId="17918" xr:uid="{00000000-0005-0000-0000-00009C3A0000}"/>
    <cellStyle name="Normal 5 5 4 2 2 2 2 4" xfId="10662" xr:uid="{00000000-0005-0000-0000-00009D3A0000}"/>
    <cellStyle name="Normal 5 5 4 2 2 2 3" xfId="5220" xr:uid="{00000000-0005-0000-0000-00009E3A0000}"/>
    <cellStyle name="Normal 5 5 4 2 2 2 3 2" xfId="19732" xr:uid="{00000000-0005-0000-0000-00009F3A0000}"/>
    <cellStyle name="Normal 5 5 4 2 2 2 3 3" xfId="12476" xr:uid="{00000000-0005-0000-0000-0000A03A0000}"/>
    <cellStyle name="Normal 5 5 4 2 2 2 4" xfId="16104" xr:uid="{00000000-0005-0000-0000-0000A13A0000}"/>
    <cellStyle name="Normal 5 5 4 2 2 2 5" xfId="8848" xr:uid="{00000000-0005-0000-0000-0000A23A0000}"/>
    <cellStyle name="Normal 5 5 4 2 2 3" xfId="2499" xr:uid="{00000000-0005-0000-0000-0000A33A0000}"/>
    <cellStyle name="Normal 5 5 4 2 2 3 2" xfId="6127" xr:uid="{00000000-0005-0000-0000-0000A43A0000}"/>
    <cellStyle name="Normal 5 5 4 2 2 3 2 2" xfId="20639" xr:uid="{00000000-0005-0000-0000-0000A53A0000}"/>
    <cellStyle name="Normal 5 5 4 2 2 3 2 3" xfId="13383" xr:uid="{00000000-0005-0000-0000-0000A63A0000}"/>
    <cellStyle name="Normal 5 5 4 2 2 3 3" xfId="17011" xr:uid="{00000000-0005-0000-0000-0000A73A0000}"/>
    <cellStyle name="Normal 5 5 4 2 2 3 4" xfId="9755" xr:uid="{00000000-0005-0000-0000-0000A83A0000}"/>
    <cellStyle name="Normal 5 5 4 2 2 4" xfId="4313" xr:uid="{00000000-0005-0000-0000-0000A93A0000}"/>
    <cellStyle name="Normal 5 5 4 2 2 4 2" xfId="18825" xr:uid="{00000000-0005-0000-0000-0000AA3A0000}"/>
    <cellStyle name="Normal 5 5 4 2 2 4 3" xfId="11569" xr:uid="{00000000-0005-0000-0000-0000AB3A0000}"/>
    <cellStyle name="Normal 5 5 4 2 2 5" xfId="15197" xr:uid="{00000000-0005-0000-0000-0000AC3A0000}"/>
    <cellStyle name="Normal 5 5 4 2 2 6" xfId="7941" xr:uid="{00000000-0005-0000-0000-0000AD3A0000}"/>
    <cellStyle name="Normal 5 5 4 2 3" xfId="1246" xr:uid="{00000000-0005-0000-0000-0000AE3A0000}"/>
    <cellStyle name="Normal 5 5 4 2 3 2" xfId="3060" xr:uid="{00000000-0005-0000-0000-0000AF3A0000}"/>
    <cellStyle name="Normal 5 5 4 2 3 2 2" xfId="6688" xr:uid="{00000000-0005-0000-0000-0000B03A0000}"/>
    <cellStyle name="Normal 5 5 4 2 3 2 2 2" xfId="21200" xr:uid="{00000000-0005-0000-0000-0000B13A0000}"/>
    <cellStyle name="Normal 5 5 4 2 3 2 2 3" xfId="13944" xr:uid="{00000000-0005-0000-0000-0000B23A0000}"/>
    <cellStyle name="Normal 5 5 4 2 3 2 3" xfId="17572" xr:uid="{00000000-0005-0000-0000-0000B33A0000}"/>
    <cellStyle name="Normal 5 5 4 2 3 2 4" xfId="10316" xr:uid="{00000000-0005-0000-0000-0000B43A0000}"/>
    <cellStyle name="Normal 5 5 4 2 3 3" xfId="4874" xr:uid="{00000000-0005-0000-0000-0000B53A0000}"/>
    <cellStyle name="Normal 5 5 4 2 3 3 2" xfId="19386" xr:uid="{00000000-0005-0000-0000-0000B63A0000}"/>
    <cellStyle name="Normal 5 5 4 2 3 3 3" xfId="12130" xr:uid="{00000000-0005-0000-0000-0000B73A0000}"/>
    <cellStyle name="Normal 5 5 4 2 3 4" xfId="15758" xr:uid="{00000000-0005-0000-0000-0000B83A0000}"/>
    <cellStyle name="Normal 5 5 4 2 3 5" xfId="8502" xr:uid="{00000000-0005-0000-0000-0000B93A0000}"/>
    <cellStyle name="Normal 5 5 4 2 4" xfId="2153" xr:uid="{00000000-0005-0000-0000-0000BA3A0000}"/>
    <cellStyle name="Normal 5 5 4 2 4 2" xfId="5781" xr:uid="{00000000-0005-0000-0000-0000BB3A0000}"/>
    <cellStyle name="Normal 5 5 4 2 4 2 2" xfId="20293" xr:uid="{00000000-0005-0000-0000-0000BC3A0000}"/>
    <cellStyle name="Normal 5 5 4 2 4 2 3" xfId="13037" xr:uid="{00000000-0005-0000-0000-0000BD3A0000}"/>
    <cellStyle name="Normal 5 5 4 2 4 3" xfId="16665" xr:uid="{00000000-0005-0000-0000-0000BE3A0000}"/>
    <cellStyle name="Normal 5 5 4 2 4 4" xfId="9409" xr:uid="{00000000-0005-0000-0000-0000BF3A0000}"/>
    <cellStyle name="Normal 5 5 4 2 5" xfId="3967" xr:uid="{00000000-0005-0000-0000-0000C03A0000}"/>
    <cellStyle name="Normal 5 5 4 2 5 2" xfId="18479" xr:uid="{00000000-0005-0000-0000-0000C13A0000}"/>
    <cellStyle name="Normal 5 5 4 2 5 3" xfId="11223" xr:uid="{00000000-0005-0000-0000-0000C23A0000}"/>
    <cellStyle name="Normal 5 5 4 2 6" xfId="14851" xr:uid="{00000000-0005-0000-0000-0000C33A0000}"/>
    <cellStyle name="Normal 5 5 4 2 7" xfId="7595" xr:uid="{00000000-0005-0000-0000-0000C43A0000}"/>
    <cellStyle name="Normal 5 5 4 3" xfId="814" xr:uid="{00000000-0005-0000-0000-0000C53A0000}"/>
    <cellStyle name="Normal 5 5 4 3 2" xfId="1722" xr:uid="{00000000-0005-0000-0000-0000C63A0000}"/>
    <cellStyle name="Normal 5 5 4 3 2 2" xfId="3536" xr:uid="{00000000-0005-0000-0000-0000C73A0000}"/>
    <cellStyle name="Normal 5 5 4 3 2 2 2" xfId="7164" xr:uid="{00000000-0005-0000-0000-0000C83A0000}"/>
    <cellStyle name="Normal 5 5 4 3 2 2 2 2" xfId="21676" xr:uid="{00000000-0005-0000-0000-0000C93A0000}"/>
    <cellStyle name="Normal 5 5 4 3 2 2 2 3" xfId="14420" xr:uid="{00000000-0005-0000-0000-0000CA3A0000}"/>
    <cellStyle name="Normal 5 5 4 3 2 2 3" xfId="18048" xr:uid="{00000000-0005-0000-0000-0000CB3A0000}"/>
    <cellStyle name="Normal 5 5 4 3 2 2 4" xfId="10792" xr:uid="{00000000-0005-0000-0000-0000CC3A0000}"/>
    <cellStyle name="Normal 5 5 4 3 2 3" xfId="5350" xr:uid="{00000000-0005-0000-0000-0000CD3A0000}"/>
    <cellStyle name="Normal 5 5 4 3 2 3 2" xfId="19862" xr:uid="{00000000-0005-0000-0000-0000CE3A0000}"/>
    <cellStyle name="Normal 5 5 4 3 2 3 3" xfId="12606" xr:uid="{00000000-0005-0000-0000-0000CF3A0000}"/>
    <cellStyle name="Normal 5 5 4 3 2 4" xfId="16234" xr:uid="{00000000-0005-0000-0000-0000D03A0000}"/>
    <cellStyle name="Normal 5 5 4 3 2 5" xfId="8978" xr:uid="{00000000-0005-0000-0000-0000D13A0000}"/>
    <cellStyle name="Normal 5 5 4 3 3" xfId="2629" xr:uid="{00000000-0005-0000-0000-0000D23A0000}"/>
    <cellStyle name="Normal 5 5 4 3 3 2" xfId="6257" xr:uid="{00000000-0005-0000-0000-0000D33A0000}"/>
    <cellStyle name="Normal 5 5 4 3 3 2 2" xfId="20769" xr:uid="{00000000-0005-0000-0000-0000D43A0000}"/>
    <cellStyle name="Normal 5 5 4 3 3 2 3" xfId="13513" xr:uid="{00000000-0005-0000-0000-0000D53A0000}"/>
    <cellStyle name="Normal 5 5 4 3 3 3" xfId="17141" xr:uid="{00000000-0005-0000-0000-0000D63A0000}"/>
    <cellStyle name="Normal 5 5 4 3 3 4" xfId="9885" xr:uid="{00000000-0005-0000-0000-0000D73A0000}"/>
    <cellStyle name="Normal 5 5 4 3 4" xfId="4443" xr:uid="{00000000-0005-0000-0000-0000D83A0000}"/>
    <cellStyle name="Normal 5 5 4 3 4 2" xfId="18955" xr:uid="{00000000-0005-0000-0000-0000D93A0000}"/>
    <cellStyle name="Normal 5 5 4 3 4 3" xfId="11699" xr:uid="{00000000-0005-0000-0000-0000DA3A0000}"/>
    <cellStyle name="Normal 5 5 4 3 5" xfId="15327" xr:uid="{00000000-0005-0000-0000-0000DB3A0000}"/>
    <cellStyle name="Normal 5 5 4 3 6" xfId="8071" xr:uid="{00000000-0005-0000-0000-0000DC3A0000}"/>
    <cellStyle name="Normal 5 5 4 4" xfId="554" xr:uid="{00000000-0005-0000-0000-0000DD3A0000}"/>
    <cellStyle name="Normal 5 5 4 4 2" xfId="1462" xr:uid="{00000000-0005-0000-0000-0000DE3A0000}"/>
    <cellStyle name="Normal 5 5 4 4 2 2" xfId="3276" xr:uid="{00000000-0005-0000-0000-0000DF3A0000}"/>
    <cellStyle name="Normal 5 5 4 4 2 2 2" xfId="6904" xr:uid="{00000000-0005-0000-0000-0000E03A0000}"/>
    <cellStyle name="Normal 5 5 4 4 2 2 2 2" xfId="21416" xr:uid="{00000000-0005-0000-0000-0000E13A0000}"/>
    <cellStyle name="Normal 5 5 4 4 2 2 2 3" xfId="14160" xr:uid="{00000000-0005-0000-0000-0000E23A0000}"/>
    <cellStyle name="Normal 5 5 4 4 2 2 3" xfId="17788" xr:uid="{00000000-0005-0000-0000-0000E33A0000}"/>
    <cellStyle name="Normal 5 5 4 4 2 2 4" xfId="10532" xr:uid="{00000000-0005-0000-0000-0000E43A0000}"/>
    <cellStyle name="Normal 5 5 4 4 2 3" xfId="5090" xr:uid="{00000000-0005-0000-0000-0000E53A0000}"/>
    <cellStyle name="Normal 5 5 4 4 2 3 2" xfId="19602" xr:uid="{00000000-0005-0000-0000-0000E63A0000}"/>
    <cellStyle name="Normal 5 5 4 4 2 3 3" xfId="12346" xr:uid="{00000000-0005-0000-0000-0000E73A0000}"/>
    <cellStyle name="Normal 5 5 4 4 2 4" xfId="15974" xr:uid="{00000000-0005-0000-0000-0000E83A0000}"/>
    <cellStyle name="Normal 5 5 4 4 2 5" xfId="8718" xr:uid="{00000000-0005-0000-0000-0000E93A0000}"/>
    <cellStyle name="Normal 5 5 4 4 3" xfId="2369" xr:uid="{00000000-0005-0000-0000-0000EA3A0000}"/>
    <cellStyle name="Normal 5 5 4 4 3 2" xfId="5997" xr:uid="{00000000-0005-0000-0000-0000EB3A0000}"/>
    <cellStyle name="Normal 5 5 4 4 3 2 2" xfId="20509" xr:uid="{00000000-0005-0000-0000-0000EC3A0000}"/>
    <cellStyle name="Normal 5 5 4 4 3 2 3" xfId="13253" xr:uid="{00000000-0005-0000-0000-0000ED3A0000}"/>
    <cellStyle name="Normal 5 5 4 4 3 3" xfId="16881" xr:uid="{00000000-0005-0000-0000-0000EE3A0000}"/>
    <cellStyle name="Normal 5 5 4 4 3 4" xfId="9625" xr:uid="{00000000-0005-0000-0000-0000EF3A0000}"/>
    <cellStyle name="Normal 5 5 4 4 4" xfId="4183" xr:uid="{00000000-0005-0000-0000-0000F03A0000}"/>
    <cellStyle name="Normal 5 5 4 4 4 2" xfId="18695" xr:uid="{00000000-0005-0000-0000-0000F13A0000}"/>
    <cellStyle name="Normal 5 5 4 4 4 3" xfId="11439" xr:uid="{00000000-0005-0000-0000-0000F23A0000}"/>
    <cellStyle name="Normal 5 5 4 4 5" xfId="15067" xr:uid="{00000000-0005-0000-0000-0000F33A0000}"/>
    <cellStyle name="Normal 5 5 4 4 6" xfId="7811" xr:uid="{00000000-0005-0000-0000-0000F43A0000}"/>
    <cellStyle name="Normal 5 5 4 5" xfId="1116" xr:uid="{00000000-0005-0000-0000-0000F53A0000}"/>
    <cellStyle name="Normal 5 5 4 5 2" xfId="2930" xr:uid="{00000000-0005-0000-0000-0000F63A0000}"/>
    <cellStyle name="Normal 5 5 4 5 2 2" xfId="6558" xr:uid="{00000000-0005-0000-0000-0000F73A0000}"/>
    <cellStyle name="Normal 5 5 4 5 2 2 2" xfId="21070" xr:uid="{00000000-0005-0000-0000-0000F83A0000}"/>
    <cellStyle name="Normal 5 5 4 5 2 2 3" xfId="13814" xr:uid="{00000000-0005-0000-0000-0000F93A0000}"/>
    <cellStyle name="Normal 5 5 4 5 2 3" xfId="17442" xr:uid="{00000000-0005-0000-0000-0000FA3A0000}"/>
    <cellStyle name="Normal 5 5 4 5 2 4" xfId="10186" xr:uid="{00000000-0005-0000-0000-0000FB3A0000}"/>
    <cellStyle name="Normal 5 5 4 5 3" xfId="4744" xr:uid="{00000000-0005-0000-0000-0000FC3A0000}"/>
    <cellStyle name="Normal 5 5 4 5 3 2" xfId="19256" xr:uid="{00000000-0005-0000-0000-0000FD3A0000}"/>
    <cellStyle name="Normal 5 5 4 5 3 3" xfId="12000" xr:uid="{00000000-0005-0000-0000-0000FE3A0000}"/>
    <cellStyle name="Normal 5 5 4 5 4" xfId="15628" xr:uid="{00000000-0005-0000-0000-0000FF3A0000}"/>
    <cellStyle name="Normal 5 5 4 5 5" xfId="8372" xr:uid="{00000000-0005-0000-0000-0000003B0000}"/>
    <cellStyle name="Normal 5 5 4 6" xfId="2023" xr:uid="{00000000-0005-0000-0000-0000013B0000}"/>
    <cellStyle name="Normal 5 5 4 6 2" xfId="5651" xr:uid="{00000000-0005-0000-0000-0000023B0000}"/>
    <cellStyle name="Normal 5 5 4 6 2 2" xfId="20163" xr:uid="{00000000-0005-0000-0000-0000033B0000}"/>
    <cellStyle name="Normal 5 5 4 6 2 3" xfId="12907" xr:uid="{00000000-0005-0000-0000-0000043B0000}"/>
    <cellStyle name="Normal 5 5 4 6 3" xfId="16535" xr:uid="{00000000-0005-0000-0000-0000053B0000}"/>
    <cellStyle name="Normal 5 5 4 6 4" xfId="9279" xr:uid="{00000000-0005-0000-0000-0000063B0000}"/>
    <cellStyle name="Normal 5 5 4 7" xfId="3837" xr:uid="{00000000-0005-0000-0000-0000073B0000}"/>
    <cellStyle name="Normal 5 5 4 7 2" xfId="18349" xr:uid="{00000000-0005-0000-0000-0000083B0000}"/>
    <cellStyle name="Normal 5 5 4 7 3" xfId="11093" xr:uid="{00000000-0005-0000-0000-0000093B0000}"/>
    <cellStyle name="Normal 5 5 4 8" xfId="14721" xr:uid="{00000000-0005-0000-0000-00000A3B0000}"/>
    <cellStyle name="Normal 5 5 4 9" xfId="7465" xr:uid="{00000000-0005-0000-0000-00000B3B0000}"/>
    <cellStyle name="Normal 5 5 5" xfId="122" xr:uid="{00000000-0005-0000-0000-00000C3B0000}"/>
    <cellStyle name="Normal 5 5 5 2" xfId="468" xr:uid="{00000000-0005-0000-0000-00000D3B0000}"/>
    <cellStyle name="Normal 5 5 5 2 2" xfId="1376" xr:uid="{00000000-0005-0000-0000-00000E3B0000}"/>
    <cellStyle name="Normal 5 5 5 2 2 2" xfId="3190" xr:uid="{00000000-0005-0000-0000-00000F3B0000}"/>
    <cellStyle name="Normal 5 5 5 2 2 2 2" xfId="6818" xr:uid="{00000000-0005-0000-0000-0000103B0000}"/>
    <cellStyle name="Normal 5 5 5 2 2 2 2 2" xfId="21330" xr:uid="{00000000-0005-0000-0000-0000113B0000}"/>
    <cellStyle name="Normal 5 5 5 2 2 2 2 3" xfId="14074" xr:uid="{00000000-0005-0000-0000-0000123B0000}"/>
    <cellStyle name="Normal 5 5 5 2 2 2 3" xfId="17702" xr:uid="{00000000-0005-0000-0000-0000133B0000}"/>
    <cellStyle name="Normal 5 5 5 2 2 2 4" xfId="10446" xr:uid="{00000000-0005-0000-0000-0000143B0000}"/>
    <cellStyle name="Normal 5 5 5 2 2 3" xfId="5004" xr:uid="{00000000-0005-0000-0000-0000153B0000}"/>
    <cellStyle name="Normal 5 5 5 2 2 3 2" xfId="19516" xr:uid="{00000000-0005-0000-0000-0000163B0000}"/>
    <cellStyle name="Normal 5 5 5 2 2 3 3" xfId="12260" xr:uid="{00000000-0005-0000-0000-0000173B0000}"/>
    <cellStyle name="Normal 5 5 5 2 2 4" xfId="15888" xr:uid="{00000000-0005-0000-0000-0000183B0000}"/>
    <cellStyle name="Normal 5 5 5 2 2 5" xfId="8632" xr:uid="{00000000-0005-0000-0000-0000193B0000}"/>
    <cellStyle name="Normal 5 5 5 2 3" xfId="2283" xr:uid="{00000000-0005-0000-0000-00001A3B0000}"/>
    <cellStyle name="Normal 5 5 5 2 3 2" xfId="5911" xr:uid="{00000000-0005-0000-0000-00001B3B0000}"/>
    <cellStyle name="Normal 5 5 5 2 3 2 2" xfId="20423" xr:uid="{00000000-0005-0000-0000-00001C3B0000}"/>
    <cellStyle name="Normal 5 5 5 2 3 2 3" xfId="13167" xr:uid="{00000000-0005-0000-0000-00001D3B0000}"/>
    <cellStyle name="Normal 5 5 5 2 3 3" xfId="16795" xr:uid="{00000000-0005-0000-0000-00001E3B0000}"/>
    <cellStyle name="Normal 5 5 5 2 3 4" xfId="9539" xr:uid="{00000000-0005-0000-0000-00001F3B0000}"/>
    <cellStyle name="Normal 5 5 5 2 4" xfId="4097" xr:uid="{00000000-0005-0000-0000-0000203B0000}"/>
    <cellStyle name="Normal 5 5 5 2 4 2" xfId="18609" xr:uid="{00000000-0005-0000-0000-0000213B0000}"/>
    <cellStyle name="Normal 5 5 5 2 4 3" xfId="11353" xr:uid="{00000000-0005-0000-0000-0000223B0000}"/>
    <cellStyle name="Normal 5 5 5 2 5" xfId="14981" xr:uid="{00000000-0005-0000-0000-0000233B0000}"/>
    <cellStyle name="Normal 5 5 5 2 6" xfId="7725" xr:uid="{00000000-0005-0000-0000-0000243B0000}"/>
    <cellStyle name="Normal 5 5 5 3" xfId="1030" xr:uid="{00000000-0005-0000-0000-0000253B0000}"/>
    <cellStyle name="Normal 5 5 5 3 2" xfId="2844" xr:uid="{00000000-0005-0000-0000-0000263B0000}"/>
    <cellStyle name="Normal 5 5 5 3 2 2" xfId="6472" xr:uid="{00000000-0005-0000-0000-0000273B0000}"/>
    <cellStyle name="Normal 5 5 5 3 2 2 2" xfId="20984" xr:uid="{00000000-0005-0000-0000-0000283B0000}"/>
    <cellStyle name="Normal 5 5 5 3 2 2 3" xfId="13728" xr:uid="{00000000-0005-0000-0000-0000293B0000}"/>
    <cellStyle name="Normal 5 5 5 3 2 3" xfId="17356" xr:uid="{00000000-0005-0000-0000-00002A3B0000}"/>
    <cellStyle name="Normal 5 5 5 3 2 4" xfId="10100" xr:uid="{00000000-0005-0000-0000-00002B3B0000}"/>
    <cellStyle name="Normal 5 5 5 3 3" xfId="4658" xr:uid="{00000000-0005-0000-0000-00002C3B0000}"/>
    <cellStyle name="Normal 5 5 5 3 3 2" xfId="19170" xr:uid="{00000000-0005-0000-0000-00002D3B0000}"/>
    <cellStyle name="Normal 5 5 5 3 3 3" xfId="11914" xr:uid="{00000000-0005-0000-0000-00002E3B0000}"/>
    <cellStyle name="Normal 5 5 5 3 4" xfId="15542" xr:uid="{00000000-0005-0000-0000-00002F3B0000}"/>
    <cellStyle name="Normal 5 5 5 3 5" xfId="8286" xr:uid="{00000000-0005-0000-0000-0000303B0000}"/>
    <cellStyle name="Normal 5 5 5 4" xfId="1937" xr:uid="{00000000-0005-0000-0000-0000313B0000}"/>
    <cellStyle name="Normal 5 5 5 4 2" xfId="5565" xr:uid="{00000000-0005-0000-0000-0000323B0000}"/>
    <cellStyle name="Normal 5 5 5 4 2 2" xfId="20077" xr:uid="{00000000-0005-0000-0000-0000333B0000}"/>
    <cellStyle name="Normal 5 5 5 4 2 3" xfId="12821" xr:uid="{00000000-0005-0000-0000-0000343B0000}"/>
    <cellStyle name="Normal 5 5 5 4 3" xfId="16449" xr:uid="{00000000-0005-0000-0000-0000353B0000}"/>
    <cellStyle name="Normal 5 5 5 4 4" xfId="9193" xr:uid="{00000000-0005-0000-0000-0000363B0000}"/>
    <cellStyle name="Normal 5 5 5 5" xfId="3751" xr:uid="{00000000-0005-0000-0000-0000373B0000}"/>
    <cellStyle name="Normal 5 5 5 5 2" xfId="18263" xr:uid="{00000000-0005-0000-0000-0000383B0000}"/>
    <cellStyle name="Normal 5 5 5 5 3" xfId="11007" xr:uid="{00000000-0005-0000-0000-0000393B0000}"/>
    <cellStyle name="Normal 5 5 5 6" xfId="14635" xr:uid="{00000000-0005-0000-0000-00003A3B0000}"/>
    <cellStyle name="Normal 5 5 5 7" xfId="7379" xr:uid="{00000000-0005-0000-0000-00003B3B0000}"/>
    <cellStyle name="Normal 5 5 6" xfId="252" xr:uid="{00000000-0005-0000-0000-00003C3B0000}"/>
    <cellStyle name="Normal 5 5 6 2" xfId="598" xr:uid="{00000000-0005-0000-0000-00003D3B0000}"/>
    <cellStyle name="Normal 5 5 6 2 2" xfId="1506" xr:uid="{00000000-0005-0000-0000-00003E3B0000}"/>
    <cellStyle name="Normal 5 5 6 2 2 2" xfId="3320" xr:uid="{00000000-0005-0000-0000-00003F3B0000}"/>
    <cellStyle name="Normal 5 5 6 2 2 2 2" xfId="6948" xr:uid="{00000000-0005-0000-0000-0000403B0000}"/>
    <cellStyle name="Normal 5 5 6 2 2 2 2 2" xfId="21460" xr:uid="{00000000-0005-0000-0000-0000413B0000}"/>
    <cellStyle name="Normal 5 5 6 2 2 2 2 3" xfId="14204" xr:uid="{00000000-0005-0000-0000-0000423B0000}"/>
    <cellStyle name="Normal 5 5 6 2 2 2 3" xfId="17832" xr:uid="{00000000-0005-0000-0000-0000433B0000}"/>
    <cellStyle name="Normal 5 5 6 2 2 2 4" xfId="10576" xr:uid="{00000000-0005-0000-0000-0000443B0000}"/>
    <cellStyle name="Normal 5 5 6 2 2 3" xfId="5134" xr:uid="{00000000-0005-0000-0000-0000453B0000}"/>
    <cellStyle name="Normal 5 5 6 2 2 3 2" xfId="19646" xr:uid="{00000000-0005-0000-0000-0000463B0000}"/>
    <cellStyle name="Normal 5 5 6 2 2 3 3" xfId="12390" xr:uid="{00000000-0005-0000-0000-0000473B0000}"/>
    <cellStyle name="Normal 5 5 6 2 2 4" xfId="16018" xr:uid="{00000000-0005-0000-0000-0000483B0000}"/>
    <cellStyle name="Normal 5 5 6 2 2 5" xfId="8762" xr:uid="{00000000-0005-0000-0000-0000493B0000}"/>
    <cellStyle name="Normal 5 5 6 2 3" xfId="2413" xr:uid="{00000000-0005-0000-0000-00004A3B0000}"/>
    <cellStyle name="Normal 5 5 6 2 3 2" xfId="6041" xr:uid="{00000000-0005-0000-0000-00004B3B0000}"/>
    <cellStyle name="Normal 5 5 6 2 3 2 2" xfId="20553" xr:uid="{00000000-0005-0000-0000-00004C3B0000}"/>
    <cellStyle name="Normal 5 5 6 2 3 2 3" xfId="13297" xr:uid="{00000000-0005-0000-0000-00004D3B0000}"/>
    <cellStyle name="Normal 5 5 6 2 3 3" xfId="16925" xr:uid="{00000000-0005-0000-0000-00004E3B0000}"/>
    <cellStyle name="Normal 5 5 6 2 3 4" xfId="9669" xr:uid="{00000000-0005-0000-0000-00004F3B0000}"/>
    <cellStyle name="Normal 5 5 6 2 4" xfId="4227" xr:uid="{00000000-0005-0000-0000-0000503B0000}"/>
    <cellStyle name="Normal 5 5 6 2 4 2" xfId="18739" xr:uid="{00000000-0005-0000-0000-0000513B0000}"/>
    <cellStyle name="Normal 5 5 6 2 4 3" xfId="11483" xr:uid="{00000000-0005-0000-0000-0000523B0000}"/>
    <cellStyle name="Normal 5 5 6 2 5" xfId="15111" xr:uid="{00000000-0005-0000-0000-0000533B0000}"/>
    <cellStyle name="Normal 5 5 6 2 6" xfId="7855" xr:uid="{00000000-0005-0000-0000-0000543B0000}"/>
    <cellStyle name="Normal 5 5 6 3" xfId="1160" xr:uid="{00000000-0005-0000-0000-0000553B0000}"/>
    <cellStyle name="Normal 5 5 6 3 2" xfId="2974" xr:uid="{00000000-0005-0000-0000-0000563B0000}"/>
    <cellStyle name="Normal 5 5 6 3 2 2" xfId="6602" xr:uid="{00000000-0005-0000-0000-0000573B0000}"/>
    <cellStyle name="Normal 5 5 6 3 2 2 2" xfId="21114" xr:uid="{00000000-0005-0000-0000-0000583B0000}"/>
    <cellStyle name="Normal 5 5 6 3 2 2 3" xfId="13858" xr:uid="{00000000-0005-0000-0000-0000593B0000}"/>
    <cellStyle name="Normal 5 5 6 3 2 3" xfId="17486" xr:uid="{00000000-0005-0000-0000-00005A3B0000}"/>
    <cellStyle name="Normal 5 5 6 3 2 4" xfId="10230" xr:uid="{00000000-0005-0000-0000-00005B3B0000}"/>
    <cellStyle name="Normal 5 5 6 3 3" xfId="4788" xr:uid="{00000000-0005-0000-0000-00005C3B0000}"/>
    <cellStyle name="Normal 5 5 6 3 3 2" xfId="19300" xr:uid="{00000000-0005-0000-0000-00005D3B0000}"/>
    <cellStyle name="Normal 5 5 6 3 3 3" xfId="12044" xr:uid="{00000000-0005-0000-0000-00005E3B0000}"/>
    <cellStyle name="Normal 5 5 6 3 4" xfId="15672" xr:uid="{00000000-0005-0000-0000-00005F3B0000}"/>
    <cellStyle name="Normal 5 5 6 3 5" xfId="8416" xr:uid="{00000000-0005-0000-0000-0000603B0000}"/>
    <cellStyle name="Normal 5 5 6 4" xfId="2067" xr:uid="{00000000-0005-0000-0000-0000613B0000}"/>
    <cellStyle name="Normal 5 5 6 4 2" xfId="5695" xr:uid="{00000000-0005-0000-0000-0000623B0000}"/>
    <cellStyle name="Normal 5 5 6 4 2 2" xfId="20207" xr:uid="{00000000-0005-0000-0000-0000633B0000}"/>
    <cellStyle name="Normal 5 5 6 4 2 3" xfId="12951" xr:uid="{00000000-0005-0000-0000-0000643B0000}"/>
    <cellStyle name="Normal 5 5 6 4 3" xfId="16579" xr:uid="{00000000-0005-0000-0000-0000653B0000}"/>
    <cellStyle name="Normal 5 5 6 4 4" xfId="9323" xr:uid="{00000000-0005-0000-0000-0000663B0000}"/>
    <cellStyle name="Normal 5 5 6 5" xfId="3881" xr:uid="{00000000-0005-0000-0000-0000673B0000}"/>
    <cellStyle name="Normal 5 5 6 5 2" xfId="18393" xr:uid="{00000000-0005-0000-0000-0000683B0000}"/>
    <cellStyle name="Normal 5 5 6 5 3" xfId="11137" xr:uid="{00000000-0005-0000-0000-0000693B0000}"/>
    <cellStyle name="Normal 5 5 6 6" xfId="14765" xr:uid="{00000000-0005-0000-0000-00006A3B0000}"/>
    <cellStyle name="Normal 5 5 6 7" xfId="7509" xr:uid="{00000000-0005-0000-0000-00006B3B0000}"/>
    <cellStyle name="Normal 5 5 7" xfId="728" xr:uid="{00000000-0005-0000-0000-00006C3B0000}"/>
    <cellStyle name="Normal 5 5 7 2" xfId="1636" xr:uid="{00000000-0005-0000-0000-00006D3B0000}"/>
    <cellStyle name="Normal 5 5 7 2 2" xfId="3450" xr:uid="{00000000-0005-0000-0000-00006E3B0000}"/>
    <cellStyle name="Normal 5 5 7 2 2 2" xfId="7078" xr:uid="{00000000-0005-0000-0000-00006F3B0000}"/>
    <cellStyle name="Normal 5 5 7 2 2 2 2" xfId="21590" xr:uid="{00000000-0005-0000-0000-0000703B0000}"/>
    <cellStyle name="Normal 5 5 7 2 2 2 3" xfId="14334" xr:uid="{00000000-0005-0000-0000-0000713B0000}"/>
    <cellStyle name="Normal 5 5 7 2 2 3" xfId="17962" xr:uid="{00000000-0005-0000-0000-0000723B0000}"/>
    <cellStyle name="Normal 5 5 7 2 2 4" xfId="10706" xr:uid="{00000000-0005-0000-0000-0000733B0000}"/>
    <cellStyle name="Normal 5 5 7 2 3" xfId="5264" xr:uid="{00000000-0005-0000-0000-0000743B0000}"/>
    <cellStyle name="Normal 5 5 7 2 3 2" xfId="19776" xr:uid="{00000000-0005-0000-0000-0000753B0000}"/>
    <cellStyle name="Normal 5 5 7 2 3 3" xfId="12520" xr:uid="{00000000-0005-0000-0000-0000763B0000}"/>
    <cellStyle name="Normal 5 5 7 2 4" xfId="16148" xr:uid="{00000000-0005-0000-0000-0000773B0000}"/>
    <cellStyle name="Normal 5 5 7 2 5" xfId="8892" xr:uid="{00000000-0005-0000-0000-0000783B0000}"/>
    <cellStyle name="Normal 5 5 7 3" xfId="2543" xr:uid="{00000000-0005-0000-0000-0000793B0000}"/>
    <cellStyle name="Normal 5 5 7 3 2" xfId="6171" xr:uid="{00000000-0005-0000-0000-00007A3B0000}"/>
    <cellStyle name="Normal 5 5 7 3 2 2" xfId="20683" xr:uid="{00000000-0005-0000-0000-00007B3B0000}"/>
    <cellStyle name="Normal 5 5 7 3 2 3" xfId="13427" xr:uid="{00000000-0005-0000-0000-00007C3B0000}"/>
    <cellStyle name="Normal 5 5 7 3 3" xfId="17055" xr:uid="{00000000-0005-0000-0000-00007D3B0000}"/>
    <cellStyle name="Normal 5 5 7 3 4" xfId="9799" xr:uid="{00000000-0005-0000-0000-00007E3B0000}"/>
    <cellStyle name="Normal 5 5 7 4" xfId="4357" xr:uid="{00000000-0005-0000-0000-00007F3B0000}"/>
    <cellStyle name="Normal 5 5 7 4 2" xfId="18869" xr:uid="{00000000-0005-0000-0000-0000803B0000}"/>
    <cellStyle name="Normal 5 5 7 4 3" xfId="11613" xr:uid="{00000000-0005-0000-0000-0000813B0000}"/>
    <cellStyle name="Normal 5 5 7 5" xfId="15241" xr:uid="{00000000-0005-0000-0000-0000823B0000}"/>
    <cellStyle name="Normal 5 5 7 6" xfId="7985" xr:uid="{00000000-0005-0000-0000-0000833B0000}"/>
    <cellStyle name="Normal 5 5 8" xfId="382" xr:uid="{00000000-0005-0000-0000-0000843B0000}"/>
    <cellStyle name="Normal 5 5 8 2" xfId="1290" xr:uid="{00000000-0005-0000-0000-0000853B0000}"/>
    <cellStyle name="Normal 5 5 8 2 2" xfId="3104" xr:uid="{00000000-0005-0000-0000-0000863B0000}"/>
    <cellStyle name="Normal 5 5 8 2 2 2" xfId="6732" xr:uid="{00000000-0005-0000-0000-0000873B0000}"/>
    <cellStyle name="Normal 5 5 8 2 2 2 2" xfId="21244" xr:uid="{00000000-0005-0000-0000-0000883B0000}"/>
    <cellStyle name="Normal 5 5 8 2 2 2 3" xfId="13988" xr:uid="{00000000-0005-0000-0000-0000893B0000}"/>
    <cellStyle name="Normal 5 5 8 2 2 3" xfId="17616" xr:uid="{00000000-0005-0000-0000-00008A3B0000}"/>
    <cellStyle name="Normal 5 5 8 2 2 4" xfId="10360" xr:uid="{00000000-0005-0000-0000-00008B3B0000}"/>
    <cellStyle name="Normal 5 5 8 2 3" xfId="4918" xr:uid="{00000000-0005-0000-0000-00008C3B0000}"/>
    <cellStyle name="Normal 5 5 8 2 3 2" xfId="19430" xr:uid="{00000000-0005-0000-0000-00008D3B0000}"/>
    <cellStyle name="Normal 5 5 8 2 3 3" xfId="12174" xr:uid="{00000000-0005-0000-0000-00008E3B0000}"/>
    <cellStyle name="Normal 5 5 8 2 4" xfId="15802" xr:uid="{00000000-0005-0000-0000-00008F3B0000}"/>
    <cellStyle name="Normal 5 5 8 2 5" xfId="8546" xr:uid="{00000000-0005-0000-0000-0000903B0000}"/>
    <cellStyle name="Normal 5 5 8 3" xfId="2197" xr:uid="{00000000-0005-0000-0000-0000913B0000}"/>
    <cellStyle name="Normal 5 5 8 3 2" xfId="5825" xr:uid="{00000000-0005-0000-0000-0000923B0000}"/>
    <cellStyle name="Normal 5 5 8 3 2 2" xfId="20337" xr:uid="{00000000-0005-0000-0000-0000933B0000}"/>
    <cellStyle name="Normal 5 5 8 3 2 3" xfId="13081" xr:uid="{00000000-0005-0000-0000-0000943B0000}"/>
    <cellStyle name="Normal 5 5 8 3 3" xfId="16709" xr:uid="{00000000-0005-0000-0000-0000953B0000}"/>
    <cellStyle name="Normal 5 5 8 3 4" xfId="9453" xr:uid="{00000000-0005-0000-0000-0000963B0000}"/>
    <cellStyle name="Normal 5 5 8 4" xfId="4011" xr:uid="{00000000-0005-0000-0000-0000973B0000}"/>
    <cellStyle name="Normal 5 5 8 4 2" xfId="18523" xr:uid="{00000000-0005-0000-0000-0000983B0000}"/>
    <cellStyle name="Normal 5 5 8 4 3" xfId="11267" xr:uid="{00000000-0005-0000-0000-0000993B0000}"/>
    <cellStyle name="Normal 5 5 8 5" xfId="14895" xr:uid="{00000000-0005-0000-0000-00009A3B0000}"/>
    <cellStyle name="Normal 5 5 8 6" xfId="7639" xr:uid="{00000000-0005-0000-0000-00009B3B0000}"/>
    <cellStyle name="Normal 5 5 9" xfId="858" xr:uid="{00000000-0005-0000-0000-00009C3B0000}"/>
    <cellStyle name="Normal 5 5 9 2" xfId="1766" xr:uid="{00000000-0005-0000-0000-00009D3B0000}"/>
    <cellStyle name="Normal 5 5 9 2 2" xfId="3580" xr:uid="{00000000-0005-0000-0000-00009E3B0000}"/>
    <cellStyle name="Normal 5 5 9 2 2 2" xfId="7208" xr:uid="{00000000-0005-0000-0000-00009F3B0000}"/>
    <cellStyle name="Normal 5 5 9 2 2 2 2" xfId="21720" xr:uid="{00000000-0005-0000-0000-0000A03B0000}"/>
    <cellStyle name="Normal 5 5 9 2 2 2 3" xfId="14464" xr:uid="{00000000-0005-0000-0000-0000A13B0000}"/>
    <cellStyle name="Normal 5 5 9 2 2 3" xfId="18092" xr:uid="{00000000-0005-0000-0000-0000A23B0000}"/>
    <cellStyle name="Normal 5 5 9 2 2 4" xfId="10836" xr:uid="{00000000-0005-0000-0000-0000A33B0000}"/>
    <cellStyle name="Normal 5 5 9 2 3" xfId="5394" xr:uid="{00000000-0005-0000-0000-0000A43B0000}"/>
    <cellStyle name="Normal 5 5 9 2 3 2" xfId="19906" xr:uid="{00000000-0005-0000-0000-0000A53B0000}"/>
    <cellStyle name="Normal 5 5 9 2 3 3" xfId="12650" xr:uid="{00000000-0005-0000-0000-0000A63B0000}"/>
    <cellStyle name="Normal 5 5 9 2 4" xfId="16278" xr:uid="{00000000-0005-0000-0000-0000A73B0000}"/>
    <cellStyle name="Normal 5 5 9 2 5" xfId="9022" xr:uid="{00000000-0005-0000-0000-0000A83B0000}"/>
    <cellStyle name="Normal 5 5 9 3" xfId="2673" xr:uid="{00000000-0005-0000-0000-0000A93B0000}"/>
    <cellStyle name="Normal 5 5 9 3 2" xfId="6301" xr:uid="{00000000-0005-0000-0000-0000AA3B0000}"/>
    <cellStyle name="Normal 5 5 9 3 2 2" xfId="20813" xr:uid="{00000000-0005-0000-0000-0000AB3B0000}"/>
    <cellStyle name="Normal 5 5 9 3 2 3" xfId="13557" xr:uid="{00000000-0005-0000-0000-0000AC3B0000}"/>
    <cellStyle name="Normal 5 5 9 3 3" xfId="17185" xr:uid="{00000000-0005-0000-0000-0000AD3B0000}"/>
    <cellStyle name="Normal 5 5 9 3 4" xfId="9929" xr:uid="{00000000-0005-0000-0000-0000AE3B0000}"/>
    <cellStyle name="Normal 5 5 9 4" xfId="4487" xr:uid="{00000000-0005-0000-0000-0000AF3B0000}"/>
    <cellStyle name="Normal 5 5 9 4 2" xfId="18999" xr:uid="{00000000-0005-0000-0000-0000B03B0000}"/>
    <cellStyle name="Normal 5 5 9 4 3" xfId="11743" xr:uid="{00000000-0005-0000-0000-0000B13B0000}"/>
    <cellStyle name="Normal 5 5 9 5" xfId="15371" xr:uid="{00000000-0005-0000-0000-0000B23B0000}"/>
    <cellStyle name="Normal 5 5 9 6" xfId="8115" xr:uid="{00000000-0005-0000-0000-0000B33B0000}"/>
    <cellStyle name="Normal 5 6" xfId="45" xr:uid="{00000000-0005-0000-0000-0000B43B0000}"/>
    <cellStyle name="Normal 5 6 10" xfId="1862" xr:uid="{00000000-0005-0000-0000-0000B53B0000}"/>
    <cellStyle name="Normal 5 6 10 2" xfId="5490" xr:uid="{00000000-0005-0000-0000-0000B63B0000}"/>
    <cellStyle name="Normal 5 6 10 2 2" xfId="20002" xr:uid="{00000000-0005-0000-0000-0000B73B0000}"/>
    <cellStyle name="Normal 5 6 10 2 3" xfId="12746" xr:uid="{00000000-0005-0000-0000-0000B83B0000}"/>
    <cellStyle name="Normal 5 6 10 3" xfId="16374" xr:uid="{00000000-0005-0000-0000-0000B93B0000}"/>
    <cellStyle name="Normal 5 6 10 4" xfId="9118" xr:uid="{00000000-0005-0000-0000-0000BA3B0000}"/>
    <cellStyle name="Normal 5 6 11" xfId="3676" xr:uid="{00000000-0005-0000-0000-0000BB3B0000}"/>
    <cellStyle name="Normal 5 6 11 2" xfId="18188" xr:uid="{00000000-0005-0000-0000-0000BC3B0000}"/>
    <cellStyle name="Normal 5 6 11 3" xfId="10932" xr:uid="{00000000-0005-0000-0000-0000BD3B0000}"/>
    <cellStyle name="Normal 5 6 12" xfId="14560" xr:uid="{00000000-0005-0000-0000-0000BE3B0000}"/>
    <cellStyle name="Normal 5 6 13" xfId="7304" xr:uid="{00000000-0005-0000-0000-0000BF3B0000}"/>
    <cellStyle name="Normal 5 6 2" xfId="87" xr:uid="{00000000-0005-0000-0000-0000C03B0000}"/>
    <cellStyle name="Normal 5 6 2 10" xfId="14602" xr:uid="{00000000-0005-0000-0000-0000C13B0000}"/>
    <cellStyle name="Normal 5 6 2 11" xfId="7346" xr:uid="{00000000-0005-0000-0000-0000C23B0000}"/>
    <cellStyle name="Normal 5 6 2 2" xfId="175" xr:uid="{00000000-0005-0000-0000-0000C33B0000}"/>
    <cellStyle name="Normal 5 6 2 2 2" xfId="521" xr:uid="{00000000-0005-0000-0000-0000C43B0000}"/>
    <cellStyle name="Normal 5 6 2 2 2 2" xfId="1429" xr:uid="{00000000-0005-0000-0000-0000C53B0000}"/>
    <cellStyle name="Normal 5 6 2 2 2 2 2" xfId="3243" xr:uid="{00000000-0005-0000-0000-0000C63B0000}"/>
    <cellStyle name="Normal 5 6 2 2 2 2 2 2" xfId="6871" xr:uid="{00000000-0005-0000-0000-0000C73B0000}"/>
    <cellStyle name="Normal 5 6 2 2 2 2 2 2 2" xfId="21383" xr:uid="{00000000-0005-0000-0000-0000C83B0000}"/>
    <cellStyle name="Normal 5 6 2 2 2 2 2 2 3" xfId="14127" xr:uid="{00000000-0005-0000-0000-0000C93B0000}"/>
    <cellStyle name="Normal 5 6 2 2 2 2 2 3" xfId="17755" xr:uid="{00000000-0005-0000-0000-0000CA3B0000}"/>
    <cellStyle name="Normal 5 6 2 2 2 2 2 4" xfId="10499" xr:uid="{00000000-0005-0000-0000-0000CB3B0000}"/>
    <cellStyle name="Normal 5 6 2 2 2 2 3" xfId="5057" xr:uid="{00000000-0005-0000-0000-0000CC3B0000}"/>
    <cellStyle name="Normal 5 6 2 2 2 2 3 2" xfId="19569" xr:uid="{00000000-0005-0000-0000-0000CD3B0000}"/>
    <cellStyle name="Normal 5 6 2 2 2 2 3 3" xfId="12313" xr:uid="{00000000-0005-0000-0000-0000CE3B0000}"/>
    <cellStyle name="Normal 5 6 2 2 2 2 4" xfId="15941" xr:uid="{00000000-0005-0000-0000-0000CF3B0000}"/>
    <cellStyle name="Normal 5 6 2 2 2 2 5" xfId="8685" xr:uid="{00000000-0005-0000-0000-0000D03B0000}"/>
    <cellStyle name="Normal 5 6 2 2 2 3" xfId="2336" xr:uid="{00000000-0005-0000-0000-0000D13B0000}"/>
    <cellStyle name="Normal 5 6 2 2 2 3 2" xfId="5964" xr:uid="{00000000-0005-0000-0000-0000D23B0000}"/>
    <cellStyle name="Normal 5 6 2 2 2 3 2 2" xfId="20476" xr:uid="{00000000-0005-0000-0000-0000D33B0000}"/>
    <cellStyle name="Normal 5 6 2 2 2 3 2 3" xfId="13220" xr:uid="{00000000-0005-0000-0000-0000D43B0000}"/>
    <cellStyle name="Normal 5 6 2 2 2 3 3" xfId="16848" xr:uid="{00000000-0005-0000-0000-0000D53B0000}"/>
    <cellStyle name="Normal 5 6 2 2 2 3 4" xfId="9592" xr:uid="{00000000-0005-0000-0000-0000D63B0000}"/>
    <cellStyle name="Normal 5 6 2 2 2 4" xfId="4150" xr:uid="{00000000-0005-0000-0000-0000D73B0000}"/>
    <cellStyle name="Normal 5 6 2 2 2 4 2" xfId="18662" xr:uid="{00000000-0005-0000-0000-0000D83B0000}"/>
    <cellStyle name="Normal 5 6 2 2 2 4 3" xfId="11406" xr:uid="{00000000-0005-0000-0000-0000D93B0000}"/>
    <cellStyle name="Normal 5 6 2 2 2 5" xfId="15034" xr:uid="{00000000-0005-0000-0000-0000DA3B0000}"/>
    <cellStyle name="Normal 5 6 2 2 2 6" xfId="7778" xr:uid="{00000000-0005-0000-0000-0000DB3B0000}"/>
    <cellStyle name="Normal 5 6 2 2 3" xfId="1083" xr:uid="{00000000-0005-0000-0000-0000DC3B0000}"/>
    <cellStyle name="Normal 5 6 2 2 3 2" xfId="2897" xr:uid="{00000000-0005-0000-0000-0000DD3B0000}"/>
    <cellStyle name="Normal 5 6 2 2 3 2 2" xfId="6525" xr:uid="{00000000-0005-0000-0000-0000DE3B0000}"/>
    <cellStyle name="Normal 5 6 2 2 3 2 2 2" xfId="21037" xr:uid="{00000000-0005-0000-0000-0000DF3B0000}"/>
    <cellStyle name="Normal 5 6 2 2 3 2 2 3" xfId="13781" xr:uid="{00000000-0005-0000-0000-0000E03B0000}"/>
    <cellStyle name="Normal 5 6 2 2 3 2 3" xfId="17409" xr:uid="{00000000-0005-0000-0000-0000E13B0000}"/>
    <cellStyle name="Normal 5 6 2 2 3 2 4" xfId="10153" xr:uid="{00000000-0005-0000-0000-0000E23B0000}"/>
    <cellStyle name="Normal 5 6 2 2 3 3" xfId="4711" xr:uid="{00000000-0005-0000-0000-0000E33B0000}"/>
    <cellStyle name="Normal 5 6 2 2 3 3 2" xfId="19223" xr:uid="{00000000-0005-0000-0000-0000E43B0000}"/>
    <cellStyle name="Normal 5 6 2 2 3 3 3" xfId="11967" xr:uid="{00000000-0005-0000-0000-0000E53B0000}"/>
    <cellStyle name="Normal 5 6 2 2 3 4" xfId="15595" xr:uid="{00000000-0005-0000-0000-0000E63B0000}"/>
    <cellStyle name="Normal 5 6 2 2 3 5" xfId="8339" xr:uid="{00000000-0005-0000-0000-0000E73B0000}"/>
    <cellStyle name="Normal 5 6 2 2 4" xfId="1990" xr:uid="{00000000-0005-0000-0000-0000E83B0000}"/>
    <cellStyle name="Normal 5 6 2 2 4 2" xfId="5618" xr:uid="{00000000-0005-0000-0000-0000E93B0000}"/>
    <cellStyle name="Normal 5 6 2 2 4 2 2" xfId="20130" xr:uid="{00000000-0005-0000-0000-0000EA3B0000}"/>
    <cellStyle name="Normal 5 6 2 2 4 2 3" xfId="12874" xr:uid="{00000000-0005-0000-0000-0000EB3B0000}"/>
    <cellStyle name="Normal 5 6 2 2 4 3" xfId="16502" xr:uid="{00000000-0005-0000-0000-0000EC3B0000}"/>
    <cellStyle name="Normal 5 6 2 2 4 4" xfId="9246" xr:uid="{00000000-0005-0000-0000-0000ED3B0000}"/>
    <cellStyle name="Normal 5 6 2 2 5" xfId="3804" xr:uid="{00000000-0005-0000-0000-0000EE3B0000}"/>
    <cellStyle name="Normal 5 6 2 2 5 2" xfId="18316" xr:uid="{00000000-0005-0000-0000-0000EF3B0000}"/>
    <cellStyle name="Normal 5 6 2 2 5 3" xfId="11060" xr:uid="{00000000-0005-0000-0000-0000F03B0000}"/>
    <cellStyle name="Normal 5 6 2 2 6" xfId="14688" xr:uid="{00000000-0005-0000-0000-0000F13B0000}"/>
    <cellStyle name="Normal 5 6 2 2 7" xfId="7432" xr:uid="{00000000-0005-0000-0000-0000F23B0000}"/>
    <cellStyle name="Normal 5 6 2 3" xfId="305" xr:uid="{00000000-0005-0000-0000-0000F33B0000}"/>
    <cellStyle name="Normal 5 6 2 3 2" xfId="651" xr:uid="{00000000-0005-0000-0000-0000F43B0000}"/>
    <cellStyle name="Normal 5 6 2 3 2 2" xfId="1559" xr:uid="{00000000-0005-0000-0000-0000F53B0000}"/>
    <cellStyle name="Normal 5 6 2 3 2 2 2" xfId="3373" xr:uid="{00000000-0005-0000-0000-0000F63B0000}"/>
    <cellStyle name="Normal 5 6 2 3 2 2 2 2" xfId="7001" xr:uid="{00000000-0005-0000-0000-0000F73B0000}"/>
    <cellStyle name="Normal 5 6 2 3 2 2 2 2 2" xfId="21513" xr:uid="{00000000-0005-0000-0000-0000F83B0000}"/>
    <cellStyle name="Normal 5 6 2 3 2 2 2 2 3" xfId="14257" xr:uid="{00000000-0005-0000-0000-0000F93B0000}"/>
    <cellStyle name="Normal 5 6 2 3 2 2 2 3" xfId="17885" xr:uid="{00000000-0005-0000-0000-0000FA3B0000}"/>
    <cellStyle name="Normal 5 6 2 3 2 2 2 4" xfId="10629" xr:uid="{00000000-0005-0000-0000-0000FB3B0000}"/>
    <cellStyle name="Normal 5 6 2 3 2 2 3" xfId="5187" xr:uid="{00000000-0005-0000-0000-0000FC3B0000}"/>
    <cellStyle name="Normal 5 6 2 3 2 2 3 2" xfId="19699" xr:uid="{00000000-0005-0000-0000-0000FD3B0000}"/>
    <cellStyle name="Normal 5 6 2 3 2 2 3 3" xfId="12443" xr:uid="{00000000-0005-0000-0000-0000FE3B0000}"/>
    <cellStyle name="Normal 5 6 2 3 2 2 4" xfId="16071" xr:uid="{00000000-0005-0000-0000-0000FF3B0000}"/>
    <cellStyle name="Normal 5 6 2 3 2 2 5" xfId="8815" xr:uid="{00000000-0005-0000-0000-0000003C0000}"/>
    <cellStyle name="Normal 5 6 2 3 2 3" xfId="2466" xr:uid="{00000000-0005-0000-0000-0000013C0000}"/>
    <cellStyle name="Normal 5 6 2 3 2 3 2" xfId="6094" xr:uid="{00000000-0005-0000-0000-0000023C0000}"/>
    <cellStyle name="Normal 5 6 2 3 2 3 2 2" xfId="20606" xr:uid="{00000000-0005-0000-0000-0000033C0000}"/>
    <cellStyle name="Normal 5 6 2 3 2 3 2 3" xfId="13350" xr:uid="{00000000-0005-0000-0000-0000043C0000}"/>
    <cellStyle name="Normal 5 6 2 3 2 3 3" xfId="16978" xr:uid="{00000000-0005-0000-0000-0000053C0000}"/>
    <cellStyle name="Normal 5 6 2 3 2 3 4" xfId="9722" xr:uid="{00000000-0005-0000-0000-0000063C0000}"/>
    <cellStyle name="Normal 5 6 2 3 2 4" xfId="4280" xr:uid="{00000000-0005-0000-0000-0000073C0000}"/>
    <cellStyle name="Normal 5 6 2 3 2 4 2" xfId="18792" xr:uid="{00000000-0005-0000-0000-0000083C0000}"/>
    <cellStyle name="Normal 5 6 2 3 2 4 3" xfId="11536" xr:uid="{00000000-0005-0000-0000-0000093C0000}"/>
    <cellStyle name="Normal 5 6 2 3 2 5" xfId="15164" xr:uid="{00000000-0005-0000-0000-00000A3C0000}"/>
    <cellStyle name="Normal 5 6 2 3 2 6" xfId="7908" xr:uid="{00000000-0005-0000-0000-00000B3C0000}"/>
    <cellStyle name="Normal 5 6 2 3 3" xfId="1213" xr:uid="{00000000-0005-0000-0000-00000C3C0000}"/>
    <cellStyle name="Normal 5 6 2 3 3 2" xfId="3027" xr:uid="{00000000-0005-0000-0000-00000D3C0000}"/>
    <cellStyle name="Normal 5 6 2 3 3 2 2" xfId="6655" xr:uid="{00000000-0005-0000-0000-00000E3C0000}"/>
    <cellStyle name="Normal 5 6 2 3 3 2 2 2" xfId="21167" xr:uid="{00000000-0005-0000-0000-00000F3C0000}"/>
    <cellStyle name="Normal 5 6 2 3 3 2 2 3" xfId="13911" xr:uid="{00000000-0005-0000-0000-0000103C0000}"/>
    <cellStyle name="Normal 5 6 2 3 3 2 3" xfId="17539" xr:uid="{00000000-0005-0000-0000-0000113C0000}"/>
    <cellStyle name="Normal 5 6 2 3 3 2 4" xfId="10283" xr:uid="{00000000-0005-0000-0000-0000123C0000}"/>
    <cellStyle name="Normal 5 6 2 3 3 3" xfId="4841" xr:uid="{00000000-0005-0000-0000-0000133C0000}"/>
    <cellStyle name="Normal 5 6 2 3 3 3 2" xfId="19353" xr:uid="{00000000-0005-0000-0000-0000143C0000}"/>
    <cellStyle name="Normal 5 6 2 3 3 3 3" xfId="12097" xr:uid="{00000000-0005-0000-0000-0000153C0000}"/>
    <cellStyle name="Normal 5 6 2 3 3 4" xfId="15725" xr:uid="{00000000-0005-0000-0000-0000163C0000}"/>
    <cellStyle name="Normal 5 6 2 3 3 5" xfId="8469" xr:uid="{00000000-0005-0000-0000-0000173C0000}"/>
    <cellStyle name="Normal 5 6 2 3 4" xfId="2120" xr:uid="{00000000-0005-0000-0000-0000183C0000}"/>
    <cellStyle name="Normal 5 6 2 3 4 2" xfId="5748" xr:uid="{00000000-0005-0000-0000-0000193C0000}"/>
    <cellStyle name="Normal 5 6 2 3 4 2 2" xfId="20260" xr:uid="{00000000-0005-0000-0000-00001A3C0000}"/>
    <cellStyle name="Normal 5 6 2 3 4 2 3" xfId="13004" xr:uid="{00000000-0005-0000-0000-00001B3C0000}"/>
    <cellStyle name="Normal 5 6 2 3 4 3" xfId="16632" xr:uid="{00000000-0005-0000-0000-00001C3C0000}"/>
    <cellStyle name="Normal 5 6 2 3 4 4" xfId="9376" xr:uid="{00000000-0005-0000-0000-00001D3C0000}"/>
    <cellStyle name="Normal 5 6 2 3 5" xfId="3934" xr:uid="{00000000-0005-0000-0000-00001E3C0000}"/>
    <cellStyle name="Normal 5 6 2 3 5 2" xfId="18446" xr:uid="{00000000-0005-0000-0000-00001F3C0000}"/>
    <cellStyle name="Normal 5 6 2 3 5 3" xfId="11190" xr:uid="{00000000-0005-0000-0000-0000203C0000}"/>
    <cellStyle name="Normal 5 6 2 3 6" xfId="14818" xr:uid="{00000000-0005-0000-0000-0000213C0000}"/>
    <cellStyle name="Normal 5 6 2 3 7" xfId="7562" xr:uid="{00000000-0005-0000-0000-0000223C0000}"/>
    <cellStyle name="Normal 5 6 2 4" xfId="781" xr:uid="{00000000-0005-0000-0000-0000233C0000}"/>
    <cellStyle name="Normal 5 6 2 4 2" xfId="1689" xr:uid="{00000000-0005-0000-0000-0000243C0000}"/>
    <cellStyle name="Normal 5 6 2 4 2 2" xfId="3503" xr:uid="{00000000-0005-0000-0000-0000253C0000}"/>
    <cellStyle name="Normal 5 6 2 4 2 2 2" xfId="7131" xr:uid="{00000000-0005-0000-0000-0000263C0000}"/>
    <cellStyle name="Normal 5 6 2 4 2 2 2 2" xfId="21643" xr:uid="{00000000-0005-0000-0000-0000273C0000}"/>
    <cellStyle name="Normal 5 6 2 4 2 2 2 3" xfId="14387" xr:uid="{00000000-0005-0000-0000-0000283C0000}"/>
    <cellStyle name="Normal 5 6 2 4 2 2 3" xfId="18015" xr:uid="{00000000-0005-0000-0000-0000293C0000}"/>
    <cellStyle name="Normal 5 6 2 4 2 2 4" xfId="10759" xr:uid="{00000000-0005-0000-0000-00002A3C0000}"/>
    <cellStyle name="Normal 5 6 2 4 2 3" xfId="5317" xr:uid="{00000000-0005-0000-0000-00002B3C0000}"/>
    <cellStyle name="Normal 5 6 2 4 2 3 2" xfId="19829" xr:uid="{00000000-0005-0000-0000-00002C3C0000}"/>
    <cellStyle name="Normal 5 6 2 4 2 3 3" xfId="12573" xr:uid="{00000000-0005-0000-0000-00002D3C0000}"/>
    <cellStyle name="Normal 5 6 2 4 2 4" xfId="16201" xr:uid="{00000000-0005-0000-0000-00002E3C0000}"/>
    <cellStyle name="Normal 5 6 2 4 2 5" xfId="8945" xr:uid="{00000000-0005-0000-0000-00002F3C0000}"/>
    <cellStyle name="Normal 5 6 2 4 3" xfId="2596" xr:uid="{00000000-0005-0000-0000-0000303C0000}"/>
    <cellStyle name="Normal 5 6 2 4 3 2" xfId="6224" xr:uid="{00000000-0005-0000-0000-0000313C0000}"/>
    <cellStyle name="Normal 5 6 2 4 3 2 2" xfId="20736" xr:uid="{00000000-0005-0000-0000-0000323C0000}"/>
    <cellStyle name="Normal 5 6 2 4 3 2 3" xfId="13480" xr:uid="{00000000-0005-0000-0000-0000333C0000}"/>
    <cellStyle name="Normal 5 6 2 4 3 3" xfId="17108" xr:uid="{00000000-0005-0000-0000-0000343C0000}"/>
    <cellStyle name="Normal 5 6 2 4 3 4" xfId="9852" xr:uid="{00000000-0005-0000-0000-0000353C0000}"/>
    <cellStyle name="Normal 5 6 2 4 4" xfId="4410" xr:uid="{00000000-0005-0000-0000-0000363C0000}"/>
    <cellStyle name="Normal 5 6 2 4 4 2" xfId="18922" xr:uid="{00000000-0005-0000-0000-0000373C0000}"/>
    <cellStyle name="Normal 5 6 2 4 4 3" xfId="11666" xr:uid="{00000000-0005-0000-0000-0000383C0000}"/>
    <cellStyle name="Normal 5 6 2 4 5" xfId="15294" xr:uid="{00000000-0005-0000-0000-0000393C0000}"/>
    <cellStyle name="Normal 5 6 2 4 6" xfId="8038" xr:uid="{00000000-0005-0000-0000-00003A3C0000}"/>
    <cellStyle name="Normal 5 6 2 5" xfId="435" xr:uid="{00000000-0005-0000-0000-00003B3C0000}"/>
    <cellStyle name="Normal 5 6 2 5 2" xfId="1343" xr:uid="{00000000-0005-0000-0000-00003C3C0000}"/>
    <cellStyle name="Normal 5 6 2 5 2 2" xfId="3157" xr:uid="{00000000-0005-0000-0000-00003D3C0000}"/>
    <cellStyle name="Normal 5 6 2 5 2 2 2" xfId="6785" xr:uid="{00000000-0005-0000-0000-00003E3C0000}"/>
    <cellStyle name="Normal 5 6 2 5 2 2 2 2" xfId="21297" xr:uid="{00000000-0005-0000-0000-00003F3C0000}"/>
    <cellStyle name="Normal 5 6 2 5 2 2 2 3" xfId="14041" xr:uid="{00000000-0005-0000-0000-0000403C0000}"/>
    <cellStyle name="Normal 5 6 2 5 2 2 3" xfId="17669" xr:uid="{00000000-0005-0000-0000-0000413C0000}"/>
    <cellStyle name="Normal 5 6 2 5 2 2 4" xfId="10413" xr:uid="{00000000-0005-0000-0000-0000423C0000}"/>
    <cellStyle name="Normal 5 6 2 5 2 3" xfId="4971" xr:uid="{00000000-0005-0000-0000-0000433C0000}"/>
    <cellStyle name="Normal 5 6 2 5 2 3 2" xfId="19483" xr:uid="{00000000-0005-0000-0000-0000443C0000}"/>
    <cellStyle name="Normal 5 6 2 5 2 3 3" xfId="12227" xr:uid="{00000000-0005-0000-0000-0000453C0000}"/>
    <cellStyle name="Normal 5 6 2 5 2 4" xfId="15855" xr:uid="{00000000-0005-0000-0000-0000463C0000}"/>
    <cellStyle name="Normal 5 6 2 5 2 5" xfId="8599" xr:uid="{00000000-0005-0000-0000-0000473C0000}"/>
    <cellStyle name="Normal 5 6 2 5 3" xfId="2250" xr:uid="{00000000-0005-0000-0000-0000483C0000}"/>
    <cellStyle name="Normal 5 6 2 5 3 2" xfId="5878" xr:uid="{00000000-0005-0000-0000-0000493C0000}"/>
    <cellStyle name="Normal 5 6 2 5 3 2 2" xfId="20390" xr:uid="{00000000-0005-0000-0000-00004A3C0000}"/>
    <cellStyle name="Normal 5 6 2 5 3 2 3" xfId="13134" xr:uid="{00000000-0005-0000-0000-00004B3C0000}"/>
    <cellStyle name="Normal 5 6 2 5 3 3" xfId="16762" xr:uid="{00000000-0005-0000-0000-00004C3C0000}"/>
    <cellStyle name="Normal 5 6 2 5 3 4" xfId="9506" xr:uid="{00000000-0005-0000-0000-00004D3C0000}"/>
    <cellStyle name="Normal 5 6 2 5 4" xfId="4064" xr:uid="{00000000-0005-0000-0000-00004E3C0000}"/>
    <cellStyle name="Normal 5 6 2 5 4 2" xfId="18576" xr:uid="{00000000-0005-0000-0000-00004F3C0000}"/>
    <cellStyle name="Normal 5 6 2 5 4 3" xfId="11320" xr:uid="{00000000-0005-0000-0000-0000503C0000}"/>
    <cellStyle name="Normal 5 6 2 5 5" xfId="14948" xr:uid="{00000000-0005-0000-0000-0000513C0000}"/>
    <cellStyle name="Normal 5 6 2 5 6" xfId="7692" xr:uid="{00000000-0005-0000-0000-0000523C0000}"/>
    <cellStyle name="Normal 5 6 2 6" xfId="919" xr:uid="{00000000-0005-0000-0000-0000533C0000}"/>
    <cellStyle name="Normal 5 6 2 6 2" xfId="1826" xr:uid="{00000000-0005-0000-0000-0000543C0000}"/>
    <cellStyle name="Normal 5 6 2 6 2 2" xfId="3640" xr:uid="{00000000-0005-0000-0000-0000553C0000}"/>
    <cellStyle name="Normal 5 6 2 6 2 2 2" xfId="7268" xr:uid="{00000000-0005-0000-0000-0000563C0000}"/>
    <cellStyle name="Normal 5 6 2 6 2 2 2 2" xfId="21780" xr:uid="{00000000-0005-0000-0000-0000573C0000}"/>
    <cellStyle name="Normal 5 6 2 6 2 2 2 3" xfId="14524" xr:uid="{00000000-0005-0000-0000-0000583C0000}"/>
    <cellStyle name="Normal 5 6 2 6 2 2 3" xfId="18152" xr:uid="{00000000-0005-0000-0000-0000593C0000}"/>
    <cellStyle name="Normal 5 6 2 6 2 2 4" xfId="10896" xr:uid="{00000000-0005-0000-0000-00005A3C0000}"/>
    <cellStyle name="Normal 5 6 2 6 2 3" xfId="5454" xr:uid="{00000000-0005-0000-0000-00005B3C0000}"/>
    <cellStyle name="Normal 5 6 2 6 2 3 2" xfId="19966" xr:uid="{00000000-0005-0000-0000-00005C3C0000}"/>
    <cellStyle name="Normal 5 6 2 6 2 3 3" xfId="12710" xr:uid="{00000000-0005-0000-0000-00005D3C0000}"/>
    <cellStyle name="Normal 5 6 2 6 2 4" xfId="16338" xr:uid="{00000000-0005-0000-0000-00005E3C0000}"/>
    <cellStyle name="Normal 5 6 2 6 2 5" xfId="9082" xr:uid="{00000000-0005-0000-0000-00005F3C0000}"/>
    <cellStyle name="Normal 5 6 2 6 3" xfId="2733" xr:uid="{00000000-0005-0000-0000-0000603C0000}"/>
    <cellStyle name="Normal 5 6 2 6 3 2" xfId="6361" xr:uid="{00000000-0005-0000-0000-0000613C0000}"/>
    <cellStyle name="Normal 5 6 2 6 3 2 2" xfId="20873" xr:uid="{00000000-0005-0000-0000-0000623C0000}"/>
    <cellStyle name="Normal 5 6 2 6 3 2 3" xfId="13617" xr:uid="{00000000-0005-0000-0000-0000633C0000}"/>
    <cellStyle name="Normal 5 6 2 6 3 3" xfId="17245" xr:uid="{00000000-0005-0000-0000-0000643C0000}"/>
    <cellStyle name="Normal 5 6 2 6 3 4" xfId="9989" xr:uid="{00000000-0005-0000-0000-0000653C0000}"/>
    <cellStyle name="Normal 5 6 2 6 4" xfId="4547" xr:uid="{00000000-0005-0000-0000-0000663C0000}"/>
    <cellStyle name="Normal 5 6 2 6 4 2" xfId="19059" xr:uid="{00000000-0005-0000-0000-0000673C0000}"/>
    <cellStyle name="Normal 5 6 2 6 4 3" xfId="11803" xr:uid="{00000000-0005-0000-0000-0000683C0000}"/>
    <cellStyle name="Normal 5 6 2 6 5" xfId="15431" xr:uid="{00000000-0005-0000-0000-0000693C0000}"/>
    <cellStyle name="Normal 5 6 2 6 6" xfId="8175" xr:uid="{00000000-0005-0000-0000-00006A3C0000}"/>
    <cellStyle name="Normal 5 6 2 7" xfId="997" xr:uid="{00000000-0005-0000-0000-00006B3C0000}"/>
    <cellStyle name="Normal 5 6 2 7 2" xfId="2811" xr:uid="{00000000-0005-0000-0000-00006C3C0000}"/>
    <cellStyle name="Normal 5 6 2 7 2 2" xfId="6439" xr:uid="{00000000-0005-0000-0000-00006D3C0000}"/>
    <cellStyle name="Normal 5 6 2 7 2 2 2" xfId="20951" xr:uid="{00000000-0005-0000-0000-00006E3C0000}"/>
    <cellStyle name="Normal 5 6 2 7 2 2 3" xfId="13695" xr:uid="{00000000-0005-0000-0000-00006F3C0000}"/>
    <cellStyle name="Normal 5 6 2 7 2 3" xfId="17323" xr:uid="{00000000-0005-0000-0000-0000703C0000}"/>
    <cellStyle name="Normal 5 6 2 7 2 4" xfId="10067" xr:uid="{00000000-0005-0000-0000-0000713C0000}"/>
    <cellStyle name="Normal 5 6 2 7 3" xfId="4625" xr:uid="{00000000-0005-0000-0000-0000723C0000}"/>
    <cellStyle name="Normal 5 6 2 7 3 2" xfId="19137" xr:uid="{00000000-0005-0000-0000-0000733C0000}"/>
    <cellStyle name="Normal 5 6 2 7 3 3" xfId="11881" xr:uid="{00000000-0005-0000-0000-0000743C0000}"/>
    <cellStyle name="Normal 5 6 2 7 4" xfId="15509" xr:uid="{00000000-0005-0000-0000-0000753C0000}"/>
    <cellStyle name="Normal 5 6 2 7 5" xfId="8253" xr:uid="{00000000-0005-0000-0000-0000763C0000}"/>
    <cellStyle name="Normal 5 6 2 8" xfId="1904" xr:uid="{00000000-0005-0000-0000-0000773C0000}"/>
    <cellStyle name="Normal 5 6 2 8 2" xfId="5532" xr:uid="{00000000-0005-0000-0000-0000783C0000}"/>
    <cellStyle name="Normal 5 6 2 8 2 2" xfId="20044" xr:uid="{00000000-0005-0000-0000-0000793C0000}"/>
    <cellStyle name="Normal 5 6 2 8 2 3" xfId="12788" xr:uid="{00000000-0005-0000-0000-00007A3C0000}"/>
    <cellStyle name="Normal 5 6 2 8 3" xfId="16416" xr:uid="{00000000-0005-0000-0000-00007B3C0000}"/>
    <cellStyle name="Normal 5 6 2 8 4" xfId="9160" xr:uid="{00000000-0005-0000-0000-00007C3C0000}"/>
    <cellStyle name="Normal 5 6 2 9" xfId="3718" xr:uid="{00000000-0005-0000-0000-00007D3C0000}"/>
    <cellStyle name="Normal 5 6 2 9 2" xfId="18230" xr:uid="{00000000-0005-0000-0000-00007E3C0000}"/>
    <cellStyle name="Normal 5 6 2 9 3" xfId="10974" xr:uid="{00000000-0005-0000-0000-00007F3C0000}"/>
    <cellStyle name="Normal 5 6 3" xfId="219" xr:uid="{00000000-0005-0000-0000-0000803C0000}"/>
    <cellStyle name="Normal 5 6 3 2" xfId="349" xr:uid="{00000000-0005-0000-0000-0000813C0000}"/>
    <cellStyle name="Normal 5 6 3 2 2" xfId="695" xr:uid="{00000000-0005-0000-0000-0000823C0000}"/>
    <cellStyle name="Normal 5 6 3 2 2 2" xfId="1603" xr:uid="{00000000-0005-0000-0000-0000833C0000}"/>
    <cellStyle name="Normal 5 6 3 2 2 2 2" xfId="3417" xr:uid="{00000000-0005-0000-0000-0000843C0000}"/>
    <cellStyle name="Normal 5 6 3 2 2 2 2 2" xfId="7045" xr:uid="{00000000-0005-0000-0000-0000853C0000}"/>
    <cellStyle name="Normal 5 6 3 2 2 2 2 2 2" xfId="21557" xr:uid="{00000000-0005-0000-0000-0000863C0000}"/>
    <cellStyle name="Normal 5 6 3 2 2 2 2 2 3" xfId="14301" xr:uid="{00000000-0005-0000-0000-0000873C0000}"/>
    <cellStyle name="Normal 5 6 3 2 2 2 2 3" xfId="17929" xr:uid="{00000000-0005-0000-0000-0000883C0000}"/>
    <cellStyle name="Normal 5 6 3 2 2 2 2 4" xfId="10673" xr:uid="{00000000-0005-0000-0000-0000893C0000}"/>
    <cellStyle name="Normal 5 6 3 2 2 2 3" xfId="5231" xr:uid="{00000000-0005-0000-0000-00008A3C0000}"/>
    <cellStyle name="Normal 5 6 3 2 2 2 3 2" xfId="19743" xr:uid="{00000000-0005-0000-0000-00008B3C0000}"/>
    <cellStyle name="Normal 5 6 3 2 2 2 3 3" xfId="12487" xr:uid="{00000000-0005-0000-0000-00008C3C0000}"/>
    <cellStyle name="Normal 5 6 3 2 2 2 4" xfId="16115" xr:uid="{00000000-0005-0000-0000-00008D3C0000}"/>
    <cellStyle name="Normal 5 6 3 2 2 2 5" xfId="8859" xr:uid="{00000000-0005-0000-0000-00008E3C0000}"/>
    <cellStyle name="Normal 5 6 3 2 2 3" xfId="2510" xr:uid="{00000000-0005-0000-0000-00008F3C0000}"/>
    <cellStyle name="Normal 5 6 3 2 2 3 2" xfId="6138" xr:uid="{00000000-0005-0000-0000-0000903C0000}"/>
    <cellStyle name="Normal 5 6 3 2 2 3 2 2" xfId="20650" xr:uid="{00000000-0005-0000-0000-0000913C0000}"/>
    <cellStyle name="Normal 5 6 3 2 2 3 2 3" xfId="13394" xr:uid="{00000000-0005-0000-0000-0000923C0000}"/>
    <cellStyle name="Normal 5 6 3 2 2 3 3" xfId="17022" xr:uid="{00000000-0005-0000-0000-0000933C0000}"/>
    <cellStyle name="Normal 5 6 3 2 2 3 4" xfId="9766" xr:uid="{00000000-0005-0000-0000-0000943C0000}"/>
    <cellStyle name="Normal 5 6 3 2 2 4" xfId="4324" xr:uid="{00000000-0005-0000-0000-0000953C0000}"/>
    <cellStyle name="Normal 5 6 3 2 2 4 2" xfId="18836" xr:uid="{00000000-0005-0000-0000-0000963C0000}"/>
    <cellStyle name="Normal 5 6 3 2 2 4 3" xfId="11580" xr:uid="{00000000-0005-0000-0000-0000973C0000}"/>
    <cellStyle name="Normal 5 6 3 2 2 5" xfId="15208" xr:uid="{00000000-0005-0000-0000-0000983C0000}"/>
    <cellStyle name="Normal 5 6 3 2 2 6" xfId="7952" xr:uid="{00000000-0005-0000-0000-0000993C0000}"/>
    <cellStyle name="Normal 5 6 3 2 3" xfId="1257" xr:uid="{00000000-0005-0000-0000-00009A3C0000}"/>
    <cellStyle name="Normal 5 6 3 2 3 2" xfId="3071" xr:uid="{00000000-0005-0000-0000-00009B3C0000}"/>
    <cellStyle name="Normal 5 6 3 2 3 2 2" xfId="6699" xr:uid="{00000000-0005-0000-0000-00009C3C0000}"/>
    <cellStyle name="Normal 5 6 3 2 3 2 2 2" xfId="21211" xr:uid="{00000000-0005-0000-0000-00009D3C0000}"/>
    <cellStyle name="Normal 5 6 3 2 3 2 2 3" xfId="13955" xr:uid="{00000000-0005-0000-0000-00009E3C0000}"/>
    <cellStyle name="Normal 5 6 3 2 3 2 3" xfId="17583" xr:uid="{00000000-0005-0000-0000-00009F3C0000}"/>
    <cellStyle name="Normal 5 6 3 2 3 2 4" xfId="10327" xr:uid="{00000000-0005-0000-0000-0000A03C0000}"/>
    <cellStyle name="Normal 5 6 3 2 3 3" xfId="4885" xr:uid="{00000000-0005-0000-0000-0000A13C0000}"/>
    <cellStyle name="Normal 5 6 3 2 3 3 2" xfId="19397" xr:uid="{00000000-0005-0000-0000-0000A23C0000}"/>
    <cellStyle name="Normal 5 6 3 2 3 3 3" xfId="12141" xr:uid="{00000000-0005-0000-0000-0000A33C0000}"/>
    <cellStyle name="Normal 5 6 3 2 3 4" xfId="15769" xr:uid="{00000000-0005-0000-0000-0000A43C0000}"/>
    <cellStyle name="Normal 5 6 3 2 3 5" xfId="8513" xr:uid="{00000000-0005-0000-0000-0000A53C0000}"/>
    <cellStyle name="Normal 5 6 3 2 4" xfId="2164" xr:uid="{00000000-0005-0000-0000-0000A63C0000}"/>
    <cellStyle name="Normal 5 6 3 2 4 2" xfId="5792" xr:uid="{00000000-0005-0000-0000-0000A73C0000}"/>
    <cellStyle name="Normal 5 6 3 2 4 2 2" xfId="20304" xr:uid="{00000000-0005-0000-0000-0000A83C0000}"/>
    <cellStyle name="Normal 5 6 3 2 4 2 3" xfId="13048" xr:uid="{00000000-0005-0000-0000-0000A93C0000}"/>
    <cellStyle name="Normal 5 6 3 2 4 3" xfId="16676" xr:uid="{00000000-0005-0000-0000-0000AA3C0000}"/>
    <cellStyle name="Normal 5 6 3 2 4 4" xfId="9420" xr:uid="{00000000-0005-0000-0000-0000AB3C0000}"/>
    <cellStyle name="Normal 5 6 3 2 5" xfId="3978" xr:uid="{00000000-0005-0000-0000-0000AC3C0000}"/>
    <cellStyle name="Normal 5 6 3 2 5 2" xfId="18490" xr:uid="{00000000-0005-0000-0000-0000AD3C0000}"/>
    <cellStyle name="Normal 5 6 3 2 5 3" xfId="11234" xr:uid="{00000000-0005-0000-0000-0000AE3C0000}"/>
    <cellStyle name="Normal 5 6 3 2 6" xfId="14862" xr:uid="{00000000-0005-0000-0000-0000AF3C0000}"/>
    <cellStyle name="Normal 5 6 3 2 7" xfId="7606" xr:uid="{00000000-0005-0000-0000-0000B03C0000}"/>
    <cellStyle name="Normal 5 6 3 3" xfId="825" xr:uid="{00000000-0005-0000-0000-0000B13C0000}"/>
    <cellStyle name="Normal 5 6 3 3 2" xfId="1733" xr:uid="{00000000-0005-0000-0000-0000B23C0000}"/>
    <cellStyle name="Normal 5 6 3 3 2 2" xfId="3547" xr:uid="{00000000-0005-0000-0000-0000B33C0000}"/>
    <cellStyle name="Normal 5 6 3 3 2 2 2" xfId="7175" xr:uid="{00000000-0005-0000-0000-0000B43C0000}"/>
    <cellStyle name="Normal 5 6 3 3 2 2 2 2" xfId="21687" xr:uid="{00000000-0005-0000-0000-0000B53C0000}"/>
    <cellStyle name="Normal 5 6 3 3 2 2 2 3" xfId="14431" xr:uid="{00000000-0005-0000-0000-0000B63C0000}"/>
    <cellStyle name="Normal 5 6 3 3 2 2 3" xfId="18059" xr:uid="{00000000-0005-0000-0000-0000B73C0000}"/>
    <cellStyle name="Normal 5 6 3 3 2 2 4" xfId="10803" xr:uid="{00000000-0005-0000-0000-0000B83C0000}"/>
    <cellStyle name="Normal 5 6 3 3 2 3" xfId="5361" xr:uid="{00000000-0005-0000-0000-0000B93C0000}"/>
    <cellStyle name="Normal 5 6 3 3 2 3 2" xfId="19873" xr:uid="{00000000-0005-0000-0000-0000BA3C0000}"/>
    <cellStyle name="Normal 5 6 3 3 2 3 3" xfId="12617" xr:uid="{00000000-0005-0000-0000-0000BB3C0000}"/>
    <cellStyle name="Normal 5 6 3 3 2 4" xfId="16245" xr:uid="{00000000-0005-0000-0000-0000BC3C0000}"/>
    <cellStyle name="Normal 5 6 3 3 2 5" xfId="8989" xr:uid="{00000000-0005-0000-0000-0000BD3C0000}"/>
    <cellStyle name="Normal 5 6 3 3 3" xfId="2640" xr:uid="{00000000-0005-0000-0000-0000BE3C0000}"/>
    <cellStyle name="Normal 5 6 3 3 3 2" xfId="6268" xr:uid="{00000000-0005-0000-0000-0000BF3C0000}"/>
    <cellStyle name="Normal 5 6 3 3 3 2 2" xfId="20780" xr:uid="{00000000-0005-0000-0000-0000C03C0000}"/>
    <cellStyle name="Normal 5 6 3 3 3 2 3" xfId="13524" xr:uid="{00000000-0005-0000-0000-0000C13C0000}"/>
    <cellStyle name="Normal 5 6 3 3 3 3" xfId="17152" xr:uid="{00000000-0005-0000-0000-0000C23C0000}"/>
    <cellStyle name="Normal 5 6 3 3 3 4" xfId="9896" xr:uid="{00000000-0005-0000-0000-0000C33C0000}"/>
    <cellStyle name="Normal 5 6 3 3 4" xfId="4454" xr:uid="{00000000-0005-0000-0000-0000C43C0000}"/>
    <cellStyle name="Normal 5 6 3 3 4 2" xfId="18966" xr:uid="{00000000-0005-0000-0000-0000C53C0000}"/>
    <cellStyle name="Normal 5 6 3 3 4 3" xfId="11710" xr:uid="{00000000-0005-0000-0000-0000C63C0000}"/>
    <cellStyle name="Normal 5 6 3 3 5" xfId="15338" xr:uid="{00000000-0005-0000-0000-0000C73C0000}"/>
    <cellStyle name="Normal 5 6 3 3 6" xfId="8082" xr:uid="{00000000-0005-0000-0000-0000C83C0000}"/>
    <cellStyle name="Normal 5 6 3 4" xfId="565" xr:uid="{00000000-0005-0000-0000-0000C93C0000}"/>
    <cellStyle name="Normal 5 6 3 4 2" xfId="1473" xr:uid="{00000000-0005-0000-0000-0000CA3C0000}"/>
    <cellStyle name="Normal 5 6 3 4 2 2" xfId="3287" xr:uid="{00000000-0005-0000-0000-0000CB3C0000}"/>
    <cellStyle name="Normal 5 6 3 4 2 2 2" xfId="6915" xr:uid="{00000000-0005-0000-0000-0000CC3C0000}"/>
    <cellStyle name="Normal 5 6 3 4 2 2 2 2" xfId="21427" xr:uid="{00000000-0005-0000-0000-0000CD3C0000}"/>
    <cellStyle name="Normal 5 6 3 4 2 2 2 3" xfId="14171" xr:uid="{00000000-0005-0000-0000-0000CE3C0000}"/>
    <cellStyle name="Normal 5 6 3 4 2 2 3" xfId="17799" xr:uid="{00000000-0005-0000-0000-0000CF3C0000}"/>
    <cellStyle name="Normal 5 6 3 4 2 2 4" xfId="10543" xr:uid="{00000000-0005-0000-0000-0000D03C0000}"/>
    <cellStyle name="Normal 5 6 3 4 2 3" xfId="5101" xr:uid="{00000000-0005-0000-0000-0000D13C0000}"/>
    <cellStyle name="Normal 5 6 3 4 2 3 2" xfId="19613" xr:uid="{00000000-0005-0000-0000-0000D23C0000}"/>
    <cellStyle name="Normal 5 6 3 4 2 3 3" xfId="12357" xr:uid="{00000000-0005-0000-0000-0000D33C0000}"/>
    <cellStyle name="Normal 5 6 3 4 2 4" xfId="15985" xr:uid="{00000000-0005-0000-0000-0000D43C0000}"/>
    <cellStyle name="Normal 5 6 3 4 2 5" xfId="8729" xr:uid="{00000000-0005-0000-0000-0000D53C0000}"/>
    <cellStyle name="Normal 5 6 3 4 3" xfId="2380" xr:uid="{00000000-0005-0000-0000-0000D63C0000}"/>
    <cellStyle name="Normal 5 6 3 4 3 2" xfId="6008" xr:uid="{00000000-0005-0000-0000-0000D73C0000}"/>
    <cellStyle name="Normal 5 6 3 4 3 2 2" xfId="20520" xr:uid="{00000000-0005-0000-0000-0000D83C0000}"/>
    <cellStyle name="Normal 5 6 3 4 3 2 3" xfId="13264" xr:uid="{00000000-0005-0000-0000-0000D93C0000}"/>
    <cellStyle name="Normal 5 6 3 4 3 3" xfId="16892" xr:uid="{00000000-0005-0000-0000-0000DA3C0000}"/>
    <cellStyle name="Normal 5 6 3 4 3 4" xfId="9636" xr:uid="{00000000-0005-0000-0000-0000DB3C0000}"/>
    <cellStyle name="Normal 5 6 3 4 4" xfId="4194" xr:uid="{00000000-0005-0000-0000-0000DC3C0000}"/>
    <cellStyle name="Normal 5 6 3 4 4 2" xfId="18706" xr:uid="{00000000-0005-0000-0000-0000DD3C0000}"/>
    <cellStyle name="Normal 5 6 3 4 4 3" xfId="11450" xr:uid="{00000000-0005-0000-0000-0000DE3C0000}"/>
    <cellStyle name="Normal 5 6 3 4 5" xfId="15078" xr:uid="{00000000-0005-0000-0000-0000DF3C0000}"/>
    <cellStyle name="Normal 5 6 3 4 6" xfId="7822" xr:uid="{00000000-0005-0000-0000-0000E03C0000}"/>
    <cellStyle name="Normal 5 6 3 5" xfId="1127" xr:uid="{00000000-0005-0000-0000-0000E13C0000}"/>
    <cellStyle name="Normal 5 6 3 5 2" xfId="2941" xr:uid="{00000000-0005-0000-0000-0000E23C0000}"/>
    <cellStyle name="Normal 5 6 3 5 2 2" xfId="6569" xr:uid="{00000000-0005-0000-0000-0000E33C0000}"/>
    <cellStyle name="Normal 5 6 3 5 2 2 2" xfId="21081" xr:uid="{00000000-0005-0000-0000-0000E43C0000}"/>
    <cellStyle name="Normal 5 6 3 5 2 2 3" xfId="13825" xr:uid="{00000000-0005-0000-0000-0000E53C0000}"/>
    <cellStyle name="Normal 5 6 3 5 2 3" xfId="17453" xr:uid="{00000000-0005-0000-0000-0000E63C0000}"/>
    <cellStyle name="Normal 5 6 3 5 2 4" xfId="10197" xr:uid="{00000000-0005-0000-0000-0000E73C0000}"/>
    <cellStyle name="Normal 5 6 3 5 3" xfId="4755" xr:uid="{00000000-0005-0000-0000-0000E83C0000}"/>
    <cellStyle name="Normal 5 6 3 5 3 2" xfId="19267" xr:uid="{00000000-0005-0000-0000-0000E93C0000}"/>
    <cellStyle name="Normal 5 6 3 5 3 3" xfId="12011" xr:uid="{00000000-0005-0000-0000-0000EA3C0000}"/>
    <cellStyle name="Normal 5 6 3 5 4" xfId="15639" xr:uid="{00000000-0005-0000-0000-0000EB3C0000}"/>
    <cellStyle name="Normal 5 6 3 5 5" xfId="8383" xr:uid="{00000000-0005-0000-0000-0000EC3C0000}"/>
    <cellStyle name="Normal 5 6 3 6" xfId="2034" xr:uid="{00000000-0005-0000-0000-0000ED3C0000}"/>
    <cellStyle name="Normal 5 6 3 6 2" xfId="5662" xr:uid="{00000000-0005-0000-0000-0000EE3C0000}"/>
    <cellStyle name="Normal 5 6 3 6 2 2" xfId="20174" xr:uid="{00000000-0005-0000-0000-0000EF3C0000}"/>
    <cellStyle name="Normal 5 6 3 6 2 3" xfId="12918" xr:uid="{00000000-0005-0000-0000-0000F03C0000}"/>
    <cellStyle name="Normal 5 6 3 6 3" xfId="16546" xr:uid="{00000000-0005-0000-0000-0000F13C0000}"/>
    <cellStyle name="Normal 5 6 3 6 4" xfId="9290" xr:uid="{00000000-0005-0000-0000-0000F23C0000}"/>
    <cellStyle name="Normal 5 6 3 7" xfId="3848" xr:uid="{00000000-0005-0000-0000-0000F33C0000}"/>
    <cellStyle name="Normal 5 6 3 7 2" xfId="18360" xr:uid="{00000000-0005-0000-0000-0000F43C0000}"/>
    <cellStyle name="Normal 5 6 3 7 3" xfId="11104" xr:uid="{00000000-0005-0000-0000-0000F53C0000}"/>
    <cellStyle name="Normal 5 6 3 8" xfId="14732" xr:uid="{00000000-0005-0000-0000-0000F63C0000}"/>
    <cellStyle name="Normal 5 6 3 9" xfId="7476" xr:uid="{00000000-0005-0000-0000-0000F73C0000}"/>
    <cellStyle name="Normal 5 6 4" xfId="133" xr:uid="{00000000-0005-0000-0000-0000F83C0000}"/>
    <cellStyle name="Normal 5 6 4 2" xfId="479" xr:uid="{00000000-0005-0000-0000-0000F93C0000}"/>
    <cellStyle name="Normal 5 6 4 2 2" xfId="1387" xr:uid="{00000000-0005-0000-0000-0000FA3C0000}"/>
    <cellStyle name="Normal 5 6 4 2 2 2" xfId="3201" xr:uid="{00000000-0005-0000-0000-0000FB3C0000}"/>
    <cellStyle name="Normal 5 6 4 2 2 2 2" xfId="6829" xr:uid="{00000000-0005-0000-0000-0000FC3C0000}"/>
    <cellStyle name="Normal 5 6 4 2 2 2 2 2" xfId="21341" xr:uid="{00000000-0005-0000-0000-0000FD3C0000}"/>
    <cellStyle name="Normal 5 6 4 2 2 2 2 3" xfId="14085" xr:uid="{00000000-0005-0000-0000-0000FE3C0000}"/>
    <cellStyle name="Normal 5 6 4 2 2 2 3" xfId="17713" xr:uid="{00000000-0005-0000-0000-0000FF3C0000}"/>
    <cellStyle name="Normal 5 6 4 2 2 2 4" xfId="10457" xr:uid="{00000000-0005-0000-0000-0000003D0000}"/>
    <cellStyle name="Normal 5 6 4 2 2 3" xfId="5015" xr:uid="{00000000-0005-0000-0000-0000013D0000}"/>
    <cellStyle name="Normal 5 6 4 2 2 3 2" xfId="19527" xr:uid="{00000000-0005-0000-0000-0000023D0000}"/>
    <cellStyle name="Normal 5 6 4 2 2 3 3" xfId="12271" xr:uid="{00000000-0005-0000-0000-0000033D0000}"/>
    <cellStyle name="Normal 5 6 4 2 2 4" xfId="15899" xr:uid="{00000000-0005-0000-0000-0000043D0000}"/>
    <cellStyle name="Normal 5 6 4 2 2 5" xfId="8643" xr:uid="{00000000-0005-0000-0000-0000053D0000}"/>
    <cellStyle name="Normal 5 6 4 2 3" xfId="2294" xr:uid="{00000000-0005-0000-0000-0000063D0000}"/>
    <cellStyle name="Normal 5 6 4 2 3 2" xfId="5922" xr:uid="{00000000-0005-0000-0000-0000073D0000}"/>
    <cellStyle name="Normal 5 6 4 2 3 2 2" xfId="20434" xr:uid="{00000000-0005-0000-0000-0000083D0000}"/>
    <cellStyle name="Normal 5 6 4 2 3 2 3" xfId="13178" xr:uid="{00000000-0005-0000-0000-0000093D0000}"/>
    <cellStyle name="Normal 5 6 4 2 3 3" xfId="16806" xr:uid="{00000000-0005-0000-0000-00000A3D0000}"/>
    <cellStyle name="Normal 5 6 4 2 3 4" xfId="9550" xr:uid="{00000000-0005-0000-0000-00000B3D0000}"/>
    <cellStyle name="Normal 5 6 4 2 4" xfId="4108" xr:uid="{00000000-0005-0000-0000-00000C3D0000}"/>
    <cellStyle name="Normal 5 6 4 2 4 2" xfId="18620" xr:uid="{00000000-0005-0000-0000-00000D3D0000}"/>
    <cellStyle name="Normal 5 6 4 2 4 3" xfId="11364" xr:uid="{00000000-0005-0000-0000-00000E3D0000}"/>
    <cellStyle name="Normal 5 6 4 2 5" xfId="14992" xr:uid="{00000000-0005-0000-0000-00000F3D0000}"/>
    <cellStyle name="Normal 5 6 4 2 6" xfId="7736" xr:uid="{00000000-0005-0000-0000-0000103D0000}"/>
    <cellStyle name="Normal 5 6 4 3" xfId="1041" xr:uid="{00000000-0005-0000-0000-0000113D0000}"/>
    <cellStyle name="Normal 5 6 4 3 2" xfId="2855" xr:uid="{00000000-0005-0000-0000-0000123D0000}"/>
    <cellStyle name="Normal 5 6 4 3 2 2" xfId="6483" xr:uid="{00000000-0005-0000-0000-0000133D0000}"/>
    <cellStyle name="Normal 5 6 4 3 2 2 2" xfId="20995" xr:uid="{00000000-0005-0000-0000-0000143D0000}"/>
    <cellStyle name="Normal 5 6 4 3 2 2 3" xfId="13739" xr:uid="{00000000-0005-0000-0000-0000153D0000}"/>
    <cellStyle name="Normal 5 6 4 3 2 3" xfId="17367" xr:uid="{00000000-0005-0000-0000-0000163D0000}"/>
    <cellStyle name="Normal 5 6 4 3 2 4" xfId="10111" xr:uid="{00000000-0005-0000-0000-0000173D0000}"/>
    <cellStyle name="Normal 5 6 4 3 3" xfId="4669" xr:uid="{00000000-0005-0000-0000-0000183D0000}"/>
    <cellStyle name="Normal 5 6 4 3 3 2" xfId="19181" xr:uid="{00000000-0005-0000-0000-0000193D0000}"/>
    <cellStyle name="Normal 5 6 4 3 3 3" xfId="11925" xr:uid="{00000000-0005-0000-0000-00001A3D0000}"/>
    <cellStyle name="Normal 5 6 4 3 4" xfId="15553" xr:uid="{00000000-0005-0000-0000-00001B3D0000}"/>
    <cellStyle name="Normal 5 6 4 3 5" xfId="8297" xr:uid="{00000000-0005-0000-0000-00001C3D0000}"/>
    <cellStyle name="Normal 5 6 4 4" xfId="1948" xr:uid="{00000000-0005-0000-0000-00001D3D0000}"/>
    <cellStyle name="Normal 5 6 4 4 2" xfId="5576" xr:uid="{00000000-0005-0000-0000-00001E3D0000}"/>
    <cellStyle name="Normal 5 6 4 4 2 2" xfId="20088" xr:uid="{00000000-0005-0000-0000-00001F3D0000}"/>
    <cellStyle name="Normal 5 6 4 4 2 3" xfId="12832" xr:uid="{00000000-0005-0000-0000-0000203D0000}"/>
    <cellStyle name="Normal 5 6 4 4 3" xfId="16460" xr:uid="{00000000-0005-0000-0000-0000213D0000}"/>
    <cellStyle name="Normal 5 6 4 4 4" xfId="9204" xr:uid="{00000000-0005-0000-0000-0000223D0000}"/>
    <cellStyle name="Normal 5 6 4 5" xfId="3762" xr:uid="{00000000-0005-0000-0000-0000233D0000}"/>
    <cellStyle name="Normal 5 6 4 5 2" xfId="18274" xr:uid="{00000000-0005-0000-0000-0000243D0000}"/>
    <cellStyle name="Normal 5 6 4 5 3" xfId="11018" xr:uid="{00000000-0005-0000-0000-0000253D0000}"/>
    <cellStyle name="Normal 5 6 4 6" xfId="14646" xr:uid="{00000000-0005-0000-0000-0000263D0000}"/>
    <cellStyle name="Normal 5 6 4 7" xfId="7390" xr:uid="{00000000-0005-0000-0000-0000273D0000}"/>
    <cellStyle name="Normal 5 6 5" xfId="263" xr:uid="{00000000-0005-0000-0000-0000283D0000}"/>
    <cellStyle name="Normal 5 6 5 2" xfId="609" xr:uid="{00000000-0005-0000-0000-0000293D0000}"/>
    <cellStyle name="Normal 5 6 5 2 2" xfId="1517" xr:uid="{00000000-0005-0000-0000-00002A3D0000}"/>
    <cellStyle name="Normal 5 6 5 2 2 2" xfId="3331" xr:uid="{00000000-0005-0000-0000-00002B3D0000}"/>
    <cellStyle name="Normal 5 6 5 2 2 2 2" xfId="6959" xr:uid="{00000000-0005-0000-0000-00002C3D0000}"/>
    <cellStyle name="Normal 5 6 5 2 2 2 2 2" xfId="21471" xr:uid="{00000000-0005-0000-0000-00002D3D0000}"/>
    <cellStyle name="Normal 5 6 5 2 2 2 2 3" xfId="14215" xr:uid="{00000000-0005-0000-0000-00002E3D0000}"/>
    <cellStyle name="Normal 5 6 5 2 2 2 3" xfId="17843" xr:uid="{00000000-0005-0000-0000-00002F3D0000}"/>
    <cellStyle name="Normal 5 6 5 2 2 2 4" xfId="10587" xr:uid="{00000000-0005-0000-0000-0000303D0000}"/>
    <cellStyle name="Normal 5 6 5 2 2 3" xfId="5145" xr:uid="{00000000-0005-0000-0000-0000313D0000}"/>
    <cellStyle name="Normal 5 6 5 2 2 3 2" xfId="19657" xr:uid="{00000000-0005-0000-0000-0000323D0000}"/>
    <cellStyle name="Normal 5 6 5 2 2 3 3" xfId="12401" xr:uid="{00000000-0005-0000-0000-0000333D0000}"/>
    <cellStyle name="Normal 5 6 5 2 2 4" xfId="16029" xr:uid="{00000000-0005-0000-0000-0000343D0000}"/>
    <cellStyle name="Normal 5 6 5 2 2 5" xfId="8773" xr:uid="{00000000-0005-0000-0000-0000353D0000}"/>
    <cellStyle name="Normal 5 6 5 2 3" xfId="2424" xr:uid="{00000000-0005-0000-0000-0000363D0000}"/>
    <cellStyle name="Normal 5 6 5 2 3 2" xfId="6052" xr:uid="{00000000-0005-0000-0000-0000373D0000}"/>
    <cellStyle name="Normal 5 6 5 2 3 2 2" xfId="20564" xr:uid="{00000000-0005-0000-0000-0000383D0000}"/>
    <cellStyle name="Normal 5 6 5 2 3 2 3" xfId="13308" xr:uid="{00000000-0005-0000-0000-0000393D0000}"/>
    <cellStyle name="Normal 5 6 5 2 3 3" xfId="16936" xr:uid="{00000000-0005-0000-0000-00003A3D0000}"/>
    <cellStyle name="Normal 5 6 5 2 3 4" xfId="9680" xr:uid="{00000000-0005-0000-0000-00003B3D0000}"/>
    <cellStyle name="Normal 5 6 5 2 4" xfId="4238" xr:uid="{00000000-0005-0000-0000-00003C3D0000}"/>
    <cellStyle name="Normal 5 6 5 2 4 2" xfId="18750" xr:uid="{00000000-0005-0000-0000-00003D3D0000}"/>
    <cellStyle name="Normal 5 6 5 2 4 3" xfId="11494" xr:uid="{00000000-0005-0000-0000-00003E3D0000}"/>
    <cellStyle name="Normal 5 6 5 2 5" xfId="15122" xr:uid="{00000000-0005-0000-0000-00003F3D0000}"/>
    <cellStyle name="Normal 5 6 5 2 6" xfId="7866" xr:uid="{00000000-0005-0000-0000-0000403D0000}"/>
    <cellStyle name="Normal 5 6 5 3" xfId="1171" xr:uid="{00000000-0005-0000-0000-0000413D0000}"/>
    <cellStyle name="Normal 5 6 5 3 2" xfId="2985" xr:uid="{00000000-0005-0000-0000-0000423D0000}"/>
    <cellStyle name="Normal 5 6 5 3 2 2" xfId="6613" xr:uid="{00000000-0005-0000-0000-0000433D0000}"/>
    <cellStyle name="Normal 5 6 5 3 2 2 2" xfId="21125" xr:uid="{00000000-0005-0000-0000-0000443D0000}"/>
    <cellStyle name="Normal 5 6 5 3 2 2 3" xfId="13869" xr:uid="{00000000-0005-0000-0000-0000453D0000}"/>
    <cellStyle name="Normal 5 6 5 3 2 3" xfId="17497" xr:uid="{00000000-0005-0000-0000-0000463D0000}"/>
    <cellStyle name="Normal 5 6 5 3 2 4" xfId="10241" xr:uid="{00000000-0005-0000-0000-0000473D0000}"/>
    <cellStyle name="Normal 5 6 5 3 3" xfId="4799" xr:uid="{00000000-0005-0000-0000-0000483D0000}"/>
    <cellStyle name="Normal 5 6 5 3 3 2" xfId="19311" xr:uid="{00000000-0005-0000-0000-0000493D0000}"/>
    <cellStyle name="Normal 5 6 5 3 3 3" xfId="12055" xr:uid="{00000000-0005-0000-0000-00004A3D0000}"/>
    <cellStyle name="Normal 5 6 5 3 4" xfId="15683" xr:uid="{00000000-0005-0000-0000-00004B3D0000}"/>
    <cellStyle name="Normal 5 6 5 3 5" xfId="8427" xr:uid="{00000000-0005-0000-0000-00004C3D0000}"/>
    <cellStyle name="Normal 5 6 5 4" xfId="2078" xr:uid="{00000000-0005-0000-0000-00004D3D0000}"/>
    <cellStyle name="Normal 5 6 5 4 2" xfId="5706" xr:uid="{00000000-0005-0000-0000-00004E3D0000}"/>
    <cellStyle name="Normal 5 6 5 4 2 2" xfId="20218" xr:uid="{00000000-0005-0000-0000-00004F3D0000}"/>
    <cellStyle name="Normal 5 6 5 4 2 3" xfId="12962" xr:uid="{00000000-0005-0000-0000-0000503D0000}"/>
    <cellStyle name="Normal 5 6 5 4 3" xfId="16590" xr:uid="{00000000-0005-0000-0000-0000513D0000}"/>
    <cellStyle name="Normal 5 6 5 4 4" xfId="9334" xr:uid="{00000000-0005-0000-0000-0000523D0000}"/>
    <cellStyle name="Normal 5 6 5 5" xfId="3892" xr:uid="{00000000-0005-0000-0000-0000533D0000}"/>
    <cellStyle name="Normal 5 6 5 5 2" xfId="18404" xr:uid="{00000000-0005-0000-0000-0000543D0000}"/>
    <cellStyle name="Normal 5 6 5 5 3" xfId="11148" xr:uid="{00000000-0005-0000-0000-0000553D0000}"/>
    <cellStyle name="Normal 5 6 5 6" xfId="14776" xr:uid="{00000000-0005-0000-0000-0000563D0000}"/>
    <cellStyle name="Normal 5 6 5 7" xfId="7520" xr:uid="{00000000-0005-0000-0000-0000573D0000}"/>
    <cellStyle name="Normal 5 6 6" xfId="739" xr:uid="{00000000-0005-0000-0000-0000583D0000}"/>
    <cellStyle name="Normal 5 6 6 2" xfId="1647" xr:uid="{00000000-0005-0000-0000-0000593D0000}"/>
    <cellStyle name="Normal 5 6 6 2 2" xfId="3461" xr:uid="{00000000-0005-0000-0000-00005A3D0000}"/>
    <cellStyle name="Normal 5 6 6 2 2 2" xfId="7089" xr:uid="{00000000-0005-0000-0000-00005B3D0000}"/>
    <cellStyle name="Normal 5 6 6 2 2 2 2" xfId="21601" xr:uid="{00000000-0005-0000-0000-00005C3D0000}"/>
    <cellStyle name="Normal 5 6 6 2 2 2 3" xfId="14345" xr:uid="{00000000-0005-0000-0000-00005D3D0000}"/>
    <cellStyle name="Normal 5 6 6 2 2 3" xfId="17973" xr:uid="{00000000-0005-0000-0000-00005E3D0000}"/>
    <cellStyle name="Normal 5 6 6 2 2 4" xfId="10717" xr:uid="{00000000-0005-0000-0000-00005F3D0000}"/>
    <cellStyle name="Normal 5 6 6 2 3" xfId="5275" xr:uid="{00000000-0005-0000-0000-0000603D0000}"/>
    <cellStyle name="Normal 5 6 6 2 3 2" xfId="19787" xr:uid="{00000000-0005-0000-0000-0000613D0000}"/>
    <cellStyle name="Normal 5 6 6 2 3 3" xfId="12531" xr:uid="{00000000-0005-0000-0000-0000623D0000}"/>
    <cellStyle name="Normal 5 6 6 2 4" xfId="16159" xr:uid="{00000000-0005-0000-0000-0000633D0000}"/>
    <cellStyle name="Normal 5 6 6 2 5" xfId="8903" xr:uid="{00000000-0005-0000-0000-0000643D0000}"/>
    <cellStyle name="Normal 5 6 6 3" xfId="2554" xr:uid="{00000000-0005-0000-0000-0000653D0000}"/>
    <cellStyle name="Normal 5 6 6 3 2" xfId="6182" xr:uid="{00000000-0005-0000-0000-0000663D0000}"/>
    <cellStyle name="Normal 5 6 6 3 2 2" xfId="20694" xr:uid="{00000000-0005-0000-0000-0000673D0000}"/>
    <cellStyle name="Normal 5 6 6 3 2 3" xfId="13438" xr:uid="{00000000-0005-0000-0000-0000683D0000}"/>
    <cellStyle name="Normal 5 6 6 3 3" xfId="17066" xr:uid="{00000000-0005-0000-0000-0000693D0000}"/>
    <cellStyle name="Normal 5 6 6 3 4" xfId="9810" xr:uid="{00000000-0005-0000-0000-00006A3D0000}"/>
    <cellStyle name="Normal 5 6 6 4" xfId="4368" xr:uid="{00000000-0005-0000-0000-00006B3D0000}"/>
    <cellStyle name="Normal 5 6 6 4 2" xfId="18880" xr:uid="{00000000-0005-0000-0000-00006C3D0000}"/>
    <cellStyle name="Normal 5 6 6 4 3" xfId="11624" xr:uid="{00000000-0005-0000-0000-00006D3D0000}"/>
    <cellStyle name="Normal 5 6 6 5" xfId="15252" xr:uid="{00000000-0005-0000-0000-00006E3D0000}"/>
    <cellStyle name="Normal 5 6 6 6" xfId="7996" xr:uid="{00000000-0005-0000-0000-00006F3D0000}"/>
    <cellStyle name="Normal 5 6 7" xfId="393" xr:uid="{00000000-0005-0000-0000-0000703D0000}"/>
    <cellStyle name="Normal 5 6 7 2" xfId="1301" xr:uid="{00000000-0005-0000-0000-0000713D0000}"/>
    <cellStyle name="Normal 5 6 7 2 2" xfId="3115" xr:uid="{00000000-0005-0000-0000-0000723D0000}"/>
    <cellStyle name="Normal 5 6 7 2 2 2" xfId="6743" xr:uid="{00000000-0005-0000-0000-0000733D0000}"/>
    <cellStyle name="Normal 5 6 7 2 2 2 2" xfId="21255" xr:uid="{00000000-0005-0000-0000-0000743D0000}"/>
    <cellStyle name="Normal 5 6 7 2 2 2 3" xfId="13999" xr:uid="{00000000-0005-0000-0000-0000753D0000}"/>
    <cellStyle name="Normal 5 6 7 2 2 3" xfId="17627" xr:uid="{00000000-0005-0000-0000-0000763D0000}"/>
    <cellStyle name="Normal 5 6 7 2 2 4" xfId="10371" xr:uid="{00000000-0005-0000-0000-0000773D0000}"/>
    <cellStyle name="Normal 5 6 7 2 3" xfId="4929" xr:uid="{00000000-0005-0000-0000-0000783D0000}"/>
    <cellStyle name="Normal 5 6 7 2 3 2" xfId="19441" xr:uid="{00000000-0005-0000-0000-0000793D0000}"/>
    <cellStyle name="Normal 5 6 7 2 3 3" xfId="12185" xr:uid="{00000000-0005-0000-0000-00007A3D0000}"/>
    <cellStyle name="Normal 5 6 7 2 4" xfId="15813" xr:uid="{00000000-0005-0000-0000-00007B3D0000}"/>
    <cellStyle name="Normal 5 6 7 2 5" xfId="8557" xr:uid="{00000000-0005-0000-0000-00007C3D0000}"/>
    <cellStyle name="Normal 5 6 7 3" xfId="2208" xr:uid="{00000000-0005-0000-0000-00007D3D0000}"/>
    <cellStyle name="Normal 5 6 7 3 2" xfId="5836" xr:uid="{00000000-0005-0000-0000-00007E3D0000}"/>
    <cellStyle name="Normal 5 6 7 3 2 2" xfId="20348" xr:uid="{00000000-0005-0000-0000-00007F3D0000}"/>
    <cellStyle name="Normal 5 6 7 3 2 3" xfId="13092" xr:uid="{00000000-0005-0000-0000-0000803D0000}"/>
    <cellStyle name="Normal 5 6 7 3 3" xfId="16720" xr:uid="{00000000-0005-0000-0000-0000813D0000}"/>
    <cellStyle name="Normal 5 6 7 3 4" xfId="9464" xr:uid="{00000000-0005-0000-0000-0000823D0000}"/>
    <cellStyle name="Normal 5 6 7 4" xfId="4022" xr:uid="{00000000-0005-0000-0000-0000833D0000}"/>
    <cellStyle name="Normal 5 6 7 4 2" xfId="18534" xr:uid="{00000000-0005-0000-0000-0000843D0000}"/>
    <cellStyle name="Normal 5 6 7 4 3" xfId="11278" xr:uid="{00000000-0005-0000-0000-0000853D0000}"/>
    <cellStyle name="Normal 5 6 7 5" xfId="14906" xr:uid="{00000000-0005-0000-0000-0000863D0000}"/>
    <cellStyle name="Normal 5 6 7 6" xfId="7650" xr:uid="{00000000-0005-0000-0000-0000873D0000}"/>
    <cellStyle name="Normal 5 6 8" xfId="875" xr:uid="{00000000-0005-0000-0000-0000883D0000}"/>
    <cellStyle name="Normal 5 6 8 2" xfId="1783" xr:uid="{00000000-0005-0000-0000-0000893D0000}"/>
    <cellStyle name="Normal 5 6 8 2 2" xfId="3597" xr:uid="{00000000-0005-0000-0000-00008A3D0000}"/>
    <cellStyle name="Normal 5 6 8 2 2 2" xfId="7225" xr:uid="{00000000-0005-0000-0000-00008B3D0000}"/>
    <cellStyle name="Normal 5 6 8 2 2 2 2" xfId="21737" xr:uid="{00000000-0005-0000-0000-00008C3D0000}"/>
    <cellStyle name="Normal 5 6 8 2 2 2 3" xfId="14481" xr:uid="{00000000-0005-0000-0000-00008D3D0000}"/>
    <cellStyle name="Normal 5 6 8 2 2 3" xfId="18109" xr:uid="{00000000-0005-0000-0000-00008E3D0000}"/>
    <cellStyle name="Normal 5 6 8 2 2 4" xfId="10853" xr:uid="{00000000-0005-0000-0000-00008F3D0000}"/>
    <cellStyle name="Normal 5 6 8 2 3" xfId="5411" xr:uid="{00000000-0005-0000-0000-0000903D0000}"/>
    <cellStyle name="Normal 5 6 8 2 3 2" xfId="19923" xr:uid="{00000000-0005-0000-0000-0000913D0000}"/>
    <cellStyle name="Normal 5 6 8 2 3 3" xfId="12667" xr:uid="{00000000-0005-0000-0000-0000923D0000}"/>
    <cellStyle name="Normal 5 6 8 2 4" xfId="16295" xr:uid="{00000000-0005-0000-0000-0000933D0000}"/>
    <cellStyle name="Normal 5 6 8 2 5" xfId="9039" xr:uid="{00000000-0005-0000-0000-0000943D0000}"/>
    <cellStyle name="Normal 5 6 8 3" xfId="2690" xr:uid="{00000000-0005-0000-0000-0000953D0000}"/>
    <cellStyle name="Normal 5 6 8 3 2" xfId="6318" xr:uid="{00000000-0005-0000-0000-0000963D0000}"/>
    <cellStyle name="Normal 5 6 8 3 2 2" xfId="20830" xr:uid="{00000000-0005-0000-0000-0000973D0000}"/>
    <cellStyle name="Normal 5 6 8 3 2 3" xfId="13574" xr:uid="{00000000-0005-0000-0000-0000983D0000}"/>
    <cellStyle name="Normal 5 6 8 3 3" xfId="17202" xr:uid="{00000000-0005-0000-0000-0000993D0000}"/>
    <cellStyle name="Normal 5 6 8 3 4" xfId="9946" xr:uid="{00000000-0005-0000-0000-00009A3D0000}"/>
    <cellStyle name="Normal 5 6 8 4" xfId="4504" xr:uid="{00000000-0005-0000-0000-00009B3D0000}"/>
    <cellStyle name="Normal 5 6 8 4 2" xfId="19016" xr:uid="{00000000-0005-0000-0000-00009C3D0000}"/>
    <cellStyle name="Normal 5 6 8 4 3" xfId="11760" xr:uid="{00000000-0005-0000-0000-00009D3D0000}"/>
    <cellStyle name="Normal 5 6 8 5" xfId="15388" xr:uid="{00000000-0005-0000-0000-00009E3D0000}"/>
    <cellStyle name="Normal 5 6 8 6" xfId="8132" xr:uid="{00000000-0005-0000-0000-00009F3D0000}"/>
    <cellStyle name="Normal 5 6 9" xfId="955" xr:uid="{00000000-0005-0000-0000-0000A03D0000}"/>
    <cellStyle name="Normal 5 6 9 2" xfId="2769" xr:uid="{00000000-0005-0000-0000-0000A13D0000}"/>
    <cellStyle name="Normal 5 6 9 2 2" xfId="6397" xr:uid="{00000000-0005-0000-0000-0000A23D0000}"/>
    <cellStyle name="Normal 5 6 9 2 2 2" xfId="20909" xr:uid="{00000000-0005-0000-0000-0000A33D0000}"/>
    <cellStyle name="Normal 5 6 9 2 2 3" xfId="13653" xr:uid="{00000000-0005-0000-0000-0000A43D0000}"/>
    <cellStyle name="Normal 5 6 9 2 3" xfId="17281" xr:uid="{00000000-0005-0000-0000-0000A53D0000}"/>
    <cellStyle name="Normal 5 6 9 2 4" xfId="10025" xr:uid="{00000000-0005-0000-0000-0000A63D0000}"/>
    <cellStyle name="Normal 5 6 9 3" xfId="4583" xr:uid="{00000000-0005-0000-0000-0000A73D0000}"/>
    <cellStyle name="Normal 5 6 9 3 2" xfId="19095" xr:uid="{00000000-0005-0000-0000-0000A83D0000}"/>
    <cellStyle name="Normal 5 6 9 3 3" xfId="11839" xr:uid="{00000000-0005-0000-0000-0000A93D0000}"/>
    <cellStyle name="Normal 5 6 9 4" xfId="15467" xr:uid="{00000000-0005-0000-0000-0000AA3D0000}"/>
    <cellStyle name="Normal 5 6 9 5" xfId="8211" xr:uid="{00000000-0005-0000-0000-0000AB3D0000}"/>
    <cellStyle name="Normal 5 7" xfId="66" xr:uid="{00000000-0005-0000-0000-0000AC3D0000}"/>
    <cellStyle name="Normal 5 7 10" xfId="14581" xr:uid="{00000000-0005-0000-0000-0000AD3D0000}"/>
    <cellStyle name="Normal 5 7 11" xfId="7325" xr:uid="{00000000-0005-0000-0000-0000AE3D0000}"/>
    <cellStyle name="Normal 5 7 2" xfId="154" xr:uid="{00000000-0005-0000-0000-0000AF3D0000}"/>
    <cellStyle name="Normal 5 7 2 2" xfId="500" xr:uid="{00000000-0005-0000-0000-0000B03D0000}"/>
    <cellStyle name="Normal 5 7 2 2 2" xfId="1408" xr:uid="{00000000-0005-0000-0000-0000B13D0000}"/>
    <cellStyle name="Normal 5 7 2 2 2 2" xfId="3222" xr:uid="{00000000-0005-0000-0000-0000B23D0000}"/>
    <cellStyle name="Normal 5 7 2 2 2 2 2" xfId="6850" xr:uid="{00000000-0005-0000-0000-0000B33D0000}"/>
    <cellStyle name="Normal 5 7 2 2 2 2 2 2" xfId="21362" xr:uid="{00000000-0005-0000-0000-0000B43D0000}"/>
    <cellStyle name="Normal 5 7 2 2 2 2 2 3" xfId="14106" xr:uid="{00000000-0005-0000-0000-0000B53D0000}"/>
    <cellStyle name="Normal 5 7 2 2 2 2 3" xfId="17734" xr:uid="{00000000-0005-0000-0000-0000B63D0000}"/>
    <cellStyle name="Normal 5 7 2 2 2 2 4" xfId="10478" xr:uid="{00000000-0005-0000-0000-0000B73D0000}"/>
    <cellStyle name="Normal 5 7 2 2 2 3" xfId="5036" xr:uid="{00000000-0005-0000-0000-0000B83D0000}"/>
    <cellStyle name="Normal 5 7 2 2 2 3 2" xfId="19548" xr:uid="{00000000-0005-0000-0000-0000B93D0000}"/>
    <cellStyle name="Normal 5 7 2 2 2 3 3" xfId="12292" xr:uid="{00000000-0005-0000-0000-0000BA3D0000}"/>
    <cellStyle name="Normal 5 7 2 2 2 4" xfId="15920" xr:uid="{00000000-0005-0000-0000-0000BB3D0000}"/>
    <cellStyle name="Normal 5 7 2 2 2 5" xfId="8664" xr:uid="{00000000-0005-0000-0000-0000BC3D0000}"/>
    <cellStyle name="Normal 5 7 2 2 3" xfId="2315" xr:uid="{00000000-0005-0000-0000-0000BD3D0000}"/>
    <cellStyle name="Normal 5 7 2 2 3 2" xfId="5943" xr:uid="{00000000-0005-0000-0000-0000BE3D0000}"/>
    <cellStyle name="Normal 5 7 2 2 3 2 2" xfId="20455" xr:uid="{00000000-0005-0000-0000-0000BF3D0000}"/>
    <cellStyle name="Normal 5 7 2 2 3 2 3" xfId="13199" xr:uid="{00000000-0005-0000-0000-0000C03D0000}"/>
    <cellStyle name="Normal 5 7 2 2 3 3" xfId="16827" xr:uid="{00000000-0005-0000-0000-0000C13D0000}"/>
    <cellStyle name="Normal 5 7 2 2 3 4" xfId="9571" xr:uid="{00000000-0005-0000-0000-0000C23D0000}"/>
    <cellStyle name="Normal 5 7 2 2 4" xfId="4129" xr:uid="{00000000-0005-0000-0000-0000C33D0000}"/>
    <cellStyle name="Normal 5 7 2 2 4 2" xfId="18641" xr:uid="{00000000-0005-0000-0000-0000C43D0000}"/>
    <cellStyle name="Normal 5 7 2 2 4 3" xfId="11385" xr:uid="{00000000-0005-0000-0000-0000C53D0000}"/>
    <cellStyle name="Normal 5 7 2 2 5" xfId="15013" xr:uid="{00000000-0005-0000-0000-0000C63D0000}"/>
    <cellStyle name="Normal 5 7 2 2 6" xfId="7757" xr:uid="{00000000-0005-0000-0000-0000C73D0000}"/>
    <cellStyle name="Normal 5 7 2 3" xfId="1062" xr:uid="{00000000-0005-0000-0000-0000C83D0000}"/>
    <cellStyle name="Normal 5 7 2 3 2" xfId="2876" xr:uid="{00000000-0005-0000-0000-0000C93D0000}"/>
    <cellStyle name="Normal 5 7 2 3 2 2" xfId="6504" xr:uid="{00000000-0005-0000-0000-0000CA3D0000}"/>
    <cellStyle name="Normal 5 7 2 3 2 2 2" xfId="21016" xr:uid="{00000000-0005-0000-0000-0000CB3D0000}"/>
    <cellStyle name="Normal 5 7 2 3 2 2 3" xfId="13760" xr:uid="{00000000-0005-0000-0000-0000CC3D0000}"/>
    <cellStyle name="Normal 5 7 2 3 2 3" xfId="17388" xr:uid="{00000000-0005-0000-0000-0000CD3D0000}"/>
    <cellStyle name="Normal 5 7 2 3 2 4" xfId="10132" xr:uid="{00000000-0005-0000-0000-0000CE3D0000}"/>
    <cellStyle name="Normal 5 7 2 3 3" xfId="4690" xr:uid="{00000000-0005-0000-0000-0000CF3D0000}"/>
    <cellStyle name="Normal 5 7 2 3 3 2" xfId="19202" xr:uid="{00000000-0005-0000-0000-0000D03D0000}"/>
    <cellStyle name="Normal 5 7 2 3 3 3" xfId="11946" xr:uid="{00000000-0005-0000-0000-0000D13D0000}"/>
    <cellStyle name="Normal 5 7 2 3 4" xfId="15574" xr:uid="{00000000-0005-0000-0000-0000D23D0000}"/>
    <cellStyle name="Normal 5 7 2 3 5" xfId="8318" xr:uid="{00000000-0005-0000-0000-0000D33D0000}"/>
    <cellStyle name="Normal 5 7 2 4" xfId="1969" xr:uid="{00000000-0005-0000-0000-0000D43D0000}"/>
    <cellStyle name="Normal 5 7 2 4 2" xfId="5597" xr:uid="{00000000-0005-0000-0000-0000D53D0000}"/>
    <cellStyle name="Normal 5 7 2 4 2 2" xfId="20109" xr:uid="{00000000-0005-0000-0000-0000D63D0000}"/>
    <cellStyle name="Normal 5 7 2 4 2 3" xfId="12853" xr:uid="{00000000-0005-0000-0000-0000D73D0000}"/>
    <cellStyle name="Normal 5 7 2 4 3" xfId="16481" xr:uid="{00000000-0005-0000-0000-0000D83D0000}"/>
    <cellStyle name="Normal 5 7 2 4 4" xfId="9225" xr:uid="{00000000-0005-0000-0000-0000D93D0000}"/>
    <cellStyle name="Normal 5 7 2 5" xfId="3783" xr:uid="{00000000-0005-0000-0000-0000DA3D0000}"/>
    <cellStyle name="Normal 5 7 2 5 2" xfId="18295" xr:uid="{00000000-0005-0000-0000-0000DB3D0000}"/>
    <cellStyle name="Normal 5 7 2 5 3" xfId="11039" xr:uid="{00000000-0005-0000-0000-0000DC3D0000}"/>
    <cellStyle name="Normal 5 7 2 6" xfId="14667" xr:uid="{00000000-0005-0000-0000-0000DD3D0000}"/>
    <cellStyle name="Normal 5 7 2 7" xfId="7411" xr:uid="{00000000-0005-0000-0000-0000DE3D0000}"/>
    <cellStyle name="Normal 5 7 3" xfId="284" xr:uid="{00000000-0005-0000-0000-0000DF3D0000}"/>
    <cellStyle name="Normal 5 7 3 2" xfId="630" xr:uid="{00000000-0005-0000-0000-0000E03D0000}"/>
    <cellStyle name="Normal 5 7 3 2 2" xfId="1538" xr:uid="{00000000-0005-0000-0000-0000E13D0000}"/>
    <cellStyle name="Normal 5 7 3 2 2 2" xfId="3352" xr:uid="{00000000-0005-0000-0000-0000E23D0000}"/>
    <cellStyle name="Normal 5 7 3 2 2 2 2" xfId="6980" xr:uid="{00000000-0005-0000-0000-0000E33D0000}"/>
    <cellStyle name="Normal 5 7 3 2 2 2 2 2" xfId="21492" xr:uid="{00000000-0005-0000-0000-0000E43D0000}"/>
    <cellStyle name="Normal 5 7 3 2 2 2 2 3" xfId="14236" xr:uid="{00000000-0005-0000-0000-0000E53D0000}"/>
    <cellStyle name="Normal 5 7 3 2 2 2 3" xfId="17864" xr:uid="{00000000-0005-0000-0000-0000E63D0000}"/>
    <cellStyle name="Normal 5 7 3 2 2 2 4" xfId="10608" xr:uid="{00000000-0005-0000-0000-0000E73D0000}"/>
    <cellStyle name="Normal 5 7 3 2 2 3" xfId="5166" xr:uid="{00000000-0005-0000-0000-0000E83D0000}"/>
    <cellStyle name="Normal 5 7 3 2 2 3 2" xfId="19678" xr:uid="{00000000-0005-0000-0000-0000E93D0000}"/>
    <cellStyle name="Normal 5 7 3 2 2 3 3" xfId="12422" xr:uid="{00000000-0005-0000-0000-0000EA3D0000}"/>
    <cellStyle name="Normal 5 7 3 2 2 4" xfId="16050" xr:uid="{00000000-0005-0000-0000-0000EB3D0000}"/>
    <cellStyle name="Normal 5 7 3 2 2 5" xfId="8794" xr:uid="{00000000-0005-0000-0000-0000EC3D0000}"/>
    <cellStyle name="Normal 5 7 3 2 3" xfId="2445" xr:uid="{00000000-0005-0000-0000-0000ED3D0000}"/>
    <cellStyle name="Normal 5 7 3 2 3 2" xfId="6073" xr:uid="{00000000-0005-0000-0000-0000EE3D0000}"/>
    <cellStyle name="Normal 5 7 3 2 3 2 2" xfId="20585" xr:uid="{00000000-0005-0000-0000-0000EF3D0000}"/>
    <cellStyle name="Normal 5 7 3 2 3 2 3" xfId="13329" xr:uid="{00000000-0005-0000-0000-0000F03D0000}"/>
    <cellStyle name="Normal 5 7 3 2 3 3" xfId="16957" xr:uid="{00000000-0005-0000-0000-0000F13D0000}"/>
    <cellStyle name="Normal 5 7 3 2 3 4" xfId="9701" xr:uid="{00000000-0005-0000-0000-0000F23D0000}"/>
    <cellStyle name="Normal 5 7 3 2 4" xfId="4259" xr:uid="{00000000-0005-0000-0000-0000F33D0000}"/>
    <cellStyle name="Normal 5 7 3 2 4 2" xfId="18771" xr:uid="{00000000-0005-0000-0000-0000F43D0000}"/>
    <cellStyle name="Normal 5 7 3 2 4 3" xfId="11515" xr:uid="{00000000-0005-0000-0000-0000F53D0000}"/>
    <cellStyle name="Normal 5 7 3 2 5" xfId="15143" xr:uid="{00000000-0005-0000-0000-0000F63D0000}"/>
    <cellStyle name="Normal 5 7 3 2 6" xfId="7887" xr:uid="{00000000-0005-0000-0000-0000F73D0000}"/>
    <cellStyle name="Normal 5 7 3 3" xfId="1192" xr:uid="{00000000-0005-0000-0000-0000F83D0000}"/>
    <cellStyle name="Normal 5 7 3 3 2" xfId="3006" xr:uid="{00000000-0005-0000-0000-0000F93D0000}"/>
    <cellStyle name="Normal 5 7 3 3 2 2" xfId="6634" xr:uid="{00000000-0005-0000-0000-0000FA3D0000}"/>
    <cellStyle name="Normal 5 7 3 3 2 2 2" xfId="21146" xr:uid="{00000000-0005-0000-0000-0000FB3D0000}"/>
    <cellStyle name="Normal 5 7 3 3 2 2 3" xfId="13890" xr:uid="{00000000-0005-0000-0000-0000FC3D0000}"/>
    <cellStyle name="Normal 5 7 3 3 2 3" xfId="17518" xr:uid="{00000000-0005-0000-0000-0000FD3D0000}"/>
    <cellStyle name="Normal 5 7 3 3 2 4" xfId="10262" xr:uid="{00000000-0005-0000-0000-0000FE3D0000}"/>
    <cellStyle name="Normal 5 7 3 3 3" xfId="4820" xr:uid="{00000000-0005-0000-0000-0000FF3D0000}"/>
    <cellStyle name="Normal 5 7 3 3 3 2" xfId="19332" xr:uid="{00000000-0005-0000-0000-0000003E0000}"/>
    <cellStyle name="Normal 5 7 3 3 3 3" xfId="12076" xr:uid="{00000000-0005-0000-0000-0000013E0000}"/>
    <cellStyle name="Normal 5 7 3 3 4" xfId="15704" xr:uid="{00000000-0005-0000-0000-0000023E0000}"/>
    <cellStyle name="Normal 5 7 3 3 5" xfId="8448" xr:uid="{00000000-0005-0000-0000-0000033E0000}"/>
    <cellStyle name="Normal 5 7 3 4" xfId="2099" xr:uid="{00000000-0005-0000-0000-0000043E0000}"/>
    <cellStyle name="Normal 5 7 3 4 2" xfId="5727" xr:uid="{00000000-0005-0000-0000-0000053E0000}"/>
    <cellStyle name="Normal 5 7 3 4 2 2" xfId="20239" xr:uid="{00000000-0005-0000-0000-0000063E0000}"/>
    <cellStyle name="Normal 5 7 3 4 2 3" xfId="12983" xr:uid="{00000000-0005-0000-0000-0000073E0000}"/>
    <cellStyle name="Normal 5 7 3 4 3" xfId="16611" xr:uid="{00000000-0005-0000-0000-0000083E0000}"/>
    <cellStyle name="Normal 5 7 3 4 4" xfId="9355" xr:uid="{00000000-0005-0000-0000-0000093E0000}"/>
    <cellStyle name="Normal 5 7 3 5" xfId="3913" xr:uid="{00000000-0005-0000-0000-00000A3E0000}"/>
    <cellStyle name="Normal 5 7 3 5 2" xfId="18425" xr:uid="{00000000-0005-0000-0000-00000B3E0000}"/>
    <cellStyle name="Normal 5 7 3 5 3" xfId="11169" xr:uid="{00000000-0005-0000-0000-00000C3E0000}"/>
    <cellStyle name="Normal 5 7 3 6" xfId="14797" xr:uid="{00000000-0005-0000-0000-00000D3E0000}"/>
    <cellStyle name="Normal 5 7 3 7" xfId="7541" xr:uid="{00000000-0005-0000-0000-00000E3E0000}"/>
    <cellStyle name="Normal 5 7 4" xfId="760" xr:uid="{00000000-0005-0000-0000-00000F3E0000}"/>
    <cellStyle name="Normal 5 7 4 2" xfId="1668" xr:uid="{00000000-0005-0000-0000-0000103E0000}"/>
    <cellStyle name="Normal 5 7 4 2 2" xfId="3482" xr:uid="{00000000-0005-0000-0000-0000113E0000}"/>
    <cellStyle name="Normal 5 7 4 2 2 2" xfId="7110" xr:uid="{00000000-0005-0000-0000-0000123E0000}"/>
    <cellStyle name="Normal 5 7 4 2 2 2 2" xfId="21622" xr:uid="{00000000-0005-0000-0000-0000133E0000}"/>
    <cellStyle name="Normal 5 7 4 2 2 2 3" xfId="14366" xr:uid="{00000000-0005-0000-0000-0000143E0000}"/>
    <cellStyle name="Normal 5 7 4 2 2 3" xfId="17994" xr:uid="{00000000-0005-0000-0000-0000153E0000}"/>
    <cellStyle name="Normal 5 7 4 2 2 4" xfId="10738" xr:uid="{00000000-0005-0000-0000-0000163E0000}"/>
    <cellStyle name="Normal 5 7 4 2 3" xfId="5296" xr:uid="{00000000-0005-0000-0000-0000173E0000}"/>
    <cellStyle name="Normal 5 7 4 2 3 2" xfId="19808" xr:uid="{00000000-0005-0000-0000-0000183E0000}"/>
    <cellStyle name="Normal 5 7 4 2 3 3" xfId="12552" xr:uid="{00000000-0005-0000-0000-0000193E0000}"/>
    <cellStyle name="Normal 5 7 4 2 4" xfId="16180" xr:uid="{00000000-0005-0000-0000-00001A3E0000}"/>
    <cellStyle name="Normal 5 7 4 2 5" xfId="8924" xr:uid="{00000000-0005-0000-0000-00001B3E0000}"/>
    <cellStyle name="Normal 5 7 4 3" xfId="2575" xr:uid="{00000000-0005-0000-0000-00001C3E0000}"/>
    <cellStyle name="Normal 5 7 4 3 2" xfId="6203" xr:uid="{00000000-0005-0000-0000-00001D3E0000}"/>
    <cellStyle name="Normal 5 7 4 3 2 2" xfId="20715" xr:uid="{00000000-0005-0000-0000-00001E3E0000}"/>
    <cellStyle name="Normal 5 7 4 3 2 3" xfId="13459" xr:uid="{00000000-0005-0000-0000-00001F3E0000}"/>
    <cellStyle name="Normal 5 7 4 3 3" xfId="17087" xr:uid="{00000000-0005-0000-0000-0000203E0000}"/>
    <cellStyle name="Normal 5 7 4 3 4" xfId="9831" xr:uid="{00000000-0005-0000-0000-0000213E0000}"/>
    <cellStyle name="Normal 5 7 4 4" xfId="4389" xr:uid="{00000000-0005-0000-0000-0000223E0000}"/>
    <cellStyle name="Normal 5 7 4 4 2" xfId="18901" xr:uid="{00000000-0005-0000-0000-0000233E0000}"/>
    <cellStyle name="Normal 5 7 4 4 3" xfId="11645" xr:uid="{00000000-0005-0000-0000-0000243E0000}"/>
    <cellStyle name="Normal 5 7 4 5" xfId="15273" xr:uid="{00000000-0005-0000-0000-0000253E0000}"/>
    <cellStyle name="Normal 5 7 4 6" xfId="8017" xr:uid="{00000000-0005-0000-0000-0000263E0000}"/>
    <cellStyle name="Normal 5 7 5" xfId="414" xr:uid="{00000000-0005-0000-0000-0000273E0000}"/>
    <cellStyle name="Normal 5 7 5 2" xfId="1322" xr:uid="{00000000-0005-0000-0000-0000283E0000}"/>
    <cellStyle name="Normal 5 7 5 2 2" xfId="3136" xr:uid="{00000000-0005-0000-0000-0000293E0000}"/>
    <cellStyle name="Normal 5 7 5 2 2 2" xfId="6764" xr:uid="{00000000-0005-0000-0000-00002A3E0000}"/>
    <cellStyle name="Normal 5 7 5 2 2 2 2" xfId="21276" xr:uid="{00000000-0005-0000-0000-00002B3E0000}"/>
    <cellStyle name="Normal 5 7 5 2 2 2 3" xfId="14020" xr:uid="{00000000-0005-0000-0000-00002C3E0000}"/>
    <cellStyle name="Normal 5 7 5 2 2 3" xfId="17648" xr:uid="{00000000-0005-0000-0000-00002D3E0000}"/>
    <cellStyle name="Normal 5 7 5 2 2 4" xfId="10392" xr:uid="{00000000-0005-0000-0000-00002E3E0000}"/>
    <cellStyle name="Normal 5 7 5 2 3" xfId="4950" xr:uid="{00000000-0005-0000-0000-00002F3E0000}"/>
    <cellStyle name="Normal 5 7 5 2 3 2" xfId="19462" xr:uid="{00000000-0005-0000-0000-0000303E0000}"/>
    <cellStyle name="Normal 5 7 5 2 3 3" xfId="12206" xr:uid="{00000000-0005-0000-0000-0000313E0000}"/>
    <cellStyle name="Normal 5 7 5 2 4" xfId="15834" xr:uid="{00000000-0005-0000-0000-0000323E0000}"/>
    <cellStyle name="Normal 5 7 5 2 5" xfId="8578" xr:uid="{00000000-0005-0000-0000-0000333E0000}"/>
    <cellStyle name="Normal 5 7 5 3" xfId="2229" xr:uid="{00000000-0005-0000-0000-0000343E0000}"/>
    <cellStyle name="Normal 5 7 5 3 2" xfId="5857" xr:uid="{00000000-0005-0000-0000-0000353E0000}"/>
    <cellStyle name="Normal 5 7 5 3 2 2" xfId="20369" xr:uid="{00000000-0005-0000-0000-0000363E0000}"/>
    <cellStyle name="Normal 5 7 5 3 2 3" xfId="13113" xr:uid="{00000000-0005-0000-0000-0000373E0000}"/>
    <cellStyle name="Normal 5 7 5 3 3" xfId="16741" xr:uid="{00000000-0005-0000-0000-0000383E0000}"/>
    <cellStyle name="Normal 5 7 5 3 4" xfId="9485" xr:uid="{00000000-0005-0000-0000-0000393E0000}"/>
    <cellStyle name="Normal 5 7 5 4" xfId="4043" xr:uid="{00000000-0005-0000-0000-00003A3E0000}"/>
    <cellStyle name="Normal 5 7 5 4 2" xfId="18555" xr:uid="{00000000-0005-0000-0000-00003B3E0000}"/>
    <cellStyle name="Normal 5 7 5 4 3" xfId="11299" xr:uid="{00000000-0005-0000-0000-00003C3E0000}"/>
    <cellStyle name="Normal 5 7 5 5" xfId="14927" xr:uid="{00000000-0005-0000-0000-00003D3E0000}"/>
    <cellStyle name="Normal 5 7 5 6" xfId="7671" xr:uid="{00000000-0005-0000-0000-00003E3E0000}"/>
    <cellStyle name="Normal 5 7 6" xfId="891" xr:uid="{00000000-0005-0000-0000-00003F3E0000}"/>
    <cellStyle name="Normal 5 7 6 2" xfId="1799" xr:uid="{00000000-0005-0000-0000-0000403E0000}"/>
    <cellStyle name="Normal 5 7 6 2 2" xfId="3613" xr:uid="{00000000-0005-0000-0000-0000413E0000}"/>
    <cellStyle name="Normal 5 7 6 2 2 2" xfId="7241" xr:uid="{00000000-0005-0000-0000-0000423E0000}"/>
    <cellStyle name="Normal 5 7 6 2 2 2 2" xfId="21753" xr:uid="{00000000-0005-0000-0000-0000433E0000}"/>
    <cellStyle name="Normal 5 7 6 2 2 2 3" xfId="14497" xr:uid="{00000000-0005-0000-0000-0000443E0000}"/>
    <cellStyle name="Normal 5 7 6 2 2 3" xfId="18125" xr:uid="{00000000-0005-0000-0000-0000453E0000}"/>
    <cellStyle name="Normal 5 7 6 2 2 4" xfId="10869" xr:uid="{00000000-0005-0000-0000-0000463E0000}"/>
    <cellStyle name="Normal 5 7 6 2 3" xfId="5427" xr:uid="{00000000-0005-0000-0000-0000473E0000}"/>
    <cellStyle name="Normal 5 7 6 2 3 2" xfId="19939" xr:uid="{00000000-0005-0000-0000-0000483E0000}"/>
    <cellStyle name="Normal 5 7 6 2 3 3" xfId="12683" xr:uid="{00000000-0005-0000-0000-0000493E0000}"/>
    <cellStyle name="Normal 5 7 6 2 4" xfId="16311" xr:uid="{00000000-0005-0000-0000-00004A3E0000}"/>
    <cellStyle name="Normal 5 7 6 2 5" xfId="9055" xr:uid="{00000000-0005-0000-0000-00004B3E0000}"/>
    <cellStyle name="Normal 5 7 6 3" xfId="2706" xr:uid="{00000000-0005-0000-0000-00004C3E0000}"/>
    <cellStyle name="Normal 5 7 6 3 2" xfId="6334" xr:uid="{00000000-0005-0000-0000-00004D3E0000}"/>
    <cellStyle name="Normal 5 7 6 3 2 2" xfId="20846" xr:uid="{00000000-0005-0000-0000-00004E3E0000}"/>
    <cellStyle name="Normal 5 7 6 3 2 3" xfId="13590" xr:uid="{00000000-0005-0000-0000-00004F3E0000}"/>
    <cellStyle name="Normal 5 7 6 3 3" xfId="17218" xr:uid="{00000000-0005-0000-0000-0000503E0000}"/>
    <cellStyle name="Normal 5 7 6 3 4" xfId="9962" xr:uid="{00000000-0005-0000-0000-0000513E0000}"/>
    <cellStyle name="Normal 5 7 6 4" xfId="4520" xr:uid="{00000000-0005-0000-0000-0000523E0000}"/>
    <cellStyle name="Normal 5 7 6 4 2" xfId="19032" xr:uid="{00000000-0005-0000-0000-0000533E0000}"/>
    <cellStyle name="Normal 5 7 6 4 3" xfId="11776" xr:uid="{00000000-0005-0000-0000-0000543E0000}"/>
    <cellStyle name="Normal 5 7 6 5" xfId="15404" xr:uid="{00000000-0005-0000-0000-0000553E0000}"/>
    <cellStyle name="Normal 5 7 6 6" xfId="8148" xr:uid="{00000000-0005-0000-0000-0000563E0000}"/>
    <cellStyle name="Normal 5 7 7" xfId="976" xr:uid="{00000000-0005-0000-0000-0000573E0000}"/>
    <cellStyle name="Normal 5 7 7 2" xfId="2790" xr:uid="{00000000-0005-0000-0000-0000583E0000}"/>
    <cellStyle name="Normal 5 7 7 2 2" xfId="6418" xr:uid="{00000000-0005-0000-0000-0000593E0000}"/>
    <cellStyle name="Normal 5 7 7 2 2 2" xfId="20930" xr:uid="{00000000-0005-0000-0000-00005A3E0000}"/>
    <cellStyle name="Normal 5 7 7 2 2 3" xfId="13674" xr:uid="{00000000-0005-0000-0000-00005B3E0000}"/>
    <cellStyle name="Normal 5 7 7 2 3" xfId="17302" xr:uid="{00000000-0005-0000-0000-00005C3E0000}"/>
    <cellStyle name="Normal 5 7 7 2 4" xfId="10046" xr:uid="{00000000-0005-0000-0000-00005D3E0000}"/>
    <cellStyle name="Normal 5 7 7 3" xfId="4604" xr:uid="{00000000-0005-0000-0000-00005E3E0000}"/>
    <cellStyle name="Normal 5 7 7 3 2" xfId="19116" xr:uid="{00000000-0005-0000-0000-00005F3E0000}"/>
    <cellStyle name="Normal 5 7 7 3 3" xfId="11860" xr:uid="{00000000-0005-0000-0000-0000603E0000}"/>
    <cellStyle name="Normal 5 7 7 4" xfId="15488" xr:uid="{00000000-0005-0000-0000-0000613E0000}"/>
    <cellStyle name="Normal 5 7 7 5" xfId="8232" xr:uid="{00000000-0005-0000-0000-0000623E0000}"/>
    <cellStyle name="Normal 5 7 8" xfId="1883" xr:uid="{00000000-0005-0000-0000-0000633E0000}"/>
    <cellStyle name="Normal 5 7 8 2" xfId="5511" xr:uid="{00000000-0005-0000-0000-0000643E0000}"/>
    <cellStyle name="Normal 5 7 8 2 2" xfId="20023" xr:uid="{00000000-0005-0000-0000-0000653E0000}"/>
    <cellStyle name="Normal 5 7 8 2 3" xfId="12767" xr:uid="{00000000-0005-0000-0000-0000663E0000}"/>
    <cellStyle name="Normal 5 7 8 3" xfId="16395" xr:uid="{00000000-0005-0000-0000-0000673E0000}"/>
    <cellStyle name="Normal 5 7 8 4" xfId="9139" xr:uid="{00000000-0005-0000-0000-0000683E0000}"/>
    <cellStyle name="Normal 5 7 9" xfId="3697" xr:uid="{00000000-0005-0000-0000-0000693E0000}"/>
    <cellStyle name="Normal 5 7 9 2" xfId="18209" xr:uid="{00000000-0005-0000-0000-00006A3E0000}"/>
    <cellStyle name="Normal 5 7 9 3" xfId="10953" xr:uid="{00000000-0005-0000-0000-00006B3E0000}"/>
    <cellStyle name="Normal 5 8" xfId="198" xr:uid="{00000000-0005-0000-0000-00006C3E0000}"/>
    <cellStyle name="Normal 5 8 2" xfId="328" xr:uid="{00000000-0005-0000-0000-00006D3E0000}"/>
    <cellStyle name="Normal 5 8 2 2" xfId="674" xr:uid="{00000000-0005-0000-0000-00006E3E0000}"/>
    <cellStyle name="Normal 5 8 2 2 2" xfId="1582" xr:uid="{00000000-0005-0000-0000-00006F3E0000}"/>
    <cellStyle name="Normal 5 8 2 2 2 2" xfId="3396" xr:uid="{00000000-0005-0000-0000-0000703E0000}"/>
    <cellStyle name="Normal 5 8 2 2 2 2 2" xfId="7024" xr:uid="{00000000-0005-0000-0000-0000713E0000}"/>
    <cellStyle name="Normal 5 8 2 2 2 2 2 2" xfId="21536" xr:uid="{00000000-0005-0000-0000-0000723E0000}"/>
    <cellStyle name="Normal 5 8 2 2 2 2 2 3" xfId="14280" xr:uid="{00000000-0005-0000-0000-0000733E0000}"/>
    <cellStyle name="Normal 5 8 2 2 2 2 3" xfId="17908" xr:uid="{00000000-0005-0000-0000-0000743E0000}"/>
    <cellStyle name="Normal 5 8 2 2 2 2 4" xfId="10652" xr:uid="{00000000-0005-0000-0000-0000753E0000}"/>
    <cellStyle name="Normal 5 8 2 2 2 3" xfId="5210" xr:uid="{00000000-0005-0000-0000-0000763E0000}"/>
    <cellStyle name="Normal 5 8 2 2 2 3 2" xfId="19722" xr:uid="{00000000-0005-0000-0000-0000773E0000}"/>
    <cellStyle name="Normal 5 8 2 2 2 3 3" xfId="12466" xr:uid="{00000000-0005-0000-0000-0000783E0000}"/>
    <cellStyle name="Normal 5 8 2 2 2 4" xfId="16094" xr:uid="{00000000-0005-0000-0000-0000793E0000}"/>
    <cellStyle name="Normal 5 8 2 2 2 5" xfId="8838" xr:uid="{00000000-0005-0000-0000-00007A3E0000}"/>
    <cellStyle name="Normal 5 8 2 2 3" xfId="2489" xr:uid="{00000000-0005-0000-0000-00007B3E0000}"/>
    <cellStyle name="Normal 5 8 2 2 3 2" xfId="6117" xr:uid="{00000000-0005-0000-0000-00007C3E0000}"/>
    <cellStyle name="Normal 5 8 2 2 3 2 2" xfId="20629" xr:uid="{00000000-0005-0000-0000-00007D3E0000}"/>
    <cellStyle name="Normal 5 8 2 2 3 2 3" xfId="13373" xr:uid="{00000000-0005-0000-0000-00007E3E0000}"/>
    <cellStyle name="Normal 5 8 2 2 3 3" xfId="17001" xr:uid="{00000000-0005-0000-0000-00007F3E0000}"/>
    <cellStyle name="Normal 5 8 2 2 3 4" xfId="9745" xr:uid="{00000000-0005-0000-0000-0000803E0000}"/>
    <cellStyle name="Normal 5 8 2 2 4" xfId="4303" xr:uid="{00000000-0005-0000-0000-0000813E0000}"/>
    <cellStyle name="Normal 5 8 2 2 4 2" xfId="18815" xr:uid="{00000000-0005-0000-0000-0000823E0000}"/>
    <cellStyle name="Normal 5 8 2 2 4 3" xfId="11559" xr:uid="{00000000-0005-0000-0000-0000833E0000}"/>
    <cellStyle name="Normal 5 8 2 2 5" xfId="15187" xr:uid="{00000000-0005-0000-0000-0000843E0000}"/>
    <cellStyle name="Normal 5 8 2 2 6" xfId="7931" xr:uid="{00000000-0005-0000-0000-0000853E0000}"/>
    <cellStyle name="Normal 5 8 2 3" xfId="1236" xr:uid="{00000000-0005-0000-0000-0000863E0000}"/>
    <cellStyle name="Normal 5 8 2 3 2" xfId="3050" xr:uid="{00000000-0005-0000-0000-0000873E0000}"/>
    <cellStyle name="Normal 5 8 2 3 2 2" xfId="6678" xr:uid="{00000000-0005-0000-0000-0000883E0000}"/>
    <cellStyle name="Normal 5 8 2 3 2 2 2" xfId="21190" xr:uid="{00000000-0005-0000-0000-0000893E0000}"/>
    <cellStyle name="Normal 5 8 2 3 2 2 3" xfId="13934" xr:uid="{00000000-0005-0000-0000-00008A3E0000}"/>
    <cellStyle name="Normal 5 8 2 3 2 3" xfId="17562" xr:uid="{00000000-0005-0000-0000-00008B3E0000}"/>
    <cellStyle name="Normal 5 8 2 3 2 4" xfId="10306" xr:uid="{00000000-0005-0000-0000-00008C3E0000}"/>
    <cellStyle name="Normal 5 8 2 3 3" xfId="4864" xr:uid="{00000000-0005-0000-0000-00008D3E0000}"/>
    <cellStyle name="Normal 5 8 2 3 3 2" xfId="19376" xr:uid="{00000000-0005-0000-0000-00008E3E0000}"/>
    <cellStyle name="Normal 5 8 2 3 3 3" xfId="12120" xr:uid="{00000000-0005-0000-0000-00008F3E0000}"/>
    <cellStyle name="Normal 5 8 2 3 4" xfId="15748" xr:uid="{00000000-0005-0000-0000-0000903E0000}"/>
    <cellStyle name="Normal 5 8 2 3 5" xfId="8492" xr:uid="{00000000-0005-0000-0000-0000913E0000}"/>
    <cellStyle name="Normal 5 8 2 4" xfId="2143" xr:uid="{00000000-0005-0000-0000-0000923E0000}"/>
    <cellStyle name="Normal 5 8 2 4 2" xfId="5771" xr:uid="{00000000-0005-0000-0000-0000933E0000}"/>
    <cellStyle name="Normal 5 8 2 4 2 2" xfId="20283" xr:uid="{00000000-0005-0000-0000-0000943E0000}"/>
    <cellStyle name="Normal 5 8 2 4 2 3" xfId="13027" xr:uid="{00000000-0005-0000-0000-0000953E0000}"/>
    <cellStyle name="Normal 5 8 2 4 3" xfId="16655" xr:uid="{00000000-0005-0000-0000-0000963E0000}"/>
    <cellStyle name="Normal 5 8 2 4 4" xfId="9399" xr:uid="{00000000-0005-0000-0000-0000973E0000}"/>
    <cellStyle name="Normal 5 8 2 5" xfId="3957" xr:uid="{00000000-0005-0000-0000-0000983E0000}"/>
    <cellStyle name="Normal 5 8 2 5 2" xfId="18469" xr:uid="{00000000-0005-0000-0000-0000993E0000}"/>
    <cellStyle name="Normal 5 8 2 5 3" xfId="11213" xr:uid="{00000000-0005-0000-0000-00009A3E0000}"/>
    <cellStyle name="Normal 5 8 2 6" xfId="14841" xr:uid="{00000000-0005-0000-0000-00009B3E0000}"/>
    <cellStyle name="Normal 5 8 2 7" xfId="7585" xr:uid="{00000000-0005-0000-0000-00009C3E0000}"/>
    <cellStyle name="Normal 5 8 3" xfId="804" xr:uid="{00000000-0005-0000-0000-00009D3E0000}"/>
    <cellStyle name="Normal 5 8 3 2" xfId="1712" xr:uid="{00000000-0005-0000-0000-00009E3E0000}"/>
    <cellStyle name="Normal 5 8 3 2 2" xfId="3526" xr:uid="{00000000-0005-0000-0000-00009F3E0000}"/>
    <cellStyle name="Normal 5 8 3 2 2 2" xfId="7154" xr:uid="{00000000-0005-0000-0000-0000A03E0000}"/>
    <cellStyle name="Normal 5 8 3 2 2 2 2" xfId="21666" xr:uid="{00000000-0005-0000-0000-0000A13E0000}"/>
    <cellStyle name="Normal 5 8 3 2 2 2 3" xfId="14410" xr:uid="{00000000-0005-0000-0000-0000A23E0000}"/>
    <cellStyle name="Normal 5 8 3 2 2 3" xfId="18038" xr:uid="{00000000-0005-0000-0000-0000A33E0000}"/>
    <cellStyle name="Normal 5 8 3 2 2 4" xfId="10782" xr:uid="{00000000-0005-0000-0000-0000A43E0000}"/>
    <cellStyle name="Normal 5 8 3 2 3" xfId="5340" xr:uid="{00000000-0005-0000-0000-0000A53E0000}"/>
    <cellStyle name="Normal 5 8 3 2 3 2" xfId="19852" xr:uid="{00000000-0005-0000-0000-0000A63E0000}"/>
    <cellStyle name="Normal 5 8 3 2 3 3" xfId="12596" xr:uid="{00000000-0005-0000-0000-0000A73E0000}"/>
    <cellStyle name="Normal 5 8 3 2 4" xfId="16224" xr:uid="{00000000-0005-0000-0000-0000A83E0000}"/>
    <cellStyle name="Normal 5 8 3 2 5" xfId="8968" xr:uid="{00000000-0005-0000-0000-0000A93E0000}"/>
    <cellStyle name="Normal 5 8 3 3" xfId="2619" xr:uid="{00000000-0005-0000-0000-0000AA3E0000}"/>
    <cellStyle name="Normal 5 8 3 3 2" xfId="6247" xr:uid="{00000000-0005-0000-0000-0000AB3E0000}"/>
    <cellStyle name="Normal 5 8 3 3 2 2" xfId="20759" xr:uid="{00000000-0005-0000-0000-0000AC3E0000}"/>
    <cellStyle name="Normal 5 8 3 3 2 3" xfId="13503" xr:uid="{00000000-0005-0000-0000-0000AD3E0000}"/>
    <cellStyle name="Normal 5 8 3 3 3" xfId="17131" xr:uid="{00000000-0005-0000-0000-0000AE3E0000}"/>
    <cellStyle name="Normal 5 8 3 3 4" xfId="9875" xr:uid="{00000000-0005-0000-0000-0000AF3E0000}"/>
    <cellStyle name="Normal 5 8 3 4" xfId="4433" xr:uid="{00000000-0005-0000-0000-0000B03E0000}"/>
    <cellStyle name="Normal 5 8 3 4 2" xfId="18945" xr:uid="{00000000-0005-0000-0000-0000B13E0000}"/>
    <cellStyle name="Normal 5 8 3 4 3" xfId="11689" xr:uid="{00000000-0005-0000-0000-0000B23E0000}"/>
    <cellStyle name="Normal 5 8 3 5" xfId="15317" xr:uid="{00000000-0005-0000-0000-0000B33E0000}"/>
    <cellStyle name="Normal 5 8 3 6" xfId="8061" xr:uid="{00000000-0005-0000-0000-0000B43E0000}"/>
    <cellStyle name="Normal 5 8 4" xfId="544" xr:uid="{00000000-0005-0000-0000-0000B53E0000}"/>
    <cellStyle name="Normal 5 8 4 2" xfId="1452" xr:uid="{00000000-0005-0000-0000-0000B63E0000}"/>
    <cellStyle name="Normal 5 8 4 2 2" xfId="3266" xr:uid="{00000000-0005-0000-0000-0000B73E0000}"/>
    <cellStyle name="Normal 5 8 4 2 2 2" xfId="6894" xr:uid="{00000000-0005-0000-0000-0000B83E0000}"/>
    <cellStyle name="Normal 5 8 4 2 2 2 2" xfId="21406" xr:uid="{00000000-0005-0000-0000-0000B93E0000}"/>
    <cellStyle name="Normal 5 8 4 2 2 2 3" xfId="14150" xr:uid="{00000000-0005-0000-0000-0000BA3E0000}"/>
    <cellStyle name="Normal 5 8 4 2 2 3" xfId="17778" xr:uid="{00000000-0005-0000-0000-0000BB3E0000}"/>
    <cellStyle name="Normal 5 8 4 2 2 4" xfId="10522" xr:uid="{00000000-0005-0000-0000-0000BC3E0000}"/>
    <cellStyle name="Normal 5 8 4 2 3" xfId="5080" xr:uid="{00000000-0005-0000-0000-0000BD3E0000}"/>
    <cellStyle name="Normal 5 8 4 2 3 2" xfId="19592" xr:uid="{00000000-0005-0000-0000-0000BE3E0000}"/>
    <cellStyle name="Normal 5 8 4 2 3 3" xfId="12336" xr:uid="{00000000-0005-0000-0000-0000BF3E0000}"/>
    <cellStyle name="Normal 5 8 4 2 4" xfId="15964" xr:uid="{00000000-0005-0000-0000-0000C03E0000}"/>
    <cellStyle name="Normal 5 8 4 2 5" xfId="8708" xr:uid="{00000000-0005-0000-0000-0000C13E0000}"/>
    <cellStyle name="Normal 5 8 4 3" xfId="2359" xr:uid="{00000000-0005-0000-0000-0000C23E0000}"/>
    <cellStyle name="Normal 5 8 4 3 2" xfId="5987" xr:uid="{00000000-0005-0000-0000-0000C33E0000}"/>
    <cellStyle name="Normal 5 8 4 3 2 2" xfId="20499" xr:uid="{00000000-0005-0000-0000-0000C43E0000}"/>
    <cellStyle name="Normal 5 8 4 3 2 3" xfId="13243" xr:uid="{00000000-0005-0000-0000-0000C53E0000}"/>
    <cellStyle name="Normal 5 8 4 3 3" xfId="16871" xr:uid="{00000000-0005-0000-0000-0000C63E0000}"/>
    <cellStyle name="Normal 5 8 4 3 4" xfId="9615" xr:uid="{00000000-0005-0000-0000-0000C73E0000}"/>
    <cellStyle name="Normal 5 8 4 4" xfId="4173" xr:uid="{00000000-0005-0000-0000-0000C83E0000}"/>
    <cellStyle name="Normal 5 8 4 4 2" xfId="18685" xr:uid="{00000000-0005-0000-0000-0000C93E0000}"/>
    <cellStyle name="Normal 5 8 4 4 3" xfId="11429" xr:uid="{00000000-0005-0000-0000-0000CA3E0000}"/>
    <cellStyle name="Normal 5 8 4 5" xfId="15057" xr:uid="{00000000-0005-0000-0000-0000CB3E0000}"/>
    <cellStyle name="Normal 5 8 4 6" xfId="7801" xr:uid="{00000000-0005-0000-0000-0000CC3E0000}"/>
    <cellStyle name="Normal 5 8 5" xfId="1106" xr:uid="{00000000-0005-0000-0000-0000CD3E0000}"/>
    <cellStyle name="Normal 5 8 5 2" xfId="2920" xr:uid="{00000000-0005-0000-0000-0000CE3E0000}"/>
    <cellStyle name="Normal 5 8 5 2 2" xfId="6548" xr:uid="{00000000-0005-0000-0000-0000CF3E0000}"/>
    <cellStyle name="Normal 5 8 5 2 2 2" xfId="21060" xr:uid="{00000000-0005-0000-0000-0000D03E0000}"/>
    <cellStyle name="Normal 5 8 5 2 2 3" xfId="13804" xr:uid="{00000000-0005-0000-0000-0000D13E0000}"/>
    <cellStyle name="Normal 5 8 5 2 3" xfId="17432" xr:uid="{00000000-0005-0000-0000-0000D23E0000}"/>
    <cellStyle name="Normal 5 8 5 2 4" xfId="10176" xr:uid="{00000000-0005-0000-0000-0000D33E0000}"/>
    <cellStyle name="Normal 5 8 5 3" xfId="4734" xr:uid="{00000000-0005-0000-0000-0000D43E0000}"/>
    <cellStyle name="Normal 5 8 5 3 2" xfId="19246" xr:uid="{00000000-0005-0000-0000-0000D53E0000}"/>
    <cellStyle name="Normal 5 8 5 3 3" xfId="11990" xr:uid="{00000000-0005-0000-0000-0000D63E0000}"/>
    <cellStyle name="Normal 5 8 5 4" xfId="15618" xr:uid="{00000000-0005-0000-0000-0000D73E0000}"/>
    <cellStyle name="Normal 5 8 5 5" xfId="8362" xr:uid="{00000000-0005-0000-0000-0000D83E0000}"/>
    <cellStyle name="Normal 5 8 6" xfId="2013" xr:uid="{00000000-0005-0000-0000-0000D93E0000}"/>
    <cellStyle name="Normal 5 8 6 2" xfId="5641" xr:uid="{00000000-0005-0000-0000-0000DA3E0000}"/>
    <cellStyle name="Normal 5 8 6 2 2" xfId="20153" xr:uid="{00000000-0005-0000-0000-0000DB3E0000}"/>
    <cellStyle name="Normal 5 8 6 2 3" xfId="12897" xr:uid="{00000000-0005-0000-0000-0000DC3E0000}"/>
    <cellStyle name="Normal 5 8 6 3" xfId="16525" xr:uid="{00000000-0005-0000-0000-0000DD3E0000}"/>
    <cellStyle name="Normal 5 8 6 4" xfId="9269" xr:uid="{00000000-0005-0000-0000-0000DE3E0000}"/>
    <cellStyle name="Normal 5 8 7" xfId="3827" xr:uid="{00000000-0005-0000-0000-0000DF3E0000}"/>
    <cellStyle name="Normal 5 8 7 2" xfId="18339" xr:uid="{00000000-0005-0000-0000-0000E03E0000}"/>
    <cellStyle name="Normal 5 8 7 3" xfId="11083" xr:uid="{00000000-0005-0000-0000-0000E13E0000}"/>
    <cellStyle name="Normal 5 8 8" xfId="14711" xr:uid="{00000000-0005-0000-0000-0000E23E0000}"/>
    <cellStyle name="Normal 5 8 9" xfId="7455" xr:uid="{00000000-0005-0000-0000-0000E33E0000}"/>
    <cellStyle name="Normal 5 9" xfId="112" xr:uid="{00000000-0005-0000-0000-0000E43E0000}"/>
    <cellStyle name="Normal 5 9 2" xfId="458" xr:uid="{00000000-0005-0000-0000-0000E53E0000}"/>
    <cellStyle name="Normal 5 9 2 2" xfId="1366" xr:uid="{00000000-0005-0000-0000-0000E63E0000}"/>
    <cellStyle name="Normal 5 9 2 2 2" xfId="3180" xr:uid="{00000000-0005-0000-0000-0000E73E0000}"/>
    <cellStyle name="Normal 5 9 2 2 2 2" xfId="6808" xr:uid="{00000000-0005-0000-0000-0000E83E0000}"/>
    <cellStyle name="Normal 5 9 2 2 2 2 2" xfId="21320" xr:uid="{00000000-0005-0000-0000-0000E93E0000}"/>
    <cellStyle name="Normal 5 9 2 2 2 2 3" xfId="14064" xr:uid="{00000000-0005-0000-0000-0000EA3E0000}"/>
    <cellStyle name="Normal 5 9 2 2 2 3" xfId="17692" xr:uid="{00000000-0005-0000-0000-0000EB3E0000}"/>
    <cellStyle name="Normal 5 9 2 2 2 4" xfId="10436" xr:uid="{00000000-0005-0000-0000-0000EC3E0000}"/>
    <cellStyle name="Normal 5 9 2 2 3" xfId="4994" xr:uid="{00000000-0005-0000-0000-0000ED3E0000}"/>
    <cellStyle name="Normal 5 9 2 2 3 2" xfId="19506" xr:uid="{00000000-0005-0000-0000-0000EE3E0000}"/>
    <cellStyle name="Normal 5 9 2 2 3 3" xfId="12250" xr:uid="{00000000-0005-0000-0000-0000EF3E0000}"/>
    <cellStyle name="Normal 5 9 2 2 4" xfId="15878" xr:uid="{00000000-0005-0000-0000-0000F03E0000}"/>
    <cellStyle name="Normal 5 9 2 2 5" xfId="8622" xr:uid="{00000000-0005-0000-0000-0000F13E0000}"/>
    <cellStyle name="Normal 5 9 2 3" xfId="2273" xr:uid="{00000000-0005-0000-0000-0000F23E0000}"/>
    <cellStyle name="Normal 5 9 2 3 2" xfId="5901" xr:uid="{00000000-0005-0000-0000-0000F33E0000}"/>
    <cellStyle name="Normal 5 9 2 3 2 2" xfId="20413" xr:uid="{00000000-0005-0000-0000-0000F43E0000}"/>
    <cellStyle name="Normal 5 9 2 3 2 3" xfId="13157" xr:uid="{00000000-0005-0000-0000-0000F53E0000}"/>
    <cellStyle name="Normal 5 9 2 3 3" xfId="16785" xr:uid="{00000000-0005-0000-0000-0000F63E0000}"/>
    <cellStyle name="Normal 5 9 2 3 4" xfId="9529" xr:uid="{00000000-0005-0000-0000-0000F73E0000}"/>
    <cellStyle name="Normal 5 9 2 4" xfId="4087" xr:uid="{00000000-0005-0000-0000-0000F83E0000}"/>
    <cellStyle name="Normal 5 9 2 4 2" xfId="18599" xr:uid="{00000000-0005-0000-0000-0000F93E0000}"/>
    <cellStyle name="Normal 5 9 2 4 3" xfId="11343" xr:uid="{00000000-0005-0000-0000-0000FA3E0000}"/>
    <cellStyle name="Normal 5 9 2 5" xfId="14971" xr:uid="{00000000-0005-0000-0000-0000FB3E0000}"/>
    <cellStyle name="Normal 5 9 2 6" xfId="7715" xr:uid="{00000000-0005-0000-0000-0000FC3E0000}"/>
    <cellStyle name="Normal 5 9 3" xfId="1020" xr:uid="{00000000-0005-0000-0000-0000FD3E0000}"/>
    <cellStyle name="Normal 5 9 3 2" xfId="2834" xr:uid="{00000000-0005-0000-0000-0000FE3E0000}"/>
    <cellStyle name="Normal 5 9 3 2 2" xfId="6462" xr:uid="{00000000-0005-0000-0000-0000FF3E0000}"/>
    <cellStyle name="Normal 5 9 3 2 2 2" xfId="20974" xr:uid="{00000000-0005-0000-0000-0000003F0000}"/>
    <cellStyle name="Normal 5 9 3 2 2 3" xfId="13718" xr:uid="{00000000-0005-0000-0000-0000013F0000}"/>
    <cellStyle name="Normal 5 9 3 2 3" xfId="17346" xr:uid="{00000000-0005-0000-0000-0000023F0000}"/>
    <cellStyle name="Normal 5 9 3 2 4" xfId="10090" xr:uid="{00000000-0005-0000-0000-0000033F0000}"/>
    <cellStyle name="Normal 5 9 3 3" xfId="4648" xr:uid="{00000000-0005-0000-0000-0000043F0000}"/>
    <cellStyle name="Normal 5 9 3 3 2" xfId="19160" xr:uid="{00000000-0005-0000-0000-0000053F0000}"/>
    <cellStyle name="Normal 5 9 3 3 3" xfId="11904" xr:uid="{00000000-0005-0000-0000-0000063F0000}"/>
    <cellStyle name="Normal 5 9 3 4" xfId="15532" xr:uid="{00000000-0005-0000-0000-0000073F0000}"/>
    <cellStyle name="Normal 5 9 3 5" xfId="8276" xr:uid="{00000000-0005-0000-0000-0000083F0000}"/>
    <cellStyle name="Normal 5 9 4" xfId="1927" xr:uid="{00000000-0005-0000-0000-0000093F0000}"/>
    <cellStyle name="Normal 5 9 4 2" xfId="5555" xr:uid="{00000000-0005-0000-0000-00000A3F0000}"/>
    <cellStyle name="Normal 5 9 4 2 2" xfId="20067" xr:uid="{00000000-0005-0000-0000-00000B3F0000}"/>
    <cellStyle name="Normal 5 9 4 2 3" xfId="12811" xr:uid="{00000000-0005-0000-0000-00000C3F0000}"/>
    <cellStyle name="Normal 5 9 4 3" xfId="16439" xr:uid="{00000000-0005-0000-0000-00000D3F0000}"/>
    <cellStyle name="Normal 5 9 4 4" xfId="9183" xr:uid="{00000000-0005-0000-0000-00000E3F0000}"/>
    <cellStyle name="Normal 5 9 5" xfId="3741" xr:uid="{00000000-0005-0000-0000-00000F3F0000}"/>
    <cellStyle name="Normal 5 9 5 2" xfId="18253" xr:uid="{00000000-0005-0000-0000-0000103F0000}"/>
    <cellStyle name="Normal 5 9 5 3" xfId="10997" xr:uid="{00000000-0005-0000-0000-0000113F0000}"/>
    <cellStyle name="Normal 5 9 6" xfId="14625" xr:uid="{00000000-0005-0000-0000-0000123F0000}"/>
    <cellStyle name="Normal 5 9 7" xfId="7369" xr:uid="{00000000-0005-0000-0000-0000133F0000}"/>
    <cellStyle name="Normal 6" xfId="18" xr:uid="{00000000-0005-0000-0000-0000143F0000}"/>
    <cellStyle name="Normal 6 10" xfId="853" xr:uid="{00000000-0005-0000-0000-0000153F0000}"/>
    <cellStyle name="Normal 6 10 2" xfId="1761" xr:uid="{00000000-0005-0000-0000-0000163F0000}"/>
    <cellStyle name="Normal 6 10 2 2" xfId="3575" xr:uid="{00000000-0005-0000-0000-0000173F0000}"/>
    <cellStyle name="Normal 6 10 2 2 2" xfId="7203" xr:uid="{00000000-0005-0000-0000-0000183F0000}"/>
    <cellStyle name="Normal 6 10 2 2 2 2" xfId="21715" xr:uid="{00000000-0005-0000-0000-0000193F0000}"/>
    <cellStyle name="Normal 6 10 2 2 2 3" xfId="14459" xr:uid="{00000000-0005-0000-0000-00001A3F0000}"/>
    <cellStyle name="Normal 6 10 2 2 3" xfId="18087" xr:uid="{00000000-0005-0000-0000-00001B3F0000}"/>
    <cellStyle name="Normal 6 10 2 2 4" xfId="10831" xr:uid="{00000000-0005-0000-0000-00001C3F0000}"/>
    <cellStyle name="Normal 6 10 2 3" xfId="5389" xr:uid="{00000000-0005-0000-0000-00001D3F0000}"/>
    <cellStyle name="Normal 6 10 2 3 2" xfId="19901" xr:uid="{00000000-0005-0000-0000-00001E3F0000}"/>
    <cellStyle name="Normal 6 10 2 3 3" xfId="12645" xr:uid="{00000000-0005-0000-0000-00001F3F0000}"/>
    <cellStyle name="Normal 6 10 2 4" xfId="16273" xr:uid="{00000000-0005-0000-0000-0000203F0000}"/>
    <cellStyle name="Normal 6 10 2 5" xfId="9017" xr:uid="{00000000-0005-0000-0000-0000213F0000}"/>
    <cellStyle name="Normal 6 10 3" xfId="2668" xr:uid="{00000000-0005-0000-0000-0000223F0000}"/>
    <cellStyle name="Normal 6 10 3 2" xfId="6296" xr:uid="{00000000-0005-0000-0000-0000233F0000}"/>
    <cellStyle name="Normal 6 10 3 2 2" xfId="20808" xr:uid="{00000000-0005-0000-0000-0000243F0000}"/>
    <cellStyle name="Normal 6 10 3 2 3" xfId="13552" xr:uid="{00000000-0005-0000-0000-0000253F0000}"/>
    <cellStyle name="Normal 6 10 3 3" xfId="17180" xr:uid="{00000000-0005-0000-0000-0000263F0000}"/>
    <cellStyle name="Normal 6 10 3 4" xfId="9924" xr:uid="{00000000-0005-0000-0000-0000273F0000}"/>
    <cellStyle name="Normal 6 10 4" xfId="4482" xr:uid="{00000000-0005-0000-0000-0000283F0000}"/>
    <cellStyle name="Normal 6 10 4 2" xfId="18994" xr:uid="{00000000-0005-0000-0000-0000293F0000}"/>
    <cellStyle name="Normal 6 10 4 3" xfId="11738" xr:uid="{00000000-0005-0000-0000-00002A3F0000}"/>
    <cellStyle name="Normal 6 10 5" xfId="15366" xr:uid="{00000000-0005-0000-0000-00002B3F0000}"/>
    <cellStyle name="Normal 6 10 6" xfId="8110" xr:uid="{00000000-0005-0000-0000-00002C3F0000}"/>
    <cellStyle name="Normal 6 11" xfId="939" xr:uid="{00000000-0005-0000-0000-00002D3F0000}"/>
    <cellStyle name="Normal 6 11 2" xfId="2753" xr:uid="{00000000-0005-0000-0000-00002E3F0000}"/>
    <cellStyle name="Normal 6 11 2 2" xfId="6381" xr:uid="{00000000-0005-0000-0000-00002F3F0000}"/>
    <cellStyle name="Normal 6 11 2 2 2" xfId="20893" xr:uid="{00000000-0005-0000-0000-0000303F0000}"/>
    <cellStyle name="Normal 6 11 2 2 3" xfId="13637" xr:uid="{00000000-0005-0000-0000-0000313F0000}"/>
    <cellStyle name="Normal 6 11 2 3" xfId="17265" xr:uid="{00000000-0005-0000-0000-0000323F0000}"/>
    <cellStyle name="Normal 6 11 2 4" xfId="10009" xr:uid="{00000000-0005-0000-0000-0000333F0000}"/>
    <cellStyle name="Normal 6 11 3" xfId="4567" xr:uid="{00000000-0005-0000-0000-0000343F0000}"/>
    <cellStyle name="Normal 6 11 3 2" xfId="19079" xr:uid="{00000000-0005-0000-0000-0000353F0000}"/>
    <cellStyle name="Normal 6 11 3 3" xfId="11823" xr:uid="{00000000-0005-0000-0000-0000363F0000}"/>
    <cellStyle name="Normal 6 11 4" xfId="15451" xr:uid="{00000000-0005-0000-0000-0000373F0000}"/>
    <cellStyle name="Normal 6 11 5" xfId="8195" xr:uid="{00000000-0005-0000-0000-0000383F0000}"/>
    <cellStyle name="Normal 6 12" xfId="1846" xr:uid="{00000000-0005-0000-0000-0000393F0000}"/>
    <cellStyle name="Normal 6 12 2" xfId="5474" xr:uid="{00000000-0005-0000-0000-00003A3F0000}"/>
    <cellStyle name="Normal 6 12 2 2" xfId="19986" xr:uid="{00000000-0005-0000-0000-00003B3F0000}"/>
    <cellStyle name="Normal 6 12 2 3" xfId="12730" xr:uid="{00000000-0005-0000-0000-00003C3F0000}"/>
    <cellStyle name="Normal 6 12 3" xfId="16358" xr:uid="{00000000-0005-0000-0000-00003D3F0000}"/>
    <cellStyle name="Normal 6 12 4" xfId="9102" xr:uid="{00000000-0005-0000-0000-00003E3F0000}"/>
    <cellStyle name="Normal 6 13" xfId="3660" xr:uid="{00000000-0005-0000-0000-00003F3F0000}"/>
    <cellStyle name="Normal 6 13 2" xfId="18172" xr:uid="{00000000-0005-0000-0000-0000403F0000}"/>
    <cellStyle name="Normal 6 13 3" xfId="10916" xr:uid="{00000000-0005-0000-0000-0000413F0000}"/>
    <cellStyle name="Normal 6 14" xfId="14544" xr:uid="{00000000-0005-0000-0000-0000423F0000}"/>
    <cellStyle name="Normal 6 15" xfId="7288" xr:uid="{00000000-0005-0000-0000-0000433F0000}"/>
    <cellStyle name="Normal 6 2" xfId="38" xr:uid="{00000000-0005-0000-0000-0000443F0000}"/>
    <cellStyle name="Normal 6 2 10" xfId="949" xr:uid="{00000000-0005-0000-0000-0000453F0000}"/>
    <cellStyle name="Normal 6 2 10 2" xfId="2763" xr:uid="{00000000-0005-0000-0000-0000463F0000}"/>
    <cellStyle name="Normal 6 2 10 2 2" xfId="6391" xr:uid="{00000000-0005-0000-0000-0000473F0000}"/>
    <cellStyle name="Normal 6 2 10 2 2 2" xfId="20903" xr:uid="{00000000-0005-0000-0000-0000483F0000}"/>
    <cellStyle name="Normal 6 2 10 2 2 3" xfId="13647" xr:uid="{00000000-0005-0000-0000-0000493F0000}"/>
    <cellStyle name="Normal 6 2 10 2 3" xfId="17275" xr:uid="{00000000-0005-0000-0000-00004A3F0000}"/>
    <cellStyle name="Normal 6 2 10 2 4" xfId="10019" xr:uid="{00000000-0005-0000-0000-00004B3F0000}"/>
    <cellStyle name="Normal 6 2 10 3" xfId="4577" xr:uid="{00000000-0005-0000-0000-00004C3F0000}"/>
    <cellStyle name="Normal 6 2 10 3 2" xfId="19089" xr:uid="{00000000-0005-0000-0000-00004D3F0000}"/>
    <cellStyle name="Normal 6 2 10 3 3" xfId="11833" xr:uid="{00000000-0005-0000-0000-00004E3F0000}"/>
    <cellStyle name="Normal 6 2 10 4" xfId="15461" xr:uid="{00000000-0005-0000-0000-00004F3F0000}"/>
    <cellStyle name="Normal 6 2 10 5" xfId="8205" xr:uid="{00000000-0005-0000-0000-0000503F0000}"/>
    <cellStyle name="Normal 6 2 11" xfId="1856" xr:uid="{00000000-0005-0000-0000-0000513F0000}"/>
    <cellStyle name="Normal 6 2 11 2" xfId="5484" xr:uid="{00000000-0005-0000-0000-0000523F0000}"/>
    <cellStyle name="Normal 6 2 11 2 2" xfId="19996" xr:uid="{00000000-0005-0000-0000-0000533F0000}"/>
    <cellStyle name="Normal 6 2 11 2 3" xfId="12740" xr:uid="{00000000-0005-0000-0000-0000543F0000}"/>
    <cellStyle name="Normal 6 2 11 3" xfId="16368" xr:uid="{00000000-0005-0000-0000-0000553F0000}"/>
    <cellStyle name="Normal 6 2 11 4" xfId="9112" xr:uid="{00000000-0005-0000-0000-0000563F0000}"/>
    <cellStyle name="Normal 6 2 12" xfId="3670" xr:uid="{00000000-0005-0000-0000-0000573F0000}"/>
    <cellStyle name="Normal 6 2 12 2" xfId="18182" xr:uid="{00000000-0005-0000-0000-0000583F0000}"/>
    <cellStyle name="Normal 6 2 12 3" xfId="10926" xr:uid="{00000000-0005-0000-0000-0000593F0000}"/>
    <cellStyle name="Normal 6 2 13" xfId="14554" xr:uid="{00000000-0005-0000-0000-00005A3F0000}"/>
    <cellStyle name="Normal 6 2 14" xfId="7298" xr:uid="{00000000-0005-0000-0000-00005B3F0000}"/>
    <cellStyle name="Normal 6 2 2" xfId="60" xr:uid="{00000000-0005-0000-0000-00005C3F0000}"/>
    <cellStyle name="Normal 6 2 2 10" xfId="970" xr:uid="{00000000-0005-0000-0000-00005D3F0000}"/>
    <cellStyle name="Normal 6 2 2 10 2" xfId="2784" xr:uid="{00000000-0005-0000-0000-00005E3F0000}"/>
    <cellStyle name="Normal 6 2 2 10 2 2" xfId="6412" xr:uid="{00000000-0005-0000-0000-00005F3F0000}"/>
    <cellStyle name="Normal 6 2 2 10 2 2 2" xfId="20924" xr:uid="{00000000-0005-0000-0000-0000603F0000}"/>
    <cellStyle name="Normal 6 2 2 10 2 2 3" xfId="13668" xr:uid="{00000000-0005-0000-0000-0000613F0000}"/>
    <cellStyle name="Normal 6 2 2 10 2 3" xfId="17296" xr:uid="{00000000-0005-0000-0000-0000623F0000}"/>
    <cellStyle name="Normal 6 2 2 10 2 4" xfId="10040" xr:uid="{00000000-0005-0000-0000-0000633F0000}"/>
    <cellStyle name="Normal 6 2 2 10 3" xfId="4598" xr:uid="{00000000-0005-0000-0000-0000643F0000}"/>
    <cellStyle name="Normal 6 2 2 10 3 2" xfId="19110" xr:uid="{00000000-0005-0000-0000-0000653F0000}"/>
    <cellStyle name="Normal 6 2 2 10 3 3" xfId="11854" xr:uid="{00000000-0005-0000-0000-0000663F0000}"/>
    <cellStyle name="Normal 6 2 2 10 4" xfId="15482" xr:uid="{00000000-0005-0000-0000-0000673F0000}"/>
    <cellStyle name="Normal 6 2 2 10 5" xfId="8226" xr:uid="{00000000-0005-0000-0000-0000683F0000}"/>
    <cellStyle name="Normal 6 2 2 11" xfId="1877" xr:uid="{00000000-0005-0000-0000-0000693F0000}"/>
    <cellStyle name="Normal 6 2 2 11 2" xfId="5505" xr:uid="{00000000-0005-0000-0000-00006A3F0000}"/>
    <cellStyle name="Normal 6 2 2 11 2 2" xfId="20017" xr:uid="{00000000-0005-0000-0000-00006B3F0000}"/>
    <cellStyle name="Normal 6 2 2 11 2 3" xfId="12761" xr:uid="{00000000-0005-0000-0000-00006C3F0000}"/>
    <cellStyle name="Normal 6 2 2 11 3" xfId="16389" xr:uid="{00000000-0005-0000-0000-00006D3F0000}"/>
    <cellStyle name="Normal 6 2 2 11 4" xfId="9133" xr:uid="{00000000-0005-0000-0000-00006E3F0000}"/>
    <cellStyle name="Normal 6 2 2 12" xfId="3691" xr:uid="{00000000-0005-0000-0000-00006F3F0000}"/>
    <cellStyle name="Normal 6 2 2 12 2" xfId="18203" xr:uid="{00000000-0005-0000-0000-0000703F0000}"/>
    <cellStyle name="Normal 6 2 2 12 3" xfId="10947" xr:uid="{00000000-0005-0000-0000-0000713F0000}"/>
    <cellStyle name="Normal 6 2 2 13" xfId="14575" xr:uid="{00000000-0005-0000-0000-0000723F0000}"/>
    <cellStyle name="Normal 6 2 2 14" xfId="7319" xr:uid="{00000000-0005-0000-0000-0000733F0000}"/>
    <cellStyle name="Normal 6 2 2 2" xfId="110" xr:uid="{00000000-0005-0000-0000-0000743F0000}"/>
    <cellStyle name="Normal 6 2 2 2 10" xfId="3740" xr:uid="{00000000-0005-0000-0000-0000753F0000}"/>
    <cellStyle name="Normal 6 2 2 2 10 2" xfId="18252" xr:uid="{00000000-0005-0000-0000-0000763F0000}"/>
    <cellStyle name="Normal 6 2 2 2 10 3" xfId="10996" xr:uid="{00000000-0005-0000-0000-0000773F0000}"/>
    <cellStyle name="Normal 6 2 2 2 11" xfId="14624" xr:uid="{00000000-0005-0000-0000-0000783F0000}"/>
    <cellStyle name="Normal 6 2 2 2 12" xfId="7368" xr:uid="{00000000-0005-0000-0000-0000793F0000}"/>
    <cellStyle name="Normal 6 2 2 2 2" xfId="241" xr:uid="{00000000-0005-0000-0000-00007A3F0000}"/>
    <cellStyle name="Normal 6 2 2 2 2 2" xfId="371" xr:uid="{00000000-0005-0000-0000-00007B3F0000}"/>
    <cellStyle name="Normal 6 2 2 2 2 2 2" xfId="717" xr:uid="{00000000-0005-0000-0000-00007C3F0000}"/>
    <cellStyle name="Normal 6 2 2 2 2 2 2 2" xfId="1625" xr:uid="{00000000-0005-0000-0000-00007D3F0000}"/>
    <cellStyle name="Normal 6 2 2 2 2 2 2 2 2" xfId="3439" xr:uid="{00000000-0005-0000-0000-00007E3F0000}"/>
    <cellStyle name="Normal 6 2 2 2 2 2 2 2 2 2" xfId="7067" xr:uid="{00000000-0005-0000-0000-00007F3F0000}"/>
    <cellStyle name="Normal 6 2 2 2 2 2 2 2 2 2 2" xfId="21579" xr:uid="{00000000-0005-0000-0000-0000803F0000}"/>
    <cellStyle name="Normal 6 2 2 2 2 2 2 2 2 2 3" xfId="14323" xr:uid="{00000000-0005-0000-0000-0000813F0000}"/>
    <cellStyle name="Normal 6 2 2 2 2 2 2 2 2 3" xfId="17951" xr:uid="{00000000-0005-0000-0000-0000823F0000}"/>
    <cellStyle name="Normal 6 2 2 2 2 2 2 2 2 4" xfId="10695" xr:uid="{00000000-0005-0000-0000-0000833F0000}"/>
    <cellStyle name="Normal 6 2 2 2 2 2 2 2 3" xfId="5253" xr:uid="{00000000-0005-0000-0000-0000843F0000}"/>
    <cellStyle name="Normal 6 2 2 2 2 2 2 2 3 2" xfId="19765" xr:uid="{00000000-0005-0000-0000-0000853F0000}"/>
    <cellStyle name="Normal 6 2 2 2 2 2 2 2 3 3" xfId="12509" xr:uid="{00000000-0005-0000-0000-0000863F0000}"/>
    <cellStyle name="Normal 6 2 2 2 2 2 2 2 4" xfId="16137" xr:uid="{00000000-0005-0000-0000-0000873F0000}"/>
    <cellStyle name="Normal 6 2 2 2 2 2 2 2 5" xfId="8881" xr:uid="{00000000-0005-0000-0000-0000883F0000}"/>
    <cellStyle name="Normal 6 2 2 2 2 2 2 3" xfId="2532" xr:uid="{00000000-0005-0000-0000-0000893F0000}"/>
    <cellStyle name="Normal 6 2 2 2 2 2 2 3 2" xfId="6160" xr:uid="{00000000-0005-0000-0000-00008A3F0000}"/>
    <cellStyle name="Normal 6 2 2 2 2 2 2 3 2 2" xfId="20672" xr:uid="{00000000-0005-0000-0000-00008B3F0000}"/>
    <cellStyle name="Normal 6 2 2 2 2 2 2 3 2 3" xfId="13416" xr:uid="{00000000-0005-0000-0000-00008C3F0000}"/>
    <cellStyle name="Normal 6 2 2 2 2 2 2 3 3" xfId="17044" xr:uid="{00000000-0005-0000-0000-00008D3F0000}"/>
    <cellStyle name="Normal 6 2 2 2 2 2 2 3 4" xfId="9788" xr:uid="{00000000-0005-0000-0000-00008E3F0000}"/>
    <cellStyle name="Normal 6 2 2 2 2 2 2 4" xfId="4346" xr:uid="{00000000-0005-0000-0000-00008F3F0000}"/>
    <cellStyle name="Normal 6 2 2 2 2 2 2 4 2" xfId="18858" xr:uid="{00000000-0005-0000-0000-0000903F0000}"/>
    <cellStyle name="Normal 6 2 2 2 2 2 2 4 3" xfId="11602" xr:uid="{00000000-0005-0000-0000-0000913F0000}"/>
    <cellStyle name="Normal 6 2 2 2 2 2 2 5" xfId="15230" xr:uid="{00000000-0005-0000-0000-0000923F0000}"/>
    <cellStyle name="Normal 6 2 2 2 2 2 2 6" xfId="7974" xr:uid="{00000000-0005-0000-0000-0000933F0000}"/>
    <cellStyle name="Normal 6 2 2 2 2 2 3" xfId="1279" xr:uid="{00000000-0005-0000-0000-0000943F0000}"/>
    <cellStyle name="Normal 6 2 2 2 2 2 3 2" xfId="3093" xr:uid="{00000000-0005-0000-0000-0000953F0000}"/>
    <cellStyle name="Normal 6 2 2 2 2 2 3 2 2" xfId="6721" xr:uid="{00000000-0005-0000-0000-0000963F0000}"/>
    <cellStyle name="Normal 6 2 2 2 2 2 3 2 2 2" xfId="21233" xr:uid="{00000000-0005-0000-0000-0000973F0000}"/>
    <cellStyle name="Normal 6 2 2 2 2 2 3 2 2 3" xfId="13977" xr:uid="{00000000-0005-0000-0000-0000983F0000}"/>
    <cellStyle name="Normal 6 2 2 2 2 2 3 2 3" xfId="17605" xr:uid="{00000000-0005-0000-0000-0000993F0000}"/>
    <cellStyle name="Normal 6 2 2 2 2 2 3 2 4" xfId="10349" xr:uid="{00000000-0005-0000-0000-00009A3F0000}"/>
    <cellStyle name="Normal 6 2 2 2 2 2 3 3" xfId="4907" xr:uid="{00000000-0005-0000-0000-00009B3F0000}"/>
    <cellStyle name="Normal 6 2 2 2 2 2 3 3 2" xfId="19419" xr:uid="{00000000-0005-0000-0000-00009C3F0000}"/>
    <cellStyle name="Normal 6 2 2 2 2 2 3 3 3" xfId="12163" xr:uid="{00000000-0005-0000-0000-00009D3F0000}"/>
    <cellStyle name="Normal 6 2 2 2 2 2 3 4" xfId="15791" xr:uid="{00000000-0005-0000-0000-00009E3F0000}"/>
    <cellStyle name="Normal 6 2 2 2 2 2 3 5" xfId="8535" xr:uid="{00000000-0005-0000-0000-00009F3F0000}"/>
    <cellStyle name="Normal 6 2 2 2 2 2 4" xfId="2186" xr:uid="{00000000-0005-0000-0000-0000A03F0000}"/>
    <cellStyle name="Normal 6 2 2 2 2 2 4 2" xfId="5814" xr:uid="{00000000-0005-0000-0000-0000A13F0000}"/>
    <cellStyle name="Normal 6 2 2 2 2 2 4 2 2" xfId="20326" xr:uid="{00000000-0005-0000-0000-0000A23F0000}"/>
    <cellStyle name="Normal 6 2 2 2 2 2 4 2 3" xfId="13070" xr:uid="{00000000-0005-0000-0000-0000A33F0000}"/>
    <cellStyle name="Normal 6 2 2 2 2 2 4 3" xfId="16698" xr:uid="{00000000-0005-0000-0000-0000A43F0000}"/>
    <cellStyle name="Normal 6 2 2 2 2 2 4 4" xfId="9442" xr:uid="{00000000-0005-0000-0000-0000A53F0000}"/>
    <cellStyle name="Normal 6 2 2 2 2 2 5" xfId="4000" xr:uid="{00000000-0005-0000-0000-0000A63F0000}"/>
    <cellStyle name="Normal 6 2 2 2 2 2 5 2" xfId="18512" xr:uid="{00000000-0005-0000-0000-0000A73F0000}"/>
    <cellStyle name="Normal 6 2 2 2 2 2 5 3" xfId="11256" xr:uid="{00000000-0005-0000-0000-0000A83F0000}"/>
    <cellStyle name="Normal 6 2 2 2 2 2 6" xfId="14884" xr:uid="{00000000-0005-0000-0000-0000A93F0000}"/>
    <cellStyle name="Normal 6 2 2 2 2 2 7" xfId="7628" xr:uid="{00000000-0005-0000-0000-0000AA3F0000}"/>
    <cellStyle name="Normal 6 2 2 2 2 3" xfId="847" xr:uid="{00000000-0005-0000-0000-0000AB3F0000}"/>
    <cellStyle name="Normal 6 2 2 2 2 3 2" xfId="1755" xr:uid="{00000000-0005-0000-0000-0000AC3F0000}"/>
    <cellStyle name="Normal 6 2 2 2 2 3 2 2" xfId="3569" xr:uid="{00000000-0005-0000-0000-0000AD3F0000}"/>
    <cellStyle name="Normal 6 2 2 2 2 3 2 2 2" xfId="7197" xr:uid="{00000000-0005-0000-0000-0000AE3F0000}"/>
    <cellStyle name="Normal 6 2 2 2 2 3 2 2 2 2" xfId="21709" xr:uid="{00000000-0005-0000-0000-0000AF3F0000}"/>
    <cellStyle name="Normal 6 2 2 2 2 3 2 2 2 3" xfId="14453" xr:uid="{00000000-0005-0000-0000-0000B03F0000}"/>
    <cellStyle name="Normal 6 2 2 2 2 3 2 2 3" xfId="18081" xr:uid="{00000000-0005-0000-0000-0000B13F0000}"/>
    <cellStyle name="Normal 6 2 2 2 2 3 2 2 4" xfId="10825" xr:uid="{00000000-0005-0000-0000-0000B23F0000}"/>
    <cellStyle name="Normal 6 2 2 2 2 3 2 3" xfId="5383" xr:uid="{00000000-0005-0000-0000-0000B33F0000}"/>
    <cellStyle name="Normal 6 2 2 2 2 3 2 3 2" xfId="19895" xr:uid="{00000000-0005-0000-0000-0000B43F0000}"/>
    <cellStyle name="Normal 6 2 2 2 2 3 2 3 3" xfId="12639" xr:uid="{00000000-0005-0000-0000-0000B53F0000}"/>
    <cellStyle name="Normal 6 2 2 2 2 3 2 4" xfId="16267" xr:uid="{00000000-0005-0000-0000-0000B63F0000}"/>
    <cellStyle name="Normal 6 2 2 2 2 3 2 5" xfId="9011" xr:uid="{00000000-0005-0000-0000-0000B73F0000}"/>
    <cellStyle name="Normal 6 2 2 2 2 3 3" xfId="2662" xr:uid="{00000000-0005-0000-0000-0000B83F0000}"/>
    <cellStyle name="Normal 6 2 2 2 2 3 3 2" xfId="6290" xr:uid="{00000000-0005-0000-0000-0000B93F0000}"/>
    <cellStyle name="Normal 6 2 2 2 2 3 3 2 2" xfId="20802" xr:uid="{00000000-0005-0000-0000-0000BA3F0000}"/>
    <cellStyle name="Normal 6 2 2 2 2 3 3 2 3" xfId="13546" xr:uid="{00000000-0005-0000-0000-0000BB3F0000}"/>
    <cellStyle name="Normal 6 2 2 2 2 3 3 3" xfId="17174" xr:uid="{00000000-0005-0000-0000-0000BC3F0000}"/>
    <cellStyle name="Normal 6 2 2 2 2 3 3 4" xfId="9918" xr:uid="{00000000-0005-0000-0000-0000BD3F0000}"/>
    <cellStyle name="Normal 6 2 2 2 2 3 4" xfId="4476" xr:uid="{00000000-0005-0000-0000-0000BE3F0000}"/>
    <cellStyle name="Normal 6 2 2 2 2 3 4 2" xfId="18988" xr:uid="{00000000-0005-0000-0000-0000BF3F0000}"/>
    <cellStyle name="Normal 6 2 2 2 2 3 4 3" xfId="11732" xr:uid="{00000000-0005-0000-0000-0000C03F0000}"/>
    <cellStyle name="Normal 6 2 2 2 2 3 5" xfId="15360" xr:uid="{00000000-0005-0000-0000-0000C13F0000}"/>
    <cellStyle name="Normal 6 2 2 2 2 3 6" xfId="8104" xr:uid="{00000000-0005-0000-0000-0000C23F0000}"/>
    <cellStyle name="Normal 6 2 2 2 2 4" xfId="587" xr:uid="{00000000-0005-0000-0000-0000C33F0000}"/>
    <cellStyle name="Normal 6 2 2 2 2 4 2" xfId="1495" xr:uid="{00000000-0005-0000-0000-0000C43F0000}"/>
    <cellStyle name="Normal 6 2 2 2 2 4 2 2" xfId="3309" xr:uid="{00000000-0005-0000-0000-0000C53F0000}"/>
    <cellStyle name="Normal 6 2 2 2 2 4 2 2 2" xfId="6937" xr:uid="{00000000-0005-0000-0000-0000C63F0000}"/>
    <cellStyle name="Normal 6 2 2 2 2 4 2 2 2 2" xfId="21449" xr:uid="{00000000-0005-0000-0000-0000C73F0000}"/>
    <cellStyle name="Normal 6 2 2 2 2 4 2 2 2 3" xfId="14193" xr:uid="{00000000-0005-0000-0000-0000C83F0000}"/>
    <cellStyle name="Normal 6 2 2 2 2 4 2 2 3" xfId="17821" xr:uid="{00000000-0005-0000-0000-0000C93F0000}"/>
    <cellStyle name="Normal 6 2 2 2 2 4 2 2 4" xfId="10565" xr:uid="{00000000-0005-0000-0000-0000CA3F0000}"/>
    <cellStyle name="Normal 6 2 2 2 2 4 2 3" xfId="5123" xr:uid="{00000000-0005-0000-0000-0000CB3F0000}"/>
    <cellStyle name="Normal 6 2 2 2 2 4 2 3 2" xfId="19635" xr:uid="{00000000-0005-0000-0000-0000CC3F0000}"/>
    <cellStyle name="Normal 6 2 2 2 2 4 2 3 3" xfId="12379" xr:uid="{00000000-0005-0000-0000-0000CD3F0000}"/>
    <cellStyle name="Normal 6 2 2 2 2 4 2 4" xfId="16007" xr:uid="{00000000-0005-0000-0000-0000CE3F0000}"/>
    <cellStyle name="Normal 6 2 2 2 2 4 2 5" xfId="8751" xr:uid="{00000000-0005-0000-0000-0000CF3F0000}"/>
    <cellStyle name="Normal 6 2 2 2 2 4 3" xfId="2402" xr:uid="{00000000-0005-0000-0000-0000D03F0000}"/>
    <cellStyle name="Normal 6 2 2 2 2 4 3 2" xfId="6030" xr:uid="{00000000-0005-0000-0000-0000D13F0000}"/>
    <cellStyle name="Normal 6 2 2 2 2 4 3 2 2" xfId="20542" xr:uid="{00000000-0005-0000-0000-0000D23F0000}"/>
    <cellStyle name="Normal 6 2 2 2 2 4 3 2 3" xfId="13286" xr:uid="{00000000-0005-0000-0000-0000D33F0000}"/>
    <cellStyle name="Normal 6 2 2 2 2 4 3 3" xfId="16914" xr:uid="{00000000-0005-0000-0000-0000D43F0000}"/>
    <cellStyle name="Normal 6 2 2 2 2 4 3 4" xfId="9658" xr:uid="{00000000-0005-0000-0000-0000D53F0000}"/>
    <cellStyle name="Normal 6 2 2 2 2 4 4" xfId="4216" xr:uid="{00000000-0005-0000-0000-0000D63F0000}"/>
    <cellStyle name="Normal 6 2 2 2 2 4 4 2" xfId="18728" xr:uid="{00000000-0005-0000-0000-0000D73F0000}"/>
    <cellStyle name="Normal 6 2 2 2 2 4 4 3" xfId="11472" xr:uid="{00000000-0005-0000-0000-0000D83F0000}"/>
    <cellStyle name="Normal 6 2 2 2 2 4 5" xfId="15100" xr:uid="{00000000-0005-0000-0000-0000D93F0000}"/>
    <cellStyle name="Normal 6 2 2 2 2 4 6" xfId="7844" xr:uid="{00000000-0005-0000-0000-0000DA3F0000}"/>
    <cellStyle name="Normal 6 2 2 2 2 5" xfId="1149" xr:uid="{00000000-0005-0000-0000-0000DB3F0000}"/>
    <cellStyle name="Normal 6 2 2 2 2 5 2" xfId="2963" xr:uid="{00000000-0005-0000-0000-0000DC3F0000}"/>
    <cellStyle name="Normal 6 2 2 2 2 5 2 2" xfId="6591" xr:uid="{00000000-0005-0000-0000-0000DD3F0000}"/>
    <cellStyle name="Normal 6 2 2 2 2 5 2 2 2" xfId="21103" xr:uid="{00000000-0005-0000-0000-0000DE3F0000}"/>
    <cellStyle name="Normal 6 2 2 2 2 5 2 2 3" xfId="13847" xr:uid="{00000000-0005-0000-0000-0000DF3F0000}"/>
    <cellStyle name="Normal 6 2 2 2 2 5 2 3" xfId="17475" xr:uid="{00000000-0005-0000-0000-0000E03F0000}"/>
    <cellStyle name="Normal 6 2 2 2 2 5 2 4" xfId="10219" xr:uid="{00000000-0005-0000-0000-0000E13F0000}"/>
    <cellStyle name="Normal 6 2 2 2 2 5 3" xfId="4777" xr:uid="{00000000-0005-0000-0000-0000E23F0000}"/>
    <cellStyle name="Normal 6 2 2 2 2 5 3 2" xfId="19289" xr:uid="{00000000-0005-0000-0000-0000E33F0000}"/>
    <cellStyle name="Normal 6 2 2 2 2 5 3 3" xfId="12033" xr:uid="{00000000-0005-0000-0000-0000E43F0000}"/>
    <cellStyle name="Normal 6 2 2 2 2 5 4" xfId="15661" xr:uid="{00000000-0005-0000-0000-0000E53F0000}"/>
    <cellStyle name="Normal 6 2 2 2 2 5 5" xfId="8405" xr:uid="{00000000-0005-0000-0000-0000E63F0000}"/>
    <cellStyle name="Normal 6 2 2 2 2 6" xfId="2056" xr:uid="{00000000-0005-0000-0000-0000E73F0000}"/>
    <cellStyle name="Normal 6 2 2 2 2 6 2" xfId="5684" xr:uid="{00000000-0005-0000-0000-0000E83F0000}"/>
    <cellStyle name="Normal 6 2 2 2 2 6 2 2" xfId="20196" xr:uid="{00000000-0005-0000-0000-0000E93F0000}"/>
    <cellStyle name="Normal 6 2 2 2 2 6 2 3" xfId="12940" xr:uid="{00000000-0005-0000-0000-0000EA3F0000}"/>
    <cellStyle name="Normal 6 2 2 2 2 6 3" xfId="16568" xr:uid="{00000000-0005-0000-0000-0000EB3F0000}"/>
    <cellStyle name="Normal 6 2 2 2 2 6 4" xfId="9312" xr:uid="{00000000-0005-0000-0000-0000EC3F0000}"/>
    <cellStyle name="Normal 6 2 2 2 2 7" xfId="3870" xr:uid="{00000000-0005-0000-0000-0000ED3F0000}"/>
    <cellStyle name="Normal 6 2 2 2 2 7 2" xfId="18382" xr:uid="{00000000-0005-0000-0000-0000EE3F0000}"/>
    <cellStyle name="Normal 6 2 2 2 2 7 3" xfId="11126" xr:uid="{00000000-0005-0000-0000-0000EF3F0000}"/>
    <cellStyle name="Normal 6 2 2 2 2 8" xfId="14754" xr:uid="{00000000-0005-0000-0000-0000F03F0000}"/>
    <cellStyle name="Normal 6 2 2 2 2 9" xfId="7498" xr:uid="{00000000-0005-0000-0000-0000F13F0000}"/>
    <cellStyle name="Normal 6 2 2 2 3" xfId="197" xr:uid="{00000000-0005-0000-0000-0000F23F0000}"/>
    <cellStyle name="Normal 6 2 2 2 3 2" xfId="543" xr:uid="{00000000-0005-0000-0000-0000F33F0000}"/>
    <cellStyle name="Normal 6 2 2 2 3 2 2" xfId="1451" xr:uid="{00000000-0005-0000-0000-0000F43F0000}"/>
    <cellStyle name="Normal 6 2 2 2 3 2 2 2" xfId="3265" xr:uid="{00000000-0005-0000-0000-0000F53F0000}"/>
    <cellStyle name="Normal 6 2 2 2 3 2 2 2 2" xfId="6893" xr:uid="{00000000-0005-0000-0000-0000F63F0000}"/>
    <cellStyle name="Normal 6 2 2 2 3 2 2 2 2 2" xfId="21405" xr:uid="{00000000-0005-0000-0000-0000F73F0000}"/>
    <cellStyle name="Normal 6 2 2 2 3 2 2 2 2 3" xfId="14149" xr:uid="{00000000-0005-0000-0000-0000F83F0000}"/>
    <cellStyle name="Normal 6 2 2 2 3 2 2 2 3" xfId="17777" xr:uid="{00000000-0005-0000-0000-0000F93F0000}"/>
    <cellStyle name="Normal 6 2 2 2 3 2 2 2 4" xfId="10521" xr:uid="{00000000-0005-0000-0000-0000FA3F0000}"/>
    <cellStyle name="Normal 6 2 2 2 3 2 2 3" xfId="5079" xr:uid="{00000000-0005-0000-0000-0000FB3F0000}"/>
    <cellStyle name="Normal 6 2 2 2 3 2 2 3 2" xfId="19591" xr:uid="{00000000-0005-0000-0000-0000FC3F0000}"/>
    <cellStyle name="Normal 6 2 2 2 3 2 2 3 3" xfId="12335" xr:uid="{00000000-0005-0000-0000-0000FD3F0000}"/>
    <cellStyle name="Normal 6 2 2 2 3 2 2 4" xfId="15963" xr:uid="{00000000-0005-0000-0000-0000FE3F0000}"/>
    <cellStyle name="Normal 6 2 2 2 3 2 2 5" xfId="8707" xr:uid="{00000000-0005-0000-0000-0000FF3F0000}"/>
    <cellStyle name="Normal 6 2 2 2 3 2 3" xfId="2358" xr:uid="{00000000-0005-0000-0000-000000400000}"/>
    <cellStyle name="Normal 6 2 2 2 3 2 3 2" xfId="5986" xr:uid="{00000000-0005-0000-0000-000001400000}"/>
    <cellStyle name="Normal 6 2 2 2 3 2 3 2 2" xfId="20498" xr:uid="{00000000-0005-0000-0000-000002400000}"/>
    <cellStyle name="Normal 6 2 2 2 3 2 3 2 3" xfId="13242" xr:uid="{00000000-0005-0000-0000-000003400000}"/>
    <cellStyle name="Normal 6 2 2 2 3 2 3 3" xfId="16870" xr:uid="{00000000-0005-0000-0000-000004400000}"/>
    <cellStyle name="Normal 6 2 2 2 3 2 3 4" xfId="9614" xr:uid="{00000000-0005-0000-0000-000005400000}"/>
    <cellStyle name="Normal 6 2 2 2 3 2 4" xfId="4172" xr:uid="{00000000-0005-0000-0000-000006400000}"/>
    <cellStyle name="Normal 6 2 2 2 3 2 4 2" xfId="18684" xr:uid="{00000000-0005-0000-0000-000007400000}"/>
    <cellStyle name="Normal 6 2 2 2 3 2 4 3" xfId="11428" xr:uid="{00000000-0005-0000-0000-000008400000}"/>
    <cellStyle name="Normal 6 2 2 2 3 2 5" xfId="15056" xr:uid="{00000000-0005-0000-0000-000009400000}"/>
    <cellStyle name="Normal 6 2 2 2 3 2 6" xfId="7800" xr:uid="{00000000-0005-0000-0000-00000A400000}"/>
    <cellStyle name="Normal 6 2 2 2 3 3" xfId="1105" xr:uid="{00000000-0005-0000-0000-00000B400000}"/>
    <cellStyle name="Normal 6 2 2 2 3 3 2" xfId="2919" xr:uid="{00000000-0005-0000-0000-00000C400000}"/>
    <cellStyle name="Normal 6 2 2 2 3 3 2 2" xfId="6547" xr:uid="{00000000-0005-0000-0000-00000D400000}"/>
    <cellStyle name="Normal 6 2 2 2 3 3 2 2 2" xfId="21059" xr:uid="{00000000-0005-0000-0000-00000E400000}"/>
    <cellStyle name="Normal 6 2 2 2 3 3 2 2 3" xfId="13803" xr:uid="{00000000-0005-0000-0000-00000F400000}"/>
    <cellStyle name="Normal 6 2 2 2 3 3 2 3" xfId="17431" xr:uid="{00000000-0005-0000-0000-000010400000}"/>
    <cellStyle name="Normal 6 2 2 2 3 3 2 4" xfId="10175" xr:uid="{00000000-0005-0000-0000-000011400000}"/>
    <cellStyle name="Normal 6 2 2 2 3 3 3" xfId="4733" xr:uid="{00000000-0005-0000-0000-000012400000}"/>
    <cellStyle name="Normal 6 2 2 2 3 3 3 2" xfId="19245" xr:uid="{00000000-0005-0000-0000-000013400000}"/>
    <cellStyle name="Normal 6 2 2 2 3 3 3 3" xfId="11989" xr:uid="{00000000-0005-0000-0000-000014400000}"/>
    <cellStyle name="Normal 6 2 2 2 3 3 4" xfId="15617" xr:uid="{00000000-0005-0000-0000-000015400000}"/>
    <cellStyle name="Normal 6 2 2 2 3 3 5" xfId="8361" xr:uid="{00000000-0005-0000-0000-000016400000}"/>
    <cellStyle name="Normal 6 2 2 2 3 4" xfId="2012" xr:uid="{00000000-0005-0000-0000-000017400000}"/>
    <cellStyle name="Normal 6 2 2 2 3 4 2" xfId="5640" xr:uid="{00000000-0005-0000-0000-000018400000}"/>
    <cellStyle name="Normal 6 2 2 2 3 4 2 2" xfId="20152" xr:uid="{00000000-0005-0000-0000-000019400000}"/>
    <cellStyle name="Normal 6 2 2 2 3 4 2 3" xfId="12896" xr:uid="{00000000-0005-0000-0000-00001A400000}"/>
    <cellStyle name="Normal 6 2 2 2 3 4 3" xfId="16524" xr:uid="{00000000-0005-0000-0000-00001B400000}"/>
    <cellStyle name="Normal 6 2 2 2 3 4 4" xfId="9268" xr:uid="{00000000-0005-0000-0000-00001C400000}"/>
    <cellStyle name="Normal 6 2 2 2 3 5" xfId="3826" xr:uid="{00000000-0005-0000-0000-00001D400000}"/>
    <cellStyle name="Normal 6 2 2 2 3 5 2" xfId="18338" xr:uid="{00000000-0005-0000-0000-00001E400000}"/>
    <cellStyle name="Normal 6 2 2 2 3 5 3" xfId="11082" xr:uid="{00000000-0005-0000-0000-00001F400000}"/>
    <cellStyle name="Normal 6 2 2 2 3 6" xfId="14710" xr:uid="{00000000-0005-0000-0000-000020400000}"/>
    <cellStyle name="Normal 6 2 2 2 3 7" xfId="7454" xr:uid="{00000000-0005-0000-0000-000021400000}"/>
    <cellStyle name="Normal 6 2 2 2 4" xfId="327" xr:uid="{00000000-0005-0000-0000-000022400000}"/>
    <cellStyle name="Normal 6 2 2 2 4 2" xfId="673" xr:uid="{00000000-0005-0000-0000-000023400000}"/>
    <cellStyle name="Normal 6 2 2 2 4 2 2" xfId="1581" xr:uid="{00000000-0005-0000-0000-000024400000}"/>
    <cellStyle name="Normal 6 2 2 2 4 2 2 2" xfId="3395" xr:uid="{00000000-0005-0000-0000-000025400000}"/>
    <cellStyle name="Normal 6 2 2 2 4 2 2 2 2" xfId="7023" xr:uid="{00000000-0005-0000-0000-000026400000}"/>
    <cellStyle name="Normal 6 2 2 2 4 2 2 2 2 2" xfId="21535" xr:uid="{00000000-0005-0000-0000-000027400000}"/>
    <cellStyle name="Normal 6 2 2 2 4 2 2 2 2 3" xfId="14279" xr:uid="{00000000-0005-0000-0000-000028400000}"/>
    <cellStyle name="Normal 6 2 2 2 4 2 2 2 3" xfId="17907" xr:uid="{00000000-0005-0000-0000-000029400000}"/>
    <cellStyle name="Normal 6 2 2 2 4 2 2 2 4" xfId="10651" xr:uid="{00000000-0005-0000-0000-00002A400000}"/>
    <cellStyle name="Normal 6 2 2 2 4 2 2 3" xfId="5209" xr:uid="{00000000-0005-0000-0000-00002B400000}"/>
    <cellStyle name="Normal 6 2 2 2 4 2 2 3 2" xfId="19721" xr:uid="{00000000-0005-0000-0000-00002C400000}"/>
    <cellStyle name="Normal 6 2 2 2 4 2 2 3 3" xfId="12465" xr:uid="{00000000-0005-0000-0000-00002D400000}"/>
    <cellStyle name="Normal 6 2 2 2 4 2 2 4" xfId="16093" xr:uid="{00000000-0005-0000-0000-00002E400000}"/>
    <cellStyle name="Normal 6 2 2 2 4 2 2 5" xfId="8837" xr:uid="{00000000-0005-0000-0000-00002F400000}"/>
    <cellStyle name="Normal 6 2 2 2 4 2 3" xfId="2488" xr:uid="{00000000-0005-0000-0000-000030400000}"/>
    <cellStyle name="Normal 6 2 2 2 4 2 3 2" xfId="6116" xr:uid="{00000000-0005-0000-0000-000031400000}"/>
    <cellStyle name="Normal 6 2 2 2 4 2 3 2 2" xfId="20628" xr:uid="{00000000-0005-0000-0000-000032400000}"/>
    <cellStyle name="Normal 6 2 2 2 4 2 3 2 3" xfId="13372" xr:uid="{00000000-0005-0000-0000-000033400000}"/>
    <cellStyle name="Normal 6 2 2 2 4 2 3 3" xfId="17000" xr:uid="{00000000-0005-0000-0000-000034400000}"/>
    <cellStyle name="Normal 6 2 2 2 4 2 3 4" xfId="9744" xr:uid="{00000000-0005-0000-0000-000035400000}"/>
    <cellStyle name="Normal 6 2 2 2 4 2 4" xfId="4302" xr:uid="{00000000-0005-0000-0000-000036400000}"/>
    <cellStyle name="Normal 6 2 2 2 4 2 4 2" xfId="18814" xr:uid="{00000000-0005-0000-0000-000037400000}"/>
    <cellStyle name="Normal 6 2 2 2 4 2 4 3" xfId="11558" xr:uid="{00000000-0005-0000-0000-000038400000}"/>
    <cellStyle name="Normal 6 2 2 2 4 2 5" xfId="15186" xr:uid="{00000000-0005-0000-0000-000039400000}"/>
    <cellStyle name="Normal 6 2 2 2 4 2 6" xfId="7930" xr:uid="{00000000-0005-0000-0000-00003A400000}"/>
    <cellStyle name="Normal 6 2 2 2 4 3" xfId="1235" xr:uid="{00000000-0005-0000-0000-00003B400000}"/>
    <cellStyle name="Normal 6 2 2 2 4 3 2" xfId="3049" xr:uid="{00000000-0005-0000-0000-00003C400000}"/>
    <cellStyle name="Normal 6 2 2 2 4 3 2 2" xfId="6677" xr:uid="{00000000-0005-0000-0000-00003D400000}"/>
    <cellStyle name="Normal 6 2 2 2 4 3 2 2 2" xfId="21189" xr:uid="{00000000-0005-0000-0000-00003E400000}"/>
    <cellStyle name="Normal 6 2 2 2 4 3 2 2 3" xfId="13933" xr:uid="{00000000-0005-0000-0000-00003F400000}"/>
    <cellStyle name="Normal 6 2 2 2 4 3 2 3" xfId="17561" xr:uid="{00000000-0005-0000-0000-000040400000}"/>
    <cellStyle name="Normal 6 2 2 2 4 3 2 4" xfId="10305" xr:uid="{00000000-0005-0000-0000-000041400000}"/>
    <cellStyle name="Normal 6 2 2 2 4 3 3" xfId="4863" xr:uid="{00000000-0005-0000-0000-000042400000}"/>
    <cellStyle name="Normal 6 2 2 2 4 3 3 2" xfId="19375" xr:uid="{00000000-0005-0000-0000-000043400000}"/>
    <cellStyle name="Normal 6 2 2 2 4 3 3 3" xfId="12119" xr:uid="{00000000-0005-0000-0000-000044400000}"/>
    <cellStyle name="Normal 6 2 2 2 4 3 4" xfId="15747" xr:uid="{00000000-0005-0000-0000-000045400000}"/>
    <cellStyle name="Normal 6 2 2 2 4 3 5" xfId="8491" xr:uid="{00000000-0005-0000-0000-000046400000}"/>
    <cellStyle name="Normal 6 2 2 2 4 4" xfId="2142" xr:uid="{00000000-0005-0000-0000-000047400000}"/>
    <cellStyle name="Normal 6 2 2 2 4 4 2" xfId="5770" xr:uid="{00000000-0005-0000-0000-000048400000}"/>
    <cellStyle name="Normal 6 2 2 2 4 4 2 2" xfId="20282" xr:uid="{00000000-0005-0000-0000-000049400000}"/>
    <cellStyle name="Normal 6 2 2 2 4 4 2 3" xfId="13026" xr:uid="{00000000-0005-0000-0000-00004A400000}"/>
    <cellStyle name="Normal 6 2 2 2 4 4 3" xfId="16654" xr:uid="{00000000-0005-0000-0000-00004B400000}"/>
    <cellStyle name="Normal 6 2 2 2 4 4 4" xfId="9398" xr:uid="{00000000-0005-0000-0000-00004C400000}"/>
    <cellStyle name="Normal 6 2 2 2 4 5" xfId="3956" xr:uid="{00000000-0005-0000-0000-00004D400000}"/>
    <cellStyle name="Normal 6 2 2 2 4 5 2" xfId="18468" xr:uid="{00000000-0005-0000-0000-00004E400000}"/>
    <cellStyle name="Normal 6 2 2 2 4 5 3" xfId="11212" xr:uid="{00000000-0005-0000-0000-00004F400000}"/>
    <cellStyle name="Normal 6 2 2 2 4 6" xfId="14840" xr:uid="{00000000-0005-0000-0000-000050400000}"/>
    <cellStyle name="Normal 6 2 2 2 4 7" xfId="7584" xr:uid="{00000000-0005-0000-0000-000051400000}"/>
    <cellStyle name="Normal 6 2 2 2 5" xfId="803" xr:uid="{00000000-0005-0000-0000-000052400000}"/>
    <cellStyle name="Normal 6 2 2 2 5 2" xfId="1711" xr:uid="{00000000-0005-0000-0000-000053400000}"/>
    <cellStyle name="Normal 6 2 2 2 5 2 2" xfId="3525" xr:uid="{00000000-0005-0000-0000-000054400000}"/>
    <cellStyle name="Normal 6 2 2 2 5 2 2 2" xfId="7153" xr:uid="{00000000-0005-0000-0000-000055400000}"/>
    <cellStyle name="Normal 6 2 2 2 5 2 2 2 2" xfId="21665" xr:uid="{00000000-0005-0000-0000-000056400000}"/>
    <cellStyle name="Normal 6 2 2 2 5 2 2 2 3" xfId="14409" xr:uid="{00000000-0005-0000-0000-000057400000}"/>
    <cellStyle name="Normal 6 2 2 2 5 2 2 3" xfId="18037" xr:uid="{00000000-0005-0000-0000-000058400000}"/>
    <cellStyle name="Normal 6 2 2 2 5 2 2 4" xfId="10781" xr:uid="{00000000-0005-0000-0000-000059400000}"/>
    <cellStyle name="Normal 6 2 2 2 5 2 3" xfId="5339" xr:uid="{00000000-0005-0000-0000-00005A400000}"/>
    <cellStyle name="Normal 6 2 2 2 5 2 3 2" xfId="19851" xr:uid="{00000000-0005-0000-0000-00005B400000}"/>
    <cellStyle name="Normal 6 2 2 2 5 2 3 3" xfId="12595" xr:uid="{00000000-0005-0000-0000-00005C400000}"/>
    <cellStyle name="Normal 6 2 2 2 5 2 4" xfId="16223" xr:uid="{00000000-0005-0000-0000-00005D400000}"/>
    <cellStyle name="Normal 6 2 2 2 5 2 5" xfId="8967" xr:uid="{00000000-0005-0000-0000-00005E400000}"/>
    <cellStyle name="Normal 6 2 2 2 5 3" xfId="2618" xr:uid="{00000000-0005-0000-0000-00005F400000}"/>
    <cellStyle name="Normal 6 2 2 2 5 3 2" xfId="6246" xr:uid="{00000000-0005-0000-0000-000060400000}"/>
    <cellStyle name="Normal 6 2 2 2 5 3 2 2" xfId="20758" xr:uid="{00000000-0005-0000-0000-000061400000}"/>
    <cellStyle name="Normal 6 2 2 2 5 3 2 3" xfId="13502" xr:uid="{00000000-0005-0000-0000-000062400000}"/>
    <cellStyle name="Normal 6 2 2 2 5 3 3" xfId="17130" xr:uid="{00000000-0005-0000-0000-000063400000}"/>
    <cellStyle name="Normal 6 2 2 2 5 3 4" xfId="9874" xr:uid="{00000000-0005-0000-0000-000064400000}"/>
    <cellStyle name="Normal 6 2 2 2 5 4" xfId="4432" xr:uid="{00000000-0005-0000-0000-000065400000}"/>
    <cellStyle name="Normal 6 2 2 2 5 4 2" xfId="18944" xr:uid="{00000000-0005-0000-0000-000066400000}"/>
    <cellStyle name="Normal 6 2 2 2 5 4 3" xfId="11688" xr:uid="{00000000-0005-0000-0000-000067400000}"/>
    <cellStyle name="Normal 6 2 2 2 5 5" xfId="15316" xr:uid="{00000000-0005-0000-0000-000068400000}"/>
    <cellStyle name="Normal 6 2 2 2 5 6" xfId="8060" xr:uid="{00000000-0005-0000-0000-000069400000}"/>
    <cellStyle name="Normal 6 2 2 2 6" xfId="457" xr:uid="{00000000-0005-0000-0000-00006A400000}"/>
    <cellStyle name="Normal 6 2 2 2 6 2" xfId="1365" xr:uid="{00000000-0005-0000-0000-00006B400000}"/>
    <cellStyle name="Normal 6 2 2 2 6 2 2" xfId="3179" xr:uid="{00000000-0005-0000-0000-00006C400000}"/>
    <cellStyle name="Normal 6 2 2 2 6 2 2 2" xfId="6807" xr:uid="{00000000-0005-0000-0000-00006D400000}"/>
    <cellStyle name="Normal 6 2 2 2 6 2 2 2 2" xfId="21319" xr:uid="{00000000-0005-0000-0000-00006E400000}"/>
    <cellStyle name="Normal 6 2 2 2 6 2 2 2 3" xfId="14063" xr:uid="{00000000-0005-0000-0000-00006F400000}"/>
    <cellStyle name="Normal 6 2 2 2 6 2 2 3" xfId="17691" xr:uid="{00000000-0005-0000-0000-000070400000}"/>
    <cellStyle name="Normal 6 2 2 2 6 2 2 4" xfId="10435" xr:uid="{00000000-0005-0000-0000-000071400000}"/>
    <cellStyle name="Normal 6 2 2 2 6 2 3" xfId="4993" xr:uid="{00000000-0005-0000-0000-000072400000}"/>
    <cellStyle name="Normal 6 2 2 2 6 2 3 2" xfId="19505" xr:uid="{00000000-0005-0000-0000-000073400000}"/>
    <cellStyle name="Normal 6 2 2 2 6 2 3 3" xfId="12249" xr:uid="{00000000-0005-0000-0000-000074400000}"/>
    <cellStyle name="Normal 6 2 2 2 6 2 4" xfId="15877" xr:uid="{00000000-0005-0000-0000-000075400000}"/>
    <cellStyle name="Normal 6 2 2 2 6 2 5" xfId="8621" xr:uid="{00000000-0005-0000-0000-000076400000}"/>
    <cellStyle name="Normal 6 2 2 2 6 3" xfId="2272" xr:uid="{00000000-0005-0000-0000-000077400000}"/>
    <cellStyle name="Normal 6 2 2 2 6 3 2" xfId="5900" xr:uid="{00000000-0005-0000-0000-000078400000}"/>
    <cellStyle name="Normal 6 2 2 2 6 3 2 2" xfId="20412" xr:uid="{00000000-0005-0000-0000-000079400000}"/>
    <cellStyle name="Normal 6 2 2 2 6 3 2 3" xfId="13156" xr:uid="{00000000-0005-0000-0000-00007A400000}"/>
    <cellStyle name="Normal 6 2 2 2 6 3 3" xfId="16784" xr:uid="{00000000-0005-0000-0000-00007B400000}"/>
    <cellStyle name="Normal 6 2 2 2 6 3 4" xfId="9528" xr:uid="{00000000-0005-0000-0000-00007C400000}"/>
    <cellStyle name="Normal 6 2 2 2 6 4" xfId="4086" xr:uid="{00000000-0005-0000-0000-00007D400000}"/>
    <cellStyle name="Normal 6 2 2 2 6 4 2" xfId="18598" xr:uid="{00000000-0005-0000-0000-00007E400000}"/>
    <cellStyle name="Normal 6 2 2 2 6 4 3" xfId="11342" xr:uid="{00000000-0005-0000-0000-00007F400000}"/>
    <cellStyle name="Normal 6 2 2 2 6 5" xfId="14970" xr:uid="{00000000-0005-0000-0000-000080400000}"/>
    <cellStyle name="Normal 6 2 2 2 6 6" xfId="7714" xr:uid="{00000000-0005-0000-0000-000081400000}"/>
    <cellStyle name="Normal 6 2 2 2 7" xfId="930" xr:uid="{00000000-0005-0000-0000-000082400000}"/>
    <cellStyle name="Normal 6 2 2 2 7 2" xfId="1837" xr:uid="{00000000-0005-0000-0000-000083400000}"/>
    <cellStyle name="Normal 6 2 2 2 7 2 2" xfId="3651" xr:uid="{00000000-0005-0000-0000-000084400000}"/>
    <cellStyle name="Normal 6 2 2 2 7 2 2 2" xfId="7279" xr:uid="{00000000-0005-0000-0000-000085400000}"/>
    <cellStyle name="Normal 6 2 2 2 7 2 2 2 2" xfId="21791" xr:uid="{00000000-0005-0000-0000-000086400000}"/>
    <cellStyle name="Normal 6 2 2 2 7 2 2 2 3" xfId="14535" xr:uid="{00000000-0005-0000-0000-000087400000}"/>
    <cellStyle name="Normal 6 2 2 2 7 2 2 3" xfId="18163" xr:uid="{00000000-0005-0000-0000-000088400000}"/>
    <cellStyle name="Normal 6 2 2 2 7 2 2 4" xfId="10907" xr:uid="{00000000-0005-0000-0000-000089400000}"/>
    <cellStyle name="Normal 6 2 2 2 7 2 3" xfId="5465" xr:uid="{00000000-0005-0000-0000-00008A400000}"/>
    <cellStyle name="Normal 6 2 2 2 7 2 3 2" xfId="19977" xr:uid="{00000000-0005-0000-0000-00008B400000}"/>
    <cellStyle name="Normal 6 2 2 2 7 2 3 3" xfId="12721" xr:uid="{00000000-0005-0000-0000-00008C400000}"/>
    <cellStyle name="Normal 6 2 2 2 7 2 4" xfId="16349" xr:uid="{00000000-0005-0000-0000-00008D400000}"/>
    <cellStyle name="Normal 6 2 2 2 7 2 5" xfId="9093" xr:uid="{00000000-0005-0000-0000-00008E400000}"/>
    <cellStyle name="Normal 6 2 2 2 7 3" xfId="2744" xr:uid="{00000000-0005-0000-0000-00008F400000}"/>
    <cellStyle name="Normal 6 2 2 2 7 3 2" xfId="6372" xr:uid="{00000000-0005-0000-0000-000090400000}"/>
    <cellStyle name="Normal 6 2 2 2 7 3 2 2" xfId="20884" xr:uid="{00000000-0005-0000-0000-000091400000}"/>
    <cellStyle name="Normal 6 2 2 2 7 3 2 3" xfId="13628" xr:uid="{00000000-0005-0000-0000-000092400000}"/>
    <cellStyle name="Normal 6 2 2 2 7 3 3" xfId="17256" xr:uid="{00000000-0005-0000-0000-000093400000}"/>
    <cellStyle name="Normal 6 2 2 2 7 3 4" xfId="10000" xr:uid="{00000000-0005-0000-0000-000094400000}"/>
    <cellStyle name="Normal 6 2 2 2 7 4" xfId="4558" xr:uid="{00000000-0005-0000-0000-000095400000}"/>
    <cellStyle name="Normal 6 2 2 2 7 4 2" xfId="19070" xr:uid="{00000000-0005-0000-0000-000096400000}"/>
    <cellStyle name="Normal 6 2 2 2 7 4 3" xfId="11814" xr:uid="{00000000-0005-0000-0000-000097400000}"/>
    <cellStyle name="Normal 6 2 2 2 7 5" xfId="15442" xr:uid="{00000000-0005-0000-0000-000098400000}"/>
    <cellStyle name="Normal 6 2 2 2 7 6" xfId="8186" xr:uid="{00000000-0005-0000-0000-000099400000}"/>
    <cellStyle name="Normal 6 2 2 2 8" xfId="1019" xr:uid="{00000000-0005-0000-0000-00009A400000}"/>
    <cellStyle name="Normal 6 2 2 2 8 2" xfId="2833" xr:uid="{00000000-0005-0000-0000-00009B400000}"/>
    <cellStyle name="Normal 6 2 2 2 8 2 2" xfId="6461" xr:uid="{00000000-0005-0000-0000-00009C400000}"/>
    <cellStyle name="Normal 6 2 2 2 8 2 2 2" xfId="20973" xr:uid="{00000000-0005-0000-0000-00009D400000}"/>
    <cellStyle name="Normal 6 2 2 2 8 2 2 3" xfId="13717" xr:uid="{00000000-0005-0000-0000-00009E400000}"/>
    <cellStyle name="Normal 6 2 2 2 8 2 3" xfId="17345" xr:uid="{00000000-0005-0000-0000-00009F400000}"/>
    <cellStyle name="Normal 6 2 2 2 8 2 4" xfId="10089" xr:uid="{00000000-0005-0000-0000-0000A0400000}"/>
    <cellStyle name="Normal 6 2 2 2 8 3" xfId="4647" xr:uid="{00000000-0005-0000-0000-0000A1400000}"/>
    <cellStyle name="Normal 6 2 2 2 8 3 2" xfId="19159" xr:uid="{00000000-0005-0000-0000-0000A2400000}"/>
    <cellStyle name="Normal 6 2 2 2 8 3 3" xfId="11903" xr:uid="{00000000-0005-0000-0000-0000A3400000}"/>
    <cellStyle name="Normal 6 2 2 2 8 4" xfId="15531" xr:uid="{00000000-0005-0000-0000-0000A4400000}"/>
    <cellStyle name="Normal 6 2 2 2 8 5" xfId="8275" xr:uid="{00000000-0005-0000-0000-0000A5400000}"/>
    <cellStyle name="Normal 6 2 2 2 9" xfId="1926" xr:uid="{00000000-0005-0000-0000-0000A6400000}"/>
    <cellStyle name="Normal 6 2 2 2 9 2" xfId="5554" xr:uid="{00000000-0005-0000-0000-0000A7400000}"/>
    <cellStyle name="Normal 6 2 2 2 9 2 2" xfId="20066" xr:uid="{00000000-0005-0000-0000-0000A8400000}"/>
    <cellStyle name="Normal 6 2 2 2 9 2 3" xfId="12810" xr:uid="{00000000-0005-0000-0000-0000A9400000}"/>
    <cellStyle name="Normal 6 2 2 2 9 3" xfId="16438" xr:uid="{00000000-0005-0000-0000-0000AA400000}"/>
    <cellStyle name="Normal 6 2 2 2 9 4" xfId="9182" xr:uid="{00000000-0005-0000-0000-0000AB400000}"/>
    <cellStyle name="Normal 6 2 2 3" xfId="102" xr:uid="{00000000-0005-0000-0000-0000AC400000}"/>
    <cellStyle name="Normal 6 2 2 3 10" xfId="7361" xr:uid="{00000000-0005-0000-0000-0000AD400000}"/>
    <cellStyle name="Normal 6 2 2 3 2" xfId="190" xr:uid="{00000000-0005-0000-0000-0000AE400000}"/>
    <cellStyle name="Normal 6 2 2 3 2 2" xfId="536" xr:uid="{00000000-0005-0000-0000-0000AF400000}"/>
    <cellStyle name="Normal 6 2 2 3 2 2 2" xfId="1444" xr:uid="{00000000-0005-0000-0000-0000B0400000}"/>
    <cellStyle name="Normal 6 2 2 3 2 2 2 2" xfId="3258" xr:uid="{00000000-0005-0000-0000-0000B1400000}"/>
    <cellStyle name="Normal 6 2 2 3 2 2 2 2 2" xfId="6886" xr:uid="{00000000-0005-0000-0000-0000B2400000}"/>
    <cellStyle name="Normal 6 2 2 3 2 2 2 2 2 2" xfId="21398" xr:uid="{00000000-0005-0000-0000-0000B3400000}"/>
    <cellStyle name="Normal 6 2 2 3 2 2 2 2 2 3" xfId="14142" xr:uid="{00000000-0005-0000-0000-0000B4400000}"/>
    <cellStyle name="Normal 6 2 2 3 2 2 2 2 3" xfId="17770" xr:uid="{00000000-0005-0000-0000-0000B5400000}"/>
    <cellStyle name="Normal 6 2 2 3 2 2 2 2 4" xfId="10514" xr:uid="{00000000-0005-0000-0000-0000B6400000}"/>
    <cellStyle name="Normal 6 2 2 3 2 2 2 3" xfId="5072" xr:uid="{00000000-0005-0000-0000-0000B7400000}"/>
    <cellStyle name="Normal 6 2 2 3 2 2 2 3 2" xfId="19584" xr:uid="{00000000-0005-0000-0000-0000B8400000}"/>
    <cellStyle name="Normal 6 2 2 3 2 2 2 3 3" xfId="12328" xr:uid="{00000000-0005-0000-0000-0000B9400000}"/>
    <cellStyle name="Normal 6 2 2 3 2 2 2 4" xfId="15956" xr:uid="{00000000-0005-0000-0000-0000BA400000}"/>
    <cellStyle name="Normal 6 2 2 3 2 2 2 5" xfId="8700" xr:uid="{00000000-0005-0000-0000-0000BB400000}"/>
    <cellStyle name="Normal 6 2 2 3 2 2 3" xfId="2351" xr:uid="{00000000-0005-0000-0000-0000BC400000}"/>
    <cellStyle name="Normal 6 2 2 3 2 2 3 2" xfId="5979" xr:uid="{00000000-0005-0000-0000-0000BD400000}"/>
    <cellStyle name="Normal 6 2 2 3 2 2 3 2 2" xfId="20491" xr:uid="{00000000-0005-0000-0000-0000BE400000}"/>
    <cellStyle name="Normal 6 2 2 3 2 2 3 2 3" xfId="13235" xr:uid="{00000000-0005-0000-0000-0000BF400000}"/>
    <cellStyle name="Normal 6 2 2 3 2 2 3 3" xfId="16863" xr:uid="{00000000-0005-0000-0000-0000C0400000}"/>
    <cellStyle name="Normal 6 2 2 3 2 2 3 4" xfId="9607" xr:uid="{00000000-0005-0000-0000-0000C1400000}"/>
    <cellStyle name="Normal 6 2 2 3 2 2 4" xfId="4165" xr:uid="{00000000-0005-0000-0000-0000C2400000}"/>
    <cellStyle name="Normal 6 2 2 3 2 2 4 2" xfId="18677" xr:uid="{00000000-0005-0000-0000-0000C3400000}"/>
    <cellStyle name="Normal 6 2 2 3 2 2 4 3" xfId="11421" xr:uid="{00000000-0005-0000-0000-0000C4400000}"/>
    <cellStyle name="Normal 6 2 2 3 2 2 5" xfId="15049" xr:uid="{00000000-0005-0000-0000-0000C5400000}"/>
    <cellStyle name="Normal 6 2 2 3 2 2 6" xfId="7793" xr:uid="{00000000-0005-0000-0000-0000C6400000}"/>
    <cellStyle name="Normal 6 2 2 3 2 3" xfId="1098" xr:uid="{00000000-0005-0000-0000-0000C7400000}"/>
    <cellStyle name="Normal 6 2 2 3 2 3 2" xfId="2912" xr:uid="{00000000-0005-0000-0000-0000C8400000}"/>
    <cellStyle name="Normal 6 2 2 3 2 3 2 2" xfId="6540" xr:uid="{00000000-0005-0000-0000-0000C9400000}"/>
    <cellStyle name="Normal 6 2 2 3 2 3 2 2 2" xfId="21052" xr:uid="{00000000-0005-0000-0000-0000CA400000}"/>
    <cellStyle name="Normal 6 2 2 3 2 3 2 2 3" xfId="13796" xr:uid="{00000000-0005-0000-0000-0000CB400000}"/>
    <cellStyle name="Normal 6 2 2 3 2 3 2 3" xfId="17424" xr:uid="{00000000-0005-0000-0000-0000CC400000}"/>
    <cellStyle name="Normal 6 2 2 3 2 3 2 4" xfId="10168" xr:uid="{00000000-0005-0000-0000-0000CD400000}"/>
    <cellStyle name="Normal 6 2 2 3 2 3 3" xfId="4726" xr:uid="{00000000-0005-0000-0000-0000CE400000}"/>
    <cellStyle name="Normal 6 2 2 3 2 3 3 2" xfId="19238" xr:uid="{00000000-0005-0000-0000-0000CF400000}"/>
    <cellStyle name="Normal 6 2 2 3 2 3 3 3" xfId="11982" xr:uid="{00000000-0005-0000-0000-0000D0400000}"/>
    <cellStyle name="Normal 6 2 2 3 2 3 4" xfId="15610" xr:uid="{00000000-0005-0000-0000-0000D1400000}"/>
    <cellStyle name="Normal 6 2 2 3 2 3 5" xfId="8354" xr:uid="{00000000-0005-0000-0000-0000D2400000}"/>
    <cellStyle name="Normal 6 2 2 3 2 4" xfId="2005" xr:uid="{00000000-0005-0000-0000-0000D3400000}"/>
    <cellStyle name="Normal 6 2 2 3 2 4 2" xfId="5633" xr:uid="{00000000-0005-0000-0000-0000D4400000}"/>
    <cellStyle name="Normal 6 2 2 3 2 4 2 2" xfId="20145" xr:uid="{00000000-0005-0000-0000-0000D5400000}"/>
    <cellStyle name="Normal 6 2 2 3 2 4 2 3" xfId="12889" xr:uid="{00000000-0005-0000-0000-0000D6400000}"/>
    <cellStyle name="Normal 6 2 2 3 2 4 3" xfId="16517" xr:uid="{00000000-0005-0000-0000-0000D7400000}"/>
    <cellStyle name="Normal 6 2 2 3 2 4 4" xfId="9261" xr:uid="{00000000-0005-0000-0000-0000D8400000}"/>
    <cellStyle name="Normal 6 2 2 3 2 5" xfId="3819" xr:uid="{00000000-0005-0000-0000-0000D9400000}"/>
    <cellStyle name="Normal 6 2 2 3 2 5 2" xfId="18331" xr:uid="{00000000-0005-0000-0000-0000DA400000}"/>
    <cellStyle name="Normal 6 2 2 3 2 5 3" xfId="11075" xr:uid="{00000000-0005-0000-0000-0000DB400000}"/>
    <cellStyle name="Normal 6 2 2 3 2 6" xfId="14703" xr:uid="{00000000-0005-0000-0000-0000DC400000}"/>
    <cellStyle name="Normal 6 2 2 3 2 7" xfId="7447" xr:uid="{00000000-0005-0000-0000-0000DD400000}"/>
    <cellStyle name="Normal 6 2 2 3 3" xfId="320" xr:uid="{00000000-0005-0000-0000-0000DE400000}"/>
    <cellStyle name="Normal 6 2 2 3 3 2" xfId="666" xr:uid="{00000000-0005-0000-0000-0000DF400000}"/>
    <cellStyle name="Normal 6 2 2 3 3 2 2" xfId="1574" xr:uid="{00000000-0005-0000-0000-0000E0400000}"/>
    <cellStyle name="Normal 6 2 2 3 3 2 2 2" xfId="3388" xr:uid="{00000000-0005-0000-0000-0000E1400000}"/>
    <cellStyle name="Normal 6 2 2 3 3 2 2 2 2" xfId="7016" xr:uid="{00000000-0005-0000-0000-0000E2400000}"/>
    <cellStyle name="Normal 6 2 2 3 3 2 2 2 2 2" xfId="21528" xr:uid="{00000000-0005-0000-0000-0000E3400000}"/>
    <cellStyle name="Normal 6 2 2 3 3 2 2 2 2 3" xfId="14272" xr:uid="{00000000-0005-0000-0000-0000E4400000}"/>
    <cellStyle name="Normal 6 2 2 3 3 2 2 2 3" xfId="17900" xr:uid="{00000000-0005-0000-0000-0000E5400000}"/>
    <cellStyle name="Normal 6 2 2 3 3 2 2 2 4" xfId="10644" xr:uid="{00000000-0005-0000-0000-0000E6400000}"/>
    <cellStyle name="Normal 6 2 2 3 3 2 2 3" xfId="5202" xr:uid="{00000000-0005-0000-0000-0000E7400000}"/>
    <cellStyle name="Normal 6 2 2 3 3 2 2 3 2" xfId="19714" xr:uid="{00000000-0005-0000-0000-0000E8400000}"/>
    <cellStyle name="Normal 6 2 2 3 3 2 2 3 3" xfId="12458" xr:uid="{00000000-0005-0000-0000-0000E9400000}"/>
    <cellStyle name="Normal 6 2 2 3 3 2 2 4" xfId="16086" xr:uid="{00000000-0005-0000-0000-0000EA400000}"/>
    <cellStyle name="Normal 6 2 2 3 3 2 2 5" xfId="8830" xr:uid="{00000000-0005-0000-0000-0000EB400000}"/>
    <cellStyle name="Normal 6 2 2 3 3 2 3" xfId="2481" xr:uid="{00000000-0005-0000-0000-0000EC400000}"/>
    <cellStyle name="Normal 6 2 2 3 3 2 3 2" xfId="6109" xr:uid="{00000000-0005-0000-0000-0000ED400000}"/>
    <cellStyle name="Normal 6 2 2 3 3 2 3 2 2" xfId="20621" xr:uid="{00000000-0005-0000-0000-0000EE400000}"/>
    <cellStyle name="Normal 6 2 2 3 3 2 3 2 3" xfId="13365" xr:uid="{00000000-0005-0000-0000-0000EF400000}"/>
    <cellStyle name="Normal 6 2 2 3 3 2 3 3" xfId="16993" xr:uid="{00000000-0005-0000-0000-0000F0400000}"/>
    <cellStyle name="Normal 6 2 2 3 3 2 3 4" xfId="9737" xr:uid="{00000000-0005-0000-0000-0000F1400000}"/>
    <cellStyle name="Normal 6 2 2 3 3 2 4" xfId="4295" xr:uid="{00000000-0005-0000-0000-0000F2400000}"/>
    <cellStyle name="Normal 6 2 2 3 3 2 4 2" xfId="18807" xr:uid="{00000000-0005-0000-0000-0000F3400000}"/>
    <cellStyle name="Normal 6 2 2 3 3 2 4 3" xfId="11551" xr:uid="{00000000-0005-0000-0000-0000F4400000}"/>
    <cellStyle name="Normal 6 2 2 3 3 2 5" xfId="15179" xr:uid="{00000000-0005-0000-0000-0000F5400000}"/>
    <cellStyle name="Normal 6 2 2 3 3 2 6" xfId="7923" xr:uid="{00000000-0005-0000-0000-0000F6400000}"/>
    <cellStyle name="Normal 6 2 2 3 3 3" xfId="1228" xr:uid="{00000000-0005-0000-0000-0000F7400000}"/>
    <cellStyle name="Normal 6 2 2 3 3 3 2" xfId="3042" xr:uid="{00000000-0005-0000-0000-0000F8400000}"/>
    <cellStyle name="Normal 6 2 2 3 3 3 2 2" xfId="6670" xr:uid="{00000000-0005-0000-0000-0000F9400000}"/>
    <cellStyle name="Normal 6 2 2 3 3 3 2 2 2" xfId="21182" xr:uid="{00000000-0005-0000-0000-0000FA400000}"/>
    <cellStyle name="Normal 6 2 2 3 3 3 2 2 3" xfId="13926" xr:uid="{00000000-0005-0000-0000-0000FB400000}"/>
    <cellStyle name="Normal 6 2 2 3 3 3 2 3" xfId="17554" xr:uid="{00000000-0005-0000-0000-0000FC400000}"/>
    <cellStyle name="Normal 6 2 2 3 3 3 2 4" xfId="10298" xr:uid="{00000000-0005-0000-0000-0000FD400000}"/>
    <cellStyle name="Normal 6 2 2 3 3 3 3" xfId="4856" xr:uid="{00000000-0005-0000-0000-0000FE400000}"/>
    <cellStyle name="Normal 6 2 2 3 3 3 3 2" xfId="19368" xr:uid="{00000000-0005-0000-0000-0000FF400000}"/>
    <cellStyle name="Normal 6 2 2 3 3 3 3 3" xfId="12112" xr:uid="{00000000-0005-0000-0000-000000410000}"/>
    <cellStyle name="Normal 6 2 2 3 3 3 4" xfId="15740" xr:uid="{00000000-0005-0000-0000-000001410000}"/>
    <cellStyle name="Normal 6 2 2 3 3 3 5" xfId="8484" xr:uid="{00000000-0005-0000-0000-000002410000}"/>
    <cellStyle name="Normal 6 2 2 3 3 4" xfId="2135" xr:uid="{00000000-0005-0000-0000-000003410000}"/>
    <cellStyle name="Normal 6 2 2 3 3 4 2" xfId="5763" xr:uid="{00000000-0005-0000-0000-000004410000}"/>
    <cellStyle name="Normal 6 2 2 3 3 4 2 2" xfId="20275" xr:uid="{00000000-0005-0000-0000-000005410000}"/>
    <cellStyle name="Normal 6 2 2 3 3 4 2 3" xfId="13019" xr:uid="{00000000-0005-0000-0000-000006410000}"/>
    <cellStyle name="Normal 6 2 2 3 3 4 3" xfId="16647" xr:uid="{00000000-0005-0000-0000-000007410000}"/>
    <cellStyle name="Normal 6 2 2 3 3 4 4" xfId="9391" xr:uid="{00000000-0005-0000-0000-000008410000}"/>
    <cellStyle name="Normal 6 2 2 3 3 5" xfId="3949" xr:uid="{00000000-0005-0000-0000-000009410000}"/>
    <cellStyle name="Normal 6 2 2 3 3 5 2" xfId="18461" xr:uid="{00000000-0005-0000-0000-00000A410000}"/>
    <cellStyle name="Normal 6 2 2 3 3 5 3" xfId="11205" xr:uid="{00000000-0005-0000-0000-00000B410000}"/>
    <cellStyle name="Normal 6 2 2 3 3 6" xfId="14833" xr:uid="{00000000-0005-0000-0000-00000C410000}"/>
    <cellStyle name="Normal 6 2 2 3 3 7" xfId="7577" xr:uid="{00000000-0005-0000-0000-00000D410000}"/>
    <cellStyle name="Normal 6 2 2 3 4" xfId="796" xr:uid="{00000000-0005-0000-0000-00000E410000}"/>
    <cellStyle name="Normal 6 2 2 3 4 2" xfId="1704" xr:uid="{00000000-0005-0000-0000-00000F410000}"/>
    <cellStyle name="Normal 6 2 2 3 4 2 2" xfId="3518" xr:uid="{00000000-0005-0000-0000-000010410000}"/>
    <cellStyle name="Normal 6 2 2 3 4 2 2 2" xfId="7146" xr:uid="{00000000-0005-0000-0000-000011410000}"/>
    <cellStyle name="Normal 6 2 2 3 4 2 2 2 2" xfId="21658" xr:uid="{00000000-0005-0000-0000-000012410000}"/>
    <cellStyle name="Normal 6 2 2 3 4 2 2 2 3" xfId="14402" xr:uid="{00000000-0005-0000-0000-000013410000}"/>
    <cellStyle name="Normal 6 2 2 3 4 2 2 3" xfId="18030" xr:uid="{00000000-0005-0000-0000-000014410000}"/>
    <cellStyle name="Normal 6 2 2 3 4 2 2 4" xfId="10774" xr:uid="{00000000-0005-0000-0000-000015410000}"/>
    <cellStyle name="Normal 6 2 2 3 4 2 3" xfId="5332" xr:uid="{00000000-0005-0000-0000-000016410000}"/>
    <cellStyle name="Normal 6 2 2 3 4 2 3 2" xfId="19844" xr:uid="{00000000-0005-0000-0000-000017410000}"/>
    <cellStyle name="Normal 6 2 2 3 4 2 3 3" xfId="12588" xr:uid="{00000000-0005-0000-0000-000018410000}"/>
    <cellStyle name="Normal 6 2 2 3 4 2 4" xfId="16216" xr:uid="{00000000-0005-0000-0000-000019410000}"/>
    <cellStyle name="Normal 6 2 2 3 4 2 5" xfId="8960" xr:uid="{00000000-0005-0000-0000-00001A410000}"/>
    <cellStyle name="Normal 6 2 2 3 4 3" xfId="2611" xr:uid="{00000000-0005-0000-0000-00001B410000}"/>
    <cellStyle name="Normal 6 2 2 3 4 3 2" xfId="6239" xr:uid="{00000000-0005-0000-0000-00001C410000}"/>
    <cellStyle name="Normal 6 2 2 3 4 3 2 2" xfId="20751" xr:uid="{00000000-0005-0000-0000-00001D410000}"/>
    <cellStyle name="Normal 6 2 2 3 4 3 2 3" xfId="13495" xr:uid="{00000000-0005-0000-0000-00001E410000}"/>
    <cellStyle name="Normal 6 2 2 3 4 3 3" xfId="17123" xr:uid="{00000000-0005-0000-0000-00001F410000}"/>
    <cellStyle name="Normal 6 2 2 3 4 3 4" xfId="9867" xr:uid="{00000000-0005-0000-0000-000020410000}"/>
    <cellStyle name="Normal 6 2 2 3 4 4" xfId="4425" xr:uid="{00000000-0005-0000-0000-000021410000}"/>
    <cellStyle name="Normal 6 2 2 3 4 4 2" xfId="18937" xr:uid="{00000000-0005-0000-0000-000022410000}"/>
    <cellStyle name="Normal 6 2 2 3 4 4 3" xfId="11681" xr:uid="{00000000-0005-0000-0000-000023410000}"/>
    <cellStyle name="Normal 6 2 2 3 4 5" xfId="15309" xr:uid="{00000000-0005-0000-0000-000024410000}"/>
    <cellStyle name="Normal 6 2 2 3 4 6" xfId="8053" xr:uid="{00000000-0005-0000-0000-000025410000}"/>
    <cellStyle name="Normal 6 2 2 3 5" xfId="450" xr:uid="{00000000-0005-0000-0000-000026410000}"/>
    <cellStyle name="Normal 6 2 2 3 5 2" xfId="1358" xr:uid="{00000000-0005-0000-0000-000027410000}"/>
    <cellStyle name="Normal 6 2 2 3 5 2 2" xfId="3172" xr:uid="{00000000-0005-0000-0000-000028410000}"/>
    <cellStyle name="Normal 6 2 2 3 5 2 2 2" xfId="6800" xr:uid="{00000000-0005-0000-0000-000029410000}"/>
    <cellStyle name="Normal 6 2 2 3 5 2 2 2 2" xfId="21312" xr:uid="{00000000-0005-0000-0000-00002A410000}"/>
    <cellStyle name="Normal 6 2 2 3 5 2 2 2 3" xfId="14056" xr:uid="{00000000-0005-0000-0000-00002B410000}"/>
    <cellStyle name="Normal 6 2 2 3 5 2 2 3" xfId="17684" xr:uid="{00000000-0005-0000-0000-00002C410000}"/>
    <cellStyle name="Normal 6 2 2 3 5 2 2 4" xfId="10428" xr:uid="{00000000-0005-0000-0000-00002D410000}"/>
    <cellStyle name="Normal 6 2 2 3 5 2 3" xfId="4986" xr:uid="{00000000-0005-0000-0000-00002E410000}"/>
    <cellStyle name="Normal 6 2 2 3 5 2 3 2" xfId="19498" xr:uid="{00000000-0005-0000-0000-00002F410000}"/>
    <cellStyle name="Normal 6 2 2 3 5 2 3 3" xfId="12242" xr:uid="{00000000-0005-0000-0000-000030410000}"/>
    <cellStyle name="Normal 6 2 2 3 5 2 4" xfId="15870" xr:uid="{00000000-0005-0000-0000-000031410000}"/>
    <cellStyle name="Normal 6 2 2 3 5 2 5" xfId="8614" xr:uid="{00000000-0005-0000-0000-000032410000}"/>
    <cellStyle name="Normal 6 2 2 3 5 3" xfId="2265" xr:uid="{00000000-0005-0000-0000-000033410000}"/>
    <cellStyle name="Normal 6 2 2 3 5 3 2" xfId="5893" xr:uid="{00000000-0005-0000-0000-000034410000}"/>
    <cellStyle name="Normal 6 2 2 3 5 3 2 2" xfId="20405" xr:uid="{00000000-0005-0000-0000-000035410000}"/>
    <cellStyle name="Normal 6 2 2 3 5 3 2 3" xfId="13149" xr:uid="{00000000-0005-0000-0000-000036410000}"/>
    <cellStyle name="Normal 6 2 2 3 5 3 3" xfId="16777" xr:uid="{00000000-0005-0000-0000-000037410000}"/>
    <cellStyle name="Normal 6 2 2 3 5 3 4" xfId="9521" xr:uid="{00000000-0005-0000-0000-000038410000}"/>
    <cellStyle name="Normal 6 2 2 3 5 4" xfId="4079" xr:uid="{00000000-0005-0000-0000-000039410000}"/>
    <cellStyle name="Normal 6 2 2 3 5 4 2" xfId="18591" xr:uid="{00000000-0005-0000-0000-00003A410000}"/>
    <cellStyle name="Normal 6 2 2 3 5 4 3" xfId="11335" xr:uid="{00000000-0005-0000-0000-00003B410000}"/>
    <cellStyle name="Normal 6 2 2 3 5 5" xfId="14963" xr:uid="{00000000-0005-0000-0000-00003C410000}"/>
    <cellStyle name="Normal 6 2 2 3 5 6" xfId="7707" xr:uid="{00000000-0005-0000-0000-00003D410000}"/>
    <cellStyle name="Normal 6 2 2 3 6" xfId="1012" xr:uid="{00000000-0005-0000-0000-00003E410000}"/>
    <cellStyle name="Normal 6 2 2 3 6 2" xfId="2826" xr:uid="{00000000-0005-0000-0000-00003F410000}"/>
    <cellStyle name="Normal 6 2 2 3 6 2 2" xfId="6454" xr:uid="{00000000-0005-0000-0000-000040410000}"/>
    <cellStyle name="Normal 6 2 2 3 6 2 2 2" xfId="20966" xr:uid="{00000000-0005-0000-0000-000041410000}"/>
    <cellStyle name="Normal 6 2 2 3 6 2 2 3" xfId="13710" xr:uid="{00000000-0005-0000-0000-000042410000}"/>
    <cellStyle name="Normal 6 2 2 3 6 2 3" xfId="17338" xr:uid="{00000000-0005-0000-0000-000043410000}"/>
    <cellStyle name="Normal 6 2 2 3 6 2 4" xfId="10082" xr:uid="{00000000-0005-0000-0000-000044410000}"/>
    <cellStyle name="Normal 6 2 2 3 6 3" xfId="4640" xr:uid="{00000000-0005-0000-0000-000045410000}"/>
    <cellStyle name="Normal 6 2 2 3 6 3 2" xfId="19152" xr:uid="{00000000-0005-0000-0000-000046410000}"/>
    <cellStyle name="Normal 6 2 2 3 6 3 3" xfId="11896" xr:uid="{00000000-0005-0000-0000-000047410000}"/>
    <cellStyle name="Normal 6 2 2 3 6 4" xfId="15524" xr:uid="{00000000-0005-0000-0000-000048410000}"/>
    <cellStyle name="Normal 6 2 2 3 6 5" xfId="8268" xr:uid="{00000000-0005-0000-0000-000049410000}"/>
    <cellStyle name="Normal 6 2 2 3 7" xfId="1919" xr:uid="{00000000-0005-0000-0000-00004A410000}"/>
    <cellStyle name="Normal 6 2 2 3 7 2" xfId="5547" xr:uid="{00000000-0005-0000-0000-00004B410000}"/>
    <cellStyle name="Normal 6 2 2 3 7 2 2" xfId="20059" xr:uid="{00000000-0005-0000-0000-00004C410000}"/>
    <cellStyle name="Normal 6 2 2 3 7 2 3" xfId="12803" xr:uid="{00000000-0005-0000-0000-00004D410000}"/>
    <cellStyle name="Normal 6 2 2 3 7 3" xfId="16431" xr:uid="{00000000-0005-0000-0000-00004E410000}"/>
    <cellStyle name="Normal 6 2 2 3 7 4" xfId="9175" xr:uid="{00000000-0005-0000-0000-00004F410000}"/>
    <cellStyle name="Normal 6 2 2 3 8" xfId="3733" xr:uid="{00000000-0005-0000-0000-000050410000}"/>
    <cellStyle name="Normal 6 2 2 3 8 2" xfId="18245" xr:uid="{00000000-0005-0000-0000-000051410000}"/>
    <cellStyle name="Normal 6 2 2 3 8 3" xfId="10989" xr:uid="{00000000-0005-0000-0000-000052410000}"/>
    <cellStyle name="Normal 6 2 2 3 9" xfId="14617" xr:uid="{00000000-0005-0000-0000-000053410000}"/>
    <cellStyle name="Normal 6 2 2 4" xfId="234" xr:uid="{00000000-0005-0000-0000-000054410000}"/>
    <cellStyle name="Normal 6 2 2 4 2" xfId="364" xr:uid="{00000000-0005-0000-0000-000055410000}"/>
    <cellStyle name="Normal 6 2 2 4 2 2" xfId="710" xr:uid="{00000000-0005-0000-0000-000056410000}"/>
    <cellStyle name="Normal 6 2 2 4 2 2 2" xfId="1618" xr:uid="{00000000-0005-0000-0000-000057410000}"/>
    <cellStyle name="Normal 6 2 2 4 2 2 2 2" xfId="3432" xr:uid="{00000000-0005-0000-0000-000058410000}"/>
    <cellStyle name="Normal 6 2 2 4 2 2 2 2 2" xfId="7060" xr:uid="{00000000-0005-0000-0000-000059410000}"/>
    <cellStyle name="Normal 6 2 2 4 2 2 2 2 2 2" xfId="21572" xr:uid="{00000000-0005-0000-0000-00005A410000}"/>
    <cellStyle name="Normal 6 2 2 4 2 2 2 2 2 3" xfId="14316" xr:uid="{00000000-0005-0000-0000-00005B410000}"/>
    <cellStyle name="Normal 6 2 2 4 2 2 2 2 3" xfId="17944" xr:uid="{00000000-0005-0000-0000-00005C410000}"/>
    <cellStyle name="Normal 6 2 2 4 2 2 2 2 4" xfId="10688" xr:uid="{00000000-0005-0000-0000-00005D410000}"/>
    <cellStyle name="Normal 6 2 2 4 2 2 2 3" xfId="5246" xr:uid="{00000000-0005-0000-0000-00005E410000}"/>
    <cellStyle name="Normal 6 2 2 4 2 2 2 3 2" xfId="19758" xr:uid="{00000000-0005-0000-0000-00005F410000}"/>
    <cellStyle name="Normal 6 2 2 4 2 2 2 3 3" xfId="12502" xr:uid="{00000000-0005-0000-0000-000060410000}"/>
    <cellStyle name="Normal 6 2 2 4 2 2 2 4" xfId="16130" xr:uid="{00000000-0005-0000-0000-000061410000}"/>
    <cellStyle name="Normal 6 2 2 4 2 2 2 5" xfId="8874" xr:uid="{00000000-0005-0000-0000-000062410000}"/>
    <cellStyle name="Normal 6 2 2 4 2 2 3" xfId="2525" xr:uid="{00000000-0005-0000-0000-000063410000}"/>
    <cellStyle name="Normal 6 2 2 4 2 2 3 2" xfId="6153" xr:uid="{00000000-0005-0000-0000-000064410000}"/>
    <cellStyle name="Normal 6 2 2 4 2 2 3 2 2" xfId="20665" xr:uid="{00000000-0005-0000-0000-000065410000}"/>
    <cellStyle name="Normal 6 2 2 4 2 2 3 2 3" xfId="13409" xr:uid="{00000000-0005-0000-0000-000066410000}"/>
    <cellStyle name="Normal 6 2 2 4 2 2 3 3" xfId="17037" xr:uid="{00000000-0005-0000-0000-000067410000}"/>
    <cellStyle name="Normal 6 2 2 4 2 2 3 4" xfId="9781" xr:uid="{00000000-0005-0000-0000-000068410000}"/>
    <cellStyle name="Normal 6 2 2 4 2 2 4" xfId="4339" xr:uid="{00000000-0005-0000-0000-000069410000}"/>
    <cellStyle name="Normal 6 2 2 4 2 2 4 2" xfId="18851" xr:uid="{00000000-0005-0000-0000-00006A410000}"/>
    <cellStyle name="Normal 6 2 2 4 2 2 4 3" xfId="11595" xr:uid="{00000000-0005-0000-0000-00006B410000}"/>
    <cellStyle name="Normal 6 2 2 4 2 2 5" xfId="15223" xr:uid="{00000000-0005-0000-0000-00006C410000}"/>
    <cellStyle name="Normal 6 2 2 4 2 2 6" xfId="7967" xr:uid="{00000000-0005-0000-0000-00006D410000}"/>
    <cellStyle name="Normal 6 2 2 4 2 3" xfId="1272" xr:uid="{00000000-0005-0000-0000-00006E410000}"/>
    <cellStyle name="Normal 6 2 2 4 2 3 2" xfId="3086" xr:uid="{00000000-0005-0000-0000-00006F410000}"/>
    <cellStyle name="Normal 6 2 2 4 2 3 2 2" xfId="6714" xr:uid="{00000000-0005-0000-0000-000070410000}"/>
    <cellStyle name="Normal 6 2 2 4 2 3 2 2 2" xfId="21226" xr:uid="{00000000-0005-0000-0000-000071410000}"/>
    <cellStyle name="Normal 6 2 2 4 2 3 2 2 3" xfId="13970" xr:uid="{00000000-0005-0000-0000-000072410000}"/>
    <cellStyle name="Normal 6 2 2 4 2 3 2 3" xfId="17598" xr:uid="{00000000-0005-0000-0000-000073410000}"/>
    <cellStyle name="Normal 6 2 2 4 2 3 2 4" xfId="10342" xr:uid="{00000000-0005-0000-0000-000074410000}"/>
    <cellStyle name="Normal 6 2 2 4 2 3 3" xfId="4900" xr:uid="{00000000-0005-0000-0000-000075410000}"/>
    <cellStyle name="Normal 6 2 2 4 2 3 3 2" xfId="19412" xr:uid="{00000000-0005-0000-0000-000076410000}"/>
    <cellStyle name="Normal 6 2 2 4 2 3 3 3" xfId="12156" xr:uid="{00000000-0005-0000-0000-000077410000}"/>
    <cellStyle name="Normal 6 2 2 4 2 3 4" xfId="15784" xr:uid="{00000000-0005-0000-0000-000078410000}"/>
    <cellStyle name="Normal 6 2 2 4 2 3 5" xfId="8528" xr:uid="{00000000-0005-0000-0000-000079410000}"/>
    <cellStyle name="Normal 6 2 2 4 2 4" xfId="2179" xr:uid="{00000000-0005-0000-0000-00007A410000}"/>
    <cellStyle name="Normal 6 2 2 4 2 4 2" xfId="5807" xr:uid="{00000000-0005-0000-0000-00007B410000}"/>
    <cellStyle name="Normal 6 2 2 4 2 4 2 2" xfId="20319" xr:uid="{00000000-0005-0000-0000-00007C410000}"/>
    <cellStyle name="Normal 6 2 2 4 2 4 2 3" xfId="13063" xr:uid="{00000000-0005-0000-0000-00007D410000}"/>
    <cellStyle name="Normal 6 2 2 4 2 4 3" xfId="16691" xr:uid="{00000000-0005-0000-0000-00007E410000}"/>
    <cellStyle name="Normal 6 2 2 4 2 4 4" xfId="9435" xr:uid="{00000000-0005-0000-0000-00007F410000}"/>
    <cellStyle name="Normal 6 2 2 4 2 5" xfId="3993" xr:uid="{00000000-0005-0000-0000-000080410000}"/>
    <cellStyle name="Normal 6 2 2 4 2 5 2" xfId="18505" xr:uid="{00000000-0005-0000-0000-000081410000}"/>
    <cellStyle name="Normal 6 2 2 4 2 5 3" xfId="11249" xr:uid="{00000000-0005-0000-0000-000082410000}"/>
    <cellStyle name="Normal 6 2 2 4 2 6" xfId="14877" xr:uid="{00000000-0005-0000-0000-000083410000}"/>
    <cellStyle name="Normal 6 2 2 4 2 7" xfId="7621" xr:uid="{00000000-0005-0000-0000-000084410000}"/>
    <cellStyle name="Normal 6 2 2 4 3" xfId="840" xr:uid="{00000000-0005-0000-0000-000085410000}"/>
    <cellStyle name="Normal 6 2 2 4 3 2" xfId="1748" xr:uid="{00000000-0005-0000-0000-000086410000}"/>
    <cellStyle name="Normal 6 2 2 4 3 2 2" xfId="3562" xr:uid="{00000000-0005-0000-0000-000087410000}"/>
    <cellStyle name="Normal 6 2 2 4 3 2 2 2" xfId="7190" xr:uid="{00000000-0005-0000-0000-000088410000}"/>
    <cellStyle name="Normal 6 2 2 4 3 2 2 2 2" xfId="21702" xr:uid="{00000000-0005-0000-0000-000089410000}"/>
    <cellStyle name="Normal 6 2 2 4 3 2 2 2 3" xfId="14446" xr:uid="{00000000-0005-0000-0000-00008A410000}"/>
    <cellStyle name="Normal 6 2 2 4 3 2 2 3" xfId="18074" xr:uid="{00000000-0005-0000-0000-00008B410000}"/>
    <cellStyle name="Normal 6 2 2 4 3 2 2 4" xfId="10818" xr:uid="{00000000-0005-0000-0000-00008C410000}"/>
    <cellStyle name="Normal 6 2 2 4 3 2 3" xfId="5376" xr:uid="{00000000-0005-0000-0000-00008D410000}"/>
    <cellStyle name="Normal 6 2 2 4 3 2 3 2" xfId="19888" xr:uid="{00000000-0005-0000-0000-00008E410000}"/>
    <cellStyle name="Normal 6 2 2 4 3 2 3 3" xfId="12632" xr:uid="{00000000-0005-0000-0000-00008F410000}"/>
    <cellStyle name="Normal 6 2 2 4 3 2 4" xfId="16260" xr:uid="{00000000-0005-0000-0000-000090410000}"/>
    <cellStyle name="Normal 6 2 2 4 3 2 5" xfId="9004" xr:uid="{00000000-0005-0000-0000-000091410000}"/>
    <cellStyle name="Normal 6 2 2 4 3 3" xfId="2655" xr:uid="{00000000-0005-0000-0000-000092410000}"/>
    <cellStyle name="Normal 6 2 2 4 3 3 2" xfId="6283" xr:uid="{00000000-0005-0000-0000-000093410000}"/>
    <cellStyle name="Normal 6 2 2 4 3 3 2 2" xfId="20795" xr:uid="{00000000-0005-0000-0000-000094410000}"/>
    <cellStyle name="Normal 6 2 2 4 3 3 2 3" xfId="13539" xr:uid="{00000000-0005-0000-0000-000095410000}"/>
    <cellStyle name="Normal 6 2 2 4 3 3 3" xfId="17167" xr:uid="{00000000-0005-0000-0000-000096410000}"/>
    <cellStyle name="Normal 6 2 2 4 3 3 4" xfId="9911" xr:uid="{00000000-0005-0000-0000-000097410000}"/>
    <cellStyle name="Normal 6 2 2 4 3 4" xfId="4469" xr:uid="{00000000-0005-0000-0000-000098410000}"/>
    <cellStyle name="Normal 6 2 2 4 3 4 2" xfId="18981" xr:uid="{00000000-0005-0000-0000-000099410000}"/>
    <cellStyle name="Normal 6 2 2 4 3 4 3" xfId="11725" xr:uid="{00000000-0005-0000-0000-00009A410000}"/>
    <cellStyle name="Normal 6 2 2 4 3 5" xfId="15353" xr:uid="{00000000-0005-0000-0000-00009B410000}"/>
    <cellStyle name="Normal 6 2 2 4 3 6" xfId="8097" xr:uid="{00000000-0005-0000-0000-00009C410000}"/>
    <cellStyle name="Normal 6 2 2 4 4" xfId="580" xr:uid="{00000000-0005-0000-0000-00009D410000}"/>
    <cellStyle name="Normal 6 2 2 4 4 2" xfId="1488" xr:uid="{00000000-0005-0000-0000-00009E410000}"/>
    <cellStyle name="Normal 6 2 2 4 4 2 2" xfId="3302" xr:uid="{00000000-0005-0000-0000-00009F410000}"/>
    <cellStyle name="Normal 6 2 2 4 4 2 2 2" xfId="6930" xr:uid="{00000000-0005-0000-0000-0000A0410000}"/>
    <cellStyle name="Normal 6 2 2 4 4 2 2 2 2" xfId="21442" xr:uid="{00000000-0005-0000-0000-0000A1410000}"/>
    <cellStyle name="Normal 6 2 2 4 4 2 2 2 3" xfId="14186" xr:uid="{00000000-0005-0000-0000-0000A2410000}"/>
    <cellStyle name="Normal 6 2 2 4 4 2 2 3" xfId="17814" xr:uid="{00000000-0005-0000-0000-0000A3410000}"/>
    <cellStyle name="Normal 6 2 2 4 4 2 2 4" xfId="10558" xr:uid="{00000000-0005-0000-0000-0000A4410000}"/>
    <cellStyle name="Normal 6 2 2 4 4 2 3" xfId="5116" xr:uid="{00000000-0005-0000-0000-0000A5410000}"/>
    <cellStyle name="Normal 6 2 2 4 4 2 3 2" xfId="19628" xr:uid="{00000000-0005-0000-0000-0000A6410000}"/>
    <cellStyle name="Normal 6 2 2 4 4 2 3 3" xfId="12372" xr:uid="{00000000-0005-0000-0000-0000A7410000}"/>
    <cellStyle name="Normal 6 2 2 4 4 2 4" xfId="16000" xr:uid="{00000000-0005-0000-0000-0000A8410000}"/>
    <cellStyle name="Normal 6 2 2 4 4 2 5" xfId="8744" xr:uid="{00000000-0005-0000-0000-0000A9410000}"/>
    <cellStyle name="Normal 6 2 2 4 4 3" xfId="2395" xr:uid="{00000000-0005-0000-0000-0000AA410000}"/>
    <cellStyle name="Normal 6 2 2 4 4 3 2" xfId="6023" xr:uid="{00000000-0005-0000-0000-0000AB410000}"/>
    <cellStyle name="Normal 6 2 2 4 4 3 2 2" xfId="20535" xr:uid="{00000000-0005-0000-0000-0000AC410000}"/>
    <cellStyle name="Normal 6 2 2 4 4 3 2 3" xfId="13279" xr:uid="{00000000-0005-0000-0000-0000AD410000}"/>
    <cellStyle name="Normal 6 2 2 4 4 3 3" xfId="16907" xr:uid="{00000000-0005-0000-0000-0000AE410000}"/>
    <cellStyle name="Normal 6 2 2 4 4 3 4" xfId="9651" xr:uid="{00000000-0005-0000-0000-0000AF410000}"/>
    <cellStyle name="Normal 6 2 2 4 4 4" xfId="4209" xr:uid="{00000000-0005-0000-0000-0000B0410000}"/>
    <cellStyle name="Normal 6 2 2 4 4 4 2" xfId="18721" xr:uid="{00000000-0005-0000-0000-0000B1410000}"/>
    <cellStyle name="Normal 6 2 2 4 4 4 3" xfId="11465" xr:uid="{00000000-0005-0000-0000-0000B2410000}"/>
    <cellStyle name="Normal 6 2 2 4 4 5" xfId="15093" xr:uid="{00000000-0005-0000-0000-0000B3410000}"/>
    <cellStyle name="Normal 6 2 2 4 4 6" xfId="7837" xr:uid="{00000000-0005-0000-0000-0000B4410000}"/>
    <cellStyle name="Normal 6 2 2 4 5" xfId="1142" xr:uid="{00000000-0005-0000-0000-0000B5410000}"/>
    <cellStyle name="Normal 6 2 2 4 5 2" xfId="2956" xr:uid="{00000000-0005-0000-0000-0000B6410000}"/>
    <cellStyle name="Normal 6 2 2 4 5 2 2" xfId="6584" xr:uid="{00000000-0005-0000-0000-0000B7410000}"/>
    <cellStyle name="Normal 6 2 2 4 5 2 2 2" xfId="21096" xr:uid="{00000000-0005-0000-0000-0000B8410000}"/>
    <cellStyle name="Normal 6 2 2 4 5 2 2 3" xfId="13840" xr:uid="{00000000-0005-0000-0000-0000B9410000}"/>
    <cellStyle name="Normal 6 2 2 4 5 2 3" xfId="17468" xr:uid="{00000000-0005-0000-0000-0000BA410000}"/>
    <cellStyle name="Normal 6 2 2 4 5 2 4" xfId="10212" xr:uid="{00000000-0005-0000-0000-0000BB410000}"/>
    <cellStyle name="Normal 6 2 2 4 5 3" xfId="4770" xr:uid="{00000000-0005-0000-0000-0000BC410000}"/>
    <cellStyle name="Normal 6 2 2 4 5 3 2" xfId="19282" xr:uid="{00000000-0005-0000-0000-0000BD410000}"/>
    <cellStyle name="Normal 6 2 2 4 5 3 3" xfId="12026" xr:uid="{00000000-0005-0000-0000-0000BE410000}"/>
    <cellStyle name="Normal 6 2 2 4 5 4" xfId="15654" xr:uid="{00000000-0005-0000-0000-0000BF410000}"/>
    <cellStyle name="Normal 6 2 2 4 5 5" xfId="8398" xr:uid="{00000000-0005-0000-0000-0000C0410000}"/>
    <cellStyle name="Normal 6 2 2 4 6" xfId="2049" xr:uid="{00000000-0005-0000-0000-0000C1410000}"/>
    <cellStyle name="Normal 6 2 2 4 6 2" xfId="5677" xr:uid="{00000000-0005-0000-0000-0000C2410000}"/>
    <cellStyle name="Normal 6 2 2 4 6 2 2" xfId="20189" xr:uid="{00000000-0005-0000-0000-0000C3410000}"/>
    <cellStyle name="Normal 6 2 2 4 6 2 3" xfId="12933" xr:uid="{00000000-0005-0000-0000-0000C4410000}"/>
    <cellStyle name="Normal 6 2 2 4 6 3" xfId="16561" xr:uid="{00000000-0005-0000-0000-0000C5410000}"/>
    <cellStyle name="Normal 6 2 2 4 6 4" xfId="9305" xr:uid="{00000000-0005-0000-0000-0000C6410000}"/>
    <cellStyle name="Normal 6 2 2 4 7" xfId="3863" xr:uid="{00000000-0005-0000-0000-0000C7410000}"/>
    <cellStyle name="Normal 6 2 2 4 7 2" xfId="18375" xr:uid="{00000000-0005-0000-0000-0000C8410000}"/>
    <cellStyle name="Normal 6 2 2 4 7 3" xfId="11119" xr:uid="{00000000-0005-0000-0000-0000C9410000}"/>
    <cellStyle name="Normal 6 2 2 4 8" xfId="14747" xr:uid="{00000000-0005-0000-0000-0000CA410000}"/>
    <cellStyle name="Normal 6 2 2 4 9" xfId="7491" xr:uid="{00000000-0005-0000-0000-0000CB410000}"/>
    <cellStyle name="Normal 6 2 2 5" xfId="148" xr:uid="{00000000-0005-0000-0000-0000CC410000}"/>
    <cellStyle name="Normal 6 2 2 5 2" xfId="494" xr:uid="{00000000-0005-0000-0000-0000CD410000}"/>
    <cellStyle name="Normal 6 2 2 5 2 2" xfId="1402" xr:uid="{00000000-0005-0000-0000-0000CE410000}"/>
    <cellStyle name="Normal 6 2 2 5 2 2 2" xfId="3216" xr:uid="{00000000-0005-0000-0000-0000CF410000}"/>
    <cellStyle name="Normal 6 2 2 5 2 2 2 2" xfId="6844" xr:uid="{00000000-0005-0000-0000-0000D0410000}"/>
    <cellStyle name="Normal 6 2 2 5 2 2 2 2 2" xfId="21356" xr:uid="{00000000-0005-0000-0000-0000D1410000}"/>
    <cellStyle name="Normal 6 2 2 5 2 2 2 2 3" xfId="14100" xr:uid="{00000000-0005-0000-0000-0000D2410000}"/>
    <cellStyle name="Normal 6 2 2 5 2 2 2 3" xfId="17728" xr:uid="{00000000-0005-0000-0000-0000D3410000}"/>
    <cellStyle name="Normal 6 2 2 5 2 2 2 4" xfId="10472" xr:uid="{00000000-0005-0000-0000-0000D4410000}"/>
    <cellStyle name="Normal 6 2 2 5 2 2 3" xfId="5030" xr:uid="{00000000-0005-0000-0000-0000D5410000}"/>
    <cellStyle name="Normal 6 2 2 5 2 2 3 2" xfId="19542" xr:uid="{00000000-0005-0000-0000-0000D6410000}"/>
    <cellStyle name="Normal 6 2 2 5 2 2 3 3" xfId="12286" xr:uid="{00000000-0005-0000-0000-0000D7410000}"/>
    <cellStyle name="Normal 6 2 2 5 2 2 4" xfId="15914" xr:uid="{00000000-0005-0000-0000-0000D8410000}"/>
    <cellStyle name="Normal 6 2 2 5 2 2 5" xfId="8658" xr:uid="{00000000-0005-0000-0000-0000D9410000}"/>
    <cellStyle name="Normal 6 2 2 5 2 3" xfId="2309" xr:uid="{00000000-0005-0000-0000-0000DA410000}"/>
    <cellStyle name="Normal 6 2 2 5 2 3 2" xfId="5937" xr:uid="{00000000-0005-0000-0000-0000DB410000}"/>
    <cellStyle name="Normal 6 2 2 5 2 3 2 2" xfId="20449" xr:uid="{00000000-0005-0000-0000-0000DC410000}"/>
    <cellStyle name="Normal 6 2 2 5 2 3 2 3" xfId="13193" xr:uid="{00000000-0005-0000-0000-0000DD410000}"/>
    <cellStyle name="Normal 6 2 2 5 2 3 3" xfId="16821" xr:uid="{00000000-0005-0000-0000-0000DE410000}"/>
    <cellStyle name="Normal 6 2 2 5 2 3 4" xfId="9565" xr:uid="{00000000-0005-0000-0000-0000DF410000}"/>
    <cellStyle name="Normal 6 2 2 5 2 4" xfId="4123" xr:uid="{00000000-0005-0000-0000-0000E0410000}"/>
    <cellStyle name="Normal 6 2 2 5 2 4 2" xfId="18635" xr:uid="{00000000-0005-0000-0000-0000E1410000}"/>
    <cellStyle name="Normal 6 2 2 5 2 4 3" xfId="11379" xr:uid="{00000000-0005-0000-0000-0000E2410000}"/>
    <cellStyle name="Normal 6 2 2 5 2 5" xfId="15007" xr:uid="{00000000-0005-0000-0000-0000E3410000}"/>
    <cellStyle name="Normal 6 2 2 5 2 6" xfId="7751" xr:uid="{00000000-0005-0000-0000-0000E4410000}"/>
    <cellStyle name="Normal 6 2 2 5 3" xfId="1056" xr:uid="{00000000-0005-0000-0000-0000E5410000}"/>
    <cellStyle name="Normal 6 2 2 5 3 2" xfId="2870" xr:uid="{00000000-0005-0000-0000-0000E6410000}"/>
    <cellStyle name="Normal 6 2 2 5 3 2 2" xfId="6498" xr:uid="{00000000-0005-0000-0000-0000E7410000}"/>
    <cellStyle name="Normal 6 2 2 5 3 2 2 2" xfId="21010" xr:uid="{00000000-0005-0000-0000-0000E8410000}"/>
    <cellStyle name="Normal 6 2 2 5 3 2 2 3" xfId="13754" xr:uid="{00000000-0005-0000-0000-0000E9410000}"/>
    <cellStyle name="Normal 6 2 2 5 3 2 3" xfId="17382" xr:uid="{00000000-0005-0000-0000-0000EA410000}"/>
    <cellStyle name="Normal 6 2 2 5 3 2 4" xfId="10126" xr:uid="{00000000-0005-0000-0000-0000EB410000}"/>
    <cellStyle name="Normal 6 2 2 5 3 3" xfId="4684" xr:uid="{00000000-0005-0000-0000-0000EC410000}"/>
    <cellStyle name="Normal 6 2 2 5 3 3 2" xfId="19196" xr:uid="{00000000-0005-0000-0000-0000ED410000}"/>
    <cellStyle name="Normal 6 2 2 5 3 3 3" xfId="11940" xr:uid="{00000000-0005-0000-0000-0000EE410000}"/>
    <cellStyle name="Normal 6 2 2 5 3 4" xfId="15568" xr:uid="{00000000-0005-0000-0000-0000EF410000}"/>
    <cellStyle name="Normal 6 2 2 5 3 5" xfId="8312" xr:uid="{00000000-0005-0000-0000-0000F0410000}"/>
    <cellStyle name="Normal 6 2 2 5 4" xfId="1963" xr:uid="{00000000-0005-0000-0000-0000F1410000}"/>
    <cellStyle name="Normal 6 2 2 5 4 2" xfId="5591" xr:uid="{00000000-0005-0000-0000-0000F2410000}"/>
    <cellStyle name="Normal 6 2 2 5 4 2 2" xfId="20103" xr:uid="{00000000-0005-0000-0000-0000F3410000}"/>
    <cellStyle name="Normal 6 2 2 5 4 2 3" xfId="12847" xr:uid="{00000000-0005-0000-0000-0000F4410000}"/>
    <cellStyle name="Normal 6 2 2 5 4 3" xfId="16475" xr:uid="{00000000-0005-0000-0000-0000F5410000}"/>
    <cellStyle name="Normal 6 2 2 5 4 4" xfId="9219" xr:uid="{00000000-0005-0000-0000-0000F6410000}"/>
    <cellStyle name="Normal 6 2 2 5 5" xfId="3777" xr:uid="{00000000-0005-0000-0000-0000F7410000}"/>
    <cellStyle name="Normal 6 2 2 5 5 2" xfId="18289" xr:uid="{00000000-0005-0000-0000-0000F8410000}"/>
    <cellStyle name="Normal 6 2 2 5 5 3" xfId="11033" xr:uid="{00000000-0005-0000-0000-0000F9410000}"/>
    <cellStyle name="Normal 6 2 2 5 6" xfId="14661" xr:uid="{00000000-0005-0000-0000-0000FA410000}"/>
    <cellStyle name="Normal 6 2 2 5 7" xfId="7405" xr:uid="{00000000-0005-0000-0000-0000FB410000}"/>
    <cellStyle name="Normal 6 2 2 6" xfId="278" xr:uid="{00000000-0005-0000-0000-0000FC410000}"/>
    <cellStyle name="Normal 6 2 2 6 2" xfId="624" xr:uid="{00000000-0005-0000-0000-0000FD410000}"/>
    <cellStyle name="Normal 6 2 2 6 2 2" xfId="1532" xr:uid="{00000000-0005-0000-0000-0000FE410000}"/>
    <cellStyle name="Normal 6 2 2 6 2 2 2" xfId="3346" xr:uid="{00000000-0005-0000-0000-0000FF410000}"/>
    <cellStyle name="Normal 6 2 2 6 2 2 2 2" xfId="6974" xr:uid="{00000000-0005-0000-0000-000000420000}"/>
    <cellStyle name="Normal 6 2 2 6 2 2 2 2 2" xfId="21486" xr:uid="{00000000-0005-0000-0000-000001420000}"/>
    <cellStyle name="Normal 6 2 2 6 2 2 2 2 3" xfId="14230" xr:uid="{00000000-0005-0000-0000-000002420000}"/>
    <cellStyle name="Normal 6 2 2 6 2 2 2 3" xfId="17858" xr:uid="{00000000-0005-0000-0000-000003420000}"/>
    <cellStyle name="Normal 6 2 2 6 2 2 2 4" xfId="10602" xr:uid="{00000000-0005-0000-0000-000004420000}"/>
    <cellStyle name="Normal 6 2 2 6 2 2 3" xfId="5160" xr:uid="{00000000-0005-0000-0000-000005420000}"/>
    <cellStyle name="Normal 6 2 2 6 2 2 3 2" xfId="19672" xr:uid="{00000000-0005-0000-0000-000006420000}"/>
    <cellStyle name="Normal 6 2 2 6 2 2 3 3" xfId="12416" xr:uid="{00000000-0005-0000-0000-000007420000}"/>
    <cellStyle name="Normal 6 2 2 6 2 2 4" xfId="16044" xr:uid="{00000000-0005-0000-0000-000008420000}"/>
    <cellStyle name="Normal 6 2 2 6 2 2 5" xfId="8788" xr:uid="{00000000-0005-0000-0000-000009420000}"/>
    <cellStyle name="Normal 6 2 2 6 2 3" xfId="2439" xr:uid="{00000000-0005-0000-0000-00000A420000}"/>
    <cellStyle name="Normal 6 2 2 6 2 3 2" xfId="6067" xr:uid="{00000000-0005-0000-0000-00000B420000}"/>
    <cellStyle name="Normal 6 2 2 6 2 3 2 2" xfId="20579" xr:uid="{00000000-0005-0000-0000-00000C420000}"/>
    <cellStyle name="Normal 6 2 2 6 2 3 2 3" xfId="13323" xr:uid="{00000000-0005-0000-0000-00000D420000}"/>
    <cellStyle name="Normal 6 2 2 6 2 3 3" xfId="16951" xr:uid="{00000000-0005-0000-0000-00000E420000}"/>
    <cellStyle name="Normal 6 2 2 6 2 3 4" xfId="9695" xr:uid="{00000000-0005-0000-0000-00000F420000}"/>
    <cellStyle name="Normal 6 2 2 6 2 4" xfId="4253" xr:uid="{00000000-0005-0000-0000-000010420000}"/>
    <cellStyle name="Normal 6 2 2 6 2 4 2" xfId="18765" xr:uid="{00000000-0005-0000-0000-000011420000}"/>
    <cellStyle name="Normal 6 2 2 6 2 4 3" xfId="11509" xr:uid="{00000000-0005-0000-0000-000012420000}"/>
    <cellStyle name="Normal 6 2 2 6 2 5" xfId="15137" xr:uid="{00000000-0005-0000-0000-000013420000}"/>
    <cellStyle name="Normal 6 2 2 6 2 6" xfId="7881" xr:uid="{00000000-0005-0000-0000-000014420000}"/>
    <cellStyle name="Normal 6 2 2 6 3" xfId="1186" xr:uid="{00000000-0005-0000-0000-000015420000}"/>
    <cellStyle name="Normal 6 2 2 6 3 2" xfId="3000" xr:uid="{00000000-0005-0000-0000-000016420000}"/>
    <cellStyle name="Normal 6 2 2 6 3 2 2" xfId="6628" xr:uid="{00000000-0005-0000-0000-000017420000}"/>
    <cellStyle name="Normal 6 2 2 6 3 2 2 2" xfId="21140" xr:uid="{00000000-0005-0000-0000-000018420000}"/>
    <cellStyle name="Normal 6 2 2 6 3 2 2 3" xfId="13884" xr:uid="{00000000-0005-0000-0000-000019420000}"/>
    <cellStyle name="Normal 6 2 2 6 3 2 3" xfId="17512" xr:uid="{00000000-0005-0000-0000-00001A420000}"/>
    <cellStyle name="Normal 6 2 2 6 3 2 4" xfId="10256" xr:uid="{00000000-0005-0000-0000-00001B420000}"/>
    <cellStyle name="Normal 6 2 2 6 3 3" xfId="4814" xr:uid="{00000000-0005-0000-0000-00001C420000}"/>
    <cellStyle name="Normal 6 2 2 6 3 3 2" xfId="19326" xr:uid="{00000000-0005-0000-0000-00001D420000}"/>
    <cellStyle name="Normal 6 2 2 6 3 3 3" xfId="12070" xr:uid="{00000000-0005-0000-0000-00001E420000}"/>
    <cellStyle name="Normal 6 2 2 6 3 4" xfId="15698" xr:uid="{00000000-0005-0000-0000-00001F420000}"/>
    <cellStyle name="Normal 6 2 2 6 3 5" xfId="8442" xr:uid="{00000000-0005-0000-0000-000020420000}"/>
    <cellStyle name="Normal 6 2 2 6 4" xfId="2093" xr:uid="{00000000-0005-0000-0000-000021420000}"/>
    <cellStyle name="Normal 6 2 2 6 4 2" xfId="5721" xr:uid="{00000000-0005-0000-0000-000022420000}"/>
    <cellStyle name="Normal 6 2 2 6 4 2 2" xfId="20233" xr:uid="{00000000-0005-0000-0000-000023420000}"/>
    <cellStyle name="Normal 6 2 2 6 4 2 3" xfId="12977" xr:uid="{00000000-0005-0000-0000-000024420000}"/>
    <cellStyle name="Normal 6 2 2 6 4 3" xfId="16605" xr:uid="{00000000-0005-0000-0000-000025420000}"/>
    <cellStyle name="Normal 6 2 2 6 4 4" xfId="9349" xr:uid="{00000000-0005-0000-0000-000026420000}"/>
    <cellStyle name="Normal 6 2 2 6 5" xfId="3907" xr:uid="{00000000-0005-0000-0000-000027420000}"/>
    <cellStyle name="Normal 6 2 2 6 5 2" xfId="18419" xr:uid="{00000000-0005-0000-0000-000028420000}"/>
    <cellStyle name="Normal 6 2 2 6 5 3" xfId="11163" xr:uid="{00000000-0005-0000-0000-000029420000}"/>
    <cellStyle name="Normal 6 2 2 6 6" xfId="14791" xr:uid="{00000000-0005-0000-0000-00002A420000}"/>
    <cellStyle name="Normal 6 2 2 6 7" xfId="7535" xr:uid="{00000000-0005-0000-0000-00002B420000}"/>
    <cellStyle name="Normal 6 2 2 7" xfId="754" xr:uid="{00000000-0005-0000-0000-00002C420000}"/>
    <cellStyle name="Normal 6 2 2 7 2" xfId="1662" xr:uid="{00000000-0005-0000-0000-00002D420000}"/>
    <cellStyle name="Normal 6 2 2 7 2 2" xfId="3476" xr:uid="{00000000-0005-0000-0000-00002E420000}"/>
    <cellStyle name="Normal 6 2 2 7 2 2 2" xfId="7104" xr:uid="{00000000-0005-0000-0000-00002F420000}"/>
    <cellStyle name="Normal 6 2 2 7 2 2 2 2" xfId="21616" xr:uid="{00000000-0005-0000-0000-000030420000}"/>
    <cellStyle name="Normal 6 2 2 7 2 2 2 3" xfId="14360" xr:uid="{00000000-0005-0000-0000-000031420000}"/>
    <cellStyle name="Normal 6 2 2 7 2 2 3" xfId="17988" xr:uid="{00000000-0005-0000-0000-000032420000}"/>
    <cellStyle name="Normal 6 2 2 7 2 2 4" xfId="10732" xr:uid="{00000000-0005-0000-0000-000033420000}"/>
    <cellStyle name="Normal 6 2 2 7 2 3" xfId="5290" xr:uid="{00000000-0005-0000-0000-000034420000}"/>
    <cellStyle name="Normal 6 2 2 7 2 3 2" xfId="19802" xr:uid="{00000000-0005-0000-0000-000035420000}"/>
    <cellStyle name="Normal 6 2 2 7 2 3 3" xfId="12546" xr:uid="{00000000-0005-0000-0000-000036420000}"/>
    <cellStyle name="Normal 6 2 2 7 2 4" xfId="16174" xr:uid="{00000000-0005-0000-0000-000037420000}"/>
    <cellStyle name="Normal 6 2 2 7 2 5" xfId="8918" xr:uid="{00000000-0005-0000-0000-000038420000}"/>
    <cellStyle name="Normal 6 2 2 7 3" xfId="2569" xr:uid="{00000000-0005-0000-0000-000039420000}"/>
    <cellStyle name="Normal 6 2 2 7 3 2" xfId="6197" xr:uid="{00000000-0005-0000-0000-00003A420000}"/>
    <cellStyle name="Normal 6 2 2 7 3 2 2" xfId="20709" xr:uid="{00000000-0005-0000-0000-00003B420000}"/>
    <cellStyle name="Normal 6 2 2 7 3 2 3" xfId="13453" xr:uid="{00000000-0005-0000-0000-00003C420000}"/>
    <cellStyle name="Normal 6 2 2 7 3 3" xfId="17081" xr:uid="{00000000-0005-0000-0000-00003D420000}"/>
    <cellStyle name="Normal 6 2 2 7 3 4" xfId="9825" xr:uid="{00000000-0005-0000-0000-00003E420000}"/>
    <cellStyle name="Normal 6 2 2 7 4" xfId="4383" xr:uid="{00000000-0005-0000-0000-00003F420000}"/>
    <cellStyle name="Normal 6 2 2 7 4 2" xfId="18895" xr:uid="{00000000-0005-0000-0000-000040420000}"/>
    <cellStyle name="Normal 6 2 2 7 4 3" xfId="11639" xr:uid="{00000000-0005-0000-0000-000041420000}"/>
    <cellStyle name="Normal 6 2 2 7 5" xfId="15267" xr:uid="{00000000-0005-0000-0000-000042420000}"/>
    <cellStyle name="Normal 6 2 2 7 6" xfId="8011" xr:uid="{00000000-0005-0000-0000-000043420000}"/>
    <cellStyle name="Normal 6 2 2 8" xfId="408" xr:uid="{00000000-0005-0000-0000-000044420000}"/>
    <cellStyle name="Normal 6 2 2 8 2" xfId="1316" xr:uid="{00000000-0005-0000-0000-000045420000}"/>
    <cellStyle name="Normal 6 2 2 8 2 2" xfId="3130" xr:uid="{00000000-0005-0000-0000-000046420000}"/>
    <cellStyle name="Normal 6 2 2 8 2 2 2" xfId="6758" xr:uid="{00000000-0005-0000-0000-000047420000}"/>
    <cellStyle name="Normal 6 2 2 8 2 2 2 2" xfId="21270" xr:uid="{00000000-0005-0000-0000-000048420000}"/>
    <cellStyle name="Normal 6 2 2 8 2 2 2 3" xfId="14014" xr:uid="{00000000-0005-0000-0000-000049420000}"/>
    <cellStyle name="Normal 6 2 2 8 2 2 3" xfId="17642" xr:uid="{00000000-0005-0000-0000-00004A420000}"/>
    <cellStyle name="Normal 6 2 2 8 2 2 4" xfId="10386" xr:uid="{00000000-0005-0000-0000-00004B420000}"/>
    <cellStyle name="Normal 6 2 2 8 2 3" xfId="4944" xr:uid="{00000000-0005-0000-0000-00004C420000}"/>
    <cellStyle name="Normal 6 2 2 8 2 3 2" xfId="19456" xr:uid="{00000000-0005-0000-0000-00004D420000}"/>
    <cellStyle name="Normal 6 2 2 8 2 3 3" xfId="12200" xr:uid="{00000000-0005-0000-0000-00004E420000}"/>
    <cellStyle name="Normal 6 2 2 8 2 4" xfId="15828" xr:uid="{00000000-0005-0000-0000-00004F420000}"/>
    <cellStyle name="Normal 6 2 2 8 2 5" xfId="8572" xr:uid="{00000000-0005-0000-0000-000050420000}"/>
    <cellStyle name="Normal 6 2 2 8 3" xfId="2223" xr:uid="{00000000-0005-0000-0000-000051420000}"/>
    <cellStyle name="Normal 6 2 2 8 3 2" xfId="5851" xr:uid="{00000000-0005-0000-0000-000052420000}"/>
    <cellStyle name="Normal 6 2 2 8 3 2 2" xfId="20363" xr:uid="{00000000-0005-0000-0000-000053420000}"/>
    <cellStyle name="Normal 6 2 2 8 3 2 3" xfId="13107" xr:uid="{00000000-0005-0000-0000-000054420000}"/>
    <cellStyle name="Normal 6 2 2 8 3 3" xfId="16735" xr:uid="{00000000-0005-0000-0000-000055420000}"/>
    <cellStyle name="Normal 6 2 2 8 3 4" xfId="9479" xr:uid="{00000000-0005-0000-0000-000056420000}"/>
    <cellStyle name="Normal 6 2 2 8 4" xfId="4037" xr:uid="{00000000-0005-0000-0000-000057420000}"/>
    <cellStyle name="Normal 6 2 2 8 4 2" xfId="18549" xr:uid="{00000000-0005-0000-0000-000058420000}"/>
    <cellStyle name="Normal 6 2 2 8 4 3" xfId="11293" xr:uid="{00000000-0005-0000-0000-000059420000}"/>
    <cellStyle name="Normal 6 2 2 8 5" xfId="14921" xr:uid="{00000000-0005-0000-0000-00005A420000}"/>
    <cellStyle name="Normal 6 2 2 8 6" xfId="7665" xr:uid="{00000000-0005-0000-0000-00005B420000}"/>
    <cellStyle name="Normal 6 2 2 9" xfId="886" xr:uid="{00000000-0005-0000-0000-00005C420000}"/>
    <cellStyle name="Normal 6 2 2 9 2" xfId="1794" xr:uid="{00000000-0005-0000-0000-00005D420000}"/>
    <cellStyle name="Normal 6 2 2 9 2 2" xfId="3608" xr:uid="{00000000-0005-0000-0000-00005E420000}"/>
    <cellStyle name="Normal 6 2 2 9 2 2 2" xfId="7236" xr:uid="{00000000-0005-0000-0000-00005F420000}"/>
    <cellStyle name="Normal 6 2 2 9 2 2 2 2" xfId="21748" xr:uid="{00000000-0005-0000-0000-000060420000}"/>
    <cellStyle name="Normal 6 2 2 9 2 2 2 3" xfId="14492" xr:uid="{00000000-0005-0000-0000-000061420000}"/>
    <cellStyle name="Normal 6 2 2 9 2 2 3" xfId="18120" xr:uid="{00000000-0005-0000-0000-000062420000}"/>
    <cellStyle name="Normal 6 2 2 9 2 2 4" xfId="10864" xr:uid="{00000000-0005-0000-0000-000063420000}"/>
    <cellStyle name="Normal 6 2 2 9 2 3" xfId="5422" xr:uid="{00000000-0005-0000-0000-000064420000}"/>
    <cellStyle name="Normal 6 2 2 9 2 3 2" xfId="19934" xr:uid="{00000000-0005-0000-0000-000065420000}"/>
    <cellStyle name="Normal 6 2 2 9 2 3 3" xfId="12678" xr:uid="{00000000-0005-0000-0000-000066420000}"/>
    <cellStyle name="Normal 6 2 2 9 2 4" xfId="16306" xr:uid="{00000000-0005-0000-0000-000067420000}"/>
    <cellStyle name="Normal 6 2 2 9 2 5" xfId="9050" xr:uid="{00000000-0005-0000-0000-000068420000}"/>
    <cellStyle name="Normal 6 2 2 9 3" xfId="2701" xr:uid="{00000000-0005-0000-0000-000069420000}"/>
    <cellStyle name="Normal 6 2 2 9 3 2" xfId="6329" xr:uid="{00000000-0005-0000-0000-00006A420000}"/>
    <cellStyle name="Normal 6 2 2 9 3 2 2" xfId="20841" xr:uid="{00000000-0005-0000-0000-00006B420000}"/>
    <cellStyle name="Normal 6 2 2 9 3 2 3" xfId="13585" xr:uid="{00000000-0005-0000-0000-00006C420000}"/>
    <cellStyle name="Normal 6 2 2 9 3 3" xfId="17213" xr:uid="{00000000-0005-0000-0000-00006D420000}"/>
    <cellStyle name="Normal 6 2 2 9 3 4" xfId="9957" xr:uid="{00000000-0005-0000-0000-00006E420000}"/>
    <cellStyle name="Normal 6 2 2 9 4" xfId="4515" xr:uid="{00000000-0005-0000-0000-00006F420000}"/>
    <cellStyle name="Normal 6 2 2 9 4 2" xfId="19027" xr:uid="{00000000-0005-0000-0000-000070420000}"/>
    <cellStyle name="Normal 6 2 2 9 4 3" xfId="11771" xr:uid="{00000000-0005-0000-0000-000071420000}"/>
    <cellStyle name="Normal 6 2 2 9 5" xfId="15399" xr:uid="{00000000-0005-0000-0000-000072420000}"/>
    <cellStyle name="Normal 6 2 2 9 6" xfId="8143" xr:uid="{00000000-0005-0000-0000-000073420000}"/>
    <cellStyle name="Normal 6 2 3" xfId="81" xr:uid="{00000000-0005-0000-0000-000074420000}"/>
    <cellStyle name="Normal 6 2 3 10" xfId="14596" xr:uid="{00000000-0005-0000-0000-000075420000}"/>
    <cellStyle name="Normal 6 2 3 11" xfId="7340" xr:uid="{00000000-0005-0000-0000-000076420000}"/>
    <cellStyle name="Normal 6 2 3 2" xfId="169" xr:uid="{00000000-0005-0000-0000-000077420000}"/>
    <cellStyle name="Normal 6 2 3 2 2" xfId="515" xr:uid="{00000000-0005-0000-0000-000078420000}"/>
    <cellStyle name="Normal 6 2 3 2 2 2" xfId="1423" xr:uid="{00000000-0005-0000-0000-000079420000}"/>
    <cellStyle name="Normal 6 2 3 2 2 2 2" xfId="3237" xr:uid="{00000000-0005-0000-0000-00007A420000}"/>
    <cellStyle name="Normal 6 2 3 2 2 2 2 2" xfId="6865" xr:uid="{00000000-0005-0000-0000-00007B420000}"/>
    <cellStyle name="Normal 6 2 3 2 2 2 2 2 2" xfId="21377" xr:uid="{00000000-0005-0000-0000-00007C420000}"/>
    <cellStyle name="Normal 6 2 3 2 2 2 2 2 3" xfId="14121" xr:uid="{00000000-0005-0000-0000-00007D420000}"/>
    <cellStyle name="Normal 6 2 3 2 2 2 2 3" xfId="17749" xr:uid="{00000000-0005-0000-0000-00007E420000}"/>
    <cellStyle name="Normal 6 2 3 2 2 2 2 4" xfId="10493" xr:uid="{00000000-0005-0000-0000-00007F420000}"/>
    <cellStyle name="Normal 6 2 3 2 2 2 3" xfId="5051" xr:uid="{00000000-0005-0000-0000-000080420000}"/>
    <cellStyle name="Normal 6 2 3 2 2 2 3 2" xfId="19563" xr:uid="{00000000-0005-0000-0000-000081420000}"/>
    <cellStyle name="Normal 6 2 3 2 2 2 3 3" xfId="12307" xr:uid="{00000000-0005-0000-0000-000082420000}"/>
    <cellStyle name="Normal 6 2 3 2 2 2 4" xfId="15935" xr:uid="{00000000-0005-0000-0000-000083420000}"/>
    <cellStyle name="Normal 6 2 3 2 2 2 5" xfId="8679" xr:uid="{00000000-0005-0000-0000-000084420000}"/>
    <cellStyle name="Normal 6 2 3 2 2 3" xfId="2330" xr:uid="{00000000-0005-0000-0000-000085420000}"/>
    <cellStyle name="Normal 6 2 3 2 2 3 2" xfId="5958" xr:uid="{00000000-0005-0000-0000-000086420000}"/>
    <cellStyle name="Normal 6 2 3 2 2 3 2 2" xfId="20470" xr:uid="{00000000-0005-0000-0000-000087420000}"/>
    <cellStyle name="Normal 6 2 3 2 2 3 2 3" xfId="13214" xr:uid="{00000000-0005-0000-0000-000088420000}"/>
    <cellStyle name="Normal 6 2 3 2 2 3 3" xfId="16842" xr:uid="{00000000-0005-0000-0000-000089420000}"/>
    <cellStyle name="Normal 6 2 3 2 2 3 4" xfId="9586" xr:uid="{00000000-0005-0000-0000-00008A420000}"/>
    <cellStyle name="Normal 6 2 3 2 2 4" xfId="4144" xr:uid="{00000000-0005-0000-0000-00008B420000}"/>
    <cellStyle name="Normal 6 2 3 2 2 4 2" xfId="18656" xr:uid="{00000000-0005-0000-0000-00008C420000}"/>
    <cellStyle name="Normal 6 2 3 2 2 4 3" xfId="11400" xr:uid="{00000000-0005-0000-0000-00008D420000}"/>
    <cellStyle name="Normal 6 2 3 2 2 5" xfId="15028" xr:uid="{00000000-0005-0000-0000-00008E420000}"/>
    <cellStyle name="Normal 6 2 3 2 2 6" xfId="7772" xr:uid="{00000000-0005-0000-0000-00008F420000}"/>
    <cellStyle name="Normal 6 2 3 2 3" xfId="1077" xr:uid="{00000000-0005-0000-0000-000090420000}"/>
    <cellStyle name="Normal 6 2 3 2 3 2" xfId="2891" xr:uid="{00000000-0005-0000-0000-000091420000}"/>
    <cellStyle name="Normal 6 2 3 2 3 2 2" xfId="6519" xr:uid="{00000000-0005-0000-0000-000092420000}"/>
    <cellStyle name="Normal 6 2 3 2 3 2 2 2" xfId="21031" xr:uid="{00000000-0005-0000-0000-000093420000}"/>
    <cellStyle name="Normal 6 2 3 2 3 2 2 3" xfId="13775" xr:uid="{00000000-0005-0000-0000-000094420000}"/>
    <cellStyle name="Normal 6 2 3 2 3 2 3" xfId="17403" xr:uid="{00000000-0005-0000-0000-000095420000}"/>
    <cellStyle name="Normal 6 2 3 2 3 2 4" xfId="10147" xr:uid="{00000000-0005-0000-0000-000096420000}"/>
    <cellStyle name="Normal 6 2 3 2 3 3" xfId="4705" xr:uid="{00000000-0005-0000-0000-000097420000}"/>
    <cellStyle name="Normal 6 2 3 2 3 3 2" xfId="19217" xr:uid="{00000000-0005-0000-0000-000098420000}"/>
    <cellStyle name="Normal 6 2 3 2 3 3 3" xfId="11961" xr:uid="{00000000-0005-0000-0000-000099420000}"/>
    <cellStyle name="Normal 6 2 3 2 3 4" xfId="15589" xr:uid="{00000000-0005-0000-0000-00009A420000}"/>
    <cellStyle name="Normal 6 2 3 2 3 5" xfId="8333" xr:uid="{00000000-0005-0000-0000-00009B420000}"/>
    <cellStyle name="Normal 6 2 3 2 4" xfId="1984" xr:uid="{00000000-0005-0000-0000-00009C420000}"/>
    <cellStyle name="Normal 6 2 3 2 4 2" xfId="5612" xr:uid="{00000000-0005-0000-0000-00009D420000}"/>
    <cellStyle name="Normal 6 2 3 2 4 2 2" xfId="20124" xr:uid="{00000000-0005-0000-0000-00009E420000}"/>
    <cellStyle name="Normal 6 2 3 2 4 2 3" xfId="12868" xr:uid="{00000000-0005-0000-0000-00009F420000}"/>
    <cellStyle name="Normal 6 2 3 2 4 3" xfId="16496" xr:uid="{00000000-0005-0000-0000-0000A0420000}"/>
    <cellStyle name="Normal 6 2 3 2 4 4" xfId="9240" xr:uid="{00000000-0005-0000-0000-0000A1420000}"/>
    <cellStyle name="Normal 6 2 3 2 5" xfId="3798" xr:uid="{00000000-0005-0000-0000-0000A2420000}"/>
    <cellStyle name="Normal 6 2 3 2 5 2" xfId="18310" xr:uid="{00000000-0005-0000-0000-0000A3420000}"/>
    <cellStyle name="Normal 6 2 3 2 5 3" xfId="11054" xr:uid="{00000000-0005-0000-0000-0000A4420000}"/>
    <cellStyle name="Normal 6 2 3 2 6" xfId="14682" xr:uid="{00000000-0005-0000-0000-0000A5420000}"/>
    <cellStyle name="Normal 6 2 3 2 7" xfId="7426" xr:uid="{00000000-0005-0000-0000-0000A6420000}"/>
    <cellStyle name="Normal 6 2 3 3" xfId="299" xr:uid="{00000000-0005-0000-0000-0000A7420000}"/>
    <cellStyle name="Normal 6 2 3 3 2" xfId="645" xr:uid="{00000000-0005-0000-0000-0000A8420000}"/>
    <cellStyle name="Normal 6 2 3 3 2 2" xfId="1553" xr:uid="{00000000-0005-0000-0000-0000A9420000}"/>
    <cellStyle name="Normal 6 2 3 3 2 2 2" xfId="3367" xr:uid="{00000000-0005-0000-0000-0000AA420000}"/>
    <cellStyle name="Normal 6 2 3 3 2 2 2 2" xfId="6995" xr:uid="{00000000-0005-0000-0000-0000AB420000}"/>
    <cellStyle name="Normal 6 2 3 3 2 2 2 2 2" xfId="21507" xr:uid="{00000000-0005-0000-0000-0000AC420000}"/>
    <cellStyle name="Normal 6 2 3 3 2 2 2 2 3" xfId="14251" xr:uid="{00000000-0005-0000-0000-0000AD420000}"/>
    <cellStyle name="Normal 6 2 3 3 2 2 2 3" xfId="17879" xr:uid="{00000000-0005-0000-0000-0000AE420000}"/>
    <cellStyle name="Normal 6 2 3 3 2 2 2 4" xfId="10623" xr:uid="{00000000-0005-0000-0000-0000AF420000}"/>
    <cellStyle name="Normal 6 2 3 3 2 2 3" xfId="5181" xr:uid="{00000000-0005-0000-0000-0000B0420000}"/>
    <cellStyle name="Normal 6 2 3 3 2 2 3 2" xfId="19693" xr:uid="{00000000-0005-0000-0000-0000B1420000}"/>
    <cellStyle name="Normal 6 2 3 3 2 2 3 3" xfId="12437" xr:uid="{00000000-0005-0000-0000-0000B2420000}"/>
    <cellStyle name="Normal 6 2 3 3 2 2 4" xfId="16065" xr:uid="{00000000-0005-0000-0000-0000B3420000}"/>
    <cellStyle name="Normal 6 2 3 3 2 2 5" xfId="8809" xr:uid="{00000000-0005-0000-0000-0000B4420000}"/>
    <cellStyle name="Normal 6 2 3 3 2 3" xfId="2460" xr:uid="{00000000-0005-0000-0000-0000B5420000}"/>
    <cellStyle name="Normal 6 2 3 3 2 3 2" xfId="6088" xr:uid="{00000000-0005-0000-0000-0000B6420000}"/>
    <cellStyle name="Normal 6 2 3 3 2 3 2 2" xfId="20600" xr:uid="{00000000-0005-0000-0000-0000B7420000}"/>
    <cellStyle name="Normal 6 2 3 3 2 3 2 3" xfId="13344" xr:uid="{00000000-0005-0000-0000-0000B8420000}"/>
    <cellStyle name="Normal 6 2 3 3 2 3 3" xfId="16972" xr:uid="{00000000-0005-0000-0000-0000B9420000}"/>
    <cellStyle name="Normal 6 2 3 3 2 3 4" xfId="9716" xr:uid="{00000000-0005-0000-0000-0000BA420000}"/>
    <cellStyle name="Normal 6 2 3 3 2 4" xfId="4274" xr:uid="{00000000-0005-0000-0000-0000BB420000}"/>
    <cellStyle name="Normal 6 2 3 3 2 4 2" xfId="18786" xr:uid="{00000000-0005-0000-0000-0000BC420000}"/>
    <cellStyle name="Normal 6 2 3 3 2 4 3" xfId="11530" xr:uid="{00000000-0005-0000-0000-0000BD420000}"/>
    <cellStyle name="Normal 6 2 3 3 2 5" xfId="15158" xr:uid="{00000000-0005-0000-0000-0000BE420000}"/>
    <cellStyle name="Normal 6 2 3 3 2 6" xfId="7902" xr:uid="{00000000-0005-0000-0000-0000BF420000}"/>
    <cellStyle name="Normal 6 2 3 3 3" xfId="1207" xr:uid="{00000000-0005-0000-0000-0000C0420000}"/>
    <cellStyle name="Normal 6 2 3 3 3 2" xfId="3021" xr:uid="{00000000-0005-0000-0000-0000C1420000}"/>
    <cellStyle name="Normal 6 2 3 3 3 2 2" xfId="6649" xr:uid="{00000000-0005-0000-0000-0000C2420000}"/>
    <cellStyle name="Normal 6 2 3 3 3 2 2 2" xfId="21161" xr:uid="{00000000-0005-0000-0000-0000C3420000}"/>
    <cellStyle name="Normal 6 2 3 3 3 2 2 3" xfId="13905" xr:uid="{00000000-0005-0000-0000-0000C4420000}"/>
    <cellStyle name="Normal 6 2 3 3 3 2 3" xfId="17533" xr:uid="{00000000-0005-0000-0000-0000C5420000}"/>
    <cellStyle name="Normal 6 2 3 3 3 2 4" xfId="10277" xr:uid="{00000000-0005-0000-0000-0000C6420000}"/>
    <cellStyle name="Normal 6 2 3 3 3 3" xfId="4835" xr:uid="{00000000-0005-0000-0000-0000C7420000}"/>
    <cellStyle name="Normal 6 2 3 3 3 3 2" xfId="19347" xr:uid="{00000000-0005-0000-0000-0000C8420000}"/>
    <cellStyle name="Normal 6 2 3 3 3 3 3" xfId="12091" xr:uid="{00000000-0005-0000-0000-0000C9420000}"/>
    <cellStyle name="Normal 6 2 3 3 3 4" xfId="15719" xr:uid="{00000000-0005-0000-0000-0000CA420000}"/>
    <cellStyle name="Normal 6 2 3 3 3 5" xfId="8463" xr:uid="{00000000-0005-0000-0000-0000CB420000}"/>
    <cellStyle name="Normal 6 2 3 3 4" xfId="2114" xr:uid="{00000000-0005-0000-0000-0000CC420000}"/>
    <cellStyle name="Normal 6 2 3 3 4 2" xfId="5742" xr:uid="{00000000-0005-0000-0000-0000CD420000}"/>
    <cellStyle name="Normal 6 2 3 3 4 2 2" xfId="20254" xr:uid="{00000000-0005-0000-0000-0000CE420000}"/>
    <cellStyle name="Normal 6 2 3 3 4 2 3" xfId="12998" xr:uid="{00000000-0005-0000-0000-0000CF420000}"/>
    <cellStyle name="Normal 6 2 3 3 4 3" xfId="16626" xr:uid="{00000000-0005-0000-0000-0000D0420000}"/>
    <cellStyle name="Normal 6 2 3 3 4 4" xfId="9370" xr:uid="{00000000-0005-0000-0000-0000D1420000}"/>
    <cellStyle name="Normal 6 2 3 3 5" xfId="3928" xr:uid="{00000000-0005-0000-0000-0000D2420000}"/>
    <cellStyle name="Normal 6 2 3 3 5 2" xfId="18440" xr:uid="{00000000-0005-0000-0000-0000D3420000}"/>
    <cellStyle name="Normal 6 2 3 3 5 3" xfId="11184" xr:uid="{00000000-0005-0000-0000-0000D4420000}"/>
    <cellStyle name="Normal 6 2 3 3 6" xfId="14812" xr:uid="{00000000-0005-0000-0000-0000D5420000}"/>
    <cellStyle name="Normal 6 2 3 3 7" xfId="7556" xr:uid="{00000000-0005-0000-0000-0000D6420000}"/>
    <cellStyle name="Normal 6 2 3 4" xfId="775" xr:uid="{00000000-0005-0000-0000-0000D7420000}"/>
    <cellStyle name="Normal 6 2 3 4 2" xfId="1683" xr:uid="{00000000-0005-0000-0000-0000D8420000}"/>
    <cellStyle name="Normal 6 2 3 4 2 2" xfId="3497" xr:uid="{00000000-0005-0000-0000-0000D9420000}"/>
    <cellStyle name="Normal 6 2 3 4 2 2 2" xfId="7125" xr:uid="{00000000-0005-0000-0000-0000DA420000}"/>
    <cellStyle name="Normal 6 2 3 4 2 2 2 2" xfId="21637" xr:uid="{00000000-0005-0000-0000-0000DB420000}"/>
    <cellStyle name="Normal 6 2 3 4 2 2 2 3" xfId="14381" xr:uid="{00000000-0005-0000-0000-0000DC420000}"/>
    <cellStyle name="Normal 6 2 3 4 2 2 3" xfId="18009" xr:uid="{00000000-0005-0000-0000-0000DD420000}"/>
    <cellStyle name="Normal 6 2 3 4 2 2 4" xfId="10753" xr:uid="{00000000-0005-0000-0000-0000DE420000}"/>
    <cellStyle name="Normal 6 2 3 4 2 3" xfId="5311" xr:uid="{00000000-0005-0000-0000-0000DF420000}"/>
    <cellStyle name="Normal 6 2 3 4 2 3 2" xfId="19823" xr:uid="{00000000-0005-0000-0000-0000E0420000}"/>
    <cellStyle name="Normal 6 2 3 4 2 3 3" xfId="12567" xr:uid="{00000000-0005-0000-0000-0000E1420000}"/>
    <cellStyle name="Normal 6 2 3 4 2 4" xfId="16195" xr:uid="{00000000-0005-0000-0000-0000E2420000}"/>
    <cellStyle name="Normal 6 2 3 4 2 5" xfId="8939" xr:uid="{00000000-0005-0000-0000-0000E3420000}"/>
    <cellStyle name="Normal 6 2 3 4 3" xfId="2590" xr:uid="{00000000-0005-0000-0000-0000E4420000}"/>
    <cellStyle name="Normal 6 2 3 4 3 2" xfId="6218" xr:uid="{00000000-0005-0000-0000-0000E5420000}"/>
    <cellStyle name="Normal 6 2 3 4 3 2 2" xfId="20730" xr:uid="{00000000-0005-0000-0000-0000E6420000}"/>
    <cellStyle name="Normal 6 2 3 4 3 2 3" xfId="13474" xr:uid="{00000000-0005-0000-0000-0000E7420000}"/>
    <cellStyle name="Normal 6 2 3 4 3 3" xfId="17102" xr:uid="{00000000-0005-0000-0000-0000E8420000}"/>
    <cellStyle name="Normal 6 2 3 4 3 4" xfId="9846" xr:uid="{00000000-0005-0000-0000-0000E9420000}"/>
    <cellStyle name="Normal 6 2 3 4 4" xfId="4404" xr:uid="{00000000-0005-0000-0000-0000EA420000}"/>
    <cellStyle name="Normal 6 2 3 4 4 2" xfId="18916" xr:uid="{00000000-0005-0000-0000-0000EB420000}"/>
    <cellStyle name="Normal 6 2 3 4 4 3" xfId="11660" xr:uid="{00000000-0005-0000-0000-0000EC420000}"/>
    <cellStyle name="Normal 6 2 3 4 5" xfId="15288" xr:uid="{00000000-0005-0000-0000-0000ED420000}"/>
    <cellStyle name="Normal 6 2 3 4 6" xfId="8032" xr:uid="{00000000-0005-0000-0000-0000EE420000}"/>
    <cellStyle name="Normal 6 2 3 5" xfId="429" xr:uid="{00000000-0005-0000-0000-0000EF420000}"/>
    <cellStyle name="Normal 6 2 3 5 2" xfId="1337" xr:uid="{00000000-0005-0000-0000-0000F0420000}"/>
    <cellStyle name="Normal 6 2 3 5 2 2" xfId="3151" xr:uid="{00000000-0005-0000-0000-0000F1420000}"/>
    <cellStyle name="Normal 6 2 3 5 2 2 2" xfId="6779" xr:uid="{00000000-0005-0000-0000-0000F2420000}"/>
    <cellStyle name="Normal 6 2 3 5 2 2 2 2" xfId="21291" xr:uid="{00000000-0005-0000-0000-0000F3420000}"/>
    <cellStyle name="Normal 6 2 3 5 2 2 2 3" xfId="14035" xr:uid="{00000000-0005-0000-0000-0000F4420000}"/>
    <cellStyle name="Normal 6 2 3 5 2 2 3" xfId="17663" xr:uid="{00000000-0005-0000-0000-0000F5420000}"/>
    <cellStyle name="Normal 6 2 3 5 2 2 4" xfId="10407" xr:uid="{00000000-0005-0000-0000-0000F6420000}"/>
    <cellStyle name="Normal 6 2 3 5 2 3" xfId="4965" xr:uid="{00000000-0005-0000-0000-0000F7420000}"/>
    <cellStyle name="Normal 6 2 3 5 2 3 2" xfId="19477" xr:uid="{00000000-0005-0000-0000-0000F8420000}"/>
    <cellStyle name="Normal 6 2 3 5 2 3 3" xfId="12221" xr:uid="{00000000-0005-0000-0000-0000F9420000}"/>
    <cellStyle name="Normal 6 2 3 5 2 4" xfId="15849" xr:uid="{00000000-0005-0000-0000-0000FA420000}"/>
    <cellStyle name="Normal 6 2 3 5 2 5" xfId="8593" xr:uid="{00000000-0005-0000-0000-0000FB420000}"/>
    <cellStyle name="Normal 6 2 3 5 3" xfId="2244" xr:uid="{00000000-0005-0000-0000-0000FC420000}"/>
    <cellStyle name="Normal 6 2 3 5 3 2" xfId="5872" xr:uid="{00000000-0005-0000-0000-0000FD420000}"/>
    <cellStyle name="Normal 6 2 3 5 3 2 2" xfId="20384" xr:uid="{00000000-0005-0000-0000-0000FE420000}"/>
    <cellStyle name="Normal 6 2 3 5 3 2 3" xfId="13128" xr:uid="{00000000-0005-0000-0000-0000FF420000}"/>
    <cellStyle name="Normal 6 2 3 5 3 3" xfId="16756" xr:uid="{00000000-0005-0000-0000-000000430000}"/>
    <cellStyle name="Normal 6 2 3 5 3 4" xfId="9500" xr:uid="{00000000-0005-0000-0000-000001430000}"/>
    <cellStyle name="Normal 6 2 3 5 4" xfId="4058" xr:uid="{00000000-0005-0000-0000-000002430000}"/>
    <cellStyle name="Normal 6 2 3 5 4 2" xfId="18570" xr:uid="{00000000-0005-0000-0000-000003430000}"/>
    <cellStyle name="Normal 6 2 3 5 4 3" xfId="11314" xr:uid="{00000000-0005-0000-0000-000004430000}"/>
    <cellStyle name="Normal 6 2 3 5 5" xfId="14942" xr:uid="{00000000-0005-0000-0000-000005430000}"/>
    <cellStyle name="Normal 6 2 3 5 6" xfId="7686" xr:uid="{00000000-0005-0000-0000-000006430000}"/>
    <cellStyle name="Normal 6 2 3 6" xfId="907" xr:uid="{00000000-0005-0000-0000-000007430000}"/>
    <cellStyle name="Normal 6 2 3 6 2" xfId="1814" xr:uid="{00000000-0005-0000-0000-000008430000}"/>
    <cellStyle name="Normal 6 2 3 6 2 2" xfId="3628" xr:uid="{00000000-0005-0000-0000-000009430000}"/>
    <cellStyle name="Normal 6 2 3 6 2 2 2" xfId="7256" xr:uid="{00000000-0005-0000-0000-00000A430000}"/>
    <cellStyle name="Normal 6 2 3 6 2 2 2 2" xfId="21768" xr:uid="{00000000-0005-0000-0000-00000B430000}"/>
    <cellStyle name="Normal 6 2 3 6 2 2 2 3" xfId="14512" xr:uid="{00000000-0005-0000-0000-00000C430000}"/>
    <cellStyle name="Normal 6 2 3 6 2 2 3" xfId="18140" xr:uid="{00000000-0005-0000-0000-00000D430000}"/>
    <cellStyle name="Normal 6 2 3 6 2 2 4" xfId="10884" xr:uid="{00000000-0005-0000-0000-00000E430000}"/>
    <cellStyle name="Normal 6 2 3 6 2 3" xfId="5442" xr:uid="{00000000-0005-0000-0000-00000F430000}"/>
    <cellStyle name="Normal 6 2 3 6 2 3 2" xfId="19954" xr:uid="{00000000-0005-0000-0000-000010430000}"/>
    <cellStyle name="Normal 6 2 3 6 2 3 3" xfId="12698" xr:uid="{00000000-0005-0000-0000-000011430000}"/>
    <cellStyle name="Normal 6 2 3 6 2 4" xfId="16326" xr:uid="{00000000-0005-0000-0000-000012430000}"/>
    <cellStyle name="Normal 6 2 3 6 2 5" xfId="9070" xr:uid="{00000000-0005-0000-0000-000013430000}"/>
    <cellStyle name="Normal 6 2 3 6 3" xfId="2721" xr:uid="{00000000-0005-0000-0000-000014430000}"/>
    <cellStyle name="Normal 6 2 3 6 3 2" xfId="6349" xr:uid="{00000000-0005-0000-0000-000015430000}"/>
    <cellStyle name="Normal 6 2 3 6 3 2 2" xfId="20861" xr:uid="{00000000-0005-0000-0000-000016430000}"/>
    <cellStyle name="Normal 6 2 3 6 3 2 3" xfId="13605" xr:uid="{00000000-0005-0000-0000-000017430000}"/>
    <cellStyle name="Normal 6 2 3 6 3 3" xfId="17233" xr:uid="{00000000-0005-0000-0000-000018430000}"/>
    <cellStyle name="Normal 6 2 3 6 3 4" xfId="9977" xr:uid="{00000000-0005-0000-0000-000019430000}"/>
    <cellStyle name="Normal 6 2 3 6 4" xfId="4535" xr:uid="{00000000-0005-0000-0000-00001A430000}"/>
    <cellStyle name="Normal 6 2 3 6 4 2" xfId="19047" xr:uid="{00000000-0005-0000-0000-00001B430000}"/>
    <cellStyle name="Normal 6 2 3 6 4 3" xfId="11791" xr:uid="{00000000-0005-0000-0000-00001C430000}"/>
    <cellStyle name="Normal 6 2 3 6 5" xfId="15419" xr:uid="{00000000-0005-0000-0000-00001D430000}"/>
    <cellStyle name="Normal 6 2 3 6 6" xfId="8163" xr:uid="{00000000-0005-0000-0000-00001E430000}"/>
    <cellStyle name="Normal 6 2 3 7" xfId="991" xr:uid="{00000000-0005-0000-0000-00001F430000}"/>
    <cellStyle name="Normal 6 2 3 7 2" xfId="2805" xr:uid="{00000000-0005-0000-0000-000020430000}"/>
    <cellStyle name="Normal 6 2 3 7 2 2" xfId="6433" xr:uid="{00000000-0005-0000-0000-000021430000}"/>
    <cellStyle name="Normal 6 2 3 7 2 2 2" xfId="20945" xr:uid="{00000000-0005-0000-0000-000022430000}"/>
    <cellStyle name="Normal 6 2 3 7 2 2 3" xfId="13689" xr:uid="{00000000-0005-0000-0000-000023430000}"/>
    <cellStyle name="Normal 6 2 3 7 2 3" xfId="17317" xr:uid="{00000000-0005-0000-0000-000024430000}"/>
    <cellStyle name="Normal 6 2 3 7 2 4" xfId="10061" xr:uid="{00000000-0005-0000-0000-000025430000}"/>
    <cellStyle name="Normal 6 2 3 7 3" xfId="4619" xr:uid="{00000000-0005-0000-0000-000026430000}"/>
    <cellStyle name="Normal 6 2 3 7 3 2" xfId="19131" xr:uid="{00000000-0005-0000-0000-000027430000}"/>
    <cellStyle name="Normal 6 2 3 7 3 3" xfId="11875" xr:uid="{00000000-0005-0000-0000-000028430000}"/>
    <cellStyle name="Normal 6 2 3 7 4" xfId="15503" xr:uid="{00000000-0005-0000-0000-000029430000}"/>
    <cellStyle name="Normal 6 2 3 7 5" xfId="8247" xr:uid="{00000000-0005-0000-0000-00002A430000}"/>
    <cellStyle name="Normal 6 2 3 8" xfId="1898" xr:uid="{00000000-0005-0000-0000-00002B430000}"/>
    <cellStyle name="Normal 6 2 3 8 2" xfId="5526" xr:uid="{00000000-0005-0000-0000-00002C430000}"/>
    <cellStyle name="Normal 6 2 3 8 2 2" xfId="20038" xr:uid="{00000000-0005-0000-0000-00002D430000}"/>
    <cellStyle name="Normal 6 2 3 8 2 3" xfId="12782" xr:uid="{00000000-0005-0000-0000-00002E430000}"/>
    <cellStyle name="Normal 6 2 3 8 3" xfId="16410" xr:uid="{00000000-0005-0000-0000-00002F430000}"/>
    <cellStyle name="Normal 6 2 3 8 4" xfId="9154" xr:uid="{00000000-0005-0000-0000-000030430000}"/>
    <cellStyle name="Normal 6 2 3 9" xfId="3712" xr:uid="{00000000-0005-0000-0000-000031430000}"/>
    <cellStyle name="Normal 6 2 3 9 2" xfId="18224" xr:uid="{00000000-0005-0000-0000-000032430000}"/>
    <cellStyle name="Normal 6 2 3 9 3" xfId="10968" xr:uid="{00000000-0005-0000-0000-000033430000}"/>
    <cellStyle name="Normal 6 2 4" xfId="213" xr:uid="{00000000-0005-0000-0000-000034430000}"/>
    <cellStyle name="Normal 6 2 4 2" xfId="343" xr:uid="{00000000-0005-0000-0000-000035430000}"/>
    <cellStyle name="Normal 6 2 4 2 2" xfId="689" xr:uid="{00000000-0005-0000-0000-000036430000}"/>
    <cellStyle name="Normal 6 2 4 2 2 2" xfId="1597" xr:uid="{00000000-0005-0000-0000-000037430000}"/>
    <cellStyle name="Normal 6 2 4 2 2 2 2" xfId="3411" xr:uid="{00000000-0005-0000-0000-000038430000}"/>
    <cellStyle name="Normal 6 2 4 2 2 2 2 2" xfId="7039" xr:uid="{00000000-0005-0000-0000-000039430000}"/>
    <cellStyle name="Normal 6 2 4 2 2 2 2 2 2" xfId="21551" xr:uid="{00000000-0005-0000-0000-00003A430000}"/>
    <cellStyle name="Normal 6 2 4 2 2 2 2 2 3" xfId="14295" xr:uid="{00000000-0005-0000-0000-00003B430000}"/>
    <cellStyle name="Normal 6 2 4 2 2 2 2 3" xfId="17923" xr:uid="{00000000-0005-0000-0000-00003C430000}"/>
    <cellStyle name="Normal 6 2 4 2 2 2 2 4" xfId="10667" xr:uid="{00000000-0005-0000-0000-00003D430000}"/>
    <cellStyle name="Normal 6 2 4 2 2 2 3" xfId="5225" xr:uid="{00000000-0005-0000-0000-00003E430000}"/>
    <cellStyle name="Normal 6 2 4 2 2 2 3 2" xfId="19737" xr:uid="{00000000-0005-0000-0000-00003F430000}"/>
    <cellStyle name="Normal 6 2 4 2 2 2 3 3" xfId="12481" xr:uid="{00000000-0005-0000-0000-000040430000}"/>
    <cellStyle name="Normal 6 2 4 2 2 2 4" xfId="16109" xr:uid="{00000000-0005-0000-0000-000041430000}"/>
    <cellStyle name="Normal 6 2 4 2 2 2 5" xfId="8853" xr:uid="{00000000-0005-0000-0000-000042430000}"/>
    <cellStyle name="Normal 6 2 4 2 2 3" xfId="2504" xr:uid="{00000000-0005-0000-0000-000043430000}"/>
    <cellStyle name="Normal 6 2 4 2 2 3 2" xfId="6132" xr:uid="{00000000-0005-0000-0000-000044430000}"/>
    <cellStyle name="Normal 6 2 4 2 2 3 2 2" xfId="20644" xr:uid="{00000000-0005-0000-0000-000045430000}"/>
    <cellStyle name="Normal 6 2 4 2 2 3 2 3" xfId="13388" xr:uid="{00000000-0005-0000-0000-000046430000}"/>
    <cellStyle name="Normal 6 2 4 2 2 3 3" xfId="17016" xr:uid="{00000000-0005-0000-0000-000047430000}"/>
    <cellStyle name="Normal 6 2 4 2 2 3 4" xfId="9760" xr:uid="{00000000-0005-0000-0000-000048430000}"/>
    <cellStyle name="Normal 6 2 4 2 2 4" xfId="4318" xr:uid="{00000000-0005-0000-0000-000049430000}"/>
    <cellStyle name="Normal 6 2 4 2 2 4 2" xfId="18830" xr:uid="{00000000-0005-0000-0000-00004A430000}"/>
    <cellStyle name="Normal 6 2 4 2 2 4 3" xfId="11574" xr:uid="{00000000-0005-0000-0000-00004B430000}"/>
    <cellStyle name="Normal 6 2 4 2 2 5" xfId="15202" xr:uid="{00000000-0005-0000-0000-00004C430000}"/>
    <cellStyle name="Normal 6 2 4 2 2 6" xfId="7946" xr:uid="{00000000-0005-0000-0000-00004D430000}"/>
    <cellStyle name="Normal 6 2 4 2 3" xfId="1251" xr:uid="{00000000-0005-0000-0000-00004E430000}"/>
    <cellStyle name="Normal 6 2 4 2 3 2" xfId="3065" xr:uid="{00000000-0005-0000-0000-00004F430000}"/>
    <cellStyle name="Normal 6 2 4 2 3 2 2" xfId="6693" xr:uid="{00000000-0005-0000-0000-000050430000}"/>
    <cellStyle name="Normal 6 2 4 2 3 2 2 2" xfId="21205" xr:uid="{00000000-0005-0000-0000-000051430000}"/>
    <cellStyle name="Normal 6 2 4 2 3 2 2 3" xfId="13949" xr:uid="{00000000-0005-0000-0000-000052430000}"/>
    <cellStyle name="Normal 6 2 4 2 3 2 3" xfId="17577" xr:uid="{00000000-0005-0000-0000-000053430000}"/>
    <cellStyle name="Normal 6 2 4 2 3 2 4" xfId="10321" xr:uid="{00000000-0005-0000-0000-000054430000}"/>
    <cellStyle name="Normal 6 2 4 2 3 3" xfId="4879" xr:uid="{00000000-0005-0000-0000-000055430000}"/>
    <cellStyle name="Normal 6 2 4 2 3 3 2" xfId="19391" xr:uid="{00000000-0005-0000-0000-000056430000}"/>
    <cellStyle name="Normal 6 2 4 2 3 3 3" xfId="12135" xr:uid="{00000000-0005-0000-0000-000057430000}"/>
    <cellStyle name="Normal 6 2 4 2 3 4" xfId="15763" xr:uid="{00000000-0005-0000-0000-000058430000}"/>
    <cellStyle name="Normal 6 2 4 2 3 5" xfId="8507" xr:uid="{00000000-0005-0000-0000-000059430000}"/>
    <cellStyle name="Normal 6 2 4 2 4" xfId="2158" xr:uid="{00000000-0005-0000-0000-00005A430000}"/>
    <cellStyle name="Normal 6 2 4 2 4 2" xfId="5786" xr:uid="{00000000-0005-0000-0000-00005B430000}"/>
    <cellStyle name="Normal 6 2 4 2 4 2 2" xfId="20298" xr:uid="{00000000-0005-0000-0000-00005C430000}"/>
    <cellStyle name="Normal 6 2 4 2 4 2 3" xfId="13042" xr:uid="{00000000-0005-0000-0000-00005D430000}"/>
    <cellStyle name="Normal 6 2 4 2 4 3" xfId="16670" xr:uid="{00000000-0005-0000-0000-00005E430000}"/>
    <cellStyle name="Normal 6 2 4 2 4 4" xfId="9414" xr:uid="{00000000-0005-0000-0000-00005F430000}"/>
    <cellStyle name="Normal 6 2 4 2 5" xfId="3972" xr:uid="{00000000-0005-0000-0000-000060430000}"/>
    <cellStyle name="Normal 6 2 4 2 5 2" xfId="18484" xr:uid="{00000000-0005-0000-0000-000061430000}"/>
    <cellStyle name="Normal 6 2 4 2 5 3" xfId="11228" xr:uid="{00000000-0005-0000-0000-000062430000}"/>
    <cellStyle name="Normal 6 2 4 2 6" xfId="14856" xr:uid="{00000000-0005-0000-0000-000063430000}"/>
    <cellStyle name="Normal 6 2 4 2 7" xfId="7600" xr:uid="{00000000-0005-0000-0000-000064430000}"/>
    <cellStyle name="Normal 6 2 4 3" xfId="819" xr:uid="{00000000-0005-0000-0000-000065430000}"/>
    <cellStyle name="Normal 6 2 4 3 2" xfId="1727" xr:uid="{00000000-0005-0000-0000-000066430000}"/>
    <cellStyle name="Normal 6 2 4 3 2 2" xfId="3541" xr:uid="{00000000-0005-0000-0000-000067430000}"/>
    <cellStyle name="Normal 6 2 4 3 2 2 2" xfId="7169" xr:uid="{00000000-0005-0000-0000-000068430000}"/>
    <cellStyle name="Normal 6 2 4 3 2 2 2 2" xfId="21681" xr:uid="{00000000-0005-0000-0000-000069430000}"/>
    <cellStyle name="Normal 6 2 4 3 2 2 2 3" xfId="14425" xr:uid="{00000000-0005-0000-0000-00006A430000}"/>
    <cellStyle name="Normal 6 2 4 3 2 2 3" xfId="18053" xr:uid="{00000000-0005-0000-0000-00006B430000}"/>
    <cellStyle name="Normal 6 2 4 3 2 2 4" xfId="10797" xr:uid="{00000000-0005-0000-0000-00006C430000}"/>
    <cellStyle name="Normal 6 2 4 3 2 3" xfId="5355" xr:uid="{00000000-0005-0000-0000-00006D430000}"/>
    <cellStyle name="Normal 6 2 4 3 2 3 2" xfId="19867" xr:uid="{00000000-0005-0000-0000-00006E430000}"/>
    <cellStyle name="Normal 6 2 4 3 2 3 3" xfId="12611" xr:uid="{00000000-0005-0000-0000-00006F430000}"/>
    <cellStyle name="Normal 6 2 4 3 2 4" xfId="16239" xr:uid="{00000000-0005-0000-0000-000070430000}"/>
    <cellStyle name="Normal 6 2 4 3 2 5" xfId="8983" xr:uid="{00000000-0005-0000-0000-000071430000}"/>
    <cellStyle name="Normal 6 2 4 3 3" xfId="2634" xr:uid="{00000000-0005-0000-0000-000072430000}"/>
    <cellStyle name="Normal 6 2 4 3 3 2" xfId="6262" xr:uid="{00000000-0005-0000-0000-000073430000}"/>
    <cellStyle name="Normal 6 2 4 3 3 2 2" xfId="20774" xr:uid="{00000000-0005-0000-0000-000074430000}"/>
    <cellStyle name="Normal 6 2 4 3 3 2 3" xfId="13518" xr:uid="{00000000-0005-0000-0000-000075430000}"/>
    <cellStyle name="Normal 6 2 4 3 3 3" xfId="17146" xr:uid="{00000000-0005-0000-0000-000076430000}"/>
    <cellStyle name="Normal 6 2 4 3 3 4" xfId="9890" xr:uid="{00000000-0005-0000-0000-000077430000}"/>
    <cellStyle name="Normal 6 2 4 3 4" xfId="4448" xr:uid="{00000000-0005-0000-0000-000078430000}"/>
    <cellStyle name="Normal 6 2 4 3 4 2" xfId="18960" xr:uid="{00000000-0005-0000-0000-000079430000}"/>
    <cellStyle name="Normal 6 2 4 3 4 3" xfId="11704" xr:uid="{00000000-0005-0000-0000-00007A430000}"/>
    <cellStyle name="Normal 6 2 4 3 5" xfId="15332" xr:uid="{00000000-0005-0000-0000-00007B430000}"/>
    <cellStyle name="Normal 6 2 4 3 6" xfId="8076" xr:uid="{00000000-0005-0000-0000-00007C430000}"/>
    <cellStyle name="Normal 6 2 4 4" xfId="559" xr:uid="{00000000-0005-0000-0000-00007D430000}"/>
    <cellStyle name="Normal 6 2 4 4 2" xfId="1467" xr:uid="{00000000-0005-0000-0000-00007E430000}"/>
    <cellStyle name="Normal 6 2 4 4 2 2" xfId="3281" xr:uid="{00000000-0005-0000-0000-00007F430000}"/>
    <cellStyle name="Normal 6 2 4 4 2 2 2" xfId="6909" xr:uid="{00000000-0005-0000-0000-000080430000}"/>
    <cellStyle name="Normal 6 2 4 4 2 2 2 2" xfId="21421" xr:uid="{00000000-0005-0000-0000-000081430000}"/>
    <cellStyle name="Normal 6 2 4 4 2 2 2 3" xfId="14165" xr:uid="{00000000-0005-0000-0000-000082430000}"/>
    <cellStyle name="Normal 6 2 4 4 2 2 3" xfId="17793" xr:uid="{00000000-0005-0000-0000-000083430000}"/>
    <cellStyle name="Normal 6 2 4 4 2 2 4" xfId="10537" xr:uid="{00000000-0005-0000-0000-000084430000}"/>
    <cellStyle name="Normal 6 2 4 4 2 3" xfId="5095" xr:uid="{00000000-0005-0000-0000-000085430000}"/>
    <cellStyle name="Normal 6 2 4 4 2 3 2" xfId="19607" xr:uid="{00000000-0005-0000-0000-000086430000}"/>
    <cellStyle name="Normal 6 2 4 4 2 3 3" xfId="12351" xr:uid="{00000000-0005-0000-0000-000087430000}"/>
    <cellStyle name="Normal 6 2 4 4 2 4" xfId="15979" xr:uid="{00000000-0005-0000-0000-000088430000}"/>
    <cellStyle name="Normal 6 2 4 4 2 5" xfId="8723" xr:uid="{00000000-0005-0000-0000-000089430000}"/>
    <cellStyle name="Normal 6 2 4 4 3" xfId="2374" xr:uid="{00000000-0005-0000-0000-00008A430000}"/>
    <cellStyle name="Normal 6 2 4 4 3 2" xfId="6002" xr:uid="{00000000-0005-0000-0000-00008B430000}"/>
    <cellStyle name="Normal 6 2 4 4 3 2 2" xfId="20514" xr:uid="{00000000-0005-0000-0000-00008C430000}"/>
    <cellStyle name="Normal 6 2 4 4 3 2 3" xfId="13258" xr:uid="{00000000-0005-0000-0000-00008D430000}"/>
    <cellStyle name="Normal 6 2 4 4 3 3" xfId="16886" xr:uid="{00000000-0005-0000-0000-00008E430000}"/>
    <cellStyle name="Normal 6 2 4 4 3 4" xfId="9630" xr:uid="{00000000-0005-0000-0000-00008F430000}"/>
    <cellStyle name="Normal 6 2 4 4 4" xfId="4188" xr:uid="{00000000-0005-0000-0000-000090430000}"/>
    <cellStyle name="Normal 6 2 4 4 4 2" xfId="18700" xr:uid="{00000000-0005-0000-0000-000091430000}"/>
    <cellStyle name="Normal 6 2 4 4 4 3" xfId="11444" xr:uid="{00000000-0005-0000-0000-000092430000}"/>
    <cellStyle name="Normal 6 2 4 4 5" xfId="15072" xr:uid="{00000000-0005-0000-0000-000093430000}"/>
    <cellStyle name="Normal 6 2 4 4 6" xfId="7816" xr:uid="{00000000-0005-0000-0000-000094430000}"/>
    <cellStyle name="Normal 6 2 4 5" xfId="1121" xr:uid="{00000000-0005-0000-0000-000095430000}"/>
    <cellStyle name="Normal 6 2 4 5 2" xfId="2935" xr:uid="{00000000-0005-0000-0000-000096430000}"/>
    <cellStyle name="Normal 6 2 4 5 2 2" xfId="6563" xr:uid="{00000000-0005-0000-0000-000097430000}"/>
    <cellStyle name="Normal 6 2 4 5 2 2 2" xfId="21075" xr:uid="{00000000-0005-0000-0000-000098430000}"/>
    <cellStyle name="Normal 6 2 4 5 2 2 3" xfId="13819" xr:uid="{00000000-0005-0000-0000-000099430000}"/>
    <cellStyle name="Normal 6 2 4 5 2 3" xfId="17447" xr:uid="{00000000-0005-0000-0000-00009A430000}"/>
    <cellStyle name="Normal 6 2 4 5 2 4" xfId="10191" xr:uid="{00000000-0005-0000-0000-00009B430000}"/>
    <cellStyle name="Normal 6 2 4 5 3" xfId="4749" xr:uid="{00000000-0005-0000-0000-00009C430000}"/>
    <cellStyle name="Normal 6 2 4 5 3 2" xfId="19261" xr:uid="{00000000-0005-0000-0000-00009D430000}"/>
    <cellStyle name="Normal 6 2 4 5 3 3" xfId="12005" xr:uid="{00000000-0005-0000-0000-00009E430000}"/>
    <cellStyle name="Normal 6 2 4 5 4" xfId="15633" xr:uid="{00000000-0005-0000-0000-00009F430000}"/>
    <cellStyle name="Normal 6 2 4 5 5" xfId="8377" xr:uid="{00000000-0005-0000-0000-0000A0430000}"/>
    <cellStyle name="Normal 6 2 4 6" xfId="2028" xr:uid="{00000000-0005-0000-0000-0000A1430000}"/>
    <cellStyle name="Normal 6 2 4 6 2" xfId="5656" xr:uid="{00000000-0005-0000-0000-0000A2430000}"/>
    <cellStyle name="Normal 6 2 4 6 2 2" xfId="20168" xr:uid="{00000000-0005-0000-0000-0000A3430000}"/>
    <cellStyle name="Normal 6 2 4 6 2 3" xfId="12912" xr:uid="{00000000-0005-0000-0000-0000A4430000}"/>
    <cellStyle name="Normal 6 2 4 6 3" xfId="16540" xr:uid="{00000000-0005-0000-0000-0000A5430000}"/>
    <cellStyle name="Normal 6 2 4 6 4" xfId="9284" xr:uid="{00000000-0005-0000-0000-0000A6430000}"/>
    <cellStyle name="Normal 6 2 4 7" xfId="3842" xr:uid="{00000000-0005-0000-0000-0000A7430000}"/>
    <cellStyle name="Normal 6 2 4 7 2" xfId="18354" xr:uid="{00000000-0005-0000-0000-0000A8430000}"/>
    <cellStyle name="Normal 6 2 4 7 3" xfId="11098" xr:uid="{00000000-0005-0000-0000-0000A9430000}"/>
    <cellStyle name="Normal 6 2 4 8" xfId="14726" xr:uid="{00000000-0005-0000-0000-0000AA430000}"/>
    <cellStyle name="Normal 6 2 4 9" xfId="7470" xr:uid="{00000000-0005-0000-0000-0000AB430000}"/>
    <cellStyle name="Normal 6 2 5" xfId="127" xr:uid="{00000000-0005-0000-0000-0000AC430000}"/>
    <cellStyle name="Normal 6 2 5 2" xfId="473" xr:uid="{00000000-0005-0000-0000-0000AD430000}"/>
    <cellStyle name="Normal 6 2 5 2 2" xfId="1381" xr:uid="{00000000-0005-0000-0000-0000AE430000}"/>
    <cellStyle name="Normal 6 2 5 2 2 2" xfId="3195" xr:uid="{00000000-0005-0000-0000-0000AF430000}"/>
    <cellStyle name="Normal 6 2 5 2 2 2 2" xfId="6823" xr:uid="{00000000-0005-0000-0000-0000B0430000}"/>
    <cellStyle name="Normal 6 2 5 2 2 2 2 2" xfId="21335" xr:uid="{00000000-0005-0000-0000-0000B1430000}"/>
    <cellStyle name="Normal 6 2 5 2 2 2 2 3" xfId="14079" xr:uid="{00000000-0005-0000-0000-0000B2430000}"/>
    <cellStyle name="Normal 6 2 5 2 2 2 3" xfId="17707" xr:uid="{00000000-0005-0000-0000-0000B3430000}"/>
    <cellStyle name="Normal 6 2 5 2 2 2 4" xfId="10451" xr:uid="{00000000-0005-0000-0000-0000B4430000}"/>
    <cellStyle name="Normal 6 2 5 2 2 3" xfId="5009" xr:uid="{00000000-0005-0000-0000-0000B5430000}"/>
    <cellStyle name="Normal 6 2 5 2 2 3 2" xfId="19521" xr:uid="{00000000-0005-0000-0000-0000B6430000}"/>
    <cellStyle name="Normal 6 2 5 2 2 3 3" xfId="12265" xr:uid="{00000000-0005-0000-0000-0000B7430000}"/>
    <cellStyle name="Normal 6 2 5 2 2 4" xfId="15893" xr:uid="{00000000-0005-0000-0000-0000B8430000}"/>
    <cellStyle name="Normal 6 2 5 2 2 5" xfId="8637" xr:uid="{00000000-0005-0000-0000-0000B9430000}"/>
    <cellStyle name="Normal 6 2 5 2 3" xfId="2288" xr:uid="{00000000-0005-0000-0000-0000BA430000}"/>
    <cellStyle name="Normal 6 2 5 2 3 2" xfId="5916" xr:uid="{00000000-0005-0000-0000-0000BB430000}"/>
    <cellStyle name="Normal 6 2 5 2 3 2 2" xfId="20428" xr:uid="{00000000-0005-0000-0000-0000BC430000}"/>
    <cellStyle name="Normal 6 2 5 2 3 2 3" xfId="13172" xr:uid="{00000000-0005-0000-0000-0000BD430000}"/>
    <cellStyle name="Normal 6 2 5 2 3 3" xfId="16800" xr:uid="{00000000-0005-0000-0000-0000BE430000}"/>
    <cellStyle name="Normal 6 2 5 2 3 4" xfId="9544" xr:uid="{00000000-0005-0000-0000-0000BF430000}"/>
    <cellStyle name="Normal 6 2 5 2 4" xfId="4102" xr:uid="{00000000-0005-0000-0000-0000C0430000}"/>
    <cellStyle name="Normal 6 2 5 2 4 2" xfId="18614" xr:uid="{00000000-0005-0000-0000-0000C1430000}"/>
    <cellStyle name="Normal 6 2 5 2 4 3" xfId="11358" xr:uid="{00000000-0005-0000-0000-0000C2430000}"/>
    <cellStyle name="Normal 6 2 5 2 5" xfId="14986" xr:uid="{00000000-0005-0000-0000-0000C3430000}"/>
    <cellStyle name="Normal 6 2 5 2 6" xfId="7730" xr:uid="{00000000-0005-0000-0000-0000C4430000}"/>
    <cellStyle name="Normal 6 2 5 3" xfId="1035" xr:uid="{00000000-0005-0000-0000-0000C5430000}"/>
    <cellStyle name="Normal 6 2 5 3 2" xfId="2849" xr:uid="{00000000-0005-0000-0000-0000C6430000}"/>
    <cellStyle name="Normal 6 2 5 3 2 2" xfId="6477" xr:uid="{00000000-0005-0000-0000-0000C7430000}"/>
    <cellStyle name="Normal 6 2 5 3 2 2 2" xfId="20989" xr:uid="{00000000-0005-0000-0000-0000C8430000}"/>
    <cellStyle name="Normal 6 2 5 3 2 2 3" xfId="13733" xr:uid="{00000000-0005-0000-0000-0000C9430000}"/>
    <cellStyle name="Normal 6 2 5 3 2 3" xfId="17361" xr:uid="{00000000-0005-0000-0000-0000CA430000}"/>
    <cellStyle name="Normal 6 2 5 3 2 4" xfId="10105" xr:uid="{00000000-0005-0000-0000-0000CB430000}"/>
    <cellStyle name="Normal 6 2 5 3 3" xfId="4663" xr:uid="{00000000-0005-0000-0000-0000CC430000}"/>
    <cellStyle name="Normal 6 2 5 3 3 2" xfId="19175" xr:uid="{00000000-0005-0000-0000-0000CD430000}"/>
    <cellStyle name="Normal 6 2 5 3 3 3" xfId="11919" xr:uid="{00000000-0005-0000-0000-0000CE430000}"/>
    <cellStyle name="Normal 6 2 5 3 4" xfId="15547" xr:uid="{00000000-0005-0000-0000-0000CF430000}"/>
    <cellStyle name="Normal 6 2 5 3 5" xfId="8291" xr:uid="{00000000-0005-0000-0000-0000D0430000}"/>
    <cellStyle name="Normal 6 2 5 4" xfId="1942" xr:uid="{00000000-0005-0000-0000-0000D1430000}"/>
    <cellStyle name="Normal 6 2 5 4 2" xfId="5570" xr:uid="{00000000-0005-0000-0000-0000D2430000}"/>
    <cellStyle name="Normal 6 2 5 4 2 2" xfId="20082" xr:uid="{00000000-0005-0000-0000-0000D3430000}"/>
    <cellStyle name="Normal 6 2 5 4 2 3" xfId="12826" xr:uid="{00000000-0005-0000-0000-0000D4430000}"/>
    <cellStyle name="Normal 6 2 5 4 3" xfId="16454" xr:uid="{00000000-0005-0000-0000-0000D5430000}"/>
    <cellStyle name="Normal 6 2 5 4 4" xfId="9198" xr:uid="{00000000-0005-0000-0000-0000D6430000}"/>
    <cellStyle name="Normal 6 2 5 5" xfId="3756" xr:uid="{00000000-0005-0000-0000-0000D7430000}"/>
    <cellStyle name="Normal 6 2 5 5 2" xfId="18268" xr:uid="{00000000-0005-0000-0000-0000D8430000}"/>
    <cellStyle name="Normal 6 2 5 5 3" xfId="11012" xr:uid="{00000000-0005-0000-0000-0000D9430000}"/>
    <cellStyle name="Normal 6 2 5 6" xfId="14640" xr:uid="{00000000-0005-0000-0000-0000DA430000}"/>
    <cellStyle name="Normal 6 2 5 7" xfId="7384" xr:uid="{00000000-0005-0000-0000-0000DB430000}"/>
    <cellStyle name="Normal 6 2 6" xfId="257" xr:uid="{00000000-0005-0000-0000-0000DC430000}"/>
    <cellStyle name="Normal 6 2 6 2" xfId="603" xr:uid="{00000000-0005-0000-0000-0000DD430000}"/>
    <cellStyle name="Normal 6 2 6 2 2" xfId="1511" xr:uid="{00000000-0005-0000-0000-0000DE430000}"/>
    <cellStyle name="Normal 6 2 6 2 2 2" xfId="3325" xr:uid="{00000000-0005-0000-0000-0000DF430000}"/>
    <cellStyle name="Normal 6 2 6 2 2 2 2" xfId="6953" xr:uid="{00000000-0005-0000-0000-0000E0430000}"/>
    <cellStyle name="Normal 6 2 6 2 2 2 2 2" xfId="21465" xr:uid="{00000000-0005-0000-0000-0000E1430000}"/>
    <cellStyle name="Normal 6 2 6 2 2 2 2 3" xfId="14209" xr:uid="{00000000-0005-0000-0000-0000E2430000}"/>
    <cellStyle name="Normal 6 2 6 2 2 2 3" xfId="17837" xr:uid="{00000000-0005-0000-0000-0000E3430000}"/>
    <cellStyle name="Normal 6 2 6 2 2 2 4" xfId="10581" xr:uid="{00000000-0005-0000-0000-0000E4430000}"/>
    <cellStyle name="Normal 6 2 6 2 2 3" xfId="5139" xr:uid="{00000000-0005-0000-0000-0000E5430000}"/>
    <cellStyle name="Normal 6 2 6 2 2 3 2" xfId="19651" xr:uid="{00000000-0005-0000-0000-0000E6430000}"/>
    <cellStyle name="Normal 6 2 6 2 2 3 3" xfId="12395" xr:uid="{00000000-0005-0000-0000-0000E7430000}"/>
    <cellStyle name="Normal 6 2 6 2 2 4" xfId="16023" xr:uid="{00000000-0005-0000-0000-0000E8430000}"/>
    <cellStyle name="Normal 6 2 6 2 2 5" xfId="8767" xr:uid="{00000000-0005-0000-0000-0000E9430000}"/>
    <cellStyle name="Normal 6 2 6 2 3" xfId="2418" xr:uid="{00000000-0005-0000-0000-0000EA430000}"/>
    <cellStyle name="Normal 6 2 6 2 3 2" xfId="6046" xr:uid="{00000000-0005-0000-0000-0000EB430000}"/>
    <cellStyle name="Normal 6 2 6 2 3 2 2" xfId="20558" xr:uid="{00000000-0005-0000-0000-0000EC430000}"/>
    <cellStyle name="Normal 6 2 6 2 3 2 3" xfId="13302" xr:uid="{00000000-0005-0000-0000-0000ED430000}"/>
    <cellStyle name="Normal 6 2 6 2 3 3" xfId="16930" xr:uid="{00000000-0005-0000-0000-0000EE430000}"/>
    <cellStyle name="Normal 6 2 6 2 3 4" xfId="9674" xr:uid="{00000000-0005-0000-0000-0000EF430000}"/>
    <cellStyle name="Normal 6 2 6 2 4" xfId="4232" xr:uid="{00000000-0005-0000-0000-0000F0430000}"/>
    <cellStyle name="Normal 6 2 6 2 4 2" xfId="18744" xr:uid="{00000000-0005-0000-0000-0000F1430000}"/>
    <cellStyle name="Normal 6 2 6 2 4 3" xfId="11488" xr:uid="{00000000-0005-0000-0000-0000F2430000}"/>
    <cellStyle name="Normal 6 2 6 2 5" xfId="15116" xr:uid="{00000000-0005-0000-0000-0000F3430000}"/>
    <cellStyle name="Normal 6 2 6 2 6" xfId="7860" xr:uid="{00000000-0005-0000-0000-0000F4430000}"/>
    <cellStyle name="Normal 6 2 6 3" xfId="1165" xr:uid="{00000000-0005-0000-0000-0000F5430000}"/>
    <cellStyle name="Normal 6 2 6 3 2" xfId="2979" xr:uid="{00000000-0005-0000-0000-0000F6430000}"/>
    <cellStyle name="Normal 6 2 6 3 2 2" xfId="6607" xr:uid="{00000000-0005-0000-0000-0000F7430000}"/>
    <cellStyle name="Normal 6 2 6 3 2 2 2" xfId="21119" xr:uid="{00000000-0005-0000-0000-0000F8430000}"/>
    <cellStyle name="Normal 6 2 6 3 2 2 3" xfId="13863" xr:uid="{00000000-0005-0000-0000-0000F9430000}"/>
    <cellStyle name="Normal 6 2 6 3 2 3" xfId="17491" xr:uid="{00000000-0005-0000-0000-0000FA430000}"/>
    <cellStyle name="Normal 6 2 6 3 2 4" xfId="10235" xr:uid="{00000000-0005-0000-0000-0000FB430000}"/>
    <cellStyle name="Normal 6 2 6 3 3" xfId="4793" xr:uid="{00000000-0005-0000-0000-0000FC430000}"/>
    <cellStyle name="Normal 6 2 6 3 3 2" xfId="19305" xr:uid="{00000000-0005-0000-0000-0000FD430000}"/>
    <cellStyle name="Normal 6 2 6 3 3 3" xfId="12049" xr:uid="{00000000-0005-0000-0000-0000FE430000}"/>
    <cellStyle name="Normal 6 2 6 3 4" xfId="15677" xr:uid="{00000000-0005-0000-0000-0000FF430000}"/>
    <cellStyle name="Normal 6 2 6 3 5" xfId="8421" xr:uid="{00000000-0005-0000-0000-000000440000}"/>
    <cellStyle name="Normal 6 2 6 4" xfId="2072" xr:uid="{00000000-0005-0000-0000-000001440000}"/>
    <cellStyle name="Normal 6 2 6 4 2" xfId="5700" xr:uid="{00000000-0005-0000-0000-000002440000}"/>
    <cellStyle name="Normal 6 2 6 4 2 2" xfId="20212" xr:uid="{00000000-0005-0000-0000-000003440000}"/>
    <cellStyle name="Normal 6 2 6 4 2 3" xfId="12956" xr:uid="{00000000-0005-0000-0000-000004440000}"/>
    <cellStyle name="Normal 6 2 6 4 3" xfId="16584" xr:uid="{00000000-0005-0000-0000-000005440000}"/>
    <cellStyle name="Normal 6 2 6 4 4" xfId="9328" xr:uid="{00000000-0005-0000-0000-000006440000}"/>
    <cellStyle name="Normal 6 2 6 5" xfId="3886" xr:uid="{00000000-0005-0000-0000-000007440000}"/>
    <cellStyle name="Normal 6 2 6 5 2" xfId="18398" xr:uid="{00000000-0005-0000-0000-000008440000}"/>
    <cellStyle name="Normal 6 2 6 5 3" xfId="11142" xr:uid="{00000000-0005-0000-0000-000009440000}"/>
    <cellStyle name="Normal 6 2 6 6" xfId="14770" xr:uid="{00000000-0005-0000-0000-00000A440000}"/>
    <cellStyle name="Normal 6 2 6 7" xfId="7514" xr:uid="{00000000-0005-0000-0000-00000B440000}"/>
    <cellStyle name="Normal 6 2 7" xfId="733" xr:uid="{00000000-0005-0000-0000-00000C440000}"/>
    <cellStyle name="Normal 6 2 7 2" xfId="1641" xr:uid="{00000000-0005-0000-0000-00000D440000}"/>
    <cellStyle name="Normal 6 2 7 2 2" xfId="3455" xr:uid="{00000000-0005-0000-0000-00000E440000}"/>
    <cellStyle name="Normal 6 2 7 2 2 2" xfId="7083" xr:uid="{00000000-0005-0000-0000-00000F440000}"/>
    <cellStyle name="Normal 6 2 7 2 2 2 2" xfId="21595" xr:uid="{00000000-0005-0000-0000-000010440000}"/>
    <cellStyle name="Normal 6 2 7 2 2 2 3" xfId="14339" xr:uid="{00000000-0005-0000-0000-000011440000}"/>
    <cellStyle name="Normal 6 2 7 2 2 3" xfId="17967" xr:uid="{00000000-0005-0000-0000-000012440000}"/>
    <cellStyle name="Normal 6 2 7 2 2 4" xfId="10711" xr:uid="{00000000-0005-0000-0000-000013440000}"/>
    <cellStyle name="Normal 6 2 7 2 3" xfId="5269" xr:uid="{00000000-0005-0000-0000-000014440000}"/>
    <cellStyle name="Normal 6 2 7 2 3 2" xfId="19781" xr:uid="{00000000-0005-0000-0000-000015440000}"/>
    <cellStyle name="Normal 6 2 7 2 3 3" xfId="12525" xr:uid="{00000000-0005-0000-0000-000016440000}"/>
    <cellStyle name="Normal 6 2 7 2 4" xfId="16153" xr:uid="{00000000-0005-0000-0000-000017440000}"/>
    <cellStyle name="Normal 6 2 7 2 5" xfId="8897" xr:uid="{00000000-0005-0000-0000-000018440000}"/>
    <cellStyle name="Normal 6 2 7 3" xfId="2548" xr:uid="{00000000-0005-0000-0000-000019440000}"/>
    <cellStyle name="Normal 6 2 7 3 2" xfId="6176" xr:uid="{00000000-0005-0000-0000-00001A440000}"/>
    <cellStyle name="Normal 6 2 7 3 2 2" xfId="20688" xr:uid="{00000000-0005-0000-0000-00001B440000}"/>
    <cellStyle name="Normal 6 2 7 3 2 3" xfId="13432" xr:uid="{00000000-0005-0000-0000-00001C440000}"/>
    <cellStyle name="Normal 6 2 7 3 3" xfId="17060" xr:uid="{00000000-0005-0000-0000-00001D440000}"/>
    <cellStyle name="Normal 6 2 7 3 4" xfId="9804" xr:uid="{00000000-0005-0000-0000-00001E440000}"/>
    <cellStyle name="Normal 6 2 7 4" xfId="4362" xr:uid="{00000000-0005-0000-0000-00001F440000}"/>
    <cellStyle name="Normal 6 2 7 4 2" xfId="18874" xr:uid="{00000000-0005-0000-0000-000020440000}"/>
    <cellStyle name="Normal 6 2 7 4 3" xfId="11618" xr:uid="{00000000-0005-0000-0000-000021440000}"/>
    <cellStyle name="Normal 6 2 7 5" xfId="15246" xr:uid="{00000000-0005-0000-0000-000022440000}"/>
    <cellStyle name="Normal 6 2 7 6" xfId="7990" xr:uid="{00000000-0005-0000-0000-000023440000}"/>
    <cellStyle name="Normal 6 2 8" xfId="387" xr:uid="{00000000-0005-0000-0000-000024440000}"/>
    <cellStyle name="Normal 6 2 8 2" xfId="1295" xr:uid="{00000000-0005-0000-0000-000025440000}"/>
    <cellStyle name="Normal 6 2 8 2 2" xfId="3109" xr:uid="{00000000-0005-0000-0000-000026440000}"/>
    <cellStyle name="Normal 6 2 8 2 2 2" xfId="6737" xr:uid="{00000000-0005-0000-0000-000027440000}"/>
    <cellStyle name="Normal 6 2 8 2 2 2 2" xfId="21249" xr:uid="{00000000-0005-0000-0000-000028440000}"/>
    <cellStyle name="Normal 6 2 8 2 2 2 3" xfId="13993" xr:uid="{00000000-0005-0000-0000-000029440000}"/>
    <cellStyle name="Normal 6 2 8 2 2 3" xfId="17621" xr:uid="{00000000-0005-0000-0000-00002A440000}"/>
    <cellStyle name="Normal 6 2 8 2 2 4" xfId="10365" xr:uid="{00000000-0005-0000-0000-00002B440000}"/>
    <cellStyle name="Normal 6 2 8 2 3" xfId="4923" xr:uid="{00000000-0005-0000-0000-00002C440000}"/>
    <cellStyle name="Normal 6 2 8 2 3 2" xfId="19435" xr:uid="{00000000-0005-0000-0000-00002D440000}"/>
    <cellStyle name="Normal 6 2 8 2 3 3" xfId="12179" xr:uid="{00000000-0005-0000-0000-00002E440000}"/>
    <cellStyle name="Normal 6 2 8 2 4" xfId="15807" xr:uid="{00000000-0005-0000-0000-00002F440000}"/>
    <cellStyle name="Normal 6 2 8 2 5" xfId="8551" xr:uid="{00000000-0005-0000-0000-000030440000}"/>
    <cellStyle name="Normal 6 2 8 3" xfId="2202" xr:uid="{00000000-0005-0000-0000-000031440000}"/>
    <cellStyle name="Normal 6 2 8 3 2" xfId="5830" xr:uid="{00000000-0005-0000-0000-000032440000}"/>
    <cellStyle name="Normal 6 2 8 3 2 2" xfId="20342" xr:uid="{00000000-0005-0000-0000-000033440000}"/>
    <cellStyle name="Normal 6 2 8 3 2 3" xfId="13086" xr:uid="{00000000-0005-0000-0000-000034440000}"/>
    <cellStyle name="Normal 6 2 8 3 3" xfId="16714" xr:uid="{00000000-0005-0000-0000-000035440000}"/>
    <cellStyle name="Normal 6 2 8 3 4" xfId="9458" xr:uid="{00000000-0005-0000-0000-000036440000}"/>
    <cellStyle name="Normal 6 2 8 4" xfId="4016" xr:uid="{00000000-0005-0000-0000-000037440000}"/>
    <cellStyle name="Normal 6 2 8 4 2" xfId="18528" xr:uid="{00000000-0005-0000-0000-000038440000}"/>
    <cellStyle name="Normal 6 2 8 4 3" xfId="11272" xr:uid="{00000000-0005-0000-0000-000039440000}"/>
    <cellStyle name="Normal 6 2 8 5" xfId="14900" xr:uid="{00000000-0005-0000-0000-00003A440000}"/>
    <cellStyle name="Normal 6 2 8 6" xfId="7644" xr:uid="{00000000-0005-0000-0000-00003B440000}"/>
    <cellStyle name="Normal 6 2 9" xfId="863" xr:uid="{00000000-0005-0000-0000-00003C440000}"/>
    <cellStyle name="Normal 6 2 9 2" xfId="1771" xr:uid="{00000000-0005-0000-0000-00003D440000}"/>
    <cellStyle name="Normal 6 2 9 2 2" xfId="3585" xr:uid="{00000000-0005-0000-0000-00003E440000}"/>
    <cellStyle name="Normal 6 2 9 2 2 2" xfId="7213" xr:uid="{00000000-0005-0000-0000-00003F440000}"/>
    <cellStyle name="Normal 6 2 9 2 2 2 2" xfId="21725" xr:uid="{00000000-0005-0000-0000-000040440000}"/>
    <cellStyle name="Normal 6 2 9 2 2 2 3" xfId="14469" xr:uid="{00000000-0005-0000-0000-000041440000}"/>
    <cellStyle name="Normal 6 2 9 2 2 3" xfId="18097" xr:uid="{00000000-0005-0000-0000-000042440000}"/>
    <cellStyle name="Normal 6 2 9 2 2 4" xfId="10841" xr:uid="{00000000-0005-0000-0000-000043440000}"/>
    <cellStyle name="Normal 6 2 9 2 3" xfId="5399" xr:uid="{00000000-0005-0000-0000-000044440000}"/>
    <cellStyle name="Normal 6 2 9 2 3 2" xfId="19911" xr:uid="{00000000-0005-0000-0000-000045440000}"/>
    <cellStyle name="Normal 6 2 9 2 3 3" xfId="12655" xr:uid="{00000000-0005-0000-0000-000046440000}"/>
    <cellStyle name="Normal 6 2 9 2 4" xfId="16283" xr:uid="{00000000-0005-0000-0000-000047440000}"/>
    <cellStyle name="Normal 6 2 9 2 5" xfId="9027" xr:uid="{00000000-0005-0000-0000-000048440000}"/>
    <cellStyle name="Normal 6 2 9 3" xfId="2678" xr:uid="{00000000-0005-0000-0000-000049440000}"/>
    <cellStyle name="Normal 6 2 9 3 2" xfId="6306" xr:uid="{00000000-0005-0000-0000-00004A440000}"/>
    <cellStyle name="Normal 6 2 9 3 2 2" xfId="20818" xr:uid="{00000000-0005-0000-0000-00004B440000}"/>
    <cellStyle name="Normal 6 2 9 3 2 3" xfId="13562" xr:uid="{00000000-0005-0000-0000-00004C440000}"/>
    <cellStyle name="Normal 6 2 9 3 3" xfId="17190" xr:uid="{00000000-0005-0000-0000-00004D440000}"/>
    <cellStyle name="Normal 6 2 9 3 4" xfId="9934" xr:uid="{00000000-0005-0000-0000-00004E440000}"/>
    <cellStyle name="Normal 6 2 9 4" xfId="4492" xr:uid="{00000000-0005-0000-0000-00004F440000}"/>
    <cellStyle name="Normal 6 2 9 4 2" xfId="19004" xr:uid="{00000000-0005-0000-0000-000050440000}"/>
    <cellStyle name="Normal 6 2 9 4 3" xfId="11748" xr:uid="{00000000-0005-0000-0000-000051440000}"/>
    <cellStyle name="Normal 6 2 9 5" xfId="15376" xr:uid="{00000000-0005-0000-0000-000052440000}"/>
    <cellStyle name="Normal 6 2 9 6" xfId="8120" xr:uid="{00000000-0005-0000-0000-000053440000}"/>
    <cellStyle name="Normal 6 3" xfId="50" xr:uid="{00000000-0005-0000-0000-000054440000}"/>
    <cellStyle name="Normal 6 3 10" xfId="1867" xr:uid="{00000000-0005-0000-0000-000055440000}"/>
    <cellStyle name="Normal 6 3 10 2" xfId="5495" xr:uid="{00000000-0005-0000-0000-000056440000}"/>
    <cellStyle name="Normal 6 3 10 2 2" xfId="20007" xr:uid="{00000000-0005-0000-0000-000057440000}"/>
    <cellStyle name="Normal 6 3 10 2 3" xfId="12751" xr:uid="{00000000-0005-0000-0000-000058440000}"/>
    <cellStyle name="Normal 6 3 10 3" xfId="16379" xr:uid="{00000000-0005-0000-0000-000059440000}"/>
    <cellStyle name="Normal 6 3 10 4" xfId="9123" xr:uid="{00000000-0005-0000-0000-00005A440000}"/>
    <cellStyle name="Normal 6 3 11" xfId="3681" xr:uid="{00000000-0005-0000-0000-00005B440000}"/>
    <cellStyle name="Normal 6 3 11 2" xfId="18193" xr:uid="{00000000-0005-0000-0000-00005C440000}"/>
    <cellStyle name="Normal 6 3 11 3" xfId="10937" xr:uid="{00000000-0005-0000-0000-00005D440000}"/>
    <cellStyle name="Normal 6 3 12" xfId="14565" xr:uid="{00000000-0005-0000-0000-00005E440000}"/>
    <cellStyle name="Normal 6 3 13" xfId="7309" xr:uid="{00000000-0005-0000-0000-00005F440000}"/>
    <cellStyle name="Normal 6 3 2" xfId="92" xr:uid="{00000000-0005-0000-0000-000060440000}"/>
    <cellStyle name="Normal 6 3 2 10" xfId="14607" xr:uid="{00000000-0005-0000-0000-000061440000}"/>
    <cellStyle name="Normal 6 3 2 11" xfId="7351" xr:uid="{00000000-0005-0000-0000-000062440000}"/>
    <cellStyle name="Normal 6 3 2 2" xfId="180" xr:uid="{00000000-0005-0000-0000-000063440000}"/>
    <cellStyle name="Normal 6 3 2 2 2" xfId="526" xr:uid="{00000000-0005-0000-0000-000064440000}"/>
    <cellStyle name="Normal 6 3 2 2 2 2" xfId="1434" xr:uid="{00000000-0005-0000-0000-000065440000}"/>
    <cellStyle name="Normal 6 3 2 2 2 2 2" xfId="3248" xr:uid="{00000000-0005-0000-0000-000066440000}"/>
    <cellStyle name="Normal 6 3 2 2 2 2 2 2" xfId="6876" xr:uid="{00000000-0005-0000-0000-000067440000}"/>
    <cellStyle name="Normal 6 3 2 2 2 2 2 2 2" xfId="21388" xr:uid="{00000000-0005-0000-0000-000068440000}"/>
    <cellStyle name="Normal 6 3 2 2 2 2 2 2 3" xfId="14132" xr:uid="{00000000-0005-0000-0000-000069440000}"/>
    <cellStyle name="Normal 6 3 2 2 2 2 2 3" xfId="17760" xr:uid="{00000000-0005-0000-0000-00006A440000}"/>
    <cellStyle name="Normal 6 3 2 2 2 2 2 4" xfId="10504" xr:uid="{00000000-0005-0000-0000-00006B440000}"/>
    <cellStyle name="Normal 6 3 2 2 2 2 3" xfId="5062" xr:uid="{00000000-0005-0000-0000-00006C440000}"/>
    <cellStyle name="Normal 6 3 2 2 2 2 3 2" xfId="19574" xr:uid="{00000000-0005-0000-0000-00006D440000}"/>
    <cellStyle name="Normal 6 3 2 2 2 2 3 3" xfId="12318" xr:uid="{00000000-0005-0000-0000-00006E440000}"/>
    <cellStyle name="Normal 6 3 2 2 2 2 4" xfId="15946" xr:uid="{00000000-0005-0000-0000-00006F440000}"/>
    <cellStyle name="Normal 6 3 2 2 2 2 5" xfId="8690" xr:uid="{00000000-0005-0000-0000-000070440000}"/>
    <cellStyle name="Normal 6 3 2 2 2 3" xfId="2341" xr:uid="{00000000-0005-0000-0000-000071440000}"/>
    <cellStyle name="Normal 6 3 2 2 2 3 2" xfId="5969" xr:uid="{00000000-0005-0000-0000-000072440000}"/>
    <cellStyle name="Normal 6 3 2 2 2 3 2 2" xfId="20481" xr:uid="{00000000-0005-0000-0000-000073440000}"/>
    <cellStyle name="Normal 6 3 2 2 2 3 2 3" xfId="13225" xr:uid="{00000000-0005-0000-0000-000074440000}"/>
    <cellStyle name="Normal 6 3 2 2 2 3 3" xfId="16853" xr:uid="{00000000-0005-0000-0000-000075440000}"/>
    <cellStyle name="Normal 6 3 2 2 2 3 4" xfId="9597" xr:uid="{00000000-0005-0000-0000-000076440000}"/>
    <cellStyle name="Normal 6 3 2 2 2 4" xfId="4155" xr:uid="{00000000-0005-0000-0000-000077440000}"/>
    <cellStyle name="Normal 6 3 2 2 2 4 2" xfId="18667" xr:uid="{00000000-0005-0000-0000-000078440000}"/>
    <cellStyle name="Normal 6 3 2 2 2 4 3" xfId="11411" xr:uid="{00000000-0005-0000-0000-000079440000}"/>
    <cellStyle name="Normal 6 3 2 2 2 5" xfId="15039" xr:uid="{00000000-0005-0000-0000-00007A440000}"/>
    <cellStyle name="Normal 6 3 2 2 2 6" xfId="7783" xr:uid="{00000000-0005-0000-0000-00007B440000}"/>
    <cellStyle name="Normal 6 3 2 2 3" xfId="1088" xr:uid="{00000000-0005-0000-0000-00007C440000}"/>
    <cellStyle name="Normal 6 3 2 2 3 2" xfId="2902" xr:uid="{00000000-0005-0000-0000-00007D440000}"/>
    <cellStyle name="Normal 6 3 2 2 3 2 2" xfId="6530" xr:uid="{00000000-0005-0000-0000-00007E440000}"/>
    <cellStyle name="Normal 6 3 2 2 3 2 2 2" xfId="21042" xr:uid="{00000000-0005-0000-0000-00007F440000}"/>
    <cellStyle name="Normal 6 3 2 2 3 2 2 3" xfId="13786" xr:uid="{00000000-0005-0000-0000-000080440000}"/>
    <cellStyle name="Normal 6 3 2 2 3 2 3" xfId="17414" xr:uid="{00000000-0005-0000-0000-000081440000}"/>
    <cellStyle name="Normal 6 3 2 2 3 2 4" xfId="10158" xr:uid="{00000000-0005-0000-0000-000082440000}"/>
    <cellStyle name="Normal 6 3 2 2 3 3" xfId="4716" xr:uid="{00000000-0005-0000-0000-000083440000}"/>
    <cellStyle name="Normal 6 3 2 2 3 3 2" xfId="19228" xr:uid="{00000000-0005-0000-0000-000084440000}"/>
    <cellStyle name="Normal 6 3 2 2 3 3 3" xfId="11972" xr:uid="{00000000-0005-0000-0000-000085440000}"/>
    <cellStyle name="Normal 6 3 2 2 3 4" xfId="15600" xr:uid="{00000000-0005-0000-0000-000086440000}"/>
    <cellStyle name="Normal 6 3 2 2 3 5" xfId="8344" xr:uid="{00000000-0005-0000-0000-000087440000}"/>
    <cellStyle name="Normal 6 3 2 2 4" xfId="1995" xr:uid="{00000000-0005-0000-0000-000088440000}"/>
    <cellStyle name="Normal 6 3 2 2 4 2" xfId="5623" xr:uid="{00000000-0005-0000-0000-000089440000}"/>
    <cellStyle name="Normal 6 3 2 2 4 2 2" xfId="20135" xr:uid="{00000000-0005-0000-0000-00008A440000}"/>
    <cellStyle name="Normal 6 3 2 2 4 2 3" xfId="12879" xr:uid="{00000000-0005-0000-0000-00008B440000}"/>
    <cellStyle name="Normal 6 3 2 2 4 3" xfId="16507" xr:uid="{00000000-0005-0000-0000-00008C440000}"/>
    <cellStyle name="Normal 6 3 2 2 4 4" xfId="9251" xr:uid="{00000000-0005-0000-0000-00008D440000}"/>
    <cellStyle name="Normal 6 3 2 2 5" xfId="3809" xr:uid="{00000000-0005-0000-0000-00008E440000}"/>
    <cellStyle name="Normal 6 3 2 2 5 2" xfId="18321" xr:uid="{00000000-0005-0000-0000-00008F440000}"/>
    <cellStyle name="Normal 6 3 2 2 5 3" xfId="11065" xr:uid="{00000000-0005-0000-0000-000090440000}"/>
    <cellStyle name="Normal 6 3 2 2 6" xfId="14693" xr:uid="{00000000-0005-0000-0000-000091440000}"/>
    <cellStyle name="Normal 6 3 2 2 7" xfId="7437" xr:uid="{00000000-0005-0000-0000-000092440000}"/>
    <cellStyle name="Normal 6 3 2 3" xfId="310" xr:uid="{00000000-0005-0000-0000-000093440000}"/>
    <cellStyle name="Normal 6 3 2 3 2" xfId="656" xr:uid="{00000000-0005-0000-0000-000094440000}"/>
    <cellStyle name="Normal 6 3 2 3 2 2" xfId="1564" xr:uid="{00000000-0005-0000-0000-000095440000}"/>
    <cellStyle name="Normal 6 3 2 3 2 2 2" xfId="3378" xr:uid="{00000000-0005-0000-0000-000096440000}"/>
    <cellStyle name="Normal 6 3 2 3 2 2 2 2" xfId="7006" xr:uid="{00000000-0005-0000-0000-000097440000}"/>
    <cellStyle name="Normal 6 3 2 3 2 2 2 2 2" xfId="21518" xr:uid="{00000000-0005-0000-0000-000098440000}"/>
    <cellStyle name="Normal 6 3 2 3 2 2 2 2 3" xfId="14262" xr:uid="{00000000-0005-0000-0000-000099440000}"/>
    <cellStyle name="Normal 6 3 2 3 2 2 2 3" xfId="17890" xr:uid="{00000000-0005-0000-0000-00009A440000}"/>
    <cellStyle name="Normal 6 3 2 3 2 2 2 4" xfId="10634" xr:uid="{00000000-0005-0000-0000-00009B440000}"/>
    <cellStyle name="Normal 6 3 2 3 2 2 3" xfId="5192" xr:uid="{00000000-0005-0000-0000-00009C440000}"/>
    <cellStyle name="Normal 6 3 2 3 2 2 3 2" xfId="19704" xr:uid="{00000000-0005-0000-0000-00009D440000}"/>
    <cellStyle name="Normal 6 3 2 3 2 2 3 3" xfId="12448" xr:uid="{00000000-0005-0000-0000-00009E440000}"/>
    <cellStyle name="Normal 6 3 2 3 2 2 4" xfId="16076" xr:uid="{00000000-0005-0000-0000-00009F440000}"/>
    <cellStyle name="Normal 6 3 2 3 2 2 5" xfId="8820" xr:uid="{00000000-0005-0000-0000-0000A0440000}"/>
    <cellStyle name="Normal 6 3 2 3 2 3" xfId="2471" xr:uid="{00000000-0005-0000-0000-0000A1440000}"/>
    <cellStyle name="Normal 6 3 2 3 2 3 2" xfId="6099" xr:uid="{00000000-0005-0000-0000-0000A2440000}"/>
    <cellStyle name="Normal 6 3 2 3 2 3 2 2" xfId="20611" xr:uid="{00000000-0005-0000-0000-0000A3440000}"/>
    <cellStyle name="Normal 6 3 2 3 2 3 2 3" xfId="13355" xr:uid="{00000000-0005-0000-0000-0000A4440000}"/>
    <cellStyle name="Normal 6 3 2 3 2 3 3" xfId="16983" xr:uid="{00000000-0005-0000-0000-0000A5440000}"/>
    <cellStyle name="Normal 6 3 2 3 2 3 4" xfId="9727" xr:uid="{00000000-0005-0000-0000-0000A6440000}"/>
    <cellStyle name="Normal 6 3 2 3 2 4" xfId="4285" xr:uid="{00000000-0005-0000-0000-0000A7440000}"/>
    <cellStyle name="Normal 6 3 2 3 2 4 2" xfId="18797" xr:uid="{00000000-0005-0000-0000-0000A8440000}"/>
    <cellStyle name="Normal 6 3 2 3 2 4 3" xfId="11541" xr:uid="{00000000-0005-0000-0000-0000A9440000}"/>
    <cellStyle name="Normal 6 3 2 3 2 5" xfId="15169" xr:uid="{00000000-0005-0000-0000-0000AA440000}"/>
    <cellStyle name="Normal 6 3 2 3 2 6" xfId="7913" xr:uid="{00000000-0005-0000-0000-0000AB440000}"/>
    <cellStyle name="Normal 6 3 2 3 3" xfId="1218" xr:uid="{00000000-0005-0000-0000-0000AC440000}"/>
    <cellStyle name="Normal 6 3 2 3 3 2" xfId="3032" xr:uid="{00000000-0005-0000-0000-0000AD440000}"/>
    <cellStyle name="Normal 6 3 2 3 3 2 2" xfId="6660" xr:uid="{00000000-0005-0000-0000-0000AE440000}"/>
    <cellStyle name="Normal 6 3 2 3 3 2 2 2" xfId="21172" xr:uid="{00000000-0005-0000-0000-0000AF440000}"/>
    <cellStyle name="Normal 6 3 2 3 3 2 2 3" xfId="13916" xr:uid="{00000000-0005-0000-0000-0000B0440000}"/>
    <cellStyle name="Normal 6 3 2 3 3 2 3" xfId="17544" xr:uid="{00000000-0005-0000-0000-0000B1440000}"/>
    <cellStyle name="Normal 6 3 2 3 3 2 4" xfId="10288" xr:uid="{00000000-0005-0000-0000-0000B2440000}"/>
    <cellStyle name="Normal 6 3 2 3 3 3" xfId="4846" xr:uid="{00000000-0005-0000-0000-0000B3440000}"/>
    <cellStyle name="Normal 6 3 2 3 3 3 2" xfId="19358" xr:uid="{00000000-0005-0000-0000-0000B4440000}"/>
    <cellStyle name="Normal 6 3 2 3 3 3 3" xfId="12102" xr:uid="{00000000-0005-0000-0000-0000B5440000}"/>
    <cellStyle name="Normal 6 3 2 3 3 4" xfId="15730" xr:uid="{00000000-0005-0000-0000-0000B6440000}"/>
    <cellStyle name="Normal 6 3 2 3 3 5" xfId="8474" xr:uid="{00000000-0005-0000-0000-0000B7440000}"/>
    <cellStyle name="Normal 6 3 2 3 4" xfId="2125" xr:uid="{00000000-0005-0000-0000-0000B8440000}"/>
    <cellStyle name="Normal 6 3 2 3 4 2" xfId="5753" xr:uid="{00000000-0005-0000-0000-0000B9440000}"/>
    <cellStyle name="Normal 6 3 2 3 4 2 2" xfId="20265" xr:uid="{00000000-0005-0000-0000-0000BA440000}"/>
    <cellStyle name="Normal 6 3 2 3 4 2 3" xfId="13009" xr:uid="{00000000-0005-0000-0000-0000BB440000}"/>
    <cellStyle name="Normal 6 3 2 3 4 3" xfId="16637" xr:uid="{00000000-0005-0000-0000-0000BC440000}"/>
    <cellStyle name="Normal 6 3 2 3 4 4" xfId="9381" xr:uid="{00000000-0005-0000-0000-0000BD440000}"/>
    <cellStyle name="Normal 6 3 2 3 5" xfId="3939" xr:uid="{00000000-0005-0000-0000-0000BE440000}"/>
    <cellStyle name="Normal 6 3 2 3 5 2" xfId="18451" xr:uid="{00000000-0005-0000-0000-0000BF440000}"/>
    <cellStyle name="Normal 6 3 2 3 5 3" xfId="11195" xr:uid="{00000000-0005-0000-0000-0000C0440000}"/>
    <cellStyle name="Normal 6 3 2 3 6" xfId="14823" xr:uid="{00000000-0005-0000-0000-0000C1440000}"/>
    <cellStyle name="Normal 6 3 2 3 7" xfId="7567" xr:uid="{00000000-0005-0000-0000-0000C2440000}"/>
    <cellStyle name="Normal 6 3 2 4" xfId="786" xr:uid="{00000000-0005-0000-0000-0000C3440000}"/>
    <cellStyle name="Normal 6 3 2 4 2" xfId="1694" xr:uid="{00000000-0005-0000-0000-0000C4440000}"/>
    <cellStyle name="Normal 6 3 2 4 2 2" xfId="3508" xr:uid="{00000000-0005-0000-0000-0000C5440000}"/>
    <cellStyle name="Normal 6 3 2 4 2 2 2" xfId="7136" xr:uid="{00000000-0005-0000-0000-0000C6440000}"/>
    <cellStyle name="Normal 6 3 2 4 2 2 2 2" xfId="21648" xr:uid="{00000000-0005-0000-0000-0000C7440000}"/>
    <cellStyle name="Normal 6 3 2 4 2 2 2 3" xfId="14392" xr:uid="{00000000-0005-0000-0000-0000C8440000}"/>
    <cellStyle name="Normal 6 3 2 4 2 2 3" xfId="18020" xr:uid="{00000000-0005-0000-0000-0000C9440000}"/>
    <cellStyle name="Normal 6 3 2 4 2 2 4" xfId="10764" xr:uid="{00000000-0005-0000-0000-0000CA440000}"/>
    <cellStyle name="Normal 6 3 2 4 2 3" xfId="5322" xr:uid="{00000000-0005-0000-0000-0000CB440000}"/>
    <cellStyle name="Normal 6 3 2 4 2 3 2" xfId="19834" xr:uid="{00000000-0005-0000-0000-0000CC440000}"/>
    <cellStyle name="Normal 6 3 2 4 2 3 3" xfId="12578" xr:uid="{00000000-0005-0000-0000-0000CD440000}"/>
    <cellStyle name="Normal 6 3 2 4 2 4" xfId="16206" xr:uid="{00000000-0005-0000-0000-0000CE440000}"/>
    <cellStyle name="Normal 6 3 2 4 2 5" xfId="8950" xr:uid="{00000000-0005-0000-0000-0000CF440000}"/>
    <cellStyle name="Normal 6 3 2 4 3" xfId="2601" xr:uid="{00000000-0005-0000-0000-0000D0440000}"/>
    <cellStyle name="Normal 6 3 2 4 3 2" xfId="6229" xr:uid="{00000000-0005-0000-0000-0000D1440000}"/>
    <cellStyle name="Normal 6 3 2 4 3 2 2" xfId="20741" xr:uid="{00000000-0005-0000-0000-0000D2440000}"/>
    <cellStyle name="Normal 6 3 2 4 3 2 3" xfId="13485" xr:uid="{00000000-0005-0000-0000-0000D3440000}"/>
    <cellStyle name="Normal 6 3 2 4 3 3" xfId="17113" xr:uid="{00000000-0005-0000-0000-0000D4440000}"/>
    <cellStyle name="Normal 6 3 2 4 3 4" xfId="9857" xr:uid="{00000000-0005-0000-0000-0000D5440000}"/>
    <cellStyle name="Normal 6 3 2 4 4" xfId="4415" xr:uid="{00000000-0005-0000-0000-0000D6440000}"/>
    <cellStyle name="Normal 6 3 2 4 4 2" xfId="18927" xr:uid="{00000000-0005-0000-0000-0000D7440000}"/>
    <cellStyle name="Normal 6 3 2 4 4 3" xfId="11671" xr:uid="{00000000-0005-0000-0000-0000D8440000}"/>
    <cellStyle name="Normal 6 3 2 4 5" xfId="15299" xr:uid="{00000000-0005-0000-0000-0000D9440000}"/>
    <cellStyle name="Normal 6 3 2 4 6" xfId="8043" xr:uid="{00000000-0005-0000-0000-0000DA440000}"/>
    <cellStyle name="Normal 6 3 2 5" xfId="440" xr:uid="{00000000-0005-0000-0000-0000DB440000}"/>
    <cellStyle name="Normal 6 3 2 5 2" xfId="1348" xr:uid="{00000000-0005-0000-0000-0000DC440000}"/>
    <cellStyle name="Normal 6 3 2 5 2 2" xfId="3162" xr:uid="{00000000-0005-0000-0000-0000DD440000}"/>
    <cellStyle name="Normal 6 3 2 5 2 2 2" xfId="6790" xr:uid="{00000000-0005-0000-0000-0000DE440000}"/>
    <cellStyle name="Normal 6 3 2 5 2 2 2 2" xfId="21302" xr:uid="{00000000-0005-0000-0000-0000DF440000}"/>
    <cellStyle name="Normal 6 3 2 5 2 2 2 3" xfId="14046" xr:uid="{00000000-0005-0000-0000-0000E0440000}"/>
    <cellStyle name="Normal 6 3 2 5 2 2 3" xfId="17674" xr:uid="{00000000-0005-0000-0000-0000E1440000}"/>
    <cellStyle name="Normal 6 3 2 5 2 2 4" xfId="10418" xr:uid="{00000000-0005-0000-0000-0000E2440000}"/>
    <cellStyle name="Normal 6 3 2 5 2 3" xfId="4976" xr:uid="{00000000-0005-0000-0000-0000E3440000}"/>
    <cellStyle name="Normal 6 3 2 5 2 3 2" xfId="19488" xr:uid="{00000000-0005-0000-0000-0000E4440000}"/>
    <cellStyle name="Normal 6 3 2 5 2 3 3" xfId="12232" xr:uid="{00000000-0005-0000-0000-0000E5440000}"/>
    <cellStyle name="Normal 6 3 2 5 2 4" xfId="15860" xr:uid="{00000000-0005-0000-0000-0000E6440000}"/>
    <cellStyle name="Normal 6 3 2 5 2 5" xfId="8604" xr:uid="{00000000-0005-0000-0000-0000E7440000}"/>
    <cellStyle name="Normal 6 3 2 5 3" xfId="2255" xr:uid="{00000000-0005-0000-0000-0000E8440000}"/>
    <cellStyle name="Normal 6 3 2 5 3 2" xfId="5883" xr:uid="{00000000-0005-0000-0000-0000E9440000}"/>
    <cellStyle name="Normal 6 3 2 5 3 2 2" xfId="20395" xr:uid="{00000000-0005-0000-0000-0000EA440000}"/>
    <cellStyle name="Normal 6 3 2 5 3 2 3" xfId="13139" xr:uid="{00000000-0005-0000-0000-0000EB440000}"/>
    <cellStyle name="Normal 6 3 2 5 3 3" xfId="16767" xr:uid="{00000000-0005-0000-0000-0000EC440000}"/>
    <cellStyle name="Normal 6 3 2 5 3 4" xfId="9511" xr:uid="{00000000-0005-0000-0000-0000ED440000}"/>
    <cellStyle name="Normal 6 3 2 5 4" xfId="4069" xr:uid="{00000000-0005-0000-0000-0000EE440000}"/>
    <cellStyle name="Normal 6 3 2 5 4 2" xfId="18581" xr:uid="{00000000-0005-0000-0000-0000EF440000}"/>
    <cellStyle name="Normal 6 3 2 5 4 3" xfId="11325" xr:uid="{00000000-0005-0000-0000-0000F0440000}"/>
    <cellStyle name="Normal 6 3 2 5 5" xfId="14953" xr:uid="{00000000-0005-0000-0000-0000F1440000}"/>
    <cellStyle name="Normal 6 3 2 5 6" xfId="7697" xr:uid="{00000000-0005-0000-0000-0000F2440000}"/>
    <cellStyle name="Normal 6 3 2 6" xfId="929" xr:uid="{00000000-0005-0000-0000-0000F3440000}"/>
    <cellStyle name="Normal 6 3 2 6 2" xfId="1836" xr:uid="{00000000-0005-0000-0000-0000F4440000}"/>
    <cellStyle name="Normal 6 3 2 6 2 2" xfId="3650" xr:uid="{00000000-0005-0000-0000-0000F5440000}"/>
    <cellStyle name="Normal 6 3 2 6 2 2 2" xfId="7278" xr:uid="{00000000-0005-0000-0000-0000F6440000}"/>
    <cellStyle name="Normal 6 3 2 6 2 2 2 2" xfId="21790" xr:uid="{00000000-0005-0000-0000-0000F7440000}"/>
    <cellStyle name="Normal 6 3 2 6 2 2 2 3" xfId="14534" xr:uid="{00000000-0005-0000-0000-0000F8440000}"/>
    <cellStyle name="Normal 6 3 2 6 2 2 3" xfId="18162" xr:uid="{00000000-0005-0000-0000-0000F9440000}"/>
    <cellStyle name="Normal 6 3 2 6 2 2 4" xfId="10906" xr:uid="{00000000-0005-0000-0000-0000FA440000}"/>
    <cellStyle name="Normal 6 3 2 6 2 3" xfId="5464" xr:uid="{00000000-0005-0000-0000-0000FB440000}"/>
    <cellStyle name="Normal 6 3 2 6 2 3 2" xfId="19976" xr:uid="{00000000-0005-0000-0000-0000FC440000}"/>
    <cellStyle name="Normal 6 3 2 6 2 3 3" xfId="12720" xr:uid="{00000000-0005-0000-0000-0000FD440000}"/>
    <cellStyle name="Normal 6 3 2 6 2 4" xfId="16348" xr:uid="{00000000-0005-0000-0000-0000FE440000}"/>
    <cellStyle name="Normal 6 3 2 6 2 5" xfId="9092" xr:uid="{00000000-0005-0000-0000-0000FF440000}"/>
    <cellStyle name="Normal 6 3 2 6 3" xfId="2743" xr:uid="{00000000-0005-0000-0000-000000450000}"/>
    <cellStyle name="Normal 6 3 2 6 3 2" xfId="6371" xr:uid="{00000000-0005-0000-0000-000001450000}"/>
    <cellStyle name="Normal 6 3 2 6 3 2 2" xfId="20883" xr:uid="{00000000-0005-0000-0000-000002450000}"/>
    <cellStyle name="Normal 6 3 2 6 3 2 3" xfId="13627" xr:uid="{00000000-0005-0000-0000-000003450000}"/>
    <cellStyle name="Normal 6 3 2 6 3 3" xfId="17255" xr:uid="{00000000-0005-0000-0000-000004450000}"/>
    <cellStyle name="Normal 6 3 2 6 3 4" xfId="9999" xr:uid="{00000000-0005-0000-0000-000005450000}"/>
    <cellStyle name="Normal 6 3 2 6 4" xfId="4557" xr:uid="{00000000-0005-0000-0000-000006450000}"/>
    <cellStyle name="Normal 6 3 2 6 4 2" xfId="19069" xr:uid="{00000000-0005-0000-0000-000007450000}"/>
    <cellStyle name="Normal 6 3 2 6 4 3" xfId="11813" xr:uid="{00000000-0005-0000-0000-000008450000}"/>
    <cellStyle name="Normal 6 3 2 6 5" xfId="15441" xr:uid="{00000000-0005-0000-0000-000009450000}"/>
    <cellStyle name="Normal 6 3 2 6 6" xfId="8185" xr:uid="{00000000-0005-0000-0000-00000A450000}"/>
    <cellStyle name="Normal 6 3 2 7" xfId="1002" xr:uid="{00000000-0005-0000-0000-00000B450000}"/>
    <cellStyle name="Normal 6 3 2 7 2" xfId="2816" xr:uid="{00000000-0005-0000-0000-00000C450000}"/>
    <cellStyle name="Normal 6 3 2 7 2 2" xfId="6444" xr:uid="{00000000-0005-0000-0000-00000D450000}"/>
    <cellStyle name="Normal 6 3 2 7 2 2 2" xfId="20956" xr:uid="{00000000-0005-0000-0000-00000E450000}"/>
    <cellStyle name="Normal 6 3 2 7 2 2 3" xfId="13700" xr:uid="{00000000-0005-0000-0000-00000F450000}"/>
    <cellStyle name="Normal 6 3 2 7 2 3" xfId="17328" xr:uid="{00000000-0005-0000-0000-000010450000}"/>
    <cellStyle name="Normal 6 3 2 7 2 4" xfId="10072" xr:uid="{00000000-0005-0000-0000-000011450000}"/>
    <cellStyle name="Normal 6 3 2 7 3" xfId="4630" xr:uid="{00000000-0005-0000-0000-000012450000}"/>
    <cellStyle name="Normal 6 3 2 7 3 2" xfId="19142" xr:uid="{00000000-0005-0000-0000-000013450000}"/>
    <cellStyle name="Normal 6 3 2 7 3 3" xfId="11886" xr:uid="{00000000-0005-0000-0000-000014450000}"/>
    <cellStyle name="Normal 6 3 2 7 4" xfId="15514" xr:uid="{00000000-0005-0000-0000-000015450000}"/>
    <cellStyle name="Normal 6 3 2 7 5" xfId="8258" xr:uid="{00000000-0005-0000-0000-000016450000}"/>
    <cellStyle name="Normal 6 3 2 8" xfId="1909" xr:uid="{00000000-0005-0000-0000-000017450000}"/>
    <cellStyle name="Normal 6 3 2 8 2" xfId="5537" xr:uid="{00000000-0005-0000-0000-000018450000}"/>
    <cellStyle name="Normal 6 3 2 8 2 2" xfId="20049" xr:uid="{00000000-0005-0000-0000-000019450000}"/>
    <cellStyle name="Normal 6 3 2 8 2 3" xfId="12793" xr:uid="{00000000-0005-0000-0000-00001A450000}"/>
    <cellStyle name="Normal 6 3 2 8 3" xfId="16421" xr:uid="{00000000-0005-0000-0000-00001B450000}"/>
    <cellStyle name="Normal 6 3 2 8 4" xfId="9165" xr:uid="{00000000-0005-0000-0000-00001C450000}"/>
    <cellStyle name="Normal 6 3 2 9" xfId="3723" xr:uid="{00000000-0005-0000-0000-00001D450000}"/>
    <cellStyle name="Normal 6 3 2 9 2" xfId="18235" xr:uid="{00000000-0005-0000-0000-00001E450000}"/>
    <cellStyle name="Normal 6 3 2 9 3" xfId="10979" xr:uid="{00000000-0005-0000-0000-00001F450000}"/>
    <cellStyle name="Normal 6 3 3" xfId="224" xr:uid="{00000000-0005-0000-0000-000020450000}"/>
    <cellStyle name="Normal 6 3 3 2" xfId="354" xr:uid="{00000000-0005-0000-0000-000021450000}"/>
    <cellStyle name="Normal 6 3 3 2 2" xfId="700" xr:uid="{00000000-0005-0000-0000-000022450000}"/>
    <cellStyle name="Normal 6 3 3 2 2 2" xfId="1608" xr:uid="{00000000-0005-0000-0000-000023450000}"/>
    <cellStyle name="Normal 6 3 3 2 2 2 2" xfId="3422" xr:uid="{00000000-0005-0000-0000-000024450000}"/>
    <cellStyle name="Normal 6 3 3 2 2 2 2 2" xfId="7050" xr:uid="{00000000-0005-0000-0000-000025450000}"/>
    <cellStyle name="Normal 6 3 3 2 2 2 2 2 2" xfId="21562" xr:uid="{00000000-0005-0000-0000-000026450000}"/>
    <cellStyle name="Normal 6 3 3 2 2 2 2 2 3" xfId="14306" xr:uid="{00000000-0005-0000-0000-000027450000}"/>
    <cellStyle name="Normal 6 3 3 2 2 2 2 3" xfId="17934" xr:uid="{00000000-0005-0000-0000-000028450000}"/>
    <cellStyle name="Normal 6 3 3 2 2 2 2 4" xfId="10678" xr:uid="{00000000-0005-0000-0000-000029450000}"/>
    <cellStyle name="Normal 6 3 3 2 2 2 3" xfId="5236" xr:uid="{00000000-0005-0000-0000-00002A450000}"/>
    <cellStyle name="Normal 6 3 3 2 2 2 3 2" xfId="19748" xr:uid="{00000000-0005-0000-0000-00002B450000}"/>
    <cellStyle name="Normal 6 3 3 2 2 2 3 3" xfId="12492" xr:uid="{00000000-0005-0000-0000-00002C450000}"/>
    <cellStyle name="Normal 6 3 3 2 2 2 4" xfId="16120" xr:uid="{00000000-0005-0000-0000-00002D450000}"/>
    <cellStyle name="Normal 6 3 3 2 2 2 5" xfId="8864" xr:uid="{00000000-0005-0000-0000-00002E450000}"/>
    <cellStyle name="Normal 6 3 3 2 2 3" xfId="2515" xr:uid="{00000000-0005-0000-0000-00002F450000}"/>
    <cellStyle name="Normal 6 3 3 2 2 3 2" xfId="6143" xr:uid="{00000000-0005-0000-0000-000030450000}"/>
    <cellStyle name="Normal 6 3 3 2 2 3 2 2" xfId="20655" xr:uid="{00000000-0005-0000-0000-000031450000}"/>
    <cellStyle name="Normal 6 3 3 2 2 3 2 3" xfId="13399" xr:uid="{00000000-0005-0000-0000-000032450000}"/>
    <cellStyle name="Normal 6 3 3 2 2 3 3" xfId="17027" xr:uid="{00000000-0005-0000-0000-000033450000}"/>
    <cellStyle name="Normal 6 3 3 2 2 3 4" xfId="9771" xr:uid="{00000000-0005-0000-0000-000034450000}"/>
    <cellStyle name="Normal 6 3 3 2 2 4" xfId="4329" xr:uid="{00000000-0005-0000-0000-000035450000}"/>
    <cellStyle name="Normal 6 3 3 2 2 4 2" xfId="18841" xr:uid="{00000000-0005-0000-0000-000036450000}"/>
    <cellStyle name="Normal 6 3 3 2 2 4 3" xfId="11585" xr:uid="{00000000-0005-0000-0000-000037450000}"/>
    <cellStyle name="Normal 6 3 3 2 2 5" xfId="15213" xr:uid="{00000000-0005-0000-0000-000038450000}"/>
    <cellStyle name="Normal 6 3 3 2 2 6" xfId="7957" xr:uid="{00000000-0005-0000-0000-000039450000}"/>
    <cellStyle name="Normal 6 3 3 2 3" xfId="1262" xr:uid="{00000000-0005-0000-0000-00003A450000}"/>
    <cellStyle name="Normal 6 3 3 2 3 2" xfId="3076" xr:uid="{00000000-0005-0000-0000-00003B450000}"/>
    <cellStyle name="Normal 6 3 3 2 3 2 2" xfId="6704" xr:uid="{00000000-0005-0000-0000-00003C450000}"/>
    <cellStyle name="Normal 6 3 3 2 3 2 2 2" xfId="21216" xr:uid="{00000000-0005-0000-0000-00003D450000}"/>
    <cellStyle name="Normal 6 3 3 2 3 2 2 3" xfId="13960" xr:uid="{00000000-0005-0000-0000-00003E450000}"/>
    <cellStyle name="Normal 6 3 3 2 3 2 3" xfId="17588" xr:uid="{00000000-0005-0000-0000-00003F450000}"/>
    <cellStyle name="Normal 6 3 3 2 3 2 4" xfId="10332" xr:uid="{00000000-0005-0000-0000-000040450000}"/>
    <cellStyle name="Normal 6 3 3 2 3 3" xfId="4890" xr:uid="{00000000-0005-0000-0000-000041450000}"/>
    <cellStyle name="Normal 6 3 3 2 3 3 2" xfId="19402" xr:uid="{00000000-0005-0000-0000-000042450000}"/>
    <cellStyle name="Normal 6 3 3 2 3 3 3" xfId="12146" xr:uid="{00000000-0005-0000-0000-000043450000}"/>
    <cellStyle name="Normal 6 3 3 2 3 4" xfId="15774" xr:uid="{00000000-0005-0000-0000-000044450000}"/>
    <cellStyle name="Normal 6 3 3 2 3 5" xfId="8518" xr:uid="{00000000-0005-0000-0000-000045450000}"/>
    <cellStyle name="Normal 6 3 3 2 4" xfId="2169" xr:uid="{00000000-0005-0000-0000-000046450000}"/>
    <cellStyle name="Normal 6 3 3 2 4 2" xfId="5797" xr:uid="{00000000-0005-0000-0000-000047450000}"/>
    <cellStyle name="Normal 6 3 3 2 4 2 2" xfId="20309" xr:uid="{00000000-0005-0000-0000-000048450000}"/>
    <cellStyle name="Normal 6 3 3 2 4 2 3" xfId="13053" xr:uid="{00000000-0005-0000-0000-000049450000}"/>
    <cellStyle name="Normal 6 3 3 2 4 3" xfId="16681" xr:uid="{00000000-0005-0000-0000-00004A450000}"/>
    <cellStyle name="Normal 6 3 3 2 4 4" xfId="9425" xr:uid="{00000000-0005-0000-0000-00004B450000}"/>
    <cellStyle name="Normal 6 3 3 2 5" xfId="3983" xr:uid="{00000000-0005-0000-0000-00004C450000}"/>
    <cellStyle name="Normal 6 3 3 2 5 2" xfId="18495" xr:uid="{00000000-0005-0000-0000-00004D450000}"/>
    <cellStyle name="Normal 6 3 3 2 5 3" xfId="11239" xr:uid="{00000000-0005-0000-0000-00004E450000}"/>
    <cellStyle name="Normal 6 3 3 2 6" xfId="14867" xr:uid="{00000000-0005-0000-0000-00004F450000}"/>
    <cellStyle name="Normal 6 3 3 2 7" xfId="7611" xr:uid="{00000000-0005-0000-0000-000050450000}"/>
    <cellStyle name="Normal 6 3 3 3" xfId="830" xr:uid="{00000000-0005-0000-0000-000051450000}"/>
    <cellStyle name="Normal 6 3 3 3 2" xfId="1738" xr:uid="{00000000-0005-0000-0000-000052450000}"/>
    <cellStyle name="Normal 6 3 3 3 2 2" xfId="3552" xr:uid="{00000000-0005-0000-0000-000053450000}"/>
    <cellStyle name="Normal 6 3 3 3 2 2 2" xfId="7180" xr:uid="{00000000-0005-0000-0000-000054450000}"/>
    <cellStyle name="Normal 6 3 3 3 2 2 2 2" xfId="21692" xr:uid="{00000000-0005-0000-0000-000055450000}"/>
    <cellStyle name="Normal 6 3 3 3 2 2 2 3" xfId="14436" xr:uid="{00000000-0005-0000-0000-000056450000}"/>
    <cellStyle name="Normal 6 3 3 3 2 2 3" xfId="18064" xr:uid="{00000000-0005-0000-0000-000057450000}"/>
    <cellStyle name="Normal 6 3 3 3 2 2 4" xfId="10808" xr:uid="{00000000-0005-0000-0000-000058450000}"/>
    <cellStyle name="Normal 6 3 3 3 2 3" xfId="5366" xr:uid="{00000000-0005-0000-0000-000059450000}"/>
    <cellStyle name="Normal 6 3 3 3 2 3 2" xfId="19878" xr:uid="{00000000-0005-0000-0000-00005A450000}"/>
    <cellStyle name="Normal 6 3 3 3 2 3 3" xfId="12622" xr:uid="{00000000-0005-0000-0000-00005B450000}"/>
    <cellStyle name="Normal 6 3 3 3 2 4" xfId="16250" xr:uid="{00000000-0005-0000-0000-00005C450000}"/>
    <cellStyle name="Normal 6 3 3 3 2 5" xfId="8994" xr:uid="{00000000-0005-0000-0000-00005D450000}"/>
    <cellStyle name="Normal 6 3 3 3 3" xfId="2645" xr:uid="{00000000-0005-0000-0000-00005E450000}"/>
    <cellStyle name="Normal 6 3 3 3 3 2" xfId="6273" xr:uid="{00000000-0005-0000-0000-00005F450000}"/>
    <cellStyle name="Normal 6 3 3 3 3 2 2" xfId="20785" xr:uid="{00000000-0005-0000-0000-000060450000}"/>
    <cellStyle name="Normal 6 3 3 3 3 2 3" xfId="13529" xr:uid="{00000000-0005-0000-0000-000061450000}"/>
    <cellStyle name="Normal 6 3 3 3 3 3" xfId="17157" xr:uid="{00000000-0005-0000-0000-000062450000}"/>
    <cellStyle name="Normal 6 3 3 3 3 4" xfId="9901" xr:uid="{00000000-0005-0000-0000-000063450000}"/>
    <cellStyle name="Normal 6 3 3 3 4" xfId="4459" xr:uid="{00000000-0005-0000-0000-000064450000}"/>
    <cellStyle name="Normal 6 3 3 3 4 2" xfId="18971" xr:uid="{00000000-0005-0000-0000-000065450000}"/>
    <cellStyle name="Normal 6 3 3 3 4 3" xfId="11715" xr:uid="{00000000-0005-0000-0000-000066450000}"/>
    <cellStyle name="Normal 6 3 3 3 5" xfId="15343" xr:uid="{00000000-0005-0000-0000-000067450000}"/>
    <cellStyle name="Normal 6 3 3 3 6" xfId="8087" xr:uid="{00000000-0005-0000-0000-000068450000}"/>
    <cellStyle name="Normal 6 3 3 4" xfId="570" xr:uid="{00000000-0005-0000-0000-000069450000}"/>
    <cellStyle name="Normal 6 3 3 4 2" xfId="1478" xr:uid="{00000000-0005-0000-0000-00006A450000}"/>
    <cellStyle name="Normal 6 3 3 4 2 2" xfId="3292" xr:uid="{00000000-0005-0000-0000-00006B450000}"/>
    <cellStyle name="Normal 6 3 3 4 2 2 2" xfId="6920" xr:uid="{00000000-0005-0000-0000-00006C450000}"/>
    <cellStyle name="Normal 6 3 3 4 2 2 2 2" xfId="21432" xr:uid="{00000000-0005-0000-0000-00006D450000}"/>
    <cellStyle name="Normal 6 3 3 4 2 2 2 3" xfId="14176" xr:uid="{00000000-0005-0000-0000-00006E450000}"/>
    <cellStyle name="Normal 6 3 3 4 2 2 3" xfId="17804" xr:uid="{00000000-0005-0000-0000-00006F450000}"/>
    <cellStyle name="Normal 6 3 3 4 2 2 4" xfId="10548" xr:uid="{00000000-0005-0000-0000-000070450000}"/>
    <cellStyle name="Normal 6 3 3 4 2 3" xfId="5106" xr:uid="{00000000-0005-0000-0000-000071450000}"/>
    <cellStyle name="Normal 6 3 3 4 2 3 2" xfId="19618" xr:uid="{00000000-0005-0000-0000-000072450000}"/>
    <cellStyle name="Normal 6 3 3 4 2 3 3" xfId="12362" xr:uid="{00000000-0005-0000-0000-000073450000}"/>
    <cellStyle name="Normal 6 3 3 4 2 4" xfId="15990" xr:uid="{00000000-0005-0000-0000-000074450000}"/>
    <cellStyle name="Normal 6 3 3 4 2 5" xfId="8734" xr:uid="{00000000-0005-0000-0000-000075450000}"/>
    <cellStyle name="Normal 6 3 3 4 3" xfId="2385" xr:uid="{00000000-0005-0000-0000-000076450000}"/>
    <cellStyle name="Normal 6 3 3 4 3 2" xfId="6013" xr:uid="{00000000-0005-0000-0000-000077450000}"/>
    <cellStyle name="Normal 6 3 3 4 3 2 2" xfId="20525" xr:uid="{00000000-0005-0000-0000-000078450000}"/>
    <cellStyle name="Normal 6 3 3 4 3 2 3" xfId="13269" xr:uid="{00000000-0005-0000-0000-000079450000}"/>
    <cellStyle name="Normal 6 3 3 4 3 3" xfId="16897" xr:uid="{00000000-0005-0000-0000-00007A450000}"/>
    <cellStyle name="Normal 6 3 3 4 3 4" xfId="9641" xr:uid="{00000000-0005-0000-0000-00007B450000}"/>
    <cellStyle name="Normal 6 3 3 4 4" xfId="4199" xr:uid="{00000000-0005-0000-0000-00007C450000}"/>
    <cellStyle name="Normal 6 3 3 4 4 2" xfId="18711" xr:uid="{00000000-0005-0000-0000-00007D450000}"/>
    <cellStyle name="Normal 6 3 3 4 4 3" xfId="11455" xr:uid="{00000000-0005-0000-0000-00007E450000}"/>
    <cellStyle name="Normal 6 3 3 4 5" xfId="15083" xr:uid="{00000000-0005-0000-0000-00007F450000}"/>
    <cellStyle name="Normal 6 3 3 4 6" xfId="7827" xr:uid="{00000000-0005-0000-0000-000080450000}"/>
    <cellStyle name="Normal 6 3 3 5" xfId="1132" xr:uid="{00000000-0005-0000-0000-000081450000}"/>
    <cellStyle name="Normal 6 3 3 5 2" xfId="2946" xr:uid="{00000000-0005-0000-0000-000082450000}"/>
    <cellStyle name="Normal 6 3 3 5 2 2" xfId="6574" xr:uid="{00000000-0005-0000-0000-000083450000}"/>
    <cellStyle name="Normal 6 3 3 5 2 2 2" xfId="21086" xr:uid="{00000000-0005-0000-0000-000084450000}"/>
    <cellStyle name="Normal 6 3 3 5 2 2 3" xfId="13830" xr:uid="{00000000-0005-0000-0000-000085450000}"/>
    <cellStyle name="Normal 6 3 3 5 2 3" xfId="17458" xr:uid="{00000000-0005-0000-0000-000086450000}"/>
    <cellStyle name="Normal 6 3 3 5 2 4" xfId="10202" xr:uid="{00000000-0005-0000-0000-000087450000}"/>
    <cellStyle name="Normal 6 3 3 5 3" xfId="4760" xr:uid="{00000000-0005-0000-0000-000088450000}"/>
    <cellStyle name="Normal 6 3 3 5 3 2" xfId="19272" xr:uid="{00000000-0005-0000-0000-000089450000}"/>
    <cellStyle name="Normal 6 3 3 5 3 3" xfId="12016" xr:uid="{00000000-0005-0000-0000-00008A450000}"/>
    <cellStyle name="Normal 6 3 3 5 4" xfId="15644" xr:uid="{00000000-0005-0000-0000-00008B450000}"/>
    <cellStyle name="Normal 6 3 3 5 5" xfId="8388" xr:uid="{00000000-0005-0000-0000-00008C450000}"/>
    <cellStyle name="Normal 6 3 3 6" xfId="2039" xr:uid="{00000000-0005-0000-0000-00008D450000}"/>
    <cellStyle name="Normal 6 3 3 6 2" xfId="5667" xr:uid="{00000000-0005-0000-0000-00008E450000}"/>
    <cellStyle name="Normal 6 3 3 6 2 2" xfId="20179" xr:uid="{00000000-0005-0000-0000-00008F450000}"/>
    <cellStyle name="Normal 6 3 3 6 2 3" xfId="12923" xr:uid="{00000000-0005-0000-0000-000090450000}"/>
    <cellStyle name="Normal 6 3 3 6 3" xfId="16551" xr:uid="{00000000-0005-0000-0000-000091450000}"/>
    <cellStyle name="Normal 6 3 3 6 4" xfId="9295" xr:uid="{00000000-0005-0000-0000-000092450000}"/>
    <cellStyle name="Normal 6 3 3 7" xfId="3853" xr:uid="{00000000-0005-0000-0000-000093450000}"/>
    <cellStyle name="Normal 6 3 3 7 2" xfId="18365" xr:uid="{00000000-0005-0000-0000-000094450000}"/>
    <cellStyle name="Normal 6 3 3 7 3" xfId="11109" xr:uid="{00000000-0005-0000-0000-000095450000}"/>
    <cellStyle name="Normal 6 3 3 8" xfId="14737" xr:uid="{00000000-0005-0000-0000-000096450000}"/>
    <cellStyle name="Normal 6 3 3 9" xfId="7481" xr:uid="{00000000-0005-0000-0000-000097450000}"/>
    <cellStyle name="Normal 6 3 4" xfId="138" xr:uid="{00000000-0005-0000-0000-000098450000}"/>
    <cellStyle name="Normal 6 3 4 2" xfId="484" xr:uid="{00000000-0005-0000-0000-000099450000}"/>
    <cellStyle name="Normal 6 3 4 2 2" xfId="1392" xr:uid="{00000000-0005-0000-0000-00009A450000}"/>
    <cellStyle name="Normal 6 3 4 2 2 2" xfId="3206" xr:uid="{00000000-0005-0000-0000-00009B450000}"/>
    <cellStyle name="Normal 6 3 4 2 2 2 2" xfId="6834" xr:uid="{00000000-0005-0000-0000-00009C450000}"/>
    <cellStyle name="Normal 6 3 4 2 2 2 2 2" xfId="21346" xr:uid="{00000000-0005-0000-0000-00009D450000}"/>
    <cellStyle name="Normal 6 3 4 2 2 2 2 3" xfId="14090" xr:uid="{00000000-0005-0000-0000-00009E450000}"/>
    <cellStyle name="Normal 6 3 4 2 2 2 3" xfId="17718" xr:uid="{00000000-0005-0000-0000-00009F450000}"/>
    <cellStyle name="Normal 6 3 4 2 2 2 4" xfId="10462" xr:uid="{00000000-0005-0000-0000-0000A0450000}"/>
    <cellStyle name="Normal 6 3 4 2 2 3" xfId="5020" xr:uid="{00000000-0005-0000-0000-0000A1450000}"/>
    <cellStyle name="Normal 6 3 4 2 2 3 2" xfId="19532" xr:uid="{00000000-0005-0000-0000-0000A2450000}"/>
    <cellStyle name="Normal 6 3 4 2 2 3 3" xfId="12276" xr:uid="{00000000-0005-0000-0000-0000A3450000}"/>
    <cellStyle name="Normal 6 3 4 2 2 4" xfId="15904" xr:uid="{00000000-0005-0000-0000-0000A4450000}"/>
    <cellStyle name="Normal 6 3 4 2 2 5" xfId="8648" xr:uid="{00000000-0005-0000-0000-0000A5450000}"/>
    <cellStyle name="Normal 6 3 4 2 3" xfId="2299" xr:uid="{00000000-0005-0000-0000-0000A6450000}"/>
    <cellStyle name="Normal 6 3 4 2 3 2" xfId="5927" xr:uid="{00000000-0005-0000-0000-0000A7450000}"/>
    <cellStyle name="Normal 6 3 4 2 3 2 2" xfId="20439" xr:uid="{00000000-0005-0000-0000-0000A8450000}"/>
    <cellStyle name="Normal 6 3 4 2 3 2 3" xfId="13183" xr:uid="{00000000-0005-0000-0000-0000A9450000}"/>
    <cellStyle name="Normal 6 3 4 2 3 3" xfId="16811" xr:uid="{00000000-0005-0000-0000-0000AA450000}"/>
    <cellStyle name="Normal 6 3 4 2 3 4" xfId="9555" xr:uid="{00000000-0005-0000-0000-0000AB450000}"/>
    <cellStyle name="Normal 6 3 4 2 4" xfId="4113" xr:uid="{00000000-0005-0000-0000-0000AC450000}"/>
    <cellStyle name="Normal 6 3 4 2 4 2" xfId="18625" xr:uid="{00000000-0005-0000-0000-0000AD450000}"/>
    <cellStyle name="Normal 6 3 4 2 4 3" xfId="11369" xr:uid="{00000000-0005-0000-0000-0000AE450000}"/>
    <cellStyle name="Normal 6 3 4 2 5" xfId="14997" xr:uid="{00000000-0005-0000-0000-0000AF450000}"/>
    <cellStyle name="Normal 6 3 4 2 6" xfId="7741" xr:uid="{00000000-0005-0000-0000-0000B0450000}"/>
    <cellStyle name="Normal 6 3 4 3" xfId="1046" xr:uid="{00000000-0005-0000-0000-0000B1450000}"/>
    <cellStyle name="Normal 6 3 4 3 2" xfId="2860" xr:uid="{00000000-0005-0000-0000-0000B2450000}"/>
    <cellStyle name="Normal 6 3 4 3 2 2" xfId="6488" xr:uid="{00000000-0005-0000-0000-0000B3450000}"/>
    <cellStyle name="Normal 6 3 4 3 2 2 2" xfId="21000" xr:uid="{00000000-0005-0000-0000-0000B4450000}"/>
    <cellStyle name="Normal 6 3 4 3 2 2 3" xfId="13744" xr:uid="{00000000-0005-0000-0000-0000B5450000}"/>
    <cellStyle name="Normal 6 3 4 3 2 3" xfId="17372" xr:uid="{00000000-0005-0000-0000-0000B6450000}"/>
    <cellStyle name="Normal 6 3 4 3 2 4" xfId="10116" xr:uid="{00000000-0005-0000-0000-0000B7450000}"/>
    <cellStyle name="Normal 6 3 4 3 3" xfId="4674" xr:uid="{00000000-0005-0000-0000-0000B8450000}"/>
    <cellStyle name="Normal 6 3 4 3 3 2" xfId="19186" xr:uid="{00000000-0005-0000-0000-0000B9450000}"/>
    <cellStyle name="Normal 6 3 4 3 3 3" xfId="11930" xr:uid="{00000000-0005-0000-0000-0000BA450000}"/>
    <cellStyle name="Normal 6 3 4 3 4" xfId="15558" xr:uid="{00000000-0005-0000-0000-0000BB450000}"/>
    <cellStyle name="Normal 6 3 4 3 5" xfId="8302" xr:uid="{00000000-0005-0000-0000-0000BC450000}"/>
    <cellStyle name="Normal 6 3 4 4" xfId="1953" xr:uid="{00000000-0005-0000-0000-0000BD450000}"/>
    <cellStyle name="Normal 6 3 4 4 2" xfId="5581" xr:uid="{00000000-0005-0000-0000-0000BE450000}"/>
    <cellStyle name="Normal 6 3 4 4 2 2" xfId="20093" xr:uid="{00000000-0005-0000-0000-0000BF450000}"/>
    <cellStyle name="Normal 6 3 4 4 2 3" xfId="12837" xr:uid="{00000000-0005-0000-0000-0000C0450000}"/>
    <cellStyle name="Normal 6 3 4 4 3" xfId="16465" xr:uid="{00000000-0005-0000-0000-0000C1450000}"/>
    <cellStyle name="Normal 6 3 4 4 4" xfId="9209" xr:uid="{00000000-0005-0000-0000-0000C2450000}"/>
    <cellStyle name="Normal 6 3 4 5" xfId="3767" xr:uid="{00000000-0005-0000-0000-0000C3450000}"/>
    <cellStyle name="Normal 6 3 4 5 2" xfId="18279" xr:uid="{00000000-0005-0000-0000-0000C4450000}"/>
    <cellStyle name="Normal 6 3 4 5 3" xfId="11023" xr:uid="{00000000-0005-0000-0000-0000C5450000}"/>
    <cellStyle name="Normal 6 3 4 6" xfId="14651" xr:uid="{00000000-0005-0000-0000-0000C6450000}"/>
    <cellStyle name="Normal 6 3 4 7" xfId="7395" xr:uid="{00000000-0005-0000-0000-0000C7450000}"/>
    <cellStyle name="Normal 6 3 5" xfId="268" xr:uid="{00000000-0005-0000-0000-0000C8450000}"/>
    <cellStyle name="Normal 6 3 5 2" xfId="614" xr:uid="{00000000-0005-0000-0000-0000C9450000}"/>
    <cellStyle name="Normal 6 3 5 2 2" xfId="1522" xr:uid="{00000000-0005-0000-0000-0000CA450000}"/>
    <cellStyle name="Normal 6 3 5 2 2 2" xfId="3336" xr:uid="{00000000-0005-0000-0000-0000CB450000}"/>
    <cellStyle name="Normal 6 3 5 2 2 2 2" xfId="6964" xr:uid="{00000000-0005-0000-0000-0000CC450000}"/>
    <cellStyle name="Normal 6 3 5 2 2 2 2 2" xfId="21476" xr:uid="{00000000-0005-0000-0000-0000CD450000}"/>
    <cellStyle name="Normal 6 3 5 2 2 2 2 3" xfId="14220" xr:uid="{00000000-0005-0000-0000-0000CE450000}"/>
    <cellStyle name="Normal 6 3 5 2 2 2 3" xfId="17848" xr:uid="{00000000-0005-0000-0000-0000CF450000}"/>
    <cellStyle name="Normal 6 3 5 2 2 2 4" xfId="10592" xr:uid="{00000000-0005-0000-0000-0000D0450000}"/>
    <cellStyle name="Normal 6 3 5 2 2 3" xfId="5150" xr:uid="{00000000-0005-0000-0000-0000D1450000}"/>
    <cellStyle name="Normal 6 3 5 2 2 3 2" xfId="19662" xr:uid="{00000000-0005-0000-0000-0000D2450000}"/>
    <cellStyle name="Normal 6 3 5 2 2 3 3" xfId="12406" xr:uid="{00000000-0005-0000-0000-0000D3450000}"/>
    <cellStyle name="Normal 6 3 5 2 2 4" xfId="16034" xr:uid="{00000000-0005-0000-0000-0000D4450000}"/>
    <cellStyle name="Normal 6 3 5 2 2 5" xfId="8778" xr:uid="{00000000-0005-0000-0000-0000D5450000}"/>
    <cellStyle name="Normal 6 3 5 2 3" xfId="2429" xr:uid="{00000000-0005-0000-0000-0000D6450000}"/>
    <cellStyle name="Normal 6 3 5 2 3 2" xfId="6057" xr:uid="{00000000-0005-0000-0000-0000D7450000}"/>
    <cellStyle name="Normal 6 3 5 2 3 2 2" xfId="20569" xr:uid="{00000000-0005-0000-0000-0000D8450000}"/>
    <cellStyle name="Normal 6 3 5 2 3 2 3" xfId="13313" xr:uid="{00000000-0005-0000-0000-0000D9450000}"/>
    <cellStyle name="Normal 6 3 5 2 3 3" xfId="16941" xr:uid="{00000000-0005-0000-0000-0000DA450000}"/>
    <cellStyle name="Normal 6 3 5 2 3 4" xfId="9685" xr:uid="{00000000-0005-0000-0000-0000DB450000}"/>
    <cellStyle name="Normal 6 3 5 2 4" xfId="4243" xr:uid="{00000000-0005-0000-0000-0000DC450000}"/>
    <cellStyle name="Normal 6 3 5 2 4 2" xfId="18755" xr:uid="{00000000-0005-0000-0000-0000DD450000}"/>
    <cellStyle name="Normal 6 3 5 2 4 3" xfId="11499" xr:uid="{00000000-0005-0000-0000-0000DE450000}"/>
    <cellStyle name="Normal 6 3 5 2 5" xfId="15127" xr:uid="{00000000-0005-0000-0000-0000DF450000}"/>
    <cellStyle name="Normal 6 3 5 2 6" xfId="7871" xr:uid="{00000000-0005-0000-0000-0000E0450000}"/>
    <cellStyle name="Normal 6 3 5 3" xfId="1176" xr:uid="{00000000-0005-0000-0000-0000E1450000}"/>
    <cellStyle name="Normal 6 3 5 3 2" xfId="2990" xr:uid="{00000000-0005-0000-0000-0000E2450000}"/>
    <cellStyle name="Normal 6 3 5 3 2 2" xfId="6618" xr:uid="{00000000-0005-0000-0000-0000E3450000}"/>
    <cellStyle name="Normal 6 3 5 3 2 2 2" xfId="21130" xr:uid="{00000000-0005-0000-0000-0000E4450000}"/>
    <cellStyle name="Normal 6 3 5 3 2 2 3" xfId="13874" xr:uid="{00000000-0005-0000-0000-0000E5450000}"/>
    <cellStyle name="Normal 6 3 5 3 2 3" xfId="17502" xr:uid="{00000000-0005-0000-0000-0000E6450000}"/>
    <cellStyle name="Normal 6 3 5 3 2 4" xfId="10246" xr:uid="{00000000-0005-0000-0000-0000E7450000}"/>
    <cellStyle name="Normal 6 3 5 3 3" xfId="4804" xr:uid="{00000000-0005-0000-0000-0000E8450000}"/>
    <cellStyle name="Normal 6 3 5 3 3 2" xfId="19316" xr:uid="{00000000-0005-0000-0000-0000E9450000}"/>
    <cellStyle name="Normal 6 3 5 3 3 3" xfId="12060" xr:uid="{00000000-0005-0000-0000-0000EA450000}"/>
    <cellStyle name="Normal 6 3 5 3 4" xfId="15688" xr:uid="{00000000-0005-0000-0000-0000EB450000}"/>
    <cellStyle name="Normal 6 3 5 3 5" xfId="8432" xr:uid="{00000000-0005-0000-0000-0000EC450000}"/>
    <cellStyle name="Normal 6 3 5 4" xfId="2083" xr:uid="{00000000-0005-0000-0000-0000ED450000}"/>
    <cellStyle name="Normal 6 3 5 4 2" xfId="5711" xr:uid="{00000000-0005-0000-0000-0000EE450000}"/>
    <cellStyle name="Normal 6 3 5 4 2 2" xfId="20223" xr:uid="{00000000-0005-0000-0000-0000EF450000}"/>
    <cellStyle name="Normal 6 3 5 4 2 3" xfId="12967" xr:uid="{00000000-0005-0000-0000-0000F0450000}"/>
    <cellStyle name="Normal 6 3 5 4 3" xfId="16595" xr:uid="{00000000-0005-0000-0000-0000F1450000}"/>
    <cellStyle name="Normal 6 3 5 4 4" xfId="9339" xr:uid="{00000000-0005-0000-0000-0000F2450000}"/>
    <cellStyle name="Normal 6 3 5 5" xfId="3897" xr:uid="{00000000-0005-0000-0000-0000F3450000}"/>
    <cellStyle name="Normal 6 3 5 5 2" xfId="18409" xr:uid="{00000000-0005-0000-0000-0000F4450000}"/>
    <cellStyle name="Normal 6 3 5 5 3" xfId="11153" xr:uid="{00000000-0005-0000-0000-0000F5450000}"/>
    <cellStyle name="Normal 6 3 5 6" xfId="14781" xr:uid="{00000000-0005-0000-0000-0000F6450000}"/>
    <cellStyle name="Normal 6 3 5 7" xfId="7525" xr:uid="{00000000-0005-0000-0000-0000F7450000}"/>
    <cellStyle name="Normal 6 3 6" xfId="744" xr:uid="{00000000-0005-0000-0000-0000F8450000}"/>
    <cellStyle name="Normal 6 3 6 2" xfId="1652" xr:uid="{00000000-0005-0000-0000-0000F9450000}"/>
    <cellStyle name="Normal 6 3 6 2 2" xfId="3466" xr:uid="{00000000-0005-0000-0000-0000FA450000}"/>
    <cellStyle name="Normal 6 3 6 2 2 2" xfId="7094" xr:uid="{00000000-0005-0000-0000-0000FB450000}"/>
    <cellStyle name="Normal 6 3 6 2 2 2 2" xfId="21606" xr:uid="{00000000-0005-0000-0000-0000FC450000}"/>
    <cellStyle name="Normal 6 3 6 2 2 2 3" xfId="14350" xr:uid="{00000000-0005-0000-0000-0000FD450000}"/>
    <cellStyle name="Normal 6 3 6 2 2 3" xfId="17978" xr:uid="{00000000-0005-0000-0000-0000FE450000}"/>
    <cellStyle name="Normal 6 3 6 2 2 4" xfId="10722" xr:uid="{00000000-0005-0000-0000-0000FF450000}"/>
    <cellStyle name="Normal 6 3 6 2 3" xfId="5280" xr:uid="{00000000-0005-0000-0000-000000460000}"/>
    <cellStyle name="Normal 6 3 6 2 3 2" xfId="19792" xr:uid="{00000000-0005-0000-0000-000001460000}"/>
    <cellStyle name="Normal 6 3 6 2 3 3" xfId="12536" xr:uid="{00000000-0005-0000-0000-000002460000}"/>
    <cellStyle name="Normal 6 3 6 2 4" xfId="16164" xr:uid="{00000000-0005-0000-0000-000003460000}"/>
    <cellStyle name="Normal 6 3 6 2 5" xfId="8908" xr:uid="{00000000-0005-0000-0000-000004460000}"/>
    <cellStyle name="Normal 6 3 6 3" xfId="2559" xr:uid="{00000000-0005-0000-0000-000005460000}"/>
    <cellStyle name="Normal 6 3 6 3 2" xfId="6187" xr:uid="{00000000-0005-0000-0000-000006460000}"/>
    <cellStyle name="Normal 6 3 6 3 2 2" xfId="20699" xr:uid="{00000000-0005-0000-0000-000007460000}"/>
    <cellStyle name="Normal 6 3 6 3 2 3" xfId="13443" xr:uid="{00000000-0005-0000-0000-000008460000}"/>
    <cellStyle name="Normal 6 3 6 3 3" xfId="17071" xr:uid="{00000000-0005-0000-0000-000009460000}"/>
    <cellStyle name="Normal 6 3 6 3 4" xfId="9815" xr:uid="{00000000-0005-0000-0000-00000A460000}"/>
    <cellStyle name="Normal 6 3 6 4" xfId="4373" xr:uid="{00000000-0005-0000-0000-00000B460000}"/>
    <cellStyle name="Normal 6 3 6 4 2" xfId="18885" xr:uid="{00000000-0005-0000-0000-00000C460000}"/>
    <cellStyle name="Normal 6 3 6 4 3" xfId="11629" xr:uid="{00000000-0005-0000-0000-00000D460000}"/>
    <cellStyle name="Normal 6 3 6 5" xfId="15257" xr:uid="{00000000-0005-0000-0000-00000E460000}"/>
    <cellStyle name="Normal 6 3 6 6" xfId="8001" xr:uid="{00000000-0005-0000-0000-00000F460000}"/>
    <cellStyle name="Normal 6 3 7" xfId="398" xr:uid="{00000000-0005-0000-0000-000010460000}"/>
    <cellStyle name="Normal 6 3 7 2" xfId="1306" xr:uid="{00000000-0005-0000-0000-000011460000}"/>
    <cellStyle name="Normal 6 3 7 2 2" xfId="3120" xr:uid="{00000000-0005-0000-0000-000012460000}"/>
    <cellStyle name="Normal 6 3 7 2 2 2" xfId="6748" xr:uid="{00000000-0005-0000-0000-000013460000}"/>
    <cellStyle name="Normal 6 3 7 2 2 2 2" xfId="21260" xr:uid="{00000000-0005-0000-0000-000014460000}"/>
    <cellStyle name="Normal 6 3 7 2 2 2 3" xfId="14004" xr:uid="{00000000-0005-0000-0000-000015460000}"/>
    <cellStyle name="Normal 6 3 7 2 2 3" xfId="17632" xr:uid="{00000000-0005-0000-0000-000016460000}"/>
    <cellStyle name="Normal 6 3 7 2 2 4" xfId="10376" xr:uid="{00000000-0005-0000-0000-000017460000}"/>
    <cellStyle name="Normal 6 3 7 2 3" xfId="4934" xr:uid="{00000000-0005-0000-0000-000018460000}"/>
    <cellStyle name="Normal 6 3 7 2 3 2" xfId="19446" xr:uid="{00000000-0005-0000-0000-000019460000}"/>
    <cellStyle name="Normal 6 3 7 2 3 3" xfId="12190" xr:uid="{00000000-0005-0000-0000-00001A460000}"/>
    <cellStyle name="Normal 6 3 7 2 4" xfId="15818" xr:uid="{00000000-0005-0000-0000-00001B460000}"/>
    <cellStyle name="Normal 6 3 7 2 5" xfId="8562" xr:uid="{00000000-0005-0000-0000-00001C460000}"/>
    <cellStyle name="Normal 6 3 7 3" xfId="2213" xr:uid="{00000000-0005-0000-0000-00001D460000}"/>
    <cellStyle name="Normal 6 3 7 3 2" xfId="5841" xr:uid="{00000000-0005-0000-0000-00001E460000}"/>
    <cellStyle name="Normal 6 3 7 3 2 2" xfId="20353" xr:uid="{00000000-0005-0000-0000-00001F460000}"/>
    <cellStyle name="Normal 6 3 7 3 2 3" xfId="13097" xr:uid="{00000000-0005-0000-0000-000020460000}"/>
    <cellStyle name="Normal 6 3 7 3 3" xfId="16725" xr:uid="{00000000-0005-0000-0000-000021460000}"/>
    <cellStyle name="Normal 6 3 7 3 4" xfId="9469" xr:uid="{00000000-0005-0000-0000-000022460000}"/>
    <cellStyle name="Normal 6 3 7 4" xfId="4027" xr:uid="{00000000-0005-0000-0000-000023460000}"/>
    <cellStyle name="Normal 6 3 7 4 2" xfId="18539" xr:uid="{00000000-0005-0000-0000-000024460000}"/>
    <cellStyle name="Normal 6 3 7 4 3" xfId="11283" xr:uid="{00000000-0005-0000-0000-000025460000}"/>
    <cellStyle name="Normal 6 3 7 5" xfId="14911" xr:uid="{00000000-0005-0000-0000-000026460000}"/>
    <cellStyle name="Normal 6 3 7 6" xfId="7655" xr:uid="{00000000-0005-0000-0000-000027460000}"/>
    <cellStyle name="Normal 6 3 8" xfId="885" xr:uid="{00000000-0005-0000-0000-000028460000}"/>
    <cellStyle name="Normal 6 3 8 2" xfId="1793" xr:uid="{00000000-0005-0000-0000-000029460000}"/>
    <cellStyle name="Normal 6 3 8 2 2" xfId="3607" xr:uid="{00000000-0005-0000-0000-00002A460000}"/>
    <cellStyle name="Normal 6 3 8 2 2 2" xfId="7235" xr:uid="{00000000-0005-0000-0000-00002B460000}"/>
    <cellStyle name="Normal 6 3 8 2 2 2 2" xfId="21747" xr:uid="{00000000-0005-0000-0000-00002C460000}"/>
    <cellStyle name="Normal 6 3 8 2 2 2 3" xfId="14491" xr:uid="{00000000-0005-0000-0000-00002D460000}"/>
    <cellStyle name="Normal 6 3 8 2 2 3" xfId="18119" xr:uid="{00000000-0005-0000-0000-00002E460000}"/>
    <cellStyle name="Normal 6 3 8 2 2 4" xfId="10863" xr:uid="{00000000-0005-0000-0000-00002F460000}"/>
    <cellStyle name="Normal 6 3 8 2 3" xfId="5421" xr:uid="{00000000-0005-0000-0000-000030460000}"/>
    <cellStyle name="Normal 6 3 8 2 3 2" xfId="19933" xr:uid="{00000000-0005-0000-0000-000031460000}"/>
    <cellStyle name="Normal 6 3 8 2 3 3" xfId="12677" xr:uid="{00000000-0005-0000-0000-000032460000}"/>
    <cellStyle name="Normal 6 3 8 2 4" xfId="16305" xr:uid="{00000000-0005-0000-0000-000033460000}"/>
    <cellStyle name="Normal 6 3 8 2 5" xfId="9049" xr:uid="{00000000-0005-0000-0000-000034460000}"/>
    <cellStyle name="Normal 6 3 8 3" xfId="2700" xr:uid="{00000000-0005-0000-0000-000035460000}"/>
    <cellStyle name="Normal 6 3 8 3 2" xfId="6328" xr:uid="{00000000-0005-0000-0000-000036460000}"/>
    <cellStyle name="Normal 6 3 8 3 2 2" xfId="20840" xr:uid="{00000000-0005-0000-0000-000037460000}"/>
    <cellStyle name="Normal 6 3 8 3 2 3" xfId="13584" xr:uid="{00000000-0005-0000-0000-000038460000}"/>
    <cellStyle name="Normal 6 3 8 3 3" xfId="17212" xr:uid="{00000000-0005-0000-0000-000039460000}"/>
    <cellStyle name="Normal 6 3 8 3 4" xfId="9956" xr:uid="{00000000-0005-0000-0000-00003A460000}"/>
    <cellStyle name="Normal 6 3 8 4" xfId="4514" xr:uid="{00000000-0005-0000-0000-00003B460000}"/>
    <cellStyle name="Normal 6 3 8 4 2" xfId="19026" xr:uid="{00000000-0005-0000-0000-00003C460000}"/>
    <cellStyle name="Normal 6 3 8 4 3" xfId="11770" xr:uid="{00000000-0005-0000-0000-00003D460000}"/>
    <cellStyle name="Normal 6 3 8 5" xfId="15398" xr:uid="{00000000-0005-0000-0000-00003E460000}"/>
    <cellStyle name="Normal 6 3 8 6" xfId="8142" xr:uid="{00000000-0005-0000-0000-00003F460000}"/>
    <cellStyle name="Normal 6 3 9" xfId="960" xr:uid="{00000000-0005-0000-0000-000040460000}"/>
    <cellStyle name="Normal 6 3 9 2" xfId="2774" xr:uid="{00000000-0005-0000-0000-000041460000}"/>
    <cellStyle name="Normal 6 3 9 2 2" xfId="6402" xr:uid="{00000000-0005-0000-0000-000042460000}"/>
    <cellStyle name="Normal 6 3 9 2 2 2" xfId="20914" xr:uid="{00000000-0005-0000-0000-000043460000}"/>
    <cellStyle name="Normal 6 3 9 2 2 3" xfId="13658" xr:uid="{00000000-0005-0000-0000-000044460000}"/>
    <cellStyle name="Normal 6 3 9 2 3" xfId="17286" xr:uid="{00000000-0005-0000-0000-000045460000}"/>
    <cellStyle name="Normal 6 3 9 2 4" xfId="10030" xr:uid="{00000000-0005-0000-0000-000046460000}"/>
    <cellStyle name="Normal 6 3 9 3" xfId="4588" xr:uid="{00000000-0005-0000-0000-000047460000}"/>
    <cellStyle name="Normal 6 3 9 3 2" xfId="19100" xr:uid="{00000000-0005-0000-0000-000048460000}"/>
    <cellStyle name="Normal 6 3 9 3 3" xfId="11844" xr:uid="{00000000-0005-0000-0000-000049460000}"/>
    <cellStyle name="Normal 6 3 9 4" xfId="15472" xr:uid="{00000000-0005-0000-0000-00004A460000}"/>
    <cellStyle name="Normal 6 3 9 5" xfId="8216" xr:uid="{00000000-0005-0000-0000-00004B460000}"/>
    <cellStyle name="Normal 6 4" xfId="71" xr:uid="{00000000-0005-0000-0000-00004C460000}"/>
    <cellStyle name="Normal 6 4 10" xfId="14586" xr:uid="{00000000-0005-0000-0000-00004D460000}"/>
    <cellStyle name="Normal 6 4 11" xfId="7330" xr:uid="{00000000-0005-0000-0000-00004E460000}"/>
    <cellStyle name="Normal 6 4 2" xfId="159" xr:uid="{00000000-0005-0000-0000-00004F460000}"/>
    <cellStyle name="Normal 6 4 2 2" xfId="505" xr:uid="{00000000-0005-0000-0000-000050460000}"/>
    <cellStyle name="Normal 6 4 2 2 2" xfId="1413" xr:uid="{00000000-0005-0000-0000-000051460000}"/>
    <cellStyle name="Normal 6 4 2 2 2 2" xfId="3227" xr:uid="{00000000-0005-0000-0000-000052460000}"/>
    <cellStyle name="Normal 6 4 2 2 2 2 2" xfId="6855" xr:uid="{00000000-0005-0000-0000-000053460000}"/>
    <cellStyle name="Normal 6 4 2 2 2 2 2 2" xfId="21367" xr:uid="{00000000-0005-0000-0000-000054460000}"/>
    <cellStyle name="Normal 6 4 2 2 2 2 2 3" xfId="14111" xr:uid="{00000000-0005-0000-0000-000055460000}"/>
    <cellStyle name="Normal 6 4 2 2 2 2 3" xfId="17739" xr:uid="{00000000-0005-0000-0000-000056460000}"/>
    <cellStyle name="Normal 6 4 2 2 2 2 4" xfId="10483" xr:uid="{00000000-0005-0000-0000-000057460000}"/>
    <cellStyle name="Normal 6 4 2 2 2 3" xfId="5041" xr:uid="{00000000-0005-0000-0000-000058460000}"/>
    <cellStyle name="Normal 6 4 2 2 2 3 2" xfId="19553" xr:uid="{00000000-0005-0000-0000-000059460000}"/>
    <cellStyle name="Normal 6 4 2 2 2 3 3" xfId="12297" xr:uid="{00000000-0005-0000-0000-00005A460000}"/>
    <cellStyle name="Normal 6 4 2 2 2 4" xfId="15925" xr:uid="{00000000-0005-0000-0000-00005B460000}"/>
    <cellStyle name="Normal 6 4 2 2 2 5" xfId="8669" xr:uid="{00000000-0005-0000-0000-00005C460000}"/>
    <cellStyle name="Normal 6 4 2 2 3" xfId="2320" xr:uid="{00000000-0005-0000-0000-00005D460000}"/>
    <cellStyle name="Normal 6 4 2 2 3 2" xfId="5948" xr:uid="{00000000-0005-0000-0000-00005E460000}"/>
    <cellStyle name="Normal 6 4 2 2 3 2 2" xfId="20460" xr:uid="{00000000-0005-0000-0000-00005F460000}"/>
    <cellStyle name="Normal 6 4 2 2 3 2 3" xfId="13204" xr:uid="{00000000-0005-0000-0000-000060460000}"/>
    <cellStyle name="Normal 6 4 2 2 3 3" xfId="16832" xr:uid="{00000000-0005-0000-0000-000061460000}"/>
    <cellStyle name="Normal 6 4 2 2 3 4" xfId="9576" xr:uid="{00000000-0005-0000-0000-000062460000}"/>
    <cellStyle name="Normal 6 4 2 2 4" xfId="4134" xr:uid="{00000000-0005-0000-0000-000063460000}"/>
    <cellStyle name="Normal 6 4 2 2 4 2" xfId="18646" xr:uid="{00000000-0005-0000-0000-000064460000}"/>
    <cellStyle name="Normal 6 4 2 2 4 3" xfId="11390" xr:uid="{00000000-0005-0000-0000-000065460000}"/>
    <cellStyle name="Normal 6 4 2 2 5" xfId="15018" xr:uid="{00000000-0005-0000-0000-000066460000}"/>
    <cellStyle name="Normal 6 4 2 2 6" xfId="7762" xr:uid="{00000000-0005-0000-0000-000067460000}"/>
    <cellStyle name="Normal 6 4 2 3" xfId="1067" xr:uid="{00000000-0005-0000-0000-000068460000}"/>
    <cellStyle name="Normal 6 4 2 3 2" xfId="2881" xr:uid="{00000000-0005-0000-0000-000069460000}"/>
    <cellStyle name="Normal 6 4 2 3 2 2" xfId="6509" xr:uid="{00000000-0005-0000-0000-00006A460000}"/>
    <cellStyle name="Normal 6 4 2 3 2 2 2" xfId="21021" xr:uid="{00000000-0005-0000-0000-00006B460000}"/>
    <cellStyle name="Normal 6 4 2 3 2 2 3" xfId="13765" xr:uid="{00000000-0005-0000-0000-00006C460000}"/>
    <cellStyle name="Normal 6 4 2 3 2 3" xfId="17393" xr:uid="{00000000-0005-0000-0000-00006D460000}"/>
    <cellStyle name="Normal 6 4 2 3 2 4" xfId="10137" xr:uid="{00000000-0005-0000-0000-00006E460000}"/>
    <cellStyle name="Normal 6 4 2 3 3" xfId="4695" xr:uid="{00000000-0005-0000-0000-00006F460000}"/>
    <cellStyle name="Normal 6 4 2 3 3 2" xfId="19207" xr:uid="{00000000-0005-0000-0000-000070460000}"/>
    <cellStyle name="Normal 6 4 2 3 3 3" xfId="11951" xr:uid="{00000000-0005-0000-0000-000071460000}"/>
    <cellStyle name="Normal 6 4 2 3 4" xfId="15579" xr:uid="{00000000-0005-0000-0000-000072460000}"/>
    <cellStyle name="Normal 6 4 2 3 5" xfId="8323" xr:uid="{00000000-0005-0000-0000-000073460000}"/>
    <cellStyle name="Normal 6 4 2 4" xfId="1974" xr:uid="{00000000-0005-0000-0000-000074460000}"/>
    <cellStyle name="Normal 6 4 2 4 2" xfId="5602" xr:uid="{00000000-0005-0000-0000-000075460000}"/>
    <cellStyle name="Normal 6 4 2 4 2 2" xfId="20114" xr:uid="{00000000-0005-0000-0000-000076460000}"/>
    <cellStyle name="Normal 6 4 2 4 2 3" xfId="12858" xr:uid="{00000000-0005-0000-0000-000077460000}"/>
    <cellStyle name="Normal 6 4 2 4 3" xfId="16486" xr:uid="{00000000-0005-0000-0000-000078460000}"/>
    <cellStyle name="Normal 6 4 2 4 4" xfId="9230" xr:uid="{00000000-0005-0000-0000-000079460000}"/>
    <cellStyle name="Normal 6 4 2 5" xfId="3788" xr:uid="{00000000-0005-0000-0000-00007A460000}"/>
    <cellStyle name="Normal 6 4 2 5 2" xfId="18300" xr:uid="{00000000-0005-0000-0000-00007B460000}"/>
    <cellStyle name="Normal 6 4 2 5 3" xfId="11044" xr:uid="{00000000-0005-0000-0000-00007C460000}"/>
    <cellStyle name="Normal 6 4 2 6" xfId="14672" xr:uid="{00000000-0005-0000-0000-00007D460000}"/>
    <cellStyle name="Normal 6 4 2 7" xfId="7416" xr:uid="{00000000-0005-0000-0000-00007E460000}"/>
    <cellStyle name="Normal 6 4 3" xfId="289" xr:uid="{00000000-0005-0000-0000-00007F460000}"/>
    <cellStyle name="Normal 6 4 3 2" xfId="635" xr:uid="{00000000-0005-0000-0000-000080460000}"/>
    <cellStyle name="Normal 6 4 3 2 2" xfId="1543" xr:uid="{00000000-0005-0000-0000-000081460000}"/>
    <cellStyle name="Normal 6 4 3 2 2 2" xfId="3357" xr:uid="{00000000-0005-0000-0000-000082460000}"/>
    <cellStyle name="Normal 6 4 3 2 2 2 2" xfId="6985" xr:uid="{00000000-0005-0000-0000-000083460000}"/>
    <cellStyle name="Normal 6 4 3 2 2 2 2 2" xfId="21497" xr:uid="{00000000-0005-0000-0000-000084460000}"/>
    <cellStyle name="Normal 6 4 3 2 2 2 2 3" xfId="14241" xr:uid="{00000000-0005-0000-0000-000085460000}"/>
    <cellStyle name="Normal 6 4 3 2 2 2 3" xfId="17869" xr:uid="{00000000-0005-0000-0000-000086460000}"/>
    <cellStyle name="Normal 6 4 3 2 2 2 4" xfId="10613" xr:uid="{00000000-0005-0000-0000-000087460000}"/>
    <cellStyle name="Normal 6 4 3 2 2 3" xfId="5171" xr:uid="{00000000-0005-0000-0000-000088460000}"/>
    <cellStyle name="Normal 6 4 3 2 2 3 2" xfId="19683" xr:uid="{00000000-0005-0000-0000-000089460000}"/>
    <cellStyle name="Normal 6 4 3 2 2 3 3" xfId="12427" xr:uid="{00000000-0005-0000-0000-00008A460000}"/>
    <cellStyle name="Normal 6 4 3 2 2 4" xfId="16055" xr:uid="{00000000-0005-0000-0000-00008B460000}"/>
    <cellStyle name="Normal 6 4 3 2 2 5" xfId="8799" xr:uid="{00000000-0005-0000-0000-00008C460000}"/>
    <cellStyle name="Normal 6 4 3 2 3" xfId="2450" xr:uid="{00000000-0005-0000-0000-00008D460000}"/>
    <cellStyle name="Normal 6 4 3 2 3 2" xfId="6078" xr:uid="{00000000-0005-0000-0000-00008E460000}"/>
    <cellStyle name="Normal 6 4 3 2 3 2 2" xfId="20590" xr:uid="{00000000-0005-0000-0000-00008F460000}"/>
    <cellStyle name="Normal 6 4 3 2 3 2 3" xfId="13334" xr:uid="{00000000-0005-0000-0000-000090460000}"/>
    <cellStyle name="Normal 6 4 3 2 3 3" xfId="16962" xr:uid="{00000000-0005-0000-0000-000091460000}"/>
    <cellStyle name="Normal 6 4 3 2 3 4" xfId="9706" xr:uid="{00000000-0005-0000-0000-000092460000}"/>
    <cellStyle name="Normal 6 4 3 2 4" xfId="4264" xr:uid="{00000000-0005-0000-0000-000093460000}"/>
    <cellStyle name="Normal 6 4 3 2 4 2" xfId="18776" xr:uid="{00000000-0005-0000-0000-000094460000}"/>
    <cellStyle name="Normal 6 4 3 2 4 3" xfId="11520" xr:uid="{00000000-0005-0000-0000-000095460000}"/>
    <cellStyle name="Normal 6 4 3 2 5" xfId="15148" xr:uid="{00000000-0005-0000-0000-000096460000}"/>
    <cellStyle name="Normal 6 4 3 2 6" xfId="7892" xr:uid="{00000000-0005-0000-0000-000097460000}"/>
    <cellStyle name="Normal 6 4 3 3" xfId="1197" xr:uid="{00000000-0005-0000-0000-000098460000}"/>
    <cellStyle name="Normal 6 4 3 3 2" xfId="3011" xr:uid="{00000000-0005-0000-0000-000099460000}"/>
    <cellStyle name="Normal 6 4 3 3 2 2" xfId="6639" xr:uid="{00000000-0005-0000-0000-00009A460000}"/>
    <cellStyle name="Normal 6 4 3 3 2 2 2" xfId="21151" xr:uid="{00000000-0005-0000-0000-00009B460000}"/>
    <cellStyle name="Normal 6 4 3 3 2 2 3" xfId="13895" xr:uid="{00000000-0005-0000-0000-00009C460000}"/>
    <cellStyle name="Normal 6 4 3 3 2 3" xfId="17523" xr:uid="{00000000-0005-0000-0000-00009D460000}"/>
    <cellStyle name="Normal 6 4 3 3 2 4" xfId="10267" xr:uid="{00000000-0005-0000-0000-00009E460000}"/>
    <cellStyle name="Normal 6 4 3 3 3" xfId="4825" xr:uid="{00000000-0005-0000-0000-00009F460000}"/>
    <cellStyle name="Normal 6 4 3 3 3 2" xfId="19337" xr:uid="{00000000-0005-0000-0000-0000A0460000}"/>
    <cellStyle name="Normal 6 4 3 3 3 3" xfId="12081" xr:uid="{00000000-0005-0000-0000-0000A1460000}"/>
    <cellStyle name="Normal 6 4 3 3 4" xfId="15709" xr:uid="{00000000-0005-0000-0000-0000A2460000}"/>
    <cellStyle name="Normal 6 4 3 3 5" xfId="8453" xr:uid="{00000000-0005-0000-0000-0000A3460000}"/>
    <cellStyle name="Normal 6 4 3 4" xfId="2104" xr:uid="{00000000-0005-0000-0000-0000A4460000}"/>
    <cellStyle name="Normal 6 4 3 4 2" xfId="5732" xr:uid="{00000000-0005-0000-0000-0000A5460000}"/>
    <cellStyle name="Normal 6 4 3 4 2 2" xfId="20244" xr:uid="{00000000-0005-0000-0000-0000A6460000}"/>
    <cellStyle name="Normal 6 4 3 4 2 3" xfId="12988" xr:uid="{00000000-0005-0000-0000-0000A7460000}"/>
    <cellStyle name="Normal 6 4 3 4 3" xfId="16616" xr:uid="{00000000-0005-0000-0000-0000A8460000}"/>
    <cellStyle name="Normal 6 4 3 4 4" xfId="9360" xr:uid="{00000000-0005-0000-0000-0000A9460000}"/>
    <cellStyle name="Normal 6 4 3 5" xfId="3918" xr:uid="{00000000-0005-0000-0000-0000AA460000}"/>
    <cellStyle name="Normal 6 4 3 5 2" xfId="18430" xr:uid="{00000000-0005-0000-0000-0000AB460000}"/>
    <cellStyle name="Normal 6 4 3 5 3" xfId="11174" xr:uid="{00000000-0005-0000-0000-0000AC460000}"/>
    <cellStyle name="Normal 6 4 3 6" xfId="14802" xr:uid="{00000000-0005-0000-0000-0000AD460000}"/>
    <cellStyle name="Normal 6 4 3 7" xfId="7546" xr:uid="{00000000-0005-0000-0000-0000AE460000}"/>
    <cellStyle name="Normal 6 4 4" xfId="765" xr:uid="{00000000-0005-0000-0000-0000AF460000}"/>
    <cellStyle name="Normal 6 4 4 2" xfId="1673" xr:uid="{00000000-0005-0000-0000-0000B0460000}"/>
    <cellStyle name="Normal 6 4 4 2 2" xfId="3487" xr:uid="{00000000-0005-0000-0000-0000B1460000}"/>
    <cellStyle name="Normal 6 4 4 2 2 2" xfId="7115" xr:uid="{00000000-0005-0000-0000-0000B2460000}"/>
    <cellStyle name="Normal 6 4 4 2 2 2 2" xfId="21627" xr:uid="{00000000-0005-0000-0000-0000B3460000}"/>
    <cellStyle name="Normal 6 4 4 2 2 2 3" xfId="14371" xr:uid="{00000000-0005-0000-0000-0000B4460000}"/>
    <cellStyle name="Normal 6 4 4 2 2 3" xfId="17999" xr:uid="{00000000-0005-0000-0000-0000B5460000}"/>
    <cellStyle name="Normal 6 4 4 2 2 4" xfId="10743" xr:uid="{00000000-0005-0000-0000-0000B6460000}"/>
    <cellStyle name="Normal 6 4 4 2 3" xfId="5301" xr:uid="{00000000-0005-0000-0000-0000B7460000}"/>
    <cellStyle name="Normal 6 4 4 2 3 2" xfId="19813" xr:uid="{00000000-0005-0000-0000-0000B8460000}"/>
    <cellStyle name="Normal 6 4 4 2 3 3" xfId="12557" xr:uid="{00000000-0005-0000-0000-0000B9460000}"/>
    <cellStyle name="Normal 6 4 4 2 4" xfId="16185" xr:uid="{00000000-0005-0000-0000-0000BA460000}"/>
    <cellStyle name="Normal 6 4 4 2 5" xfId="8929" xr:uid="{00000000-0005-0000-0000-0000BB460000}"/>
    <cellStyle name="Normal 6 4 4 3" xfId="2580" xr:uid="{00000000-0005-0000-0000-0000BC460000}"/>
    <cellStyle name="Normal 6 4 4 3 2" xfId="6208" xr:uid="{00000000-0005-0000-0000-0000BD460000}"/>
    <cellStyle name="Normal 6 4 4 3 2 2" xfId="20720" xr:uid="{00000000-0005-0000-0000-0000BE460000}"/>
    <cellStyle name="Normal 6 4 4 3 2 3" xfId="13464" xr:uid="{00000000-0005-0000-0000-0000BF460000}"/>
    <cellStyle name="Normal 6 4 4 3 3" xfId="17092" xr:uid="{00000000-0005-0000-0000-0000C0460000}"/>
    <cellStyle name="Normal 6 4 4 3 4" xfId="9836" xr:uid="{00000000-0005-0000-0000-0000C1460000}"/>
    <cellStyle name="Normal 6 4 4 4" xfId="4394" xr:uid="{00000000-0005-0000-0000-0000C2460000}"/>
    <cellStyle name="Normal 6 4 4 4 2" xfId="18906" xr:uid="{00000000-0005-0000-0000-0000C3460000}"/>
    <cellStyle name="Normal 6 4 4 4 3" xfId="11650" xr:uid="{00000000-0005-0000-0000-0000C4460000}"/>
    <cellStyle name="Normal 6 4 4 5" xfId="15278" xr:uid="{00000000-0005-0000-0000-0000C5460000}"/>
    <cellStyle name="Normal 6 4 4 6" xfId="8022" xr:uid="{00000000-0005-0000-0000-0000C6460000}"/>
    <cellStyle name="Normal 6 4 5" xfId="419" xr:uid="{00000000-0005-0000-0000-0000C7460000}"/>
    <cellStyle name="Normal 6 4 5 2" xfId="1327" xr:uid="{00000000-0005-0000-0000-0000C8460000}"/>
    <cellStyle name="Normal 6 4 5 2 2" xfId="3141" xr:uid="{00000000-0005-0000-0000-0000C9460000}"/>
    <cellStyle name="Normal 6 4 5 2 2 2" xfId="6769" xr:uid="{00000000-0005-0000-0000-0000CA460000}"/>
    <cellStyle name="Normal 6 4 5 2 2 2 2" xfId="21281" xr:uid="{00000000-0005-0000-0000-0000CB460000}"/>
    <cellStyle name="Normal 6 4 5 2 2 2 3" xfId="14025" xr:uid="{00000000-0005-0000-0000-0000CC460000}"/>
    <cellStyle name="Normal 6 4 5 2 2 3" xfId="17653" xr:uid="{00000000-0005-0000-0000-0000CD460000}"/>
    <cellStyle name="Normal 6 4 5 2 2 4" xfId="10397" xr:uid="{00000000-0005-0000-0000-0000CE460000}"/>
    <cellStyle name="Normal 6 4 5 2 3" xfId="4955" xr:uid="{00000000-0005-0000-0000-0000CF460000}"/>
    <cellStyle name="Normal 6 4 5 2 3 2" xfId="19467" xr:uid="{00000000-0005-0000-0000-0000D0460000}"/>
    <cellStyle name="Normal 6 4 5 2 3 3" xfId="12211" xr:uid="{00000000-0005-0000-0000-0000D1460000}"/>
    <cellStyle name="Normal 6 4 5 2 4" xfId="15839" xr:uid="{00000000-0005-0000-0000-0000D2460000}"/>
    <cellStyle name="Normal 6 4 5 2 5" xfId="8583" xr:uid="{00000000-0005-0000-0000-0000D3460000}"/>
    <cellStyle name="Normal 6 4 5 3" xfId="2234" xr:uid="{00000000-0005-0000-0000-0000D4460000}"/>
    <cellStyle name="Normal 6 4 5 3 2" xfId="5862" xr:uid="{00000000-0005-0000-0000-0000D5460000}"/>
    <cellStyle name="Normal 6 4 5 3 2 2" xfId="20374" xr:uid="{00000000-0005-0000-0000-0000D6460000}"/>
    <cellStyle name="Normal 6 4 5 3 2 3" xfId="13118" xr:uid="{00000000-0005-0000-0000-0000D7460000}"/>
    <cellStyle name="Normal 6 4 5 3 3" xfId="16746" xr:uid="{00000000-0005-0000-0000-0000D8460000}"/>
    <cellStyle name="Normal 6 4 5 3 4" xfId="9490" xr:uid="{00000000-0005-0000-0000-0000D9460000}"/>
    <cellStyle name="Normal 6 4 5 4" xfId="4048" xr:uid="{00000000-0005-0000-0000-0000DA460000}"/>
    <cellStyle name="Normal 6 4 5 4 2" xfId="18560" xr:uid="{00000000-0005-0000-0000-0000DB460000}"/>
    <cellStyle name="Normal 6 4 5 4 3" xfId="11304" xr:uid="{00000000-0005-0000-0000-0000DC460000}"/>
    <cellStyle name="Normal 6 4 5 5" xfId="14932" xr:uid="{00000000-0005-0000-0000-0000DD460000}"/>
    <cellStyle name="Normal 6 4 5 6" xfId="7676" xr:uid="{00000000-0005-0000-0000-0000DE460000}"/>
    <cellStyle name="Normal 6 4 6" xfId="896" xr:uid="{00000000-0005-0000-0000-0000DF460000}"/>
    <cellStyle name="Normal 6 4 6 2" xfId="1804" xr:uid="{00000000-0005-0000-0000-0000E0460000}"/>
    <cellStyle name="Normal 6 4 6 2 2" xfId="3618" xr:uid="{00000000-0005-0000-0000-0000E1460000}"/>
    <cellStyle name="Normal 6 4 6 2 2 2" xfId="7246" xr:uid="{00000000-0005-0000-0000-0000E2460000}"/>
    <cellStyle name="Normal 6 4 6 2 2 2 2" xfId="21758" xr:uid="{00000000-0005-0000-0000-0000E3460000}"/>
    <cellStyle name="Normal 6 4 6 2 2 2 3" xfId="14502" xr:uid="{00000000-0005-0000-0000-0000E4460000}"/>
    <cellStyle name="Normal 6 4 6 2 2 3" xfId="18130" xr:uid="{00000000-0005-0000-0000-0000E5460000}"/>
    <cellStyle name="Normal 6 4 6 2 2 4" xfId="10874" xr:uid="{00000000-0005-0000-0000-0000E6460000}"/>
    <cellStyle name="Normal 6 4 6 2 3" xfId="5432" xr:uid="{00000000-0005-0000-0000-0000E7460000}"/>
    <cellStyle name="Normal 6 4 6 2 3 2" xfId="19944" xr:uid="{00000000-0005-0000-0000-0000E8460000}"/>
    <cellStyle name="Normal 6 4 6 2 3 3" xfId="12688" xr:uid="{00000000-0005-0000-0000-0000E9460000}"/>
    <cellStyle name="Normal 6 4 6 2 4" xfId="16316" xr:uid="{00000000-0005-0000-0000-0000EA460000}"/>
    <cellStyle name="Normal 6 4 6 2 5" xfId="9060" xr:uid="{00000000-0005-0000-0000-0000EB460000}"/>
    <cellStyle name="Normal 6 4 6 3" xfId="2711" xr:uid="{00000000-0005-0000-0000-0000EC460000}"/>
    <cellStyle name="Normal 6 4 6 3 2" xfId="6339" xr:uid="{00000000-0005-0000-0000-0000ED460000}"/>
    <cellStyle name="Normal 6 4 6 3 2 2" xfId="20851" xr:uid="{00000000-0005-0000-0000-0000EE460000}"/>
    <cellStyle name="Normal 6 4 6 3 2 3" xfId="13595" xr:uid="{00000000-0005-0000-0000-0000EF460000}"/>
    <cellStyle name="Normal 6 4 6 3 3" xfId="17223" xr:uid="{00000000-0005-0000-0000-0000F0460000}"/>
    <cellStyle name="Normal 6 4 6 3 4" xfId="9967" xr:uid="{00000000-0005-0000-0000-0000F1460000}"/>
    <cellStyle name="Normal 6 4 6 4" xfId="4525" xr:uid="{00000000-0005-0000-0000-0000F2460000}"/>
    <cellStyle name="Normal 6 4 6 4 2" xfId="19037" xr:uid="{00000000-0005-0000-0000-0000F3460000}"/>
    <cellStyle name="Normal 6 4 6 4 3" xfId="11781" xr:uid="{00000000-0005-0000-0000-0000F4460000}"/>
    <cellStyle name="Normal 6 4 6 5" xfId="15409" xr:uid="{00000000-0005-0000-0000-0000F5460000}"/>
    <cellStyle name="Normal 6 4 6 6" xfId="8153" xr:uid="{00000000-0005-0000-0000-0000F6460000}"/>
    <cellStyle name="Normal 6 4 7" xfId="981" xr:uid="{00000000-0005-0000-0000-0000F7460000}"/>
    <cellStyle name="Normal 6 4 7 2" xfId="2795" xr:uid="{00000000-0005-0000-0000-0000F8460000}"/>
    <cellStyle name="Normal 6 4 7 2 2" xfId="6423" xr:uid="{00000000-0005-0000-0000-0000F9460000}"/>
    <cellStyle name="Normal 6 4 7 2 2 2" xfId="20935" xr:uid="{00000000-0005-0000-0000-0000FA460000}"/>
    <cellStyle name="Normal 6 4 7 2 2 3" xfId="13679" xr:uid="{00000000-0005-0000-0000-0000FB460000}"/>
    <cellStyle name="Normal 6 4 7 2 3" xfId="17307" xr:uid="{00000000-0005-0000-0000-0000FC460000}"/>
    <cellStyle name="Normal 6 4 7 2 4" xfId="10051" xr:uid="{00000000-0005-0000-0000-0000FD460000}"/>
    <cellStyle name="Normal 6 4 7 3" xfId="4609" xr:uid="{00000000-0005-0000-0000-0000FE460000}"/>
    <cellStyle name="Normal 6 4 7 3 2" xfId="19121" xr:uid="{00000000-0005-0000-0000-0000FF460000}"/>
    <cellStyle name="Normal 6 4 7 3 3" xfId="11865" xr:uid="{00000000-0005-0000-0000-000000470000}"/>
    <cellStyle name="Normal 6 4 7 4" xfId="15493" xr:uid="{00000000-0005-0000-0000-000001470000}"/>
    <cellStyle name="Normal 6 4 7 5" xfId="8237" xr:uid="{00000000-0005-0000-0000-000002470000}"/>
    <cellStyle name="Normal 6 4 8" xfId="1888" xr:uid="{00000000-0005-0000-0000-000003470000}"/>
    <cellStyle name="Normal 6 4 8 2" xfId="5516" xr:uid="{00000000-0005-0000-0000-000004470000}"/>
    <cellStyle name="Normal 6 4 8 2 2" xfId="20028" xr:uid="{00000000-0005-0000-0000-000005470000}"/>
    <cellStyle name="Normal 6 4 8 2 3" xfId="12772" xr:uid="{00000000-0005-0000-0000-000006470000}"/>
    <cellStyle name="Normal 6 4 8 3" xfId="16400" xr:uid="{00000000-0005-0000-0000-000007470000}"/>
    <cellStyle name="Normal 6 4 8 4" xfId="9144" xr:uid="{00000000-0005-0000-0000-000008470000}"/>
    <cellStyle name="Normal 6 4 9" xfId="3702" xr:uid="{00000000-0005-0000-0000-000009470000}"/>
    <cellStyle name="Normal 6 4 9 2" xfId="18214" xr:uid="{00000000-0005-0000-0000-00000A470000}"/>
    <cellStyle name="Normal 6 4 9 3" xfId="10958" xr:uid="{00000000-0005-0000-0000-00000B470000}"/>
    <cellStyle name="Normal 6 5" xfId="203" xr:uid="{00000000-0005-0000-0000-00000C470000}"/>
    <cellStyle name="Normal 6 5 2" xfId="333" xr:uid="{00000000-0005-0000-0000-00000D470000}"/>
    <cellStyle name="Normal 6 5 2 2" xfId="679" xr:uid="{00000000-0005-0000-0000-00000E470000}"/>
    <cellStyle name="Normal 6 5 2 2 2" xfId="1587" xr:uid="{00000000-0005-0000-0000-00000F470000}"/>
    <cellStyle name="Normal 6 5 2 2 2 2" xfId="3401" xr:uid="{00000000-0005-0000-0000-000010470000}"/>
    <cellStyle name="Normal 6 5 2 2 2 2 2" xfId="7029" xr:uid="{00000000-0005-0000-0000-000011470000}"/>
    <cellStyle name="Normal 6 5 2 2 2 2 2 2" xfId="21541" xr:uid="{00000000-0005-0000-0000-000012470000}"/>
    <cellStyle name="Normal 6 5 2 2 2 2 2 3" xfId="14285" xr:uid="{00000000-0005-0000-0000-000013470000}"/>
    <cellStyle name="Normal 6 5 2 2 2 2 3" xfId="17913" xr:uid="{00000000-0005-0000-0000-000014470000}"/>
    <cellStyle name="Normal 6 5 2 2 2 2 4" xfId="10657" xr:uid="{00000000-0005-0000-0000-000015470000}"/>
    <cellStyle name="Normal 6 5 2 2 2 3" xfId="5215" xr:uid="{00000000-0005-0000-0000-000016470000}"/>
    <cellStyle name="Normal 6 5 2 2 2 3 2" xfId="19727" xr:uid="{00000000-0005-0000-0000-000017470000}"/>
    <cellStyle name="Normal 6 5 2 2 2 3 3" xfId="12471" xr:uid="{00000000-0005-0000-0000-000018470000}"/>
    <cellStyle name="Normal 6 5 2 2 2 4" xfId="16099" xr:uid="{00000000-0005-0000-0000-000019470000}"/>
    <cellStyle name="Normal 6 5 2 2 2 5" xfId="8843" xr:uid="{00000000-0005-0000-0000-00001A470000}"/>
    <cellStyle name="Normal 6 5 2 2 3" xfId="2494" xr:uid="{00000000-0005-0000-0000-00001B470000}"/>
    <cellStyle name="Normal 6 5 2 2 3 2" xfId="6122" xr:uid="{00000000-0005-0000-0000-00001C470000}"/>
    <cellStyle name="Normal 6 5 2 2 3 2 2" xfId="20634" xr:uid="{00000000-0005-0000-0000-00001D470000}"/>
    <cellStyle name="Normal 6 5 2 2 3 2 3" xfId="13378" xr:uid="{00000000-0005-0000-0000-00001E470000}"/>
    <cellStyle name="Normal 6 5 2 2 3 3" xfId="17006" xr:uid="{00000000-0005-0000-0000-00001F470000}"/>
    <cellStyle name="Normal 6 5 2 2 3 4" xfId="9750" xr:uid="{00000000-0005-0000-0000-000020470000}"/>
    <cellStyle name="Normal 6 5 2 2 4" xfId="4308" xr:uid="{00000000-0005-0000-0000-000021470000}"/>
    <cellStyle name="Normal 6 5 2 2 4 2" xfId="18820" xr:uid="{00000000-0005-0000-0000-000022470000}"/>
    <cellStyle name="Normal 6 5 2 2 4 3" xfId="11564" xr:uid="{00000000-0005-0000-0000-000023470000}"/>
    <cellStyle name="Normal 6 5 2 2 5" xfId="15192" xr:uid="{00000000-0005-0000-0000-000024470000}"/>
    <cellStyle name="Normal 6 5 2 2 6" xfId="7936" xr:uid="{00000000-0005-0000-0000-000025470000}"/>
    <cellStyle name="Normal 6 5 2 3" xfId="1241" xr:uid="{00000000-0005-0000-0000-000026470000}"/>
    <cellStyle name="Normal 6 5 2 3 2" xfId="3055" xr:uid="{00000000-0005-0000-0000-000027470000}"/>
    <cellStyle name="Normal 6 5 2 3 2 2" xfId="6683" xr:uid="{00000000-0005-0000-0000-000028470000}"/>
    <cellStyle name="Normal 6 5 2 3 2 2 2" xfId="21195" xr:uid="{00000000-0005-0000-0000-000029470000}"/>
    <cellStyle name="Normal 6 5 2 3 2 2 3" xfId="13939" xr:uid="{00000000-0005-0000-0000-00002A470000}"/>
    <cellStyle name="Normal 6 5 2 3 2 3" xfId="17567" xr:uid="{00000000-0005-0000-0000-00002B470000}"/>
    <cellStyle name="Normal 6 5 2 3 2 4" xfId="10311" xr:uid="{00000000-0005-0000-0000-00002C470000}"/>
    <cellStyle name="Normal 6 5 2 3 3" xfId="4869" xr:uid="{00000000-0005-0000-0000-00002D470000}"/>
    <cellStyle name="Normal 6 5 2 3 3 2" xfId="19381" xr:uid="{00000000-0005-0000-0000-00002E470000}"/>
    <cellStyle name="Normal 6 5 2 3 3 3" xfId="12125" xr:uid="{00000000-0005-0000-0000-00002F470000}"/>
    <cellStyle name="Normal 6 5 2 3 4" xfId="15753" xr:uid="{00000000-0005-0000-0000-000030470000}"/>
    <cellStyle name="Normal 6 5 2 3 5" xfId="8497" xr:uid="{00000000-0005-0000-0000-000031470000}"/>
    <cellStyle name="Normal 6 5 2 4" xfId="2148" xr:uid="{00000000-0005-0000-0000-000032470000}"/>
    <cellStyle name="Normal 6 5 2 4 2" xfId="5776" xr:uid="{00000000-0005-0000-0000-000033470000}"/>
    <cellStyle name="Normal 6 5 2 4 2 2" xfId="20288" xr:uid="{00000000-0005-0000-0000-000034470000}"/>
    <cellStyle name="Normal 6 5 2 4 2 3" xfId="13032" xr:uid="{00000000-0005-0000-0000-000035470000}"/>
    <cellStyle name="Normal 6 5 2 4 3" xfId="16660" xr:uid="{00000000-0005-0000-0000-000036470000}"/>
    <cellStyle name="Normal 6 5 2 4 4" xfId="9404" xr:uid="{00000000-0005-0000-0000-000037470000}"/>
    <cellStyle name="Normal 6 5 2 5" xfId="3962" xr:uid="{00000000-0005-0000-0000-000038470000}"/>
    <cellStyle name="Normal 6 5 2 5 2" xfId="18474" xr:uid="{00000000-0005-0000-0000-000039470000}"/>
    <cellStyle name="Normal 6 5 2 5 3" xfId="11218" xr:uid="{00000000-0005-0000-0000-00003A470000}"/>
    <cellStyle name="Normal 6 5 2 6" xfId="14846" xr:uid="{00000000-0005-0000-0000-00003B470000}"/>
    <cellStyle name="Normal 6 5 2 7" xfId="7590" xr:uid="{00000000-0005-0000-0000-00003C470000}"/>
    <cellStyle name="Normal 6 5 3" xfId="809" xr:uid="{00000000-0005-0000-0000-00003D470000}"/>
    <cellStyle name="Normal 6 5 3 2" xfId="1717" xr:uid="{00000000-0005-0000-0000-00003E470000}"/>
    <cellStyle name="Normal 6 5 3 2 2" xfId="3531" xr:uid="{00000000-0005-0000-0000-00003F470000}"/>
    <cellStyle name="Normal 6 5 3 2 2 2" xfId="7159" xr:uid="{00000000-0005-0000-0000-000040470000}"/>
    <cellStyle name="Normal 6 5 3 2 2 2 2" xfId="21671" xr:uid="{00000000-0005-0000-0000-000041470000}"/>
    <cellStyle name="Normal 6 5 3 2 2 2 3" xfId="14415" xr:uid="{00000000-0005-0000-0000-000042470000}"/>
    <cellStyle name="Normal 6 5 3 2 2 3" xfId="18043" xr:uid="{00000000-0005-0000-0000-000043470000}"/>
    <cellStyle name="Normal 6 5 3 2 2 4" xfId="10787" xr:uid="{00000000-0005-0000-0000-000044470000}"/>
    <cellStyle name="Normal 6 5 3 2 3" xfId="5345" xr:uid="{00000000-0005-0000-0000-000045470000}"/>
    <cellStyle name="Normal 6 5 3 2 3 2" xfId="19857" xr:uid="{00000000-0005-0000-0000-000046470000}"/>
    <cellStyle name="Normal 6 5 3 2 3 3" xfId="12601" xr:uid="{00000000-0005-0000-0000-000047470000}"/>
    <cellStyle name="Normal 6 5 3 2 4" xfId="16229" xr:uid="{00000000-0005-0000-0000-000048470000}"/>
    <cellStyle name="Normal 6 5 3 2 5" xfId="8973" xr:uid="{00000000-0005-0000-0000-000049470000}"/>
    <cellStyle name="Normal 6 5 3 3" xfId="2624" xr:uid="{00000000-0005-0000-0000-00004A470000}"/>
    <cellStyle name="Normal 6 5 3 3 2" xfId="6252" xr:uid="{00000000-0005-0000-0000-00004B470000}"/>
    <cellStyle name="Normal 6 5 3 3 2 2" xfId="20764" xr:uid="{00000000-0005-0000-0000-00004C470000}"/>
    <cellStyle name="Normal 6 5 3 3 2 3" xfId="13508" xr:uid="{00000000-0005-0000-0000-00004D470000}"/>
    <cellStyle name="Normal 6 5 3 3 3" xfId="17136" xr:uid="{00000000-0005-0000-0000-00004E470000}"/>
    <cellStyle name="Normal 6 5 3 3 4" xfId="9880" xr:uid="{00000000-0005-0000-0000-00004F470000}"/>
    <cellStyle name="Normal 6 5 3 4" xfId="4438" xr:uid="{00000000-0005-0000-0000-000050470000}"/>
    <cellStyle name="Normal 6 5 3 4 2" xfId="18950" xr:uid="{00000000-0005-0000-0000-000051470000}"/>
    <cellStyle name="Normal 6 5 3 4 3" xfId="11694" xr:uid="{00000000-0005-0000-0000-000052470000}"/>
    <cellStyle name="Normal 6 5 3 5" xfId="15322" xr:uid="{00000000-0005-0000-0000-000053470000}"/>
    <cellStyle name="Normal 6 5 3 6" xfId="8066" xr:uid="{00000000-0005-0000-0000-000054470000}"/>
    <cellStyle name="Normal 6 5 4" xfId="549" xr:uid="{00000000-0005-0000-0000-000055470000}"/>
    <cellStyle name="Normal 6 5 4 2" xfId="1457" xr:uid="{00000000-0005-0000-0000-000056470000}"/>
    <cellStyle name="Normal 6 5 4 2 2" xfId="3271" xr:uid="{00000000-0005-0000-0000-000057470000}"/>
    <cellStyle name="Normal 6 5 4 2 2 2" xfId="6899" xr:uid="{00000000-0005-0000-0000-000058470000}"/>
    <cellStyle name="Normal 6 5 4 2 2 2 2" xfId="21411" xr:uid="{00000000-0005-0000-0000-000059470000}"/>
    <cellStyle name="Normal 6 5 4 2 2 2 3" xfId="14155" xr:uid="{00000000-0005-0000-0000-00005A470000}"/>
    <cellStyle name="Normal 6 5 4 2 2 3" xfId="17783" xr:uid="{00000000-0005-0000-0000-00005B470000}"/>
    <cellStyle name="Normal 6 5 4 2 2 4" xfId="10527" xr:uid="{00000000-0005-0000-0000-00005C470000}"/>
    <cellStyle name="Normal 6 5 4 2 3" xfId="5085" xr:uid="{00000000-0005-0000-0000-00005D470000}"/>
    <cellStyle name="Normal 6 5 4 2 3 2" xfId="19597" xr:uid="{00000000-0005-0000-0000-00005E470000}"/>
    <cellStyle name="Normal 6 5 4 2 3 3" xfId="12341" xr:uid="{00000000-0005-0000-0000-00005F470000}"/>
    <cellStyle name="Normal 6 5 4 2 4" xfId="15969" xr:uid="{00000000-0005-0000-0000-000060470000}"/>
    <cellStyle name="Normal 6 5 4 2 5" xfId="8713" xr:uid="{00000000-0005-0000-0000-000061470000}"/>
    <cellStyle name="Normal 6 5 4 3" xfId="2364" xr:uid="{00000000-0005-0000-0000-000062470000}"/>
    <cellStyle name="Normal 6 5 4 3 2" xfId="5992" xr:uid="{00000000-0005-0000-0000-000063470000}"/>
    <cellStyle name="Normal 6 5 4 3 2 2" xfId="20504" xr:uid="{00000000-0005-0000-0000-000064470000}"/>
    <cellStyle name="Normal 6 5 4 3 2 3" xfId="13248" xr:uid="{00000000-0005-0000-0000-000065470000}"/>
    <cellStyle name="Normal 6 5 4 3 3" xfId="16876" xr:uid="{00000000-0005-0000-0000-000066470000}"/>
    <cellStyle name="Normal 6 5 4 3 4" xfId="9620" xr:uid="{00000000-0005-0000-0000-000067470000}"/>
    <cellStyle name="Normal 6 5 4 4" xfId="4178" xr:uid="{00000000-0005-0000-0000-000068470000}"/>
    <cellStyle name="Normal 6 5 4 4 2" xfId="18690" xr:uid="{00000000-0005-0000-0000-000069470000}"/>
    <cellStyle name="Normal 6 5 4 4 3" xfId="11434" xr:uid="{00000000-0005-0000-0000-00006A470000}"/>
    <cellStyle name="Normal 6 5 4 5" xfId="15062" xr:uid="{00000000-0005-0000-0000-00006B470000}"/>
    <cellStyle name="Normal 6 5 4 6" xfId="7806" xr:uid="{00000000-0005-0000-0000-00006C470000}"/>
    <cellStyle name="Normal 6 5 5" xfId="1111" xr:uid="{00000000-0005-0000-0000-00006D470000}"/>
    <cellStyle name="Normal 6 5 5 2" xfId="2925" xr:uid="{00000000-0005-0000-0000-00006E470000}"/>
    <cellStyle name="Normal 6 5 5 2 2" xfId="6553" xr:uid="{00000000-0005-0000-0000-00006F470000}"/>
    <cellStyle name="Normal 6 5 5 2 2 2" xfId="21065" xr:uid="{00000000-0005-0000-0000-000070470000}"/>
    <cellStyle name="Normal 6 5 5 2 2 3" xfId="13809" xr:uid="{00000000-0005-0000-0000-000071470000}"/>
    <cellStyle name="Normal 6 5 5 2 3" xfId="17437" xr:uid="{00000000-0005-0000-0000-000072470000}"/>
    <cellStyle name="Normal 6 5 5 2 4" xfId="10181" xr:uid="{00000000-0005-0000-0000-000073470000}"/>
    <cellStyle name="Normal 6 5 5 3" xfId="4739" xr:uid="{00000000-0005-0000-0000-000074470000}"/>
    <cellStyle name="Normal 6 5 5 3 2" xfId="19251" xr:uid="{00000000-0005-0000-0000-000075470000}"/>
    <cellStyle name="Normal 6 5 5 3 3" xfId="11995" xr:uid="{00000000-0005-0000-0000-000076470000}"/>
    <cellStyle name="Normal 6 5 5 4" xfId="15623" xr:uid="{00000000-0005-0000-0000-000077470000}"/>
    <cellStyle name="Normal 6 5 5 5" xfId="8367" xr:uid="{00000000-0005-0000-0000-000078470000}"/>
    <cellStyle name="Normal 6 5 6" xfId="2018" xr:uid="{00000000-0005-0000-0000-000079470000}"/>
    <cellStyle name="Normal 6 5 6 2" xfId="5646" xr:uid="{00000000-0005-0000-0000-00007A470000}"/>
    <cellStyle name="Normal 6 5 6 2 2" xfId="20158" xr:uid="{00000000-0005-0000-0000-00007B470000}"/>
    <cellStyle name="Normal 6 5 6 2 3" xfId="12902" xr:uid="{00000000-0005-0000-0000-00007C470000}"/>
    <cellStyle name="Normal 6 5 6 3" xfId="16530" xr:uid="{00000000-0005-0000-0000-00007D470000}"/>
    <cellStyle name="Normal 6 5 6 4" xfId="9274" xr:uid="{00000000-0005-0000-0000-00007E470000}"/>
    <cellStyle name="Normal 6 5 7" xfId="3832" xr:uid="{00000000-0005-0000-0000-00007F470000}"/>
    <cellStyle name="Normal 6 5 7 2" xfId="18344" xr:uid="{00000000-0005-0000-0000-000080470000}"/>
    <cellStyle name="Normal 6 5 7 3" xfId="11088" xr:uid="{00000000-0005-0000-0000-000081470000}"/>
    <cellStyle name="Normal 6 5 8" xfId="14716" xr:uid="{00000000-0005-0000-0000-000082470000}"/>
    <cellStyle name="Normal 6 5 9" xfId="7460" xr:uid="{00000000-0005-0000-0000-000083470000}"/>
    <cellStyle name="Normal 6 6" xfId="117" xr:uid="{00000000-0005-0000-0000-000084470000}"/>
    <cellStyle name="Normal 6 6 2" xfId="463" xr:uid="{00000000-0005-0000-0000-000085470000}"/>
    <cellStyle name="Normal 6 6 2 2" xfId="1371" xr:uid="{00000000-0005-0000-0000-000086470000}"/>
    <cellStyle name="Normal 6 6 2 2 2" xfId="3185" xr:uid="{00000000-0005-0000-0000-000087470000}"/>
    <cellStyle name="Normal 6 6 2 2 2 2" xfId="6813" xr:uid="{00000000-0005-0000-0000-000088470000}"/>
    <cellStyle name="Normal 6 6 2 2 2 2 2" xfId="21325" xr:uid="{00000000-0005-0000-0000-000089470000}"/>
    <cellStyle name="Normal 6 6 2 2 2 2 3" xfId="14069" xr:uid="{00000000-0005-0000-0000-00008A470000}"/>
    <cellStyle name="Normal 6 6 2 2 2 3" xfId="17697" xr:uid="{00000000-0005-0000-0000-00008B470000}"/>
    <cellStyle name="Normal 6 6 2 2 2 4" xfId="10441" xr:uid="{00000000-0005-0000-0000-00008C470000}"/>
    <cellStyle name="Normal 6 6 2 2 3" xfId="4999" xr:uid="{00000000-0005-0000-0000-00008D470000}"/>
    <cellStyle name="Normal 6 6 2 2 3 2" xfId="19511" xr:uid="{00000000-0005-0000-0000-00008E470000}"/>
    <cellStyle name="Normal 6 6 2 2 3 3" xfId="12255" xr:uid="{00000000-0005-0000-0000-00008F470000}"/>
    <cellStyle name="Normal 6 6 2 2 4" xfId="15883" xr:uid="{00000000-0005-0000-0000-000090470000}"/>
    <cellStyle name="Normal 6 6 2 2 5" xfId="8627" xr:uid="{00000000-0005-0000-0000-000091470000}"/>
    <cellStyle name="Normal 6 6 2 3" xfId="2278" xr:uid="{00000000-0005-0000-0000-000092470000}"/>
    <cellStyle name="Normal 6 6 2 3 2" xfId="5906" xr:uid="{00000000-0005-0000-0000-000093470000}"/>
    <cellStyle name="Normal 6 6 2 3 2 2" xfId="20418" xr:uid="{00000000-0005-0000-0000-000094470000}"/>
    <cellStyle name="Normal 6 6 2 3 2 3" xfId="13162" xr:uid="{00000000-0005-0000-0000-000095470000}"/>
    <cellStyle name="Normal 6 6 2 3 3" xfId="16790" xr:uid="{00000000-0005-0000-0000-000096470000}"/>
    <cellStyle name="Normal 6 6 2 3 4" xfId="9534" xr:uid="{00000000-0005-0000-0000-000097470000}"/>
    <cellStyle name="Normal 6 6 2 4" xfId="4092" xr:uid="{00000000-0005-0000-0000-000098470000}"/>
    <cellStyle name="Normal 6 6 2 4 2" xfId="18604" xr:uid="{00000000-0005-0000-0000-000099470000}"/>
    <cellStyle name="Normal 6 6 2 4 3" xfId="11348" xr:uid="{00000000-0005-0000-0000-00009A470000}"/>
    <cellStyle name="Normal 6 6 2 5" xfId="14976" xr:uid="{00000000-0005-0000-0000-00009B470000}"/>
    <cellStyle name="Normal 6 6 2 6" xfId="7720" xr:uid="{00000000-0005-0000-0000-00009C470000}"/>
    <cellStyle name="Normal 6 6 3" xfId="1025" xr:uid="{00000000-0005-0000-0000-00009D470000}"/>
    <cellStyle name="Normal 6 6 3 2" xfId="2839" xr:uid="{00000000-0005-0000-0000-00009E470000}"/>
    <cellStyle name="Normal 6 6 3 2 2" xfId="6467" xr:uid="{00000000-0005-0000-0000-00009F470000}"/>
    <cellStyle name="Normal 6 6 3 2 2 2" xfId="20979" xr:uid="{00000000-0005-0000-0000-0000A0470000}"/>
    <cellStyle name="Normal 6 6 3 2 2 3" xfId="13723" xr:uid="{00000000-0005-0000-0000-0000A1470000}"/>
    <cellStyle name="Normal 6 6 3 2 3" xfId="17351" xr:uid="{00000000-0005-0000-0000-0000A2470000}"/>
    <cellStyle name="Normal 6 6 3 2 4" xfId="10095" xr:uid="{00000000-0005-0000-0000-0000A3470000}"/>
    <cellStyle name="Normal 6 6 3 3" xfId="4653" xr:uid="{00000000-0005-0000-0000-0000A4470000}"/>
    <cellStyle name="Normal 6 6 3 3 2" xfId="19165" xr:uid="{00000000-0005-0000-0000-0000A5470000}"/>
    <cellStyle name="Normal 6 6 3 3 3" xfId="11909" xr:uid="{00000000-0005-0000-0000-0000A6470000}"/>
    <cellStyle name="Normal 6 6 3 4" xfId="15537" xr:uid="{00000000-0005-0000-0000-0000A7470000}"/>
    <cellStyle name="Normal 6 6 3 5" xfId="8281" xr:uid="{00000000-0005-0000-0000-0000A8470000}"/>
    <cellStyle name="Normal 6 6 4" xfId="1932" xr:uid="{00000000-0005-0000-0000-0000A9470000}"/>
    <cellStyle name="Normal 6 6 4 2" xfId="5560" xr:uid="{00000000-0005-0000-0000-0000AA470000}"/>
    <cellStyle name="Normal 6 6 4 2 2" xfId="20072" xr:uid="{00000000-0005-0000-0000-0000AB470000}"/>
    <cellStyle name="Normal 6 6 4 2 3" xfId="12816" xr:uid="{00000000-0005-0000-0000-0000AC470000}"/>
    <cellStyle name="Normal 6 6 4 3" xfId="16444" xr:uid="{00000000-0005-0000-0000-0000AD470000}"/>
    <cellStyle name="Normal 6 6 4 4" xfId="9188" xr:uid="{00000000-0005-0000-0000-0000AE470000}"/>
    <cellStyle name="Normal 6 6 5" xfId="3746" xr:uid="{00000000-0005-0000-0000-0000AF470000}"/>
    <cellStyle name="Normal 6 6 5 2" xfId="18258" xr:uid="{00000000-0005-0000-0000-0000B0470000}"/>
    <cellStyle name="Normal 6 6 5 3" xfId="11002" xr:uid="{00000000-0005-0000-0000-0000B1470000}"/>
    <cellStyle name="Normal 6 6 6" xfId="14630" xr:uid="{00000000-0005-0000-0000-0000B2470000}"/>
    <cellStyle name="Normal 6 6 7" xfId="7374" xr:uid="{00000000-0005-0000-0000-0000B3470000}"/>
    <cellStyle name="Normal 6 7" xfId="247" xr:uid="{00000000-0005-0000-0000-0000B4470000}"/>
    <cellStyle name="Normal 6 7 2" xfId="593" xr:uid="{00000000-0005-0000-0000-0000B5470000}"/>
    <cellStyle name="Normal 6 7 2 2" xfId="1501" xr:uid="{00000000-0005-0000-0000-0000B6470000}"/>
    <cellStyle name="Normal 6 7 2 2 2" xfId="3315" xr:uid="{00000000-0005-0000-0000-0000B7470000}"/>
    <cellStyle name="Normal 6 7 2 2 2 2" xfId="6943" xr:uid="{00000000-0005-0000-0000-0000B8470000}"/>
    <cellStyle name="Normal 6 7 2 2 2 2 2" xfId="21455" xr:uid="{00000000-0005-0000-0000-0000B9470000}"/>
    <cellStyle name="Normal 6 7 2 2 2 2 3" xfId="14199" xr:uid="{00000000-0005-0000-0000-0000BA470000}"/>
    <cellStyle name="Normal 6 7 2 2 2 3" xfId="17827" xr:uid="{00000000-0005-0000-0000-0000BB470000}"/>
    <cellStyle name="Normal 6 7 2 2 2 4" xfId="10571" xr:uid="{00000000-0005-0000-0000-0000BC470000}"/>
    <cellStyle name="Normal 6 7 2 2 3" xfId="5129" xr:uid="{00000000-0005-0000-0000-0000BD470000}"/>
    <cellStyle name="Normal 6 7 2 2 3 2" xfId="19641" xr:uid="{00000000-0005-0000-0000-0000BE470000}"/>
    <cellStyle name="Normal 6 7 2 2 3 3" xfId="12385" xr:uid="{00000000-0005-0000-0000-0000BF470000}"/>
    <cellStyle name="Normal 6 7 2 2 4" xfId="16013" xr:uid="{00000000-0005-0000-0000-0000C0470000}"/>
    <cellStyle name="Normal 6 7 2 2 5" xfId="8757" xr:uid="{00000000-0005-0000-0000-0000C1470000}"/>
    <cellStyle name="Normal 6 7 2 3" xfId="2408" xr:uid="{00000000-0005-0000-0000-0000C2470000}"/>
    <cellStyle name="Normal 6 7 2 3 2" xfId="6036" xr:uid="{00000000-0005-0000-0000-0000C3470000}"/>
    <cellStyle name="Normal 6 7 2 3 2 2" xfId="20548" xr:uid="{00000000-0005-0000-0000-0000C4470000}"/>
    <cellStyle name="Normal 6 7 2 3 2 3" xfId="13292" xr:uid="{00000000-0005-0000-0000-0000C5470000}"/>
    <cellStyle name="Normal 6 7 2 3 3" xfId="16920" xr:uid="{00000000-0005-0000-0000-0000C6470000}"/>
    <cellStyle name="Normal 6 7 2 3 4" xfId="9664" xr:uid="{00000000-0005-0000-0000-0000C7470000}"/>
    <cellStyle name="Normal 6 7 2 4" xfId="4222" xr:uid="{00000000-0005-0000-0000-0000C8470000}"/>
    <cellStyle name="Normal 6 7 2 4 2" xfId="18734" xr:uid="{00000000-0005-0000-0000-0000C9470000}"/>
    <cellStyle name="Normal 6 7 2 4 3" xfId="11478" xr:uid="{00000000-0005-0000-0000-0000CA470000}"/>
    <cellStyle name="Normal 6 7 2 5" xfId="15106" xr:uid="{00000000-0005-0000-0000-0000CB470000}"/>
    <cellStyle name="Normal 6 7 2 6" xfId="7850" xr:uid="{00000000-0005-0000-0000-0000CC470000}"/>
    <cellStyle name="Normal 6 7 3" xfId="1155" xr:uid="{00000000-0005-0000-0000-0000CD470000}"/>
    <cellStyle name="Normal 6 7 3 2" xfId="2969" xr:uid="{00000000-0005-0000-0000-0000CE470000}"/>
    <cellStyle name="Normal 6 7 3 2 2" xfId="6597" xr:uid="{00000000-0005-0000-0000-0000CF470000}"/>
    <cellStyle name="Normal 6 7 3 2 2 2" xfId="21109" xr:uid="{00000000-0005-0000-0000-0000D0470000}"/>
    <cellStyle name="Normal 6 7 3 2 2 3" xfId="13853" xr:uid="{00000000-0005-0000-0000-0000D1470000}"/>
    <cellStyle name="Normal 6 7 3 2 3" xfId="17481" xr:uid="{00000000-0005-0000-0000-0000D2470000}"/>
    <cellStyle name="Normal 6 7 3 2 4" xfId="10225" xr:uid="{00000000-0005-0000-0000-0000D3470000}"/>
    <cellStyle name="Normal 6 7 3 3" xfId="4783" xr:uid="{00000000-0005-0000-0000-0000D4470000}"/>
    <cellStyle name="Normal 6 7 3 3 2" xfId="19295" xr:uid="{00000000-0005-0000-0000-0000D5470000}"/>
    <cellStyle name="Normal 6 7 3 3 3" xfId="12039" xr:uid="{00000000-0005-0000-0000-0000D6470000}"/>
    <cellStyle name="Normal 6 7 3 4" xfId="15667" xr:uid="{00000000-0005-0000-0000-0000D7470000}"/>
    <cellStyle name="Normal 6 7 3 5" xfId="8411" xr:uid="{00000000-0005-0000-0000-0000D8470000}"/>
    <cellStyle name="Normal 6 7 4" xfId="2062" xr:uid="{00000000-0005-0000-0000-0000D9470000}"/>
    <cellStyle name="Normal 6 7 4 2" xfId="5690" xr:uid="{00000000-0005-0000-0000-0000DA470000}"/>
    <cellStyle name="Normal 6 7 4 2 2" xfId="20202" xr:uid="{00000000-0005-0000-0000-0000DB470000}"/>
    <cellStyle name="Normal 6 7 4 2 3" xfId="12946" xr:uid="{00000000-0005-0000-0000-0000DC470000}"/>
    <cellStyle name="Normal 6 7 4 3" xfId="16574" xr:uid="{00000000-0005-0000-0000-0000DD470000}"/>
    <cellStyle name="Normal 6 7 4 4" xfId="9318" xr:uid="{00000000-0005-0000-0000-0000DE470000}"/>
    <cellStyle name="Normal 6 7 5" xfId="3876" xr:uid="{00000000-0005-0000-0000-0000DF470000}"/>
    <cellStyle name="Normal 6 7 5 2" xfId="18388" xr:uid="{00000000-0005-0000-0000-0000E0470000}"/>
    <cellStyle name="Normal 6 7 5 3" xfId="11132" xr:uid="{00000000-0005-0000-0000-0000E1470000}"/>
    <cellStyle name="Normal 6 7 6" xfId="14760" xr:uid="{00000000-0005-0000-0000-0000E2470000}"/>
    <cellStyle name="Normal 6 7 7" xfId="7504" xr:uid="{00000000-0005-0000-0000-0000E3470000}"/>
    <cellStyle name="Normal 6 8" xfId="723" xr:uid="{00000000-0005-0000-0000-0000E4470000}"/>
    <cellStyle name="Normal 6 8 2" xfId="1631" xr:uid="{00000000-0005-0000-0000-0000E5470000}"/>
    <cellStyle name="Normal 6 8 2 2" xfId="3445" xr:uid="{00000000-0005-0000-0000-0000E6470000}"/>
    <cellStyle name="Normal 6 8 2 2 2" xfId="7073" xr:uid="{00000000-0005-0000-0000-0000E7470000}"/>
    <cellStyle name="Normal 6 8 2 2 2 2" xfId="21585" xr:uid="{00000000-0005-0000-0000-0000E8470000}"/>
    <cellStyle name="Normal 6 8 2 2 2 3" xfId="14329" xr:uid="{00000000-0005-0000-0000-0000E9470000}"/>
    <cellStyle name="Normal 6 8 2 2 3" xfId="17957" xr:uid="{00000000-0005-0000-0000-0000EA470000}"/>
    <cellStyle name="Normal 6 8 2 2 4" xfId="10701" xr:uid="{00000000-0005-0000-0000-0000EB470000}"/>
    <cellStyle name="Normal 6 8 2 3" xfId="5259" xr:uid="{00000000-0005-0000-0000-0000EC470000}"/>
    <cellStyle name="Normal 6 8 2 3 2" xfId="19771" xr:uid="{00000000-0005-0000-0000-0000ED470000}"/>
    <cellStyle name="Normal 6 8 2 3 3" xfId="12515" xr:uid="{00000000-0005-0000-0000-0000EE470000}"/>
    <cellStyle name="Normal 6 8 2 4" xfId="16143" xr:uid="{00000000-0005-0000-0000-0000EF470000}"/>
    <cellStyle name="Normal 6 8 2 5" xfId="8887" xr:uid="{00000000-0005-0000-0000-0000F0470000}"/>
    <cellStyle name="Normal 6 8 3" xfId="2538" xr:uid="{00000000-0005-0000-0000-0000F1470000}"/>
    <cellStyle name="Normal 6 8 3 2" xfId="6166" xr:uid="{00000000-0005-0000-0000-0000F2470000}"/>
    <cellStyle name="Normal 6 8 3 2 2" xfId="20678" xr:uid="{00000000-0005-0000-0000-0000F3470000}"/>
    <cellStyle name="Normal 6 8 3 2 3" xfId="13422" xr:uid="{00000000-0005-0000-0000-0000F4470000}"/>
    <cellStyle name="Normal 6 8 3 3" xfId="17050" xr:uid="{00000000-0005-0000-0000-0000F5470000}"/>
    <cellStyle name="Normal 6 8 3 4" xfId="9794" xr:uid="{00000000-0005-0000-0000-0000F6470000}"/>
    <cellStyle name="Normal 6 8 4" xfId="4352" xr:uid="{00000000-0005-0000-0000-0000F7470000}"/>
    <cellStyle name="Normal 6 8 4 2" xfId="18864" xr:uid="{00000000-0005-0000-0000-0000F8470000}"/>
    <cellStyle name="Normal 6 8 4 3" xfId="11608" xr:uid="{00000000-0005-0000-0000-0000F9470000}"/>
    <cellStyle name="Normal 6 8 5" xfId="15236" xr:uid="{00000000-0005-0000-0000-0000FA470000}"/>
    <cellStyle name="Normal 6 8 6" xfId="7980" xr:uid="{00000000-0005-0000-0000-0000FB470000}"/>
    <cellStyle name="Normal 6 9" xfId="377" xr:uid="{00000000-0005-0000-0000-0000FC470000}"/>
    <cellStyle name="Normal 6 9 2" xfId="1285" xr:uid="{00000000-0005-0000-0000-0000FD470000}"/>
    <cellStyle name="Normal 6 9 2 2" xfId="3099" xr:uid="{00000000-0005-0000-0000-0000FE470000}"/>
    <cellStyle name="Normal 6 9 2 2 2" xfId="6727" xr:uid="{00000000-0005-0000-0000-0000FF470000}"/>
    <cellStyle name="Normal 6 9 2 2 2 2" xfId="21239" xr:uid="{00000000-0005-0000-0000-000000480000}"/>
    <cellStyle name="Normal 6 9 2 2 2 3" xfId="13983" xr:uid="{00000000-0005-0000-0000-000001480000}"/>
    <cellStyle name="Normal 6 9 2 2 3" xfId="17611" xr:uid="{00000000-0005-0000-0000-000002480000}"/>
    <cellStyle name="Normal 6 9 2 2 4" xfId="10355" xr:uid="{00000000-0005-0000-0000-000003480000}"/>
    <cellStyle name="Normal 6 9 2 3" xfId="4913" xr:uid="{00000000-0005-0000-0000-000004480000}"/>
    <cellStyle name="Normal 6 9 2 3 2" xfId="19425" xr:uid="{00000000-0005-0000-0000-000005480000}"/>
    <cellStyle name="Normal 6 9 2 3 3" xfId="12169" xr:uid="{00000000-0005-0000-0000-000006480000}"/>
    <cellStyle name="Normal 6 9 2 4" xfId="15797" xr:uid="{00000000-0005-0000-0000-000007480000}"/>
    <cellStyle name="Normal 6 9 2 5" xfId="8541" xr:uid="{00000000-0005-0000-0000-000008480000}"/>
    <cellStyle name="Normal 6 9 3" xfId="2192" xr:uid="{00000000-0005-0000-0000-000009480000}"/>
    <cellStyle name="Normal 6 9 3 2" xfId="5820" xr:uid="{00000000-0005-0000-0000-00000A480000}"/>
    <cellStyle name="Normal 6 9 3 2 2" xfId="20332" xr:uid="{00000000-0005-0000-0000-00000B480000}"/>
    <cellStyle name="Normal 6 9 3 2 3" xfId="13076" xr:uid="{00000000-0005-0000-0000-00000C480000}"/>
    <cellStyle name="Normal 6 9 3 3" xfId="16704" xr:uid="{00000000-0005-0000-0000-00000D480000}"/>
    <cellStyle name="Normal 6 9 3 4" xfId="9448" xr:uid="{00000000-0005-0000-0000-00000E480000}"/>
    <cellStyle name="Normal 6 9 4" xfId="4006" xr:uid="{00000000-0005-0000-0000-00000F480000}"/>
    <cellStyle name="Normal 6 9 4 2" xfId="18518" xr:uid="{00000000-0005-0000-0000-000010480000}"/>
    <cellStyle name="Normal 6 9 4 3" xfId="11262" xr:uid="{00000000-0005-0000-0000-000011480000}"/>
    <cellStyle name="Normal 6 9 5" xfId="14890" xr:uid="{00000000-0005-0000-0000-000012480000}"/>
    <cellStyle name="Normal 6 9 6" xfId="7634" xr:uid="{00000000-0005-0000-0000-000013480000}"/>
    <cellStyle name="Normal 7" xfId="44" xr:uid="{00000000-0005-0000-0000-000014480000}"/>
    <cellStyle name="Normal 7 10" xfId="954" xr:uid="{00000000-0005-0000-0000-000015480000}"/>
    <cellStyle name="Normal 7 10 2" xfId="2768" xr:uid="{00000000-0005-0000-0000-000016480000}"/>
    <cellStyle name="Normal 7 10 2 2" xfId="6396" xr:uid="{00000000-0005-0000-0000-000017480000}"/>
    <cellStyle name="Normal 7 10 2 2 2" xfId="20908" xr:uid="{00000000-0005-0000-0000-000018480000}"/>
    <cellStyle name="Normal 7 10 2 2 3" xfId="13652" xr:uid="{00000000-0005-0000-0000-000019480000}"/>
    <cellStyle name="Normal 7 10 2 3" xfId="17280" xr:uid="{00000000-0005-0000-0000-00001A480000}"/>
    <cellStyle name="Normal 7 10 2 4" xfId="10024" xr:uid="{00000000-0005-0000-0000-00001B480000}"/>
    <cellStyle name="Normal 7 10 3" xfId="4582" xr:uid="{00000000-0005-0000-0000-00001C480000}"/>
    <cellStyle name="Normal 7 10 3 2" xfId="19094" xr:uid="{00000000-0005-0000-0000-00001D480000}"/>
    <cellStyle name="Normal 7 10 3 3" xfId="11838" xr:uid="{00000000-0005-0000-0000-00001E480000}"/>
    <cellStyle name="Normal 7 10 4" xfId="15466" xr:uid="{00000000-0005-0000-0000-00001F480000}"/>
    <cellStyle name="Normal 7 10 5" xfId="8210" xr:uid="{00000000-0005-0000-0000-000020480000}"/>
    <cellStyle name="Normal 7 11" xfId="1861" xr:uid="{00000000-0005-0000-0000-000021480000}"/>
    <cellStyle name="Normal 7 11 2" xfId="5489" xr:uid="{00000000-0005-0000-0000-000022480000}"/>
    <cellStyle name="Normal 7 11 2 2" xfId="20001" xr:uid="{00000000-0005-0000-0000-000023480000}"/>
    <cellStyle name="Normal 7 11 2 3" xfId="12745" xr:uid="{00000000-0005-0000-0000-000024480000}"/>
    <cellStyle name="Normal 7 11 3" xfId="16373" xr:uid="{00000000-0005-0000-0000-000025480000}"/>
    <cellStyle name="Normal 7 11 4" xfId="9117" xr:uid="{00000000-0005-0000-0000-000026480000}"/>
    <cellStyle name="Normal 7 12" xfId="3675" xr:uid="{00000000-0005-0000-0000-000027480000}"/>
    <cellStyle name="Normal 7 12 2" xfId="18187" xr:uid="{00000000-0005-0000-0000-000028480000}"/>
    <cellStyle name="Normal 7 12 3" xfId="10931" xr:uid="{00000000-0005-0000-0000-000029480000}"/>
    <cellStyle name="Normal 7 13" xfId="14559" xr:uid="{00000000-0005-0000-0000-00002A480000}"/>
    <cellStyle name="Normal 7 14" xfId="7303" xr:uid="{00000000-0005-0000-0000-00002B480000}"/>
    <cellStyle name="Normal 7 2" xfId="65" xr:uid="{00000000-0005-0000-0000-00002C480000}"/>
    <cellStyle name="Normal 7 2 10" xfId="1882" xr:uid="{00000000-0005-0000-0000-00002D480000}"/>
    <cellStyle name="Normal 7 2 10 2" xfId="5510" xr:uid="{00000000-0005-0000-0000-00002E480000}"/>
    <cellStyle name="Normal 7 2 10 2 2" xfId="20022" xr:uid="{00000000-0005-0000-0000-00002F480000}"/>
    <cellStyle name="Normal 7 2 10 2 3" xfId="12766" xr:uid="{00000000-0005-0000-0000-000030480000}"/>
    <cellStyle name="Normal 7 2 10 3" xfId="16394" xr:uid="{00000000-0005-0000-0000-000031480000}"/>
    <cellStyle name="Normal 7 2 10 4" xfId="9138" xr:uid="{00000000-0005-0000-0000-000032480000}"/>
    <cellStyle name="Normal 7 2 11" xfId="3696" xr:uid="{00000000-0005-0000-0000-000033480000}"/>
    <cellStyle name="Normal 7 2 11 2" xfId="18208" xr:uid="{00000000-0005-0000-0000-000034480000}"/>
    <cellStyle name="Normal 7 2 11 3" xfId="10952" xr:uid="{00000000-0005-0000-0000-000035480000}"/>
    <cellStyle name="Normal 7 2 12" xfId="14580" xr:uid="{00000000-0005-0000-0000-000036480000}"/>
    <cellStyle name="Normal 7 2 13" xfId="7324" xr:uid="{00000000-0005-0000-0000-000037480000}"/>
    <cellStyle name="Normal 7 2 2" xfId="107" xr:uid="{00000000-0005-0000-0000-000038480000}"/>
    <cellStyle name="Normal 7 2 2 10" xfId="14622" xr:uid="{00000000-0005-0000-0000-000039480000}"/>
    <cellStyle name="Normal 7 2 2 11" xfId="7366" xr:uid="{00000000-0005-0000-0000-00003A480000}"/>
    <cellStyle name="Normal 7 2 2 2" xfId="195" xr:uid="{00000000-0005-0000-0000-00003B480000}"/>
    <cellStyle name="Normal 7 2 2 2 2" xfId="541" xr:uid="{00000000-0005-0000-0000-00003C480000}"/>
    <cellStyle name="Normal 7 2 2 2 2 2" xfId="1449" xr:uid="{00000000-0005-0000-0000-00003D480000}"/>
    <cellStyle name="Normal 7 2 2 2 2 2 2" xfId="3263" xr:uid="{00000000-0005-0000-0000-00003E480000}"/>
    <cellStyle name="Normal 7 2 2 2 2 2 2 2" xfId="6891" xr:uid="{00000000-0005-0000-0000-00003F480000}"/>
    <cellStyle name="Normal 7 2 2 2 2 2 2 2 2" xfId="21403" xr:uid="{00000000-0005-0000-0000-000040480000}"/>
    <cellStyle name="Normal 7 2 2 2 2 2 2 2 3" xfId="14147" xr:uid="{00000000-0005-0000-0000-000041480000}"/>
    <cellStyle name="Normal 7 2 2 2 2 2 2 3" xfId="17775" xr:uid="{00000000-0005-0000-0000-000042480000}"/>
    <cellStyle name="Normal 7 2 2 2 2 2 2 4" xfId="10519" xr:uid="{00000000-0005-0000-0000-000043480000}"/>
    <cellStyle name="Normal 7 2 2 2 2 2 3" xfId="5077" xr:uid="{00000000-0005-0000-0000-000044480000}"/>
    <cellStyle name="Normal 7 2 2 2 2 2 3 2" xfId="19589" xr:uid="{00000000-0005-0000-0000-000045480000}"/>
    <cellStyle name="Normal 7 2 2 2 2 2 3 3" xfId="12333" xr:uid="{00000000-0005-0000-0000-000046480000}"/>
    <cellStyle name="Normal 7 2 2 2 2 2 4" xfId="15961" xr:uid="{00000000-0005-0000-0000-000047480000}"/>
    <cellStyle name="Normal 7 2 2 2 2 2 5" xfId="8705" xr:uid="{00000000-0005-0000-0000-000048480000}"/>
    <cellStyle name="Normal 7 2 2 2 2 3" xfId="2356" xr:uid="{00000000-0005-0000-0000-000049480000}"/>
    <cellStyle name="Normal 7 2 2 2 2 3 2" xfId="5984" xr:uid="{00000000-0005-0000-0000-00004A480000}"/>
    <cellStyle name="Normal 7 2 2 2 2 3 2 2" xfId="20496" xr:uid="{00000000-0005-0000-0000-00004B480000}"/>
    <cellStyle name="Normal 7 2 2 2 2 3 2 3" xfId="13240" xr:uid="{00000000-0005-0000-0000-00004C480000}"/>
    <cellStyle name="Normal 7 2 2 2 2 3 3" xfId="16868" xr:uid="{00000000-0005-0000-0000-00004D480000}"/>
    <cellStyle name="Normal 7 2 2 2 2 3 4" xfId="9612" xr:uid="{00000000-0005-0000-0000-00004E480000}"/>
    <cellStyle name="Normal 7 2 2 2 2 4" xfId="4170" xr:uid="{00000000-0005-0000-0000-00004F480000}"/>
    <cellStyle name="Normal 7 2 2 2 2 4 2" xfId="18682" xr:uid="{00000000-0005-0000-0000-000050480000}"/>
    <cellStyle name="Normal 7 2 2 2 2 4 3" xfId="11426" xr:uid="{00000000-0005-0000-0000-000051480000}"/>
    <cellStyle name="Normal 7 2 2 2 2 5" xfId="15054" xr:uid="{00000000-0005-0000-0000-000052480000}"/>
    <cellStyle name="Normal 7 2 2 2 2 6" xfId="7798" xr:uid="{00000000-0005-0000-0000-000053480000}"/>
    <cellStyle name="Normal 7 2 2 2 3" xfId="1103" xr:uid="{00000000-0005-0000-0000-000054480000}"/>
    <cellStyle name="Normal 7 2 2 2 3 2" xfId="2917" xr:uid="{00000000-0005-0000-0000-000055480000}"/>
    <cellStyle name="Normal 7 2 2 2 3 2 2" xfId="6545" xr:uid="{00000000-0005-0000-0000-000056480000}"/>
    <cellStyle name="Normal 7 2 2 2 3 2 2 2" xfId="21057" xr:uid="{00000000-0005-0000-0000-000057480000}"/>
    <cellStyle name="Normal 7 2 2 2 3 2 2 3" xfId="13801" xr:uid="{00000000-0005-0000-0000-000058480000}"/>
    <cellStyle name="Normal 7 2 2 2 3 2 3" xfId="17429" xr:uid="{00000000-0005-0000-0000-000059480000}"/>
    <cellStyle name="Normal 7 2 2 2 3 2 4" xfId="10173" xr:uid="{00000000-0005-0000-0000-00005A480000}"/>
    <cellStyle name="Normal 7 2 2 2 3 3" xfId="4731" xr:uid="{00000000-0005-0000-0000-00005B480000}"/>
    <cellStyle name="Normal 7 2 2 2 3 3 2" xfId="19243" xr:uid="{00000000-0005-0000-0000-00005C480000}"/>
    <cellStyle name="Normal 7 2 2 2 3 3 3" xfId="11987" xr:uid="{00000000-0005-0000-0000-00005D480000}"/>
    <cellStyle name="Normal 7 2 2 2 3 4" xfId="15615" xr:uid="{00000000-0005-0000-0000-00005E480000}"/>
    <cellStyle name="Normal 7 2 2 2 3 5" xfId="8359" xr:uid="{00000000-0005-0000-0000-00005F480000}"/>
    <cellStyle name="Normal 7 2 2 2 4" xfId="2010" xr:uid="{00000000-0005-0000-0000-000060480000}"/>
    <cellStyle name="Normal 7 2 2 2 4 2" xfId="5638" xr:uid="{00000000-0005-0000-0000-000061480000}"/>
    <cellStyle name="Normal 7 2 2 2 4 2 2" xfId="20150" xr:uid="{00000000-0005-0000-0000-000062480000}"/>
    <cellStyle name="Normal 7 2 2 2 4 2 3" xfId="12894" xr:uid="{00000000-0005-0000-0000-000063480000}"/>
    <cellStyle name="Normal 7 2 2 2 4 3" xfId="16522" xr:uid="{00000000-0005-0000-0000-000064480000}"/>
    <cellStyle name="Normal 7 2 2 2 4 4" xfId="9266" xr:uid="{00000000-0005-0000-0000-000065480000}"/>
    <cellStyle name="Normal 7 2 2 2 5" xfId="3824" xr:uid="{00000000-0005-0000-0000-000066480000}"/>
    <cellStyle name="Normal 7 2 2 2 5 2" xfId="18336" xr:uid="{00000000-0005-0000-0000-000067480000}"/>
    <cellStyle name="Normal 7 2 2 2 5 3" xfId="11080" xr:uid="{00000000-0005-0000-0000-000068480000}"/>
    <cellStyle name="Normal 7 2 2 2 6" xfId="14708" xr:uid="{00000000-0005-0000-0000-000069480000}"/>
    <cellStyle name="Normal 7 2 2 2 7" xfId="7452" xr:uid="{00000000-0005-0000-0000-00006A480000}"/>
    <cellStyle name="Normal 7 2 2 3" xfId="325" xr:uid="{00000000-0005-0000-0000-00006B480000}"/>
    <cellStyle name="Normal 7 2 2 3 2" xfId="671" xr:uid="{00000000-0005-0000-0000-00006C480000}"/>
    <cellStyle name="Normal 7 2 2 3 2 2" xfId="1579" xr:uid="{00000000-0005-0000-0000-00006D480000}"/>
    <cellStyle name="Normal 7 2 2 3 2 2 2" xfId="3393" xr:uid="{00000000-0005-0000-0000-00006E480000}"/>
    <cellStyle name="Normal 7 2 2 3 2 2 2 2" xfId="7021" xr:uid="{00000000-0005-0000-0000-00006F480000}"/>
    <cellStyle name="Normal 7 2 2 3 2 2 2 2 2" xfId="21533" xr:uid="{00000000-0005-0000-0000-000070480000}"/>
    <cellStyle name="Normal 7 2 2 3 2 2 2 2 3" xfId="14277" xr:uid="{00000000-0005-0000-0000-000071480000}"/>
    <cellStyle name="Normal 7 2 2 3 2 2 2 3" xfId="17905" xr:uid="{00000000-0005-0000-0000-000072480000}"/>
    <cellStyle name="Normal 7 2 2 3 2 2 2 4" xfId="10649" xr:uid="{00000000-0005-0000-0000-000073480000}"/>
    <cellStyle name="Normal 7 2 2 3 2 2 3" xfId="5207" xr:uid="{00000000-0005-0000-0000-000074480000}"/>
    <cellStyle name="Normal 7 2 2 3 2 2 3 2" xfId="19719" xr:uid="{00000000-0005-0000-0000-000075480000}"/>
    <cellStyle name="Normal 7 2 2 3 2 2 3 3" xfId="12463" xr:uid="{00000000-0005-0000-0000-000076480000}"/>
    <cellStyle name="Normal 7 2 2 3 2 2 4" xfId="16091" xr:uid="{00000000-0005-0000-0000-000077480000}"/>
    <cellStyle name="Normal 7 2 2 3 2 2 5" xfId="8835" xr:uid="{00000000-0005-0000-0000-000078480000}"/>
    <cellStyle name="Normal 7 2 2 3 2 3" xfId="2486" xr:uid="{00000000-0005-0000-0000-000079480000}"/>
    <cellStyle name="Normal 7 2 2 3 2 3 2" xfId="6114" xr:uid="{00000000-0005-0000-0000-00007A480000}"/>
    <cellStyle name="Normal 7 2 2 3 2 3 2 2" xfId="20626" xr:uid="{00000000-0005-0000-0000-00007B480000}"/>
    <cellStyle name="Normal 7 2 2 3 2 3 2 3" xfId="13370" xr:uid="{00000000-0005-0000-0000-00007C480000}"/>
    <cellStyle name="Normal 7 2 2 3 2 3 3" xfId="16998" xr:uid="{00000000-0005-0000-0000-00007D480000}"/>
    <cellStyle name="Normal 7 2 2 3 2 3 4" xfId="9742" xr:uid="{00000000-0005-0000-0000-00007E480000}"/>
    <cellStyle name="Normal 7 2 2 3 2 4" xfId="4300" xr:uid="{00000000-0005-0000-0000-00007F480000}"/>
    <cellStyle name="Normal 7 2 2 3 2 4 2" xfId="18812" xr:uid="{00000000-0005-0000-0000-000080480000}"/>
    <cellStyle name="Normal 7 2 2 3 2 4 3" xfId="11556" xr:uid="{00000000-0005-0000-0000-000081480000}"/>
    <cellStyle name="Normal 7 2 2 3 2 5" xfId="15184" xr:uid="{00000000-0005-0000-0000-000082480000}"/>
    <cellStyle name="Normal 7 2 2 3 2 6" xfId="7928" xr:uid="{00000000-0005-0000-0000-000083480000}"/>
    <cellStyle name="Normal 7 2 2 3 3" xfId="1233" xr:uid="{00000000-0005-0000-0000-000084480000}"/>
    <cellStyle name="Normal 7 2 2 3 3 2" xfId="3047" xr:uid="{00000000-0005-0000-0000-000085480000}"/>
    <cellStyle name="Normal 7 2 2 3 3 2 2" xfId="6675" xr:uid="{00000000-0005-0000-0000-000086480000}"/>
    <cellStyle name="Normal 7 2 2 3 3 2 2 2" xfId="21187" xr:uid="{00000000-0005-0000-0000-000087480000}"/>
    <cellStyle name="Normal 7 2 2 3 3 2 2 3" xfId="13931" xr:uid="{00000000-0005-0000-0000-000088480000}"/>
    <cellStyle name="Normal 7 2 2 3 3 2 3" xfId="17559" xr:uid="{00000000-0005-0000-0000-000089480000}"/>
    <cellStyle name="Normal 7 2 2 3 3 2 4" xfId="10303" xr:uid="{00000000-0005-0000-0000-00008A480000}"/>
    <cellStyle name="Normal 7 2 2 3 3 3" xfId="4861" xr:uid="{00000000-0005-0000-0000-00008B480000}"/>
    <cellStyle name="Normal 7 2 2 3 3 3 2" xfId="19373" xr:uid="{00000000-0005-0000-0000-00008C480000}"/>
    <cellStyle name="Normal 7 2 2 3 3 3 3" xfId="12117" xr:uid="{00000000-0005-0000-0000-00008D480000}"/>
    <cellStyle name="Normal 7 2 2 3 3 4" xfId="15745" xr:uid="{00000000-0005-0000-0000-00008E480000}"/>
    <cellStyle name="Normal 7 2 2 3 3 5" xfId="8489" xr:uid="{00000000-0005-0000-0000-00008F480000}"/>
    <cellStyle name="Normal 7 2 2 3 4" xfId="2140" xr:uid="{00000000-0005-0000-0000-000090480000}"/>
    <cellStyle name="Normal 7 2 2 3 4 2" xfId="5768" xr:uid="{00000000-0005-0000-0000-000091480000}"/>
    <cellStyle name="Normal 7 2 2 3 4 2 2" xfId="20280" xr:uid="{00000000-0005-0000-0000-000092480000}"/>
    <cellStyle name="Normal 7 2 2 3 4 2 3" xfId="13024" xr:uid="{00000000-0005-0000-0000-000093480000}"/>
    <cellStyle name="Normal 7 2 2 3 4 3" xfId="16652" xr:uid="{00000000-0005-0000-0000-000094480000}"/>
    <cellStyle name="Normal 7 2 2 3 4 4" xfId="9396" xr:uid="{00000000-0005-0000-0000-000095480000}"/>
    <cellStyle name="Normal 7 2 2 3 5" xfId="3954" xr:uid="{00000000-0005-0000-0000-000096480000}"/>
    <cellStyle name="Normal 7 2 2 3 5 2" xfId="18466" xr:uid="{00000000-0005-0000-0000-000097480000}"/>
    <cellStyle name="Normal 7 2 2 3 5 3" xfId="11210" xr:uid="{00000000-0005-0000-0000-000098480000}"/>
    <cellStyle name="Normal 7 2 2 3 6" xfId="14838" xr:uid="{00000000-0005-0000-0000-000099480000}"/>
    <cellStyle name="Normal 7 2 2 3 7" xfId="7582" xr:uid="{00000000-0005-0000-0000-00009A480000}"/>
    <cellStyle name="Normal 7 2 2 4" xfId="801" xr:uid="{00000000-0005-0000-0000-00009B480000}"/>
    <cellStyle name="Normal 7 2 2 4 2" xfId="1709" xr:uid="{00000000-0005-0000-0000-00009C480000}"/>
    <cellStyle name="Normal 7 2 2 4 2 2" xfId="3523" xr:uid="{00000000-0005-0000-0000-00009D480000}"/>
    <cellStyle name="Normal 7 2 2 4 2 2 2" xfId="7151" xr:uid="{00000000-0005-0000-0000-00009E480000}"/>
    <cellStyle name="Normal 7 2 2 4 2 2 2 2" xfId="21663" xr:uid="{00000000-0005-0000-0000-00009F480000}"/>
    <cellStyle name="Normal 7 2 2 4 2 2 2 3" xfId="14407" xr:uid="{00000000-0005-0000-0000-0000A0480000}"/>
    <cellStyle name="Normal 7 2 2 4 2 2 3" xfId="18035" xr:uid="{00000000-0005-0000-0000-0000A1480000}"/>
    <cellStyle name="Normal 7 2 2 4 2 2 4" xfId="10779" xr:uid="{00000000-0005-0000-0000-0000A2480000}"/>
    <cellStyle name="Normal 7 2 2 4 2 3" xfId="5337" xr:uid="{00000000-0005-0000-0000-0000A3480000}"/>
    <cellStyle name="Normal 7 2 2 4 2 3 2" xfId="19849" xr:uid="{00000000-0005-0000-0000-0000A4480000}"/>
    <cellStyle name="Normal 7 2 2 4 2 3 3" xfId="12593" xr:uid="{00000000-0005-0000-0000-0000A5480000}"/>
    <cellStyle name="Normal 7 2 2 4 2 4" xfId="16221" xr:uid="{00000000-0005-0000-0000-0000A6480000}"/>
    <cellStyle name="Normal 7 2 2 4 2 5" xfId="8965" xr:uid="{00000000-0005-0000-0000-0000A7480000}"/>
    <cellStyle name="Normal 7 2 2 4 3" xfId="2616" xr:uid="{00000000-0005-0000-0000-0000A8480000}"/>
    <cellStyle name="Normal 7 2 2 4 3 2" xfId="6244" xr:uid="{00000000-0005-0000-0000-0000A9480000}"/>
    <cellStyle name="Normal 7 2 2 4 3 2 2" xfId="20756" xr:uid="{00000000-0005-0000-0000-0000AA480000}"/>
    <cellStyle name="Normal 7 2 2 4 3 2 3" xfId="13500" xr:uid="{00000000-0005-0000-0000-0000AB480000}"/>
    <cellStyle name="Normal 7 2 2 4 3 3" xfId="17128" xr:uid="{00000000-0005-0000-0000-0000AC480000}"/>
    <cellStyle name="Normal 7 2 2 4 3 4" xfId="9872" xr:uid="{00000000-0005-0000-0000-0000AD480000}"/>
    <cellStyle name="Normal 7 2 2 4 4" xfId="4430" xr:uid="{00000000-0005-0000-0000-0000AE480000}"/>
    <cellStyle name="Normal 7 2 2 4 4 2" xfId="18942" xr:uid="{00000000-0005-0000-0000-0000AF480000}"/>
    <cellStyle name="Normal 7 2 2 4 4 3" xfId="11686" xr:uid="{00000000-0005-0000-0000-0000B0480000}"/>
    <cellStyle name="Normal 7 2 2 4 5" xfId="15314" xr:uid="{00000000-0005-0000-0000-0000B1480000}"/>
    <cellStyle name="Normal 7 2 2 4 6" xfId="8058" xr:uid="{00000000-0005-0000-0000-0000B2480000}"/>
    <cellStyle name="Normal 7 2 2 5" xfId="455" xr:uid="{00000000-0005-0000-0000-0000B3480000}"/>
    <cellStyle name="Normal 7 2 2 5 2" xfId="1363" xr:uid="{00000000-0005-0000-0000-0000B4480000}"/>
    <cellStyle name="Normal 7 2 2 5 2 2" xfId="3177" xr:uid="{00000000-0005-0000-0000-0000B5480000}"/>
    <cellStyle name="Normal 7 2 2 5 2 2 2" xfId="6805" xr:uid="{00000000-0005-0000-0000-0000B6480000}"/>
    <cellStyle name="Normal 7 2 2 5 2 2 2 2" xfId="21317" xr:uid="{00000000-0005-0000-0000-0000B7480000}"/>
    <cellStyle name="Normal 7 2 2 5 2 2 2 3" xfId="14061" xr:uid="{00000000-0005-0000-0000-0000B8480000}"/>
    <cellStyle name="Normal 7 2 2 5 2 2 3" xfId="17689" xr:uid="{00000000-0005-0000-0000-0000B9480000}"/>
    <cellStyle name="Normal 7 2 2 5 2 2 4" xfId="10433" xr:uid="{00000000-0005-0000-0000-0000BA480000}"/>
    <cellStyle name="Normal 7 2 2 5 2 3" xfId="4991" xr:uid="{00000000-0005-0000-0000-0000BB480000}"/>
    <cellStyle name="Normal 7 2 2 5 2 3 2" xfId="19503" xr:uid="{00000000-0005-0000-0000-0000BC480000}"/>
    <cellStyle name="Normal 7 2 2 5 2 3 3" xfId="12247" xr:uid="{00000000-0005-0000-0000-0000BD480000}"/>
    <cellStyle name="Normal 7 2 2 5 2 4" xfId="15875" xr:uid="{00000000-0005-0000-0000-0000BE480000}"/>
    <cellStyle name="Normal 7 2 2 5 2 5" xfId="8619" xr:uid="{00000000-0005-0000-0000-0000BF480000}"/>
    <cellStyle name="Normal 7 2 2 5 3" xfId="2270" xr:uid="{00000000-0005-0000-0000-0000C0480000}"/>
    <cellStyle name="Normal 7 2 2 5 3 2" xfId="5898" xr:uid="{00000000-0005-0000-0000-0000C1480000}"/>
    <cellStyle name="Normal 7 2 2 5 3 2 2" xfId="20410" xr:uid="{00000000-0005-0000-0000-0000C2480000}"/>
    <cellStyle name="Normal 7 2 2 5 3 2 3" xfId="13154" xr:uid="{00000000-0005-0000-0000-0000C3480000}"/>
    <cellStyle name="Normal 7 2 2 5 3 3" xfId="16782" xr:uid="{00000000-0005-0000-0000-0000C4480000}"/>
    <cellStyle name="Normal 7 2 2 5 3 4" xfId="9526" xr:uid="{00000000-0005-0000-0000-0000C5480000}"/>
    <cellStyle name="Normal 7 2 2 5 4" xfId="4084" xr:uid="{00000000-0005-0000-0000-0000C6480000}"/>
    <cellStyle name="Normal 7 2 2 5 4 2" xfId="18596" xr:uid="{00000000-0005-0000-0000-0000C7480000}"/>
    <cellStyle name="Normal 7 2 2 5 4 3" xfId="11340" xr:uid="{00000000-0005-0000-0000-0000C8480000}"/>
    <cellStyle name="Normal 7 2 2 5 5" xfId="14968" xr:uid="{00000000-0005-0000-0000-0000C9480000}"/>
    <cellStyle name="Normal 7 2 2 5 6" xfId="7712" xr:uid="{00000000-0005-0000-0000-0000CA480000}"/>
    <cellStyle name="Normal 7 2 2 6" xfId="931" xr:uid="{00000000-0005-0000-0000-0000CB480000}"/>
    <cellStyle name="Normal 7 2 2 6 2" xfId="1838" xr:uid="{00000000-0005-0000-0000-0000CC480000}"/>
    <cellStyle name="Normal 7 2 2 6 2 2" xfId="3652" xr:uid="{00000000-0005-0000-0000-0000CD480000}"/>
    <cellStyle name="Normal 7 2 2 6 2 2 2" xfId="7280" xr:uid="{00000000-0005-0000-0000-0000CE480000}"/>
    <cellStyle name="Normal 7 2 2 6 2 2 2 2" xfId="21792" xr:uid="{00000000-0005-0000-0000-0000CF480000}"/>
    <cellStyle name="Normal 7 2 2 6 2 2 2 3" xfId="14536" xr:uid="{00000000-0005-0000-0000-0000D0480000}"/>
    <cellStyle name="Normal 7 2 2 6 2 2 3" xfId="18164" xr:uid="{00000000-0005-0000-0000-0000D1480000}"/>
    <cellStyle name="Normal 7 2 2 6 2 2 4" xfId="10908" xr:uid="{00000000-0005-0000-0000-0000D2480000}"/>
    <cellStyle name="Normal 7 2 2 6 2 3" xfId="5466" xr:uid="{00000000-0005-0000-0000-0000D3480000}"/>
    <cellStyle name="Normal 7 2 2 6 2 3 2" xfId="19978" xr:uid="{00000000-0005-0000-0000-0000D4480000}"/>
    <cellStyle name="Normal 7 2 2 6 2 3 3" xfId="12722" xr:uid="{00000000-0005-0000-0000-0000D5480000}"/>
    <cellStyle name="Normal 7 2 2 6 2 4" xfId="16350" xr:uid="{00000000-0005-0000-0000-0000D6480000}"/>
    <cellStyle name="Normal 7 2 2 6 2 5" xfId="9094" xr:uid="{00000000-0005-0000-0000-0000D7480000}"/>
    <cellStyle name="Normal 7 2 2 6 3" xfId="2745" xr:uid="{00000000-0005-0000-0000-0000D8480000}"/>
    <cellStyle name="Normal 7 2 2 6 3 2" xfId="6373" xr:uid="{00000000-0005-0000-0000-0000D9480000}"/>
    <cellStyle name="Normal 7 2 2 6 3 2 2" xfId="20885" xr:uid="{00000000-0005-0000-0000-0000DA480000}"/>
    <cellStyle name="Normal 7 2 2 6 3 2 3" xfId="13629" xr:uid="{00000000-0005-0000-0000-0000DB480000}"/>
    <cellStyle name="Normal 7 2 2 6 3 3" xfId="17257" xr:uid="{00000000-0005-0000-0000-0000DC480000}"/>
    <cellStyle name="Normal 7 2 2 6 3 4" xfId="10001" xr:uid="{00000000-0005-0000-0000-0000DD480000}"/>
    <cellStyle name="Normal 7 2 2 6 4" xfId="4559" xr:uid="{00000000-0005-0000-0000-0000DE480000}"/>
    <cellStyle name="Normal 7 2 2 6 4 2" xfId="19071" xr:uid="{00000000-0005-0000-0000-0000DF480000}"/>
    <cellStyle name="Normal 7 2 2 6 4 3" xfId="11815" xr:uid="{00000000-0005-0000-0000-0000E0480000}"/>
    <cellStyle name="Normal 7 2 2 6 5" xfId="15443" xr:uid="{00000000-0005-0000-0000-0000E1480000}"/>
    <cellStyle name="Normal 7 2 2 6 6" xfId="8187" xr:uid="{00000000-0005-0000-0000-0000E2480000}"/>
    <cellStyle name="Normal 7 2 2 7" xfId="1017" xr:uid="{00000000-0005-0000-0000-0000E3480000}"/>
    <cellStyle name="Normal 7 2 2 7 2" xfId="2831" xr:uid="{00000000-0005-0000-0000-0000E4480000}"/>
    <cellStyle name="Normal 7 2 2 7 2 2" xfId="6459" xr:uid="{00000000-0005-0000-0000-0000E5480000}"/>
    <cellStyle name="Normal 7 2 2 7 2 2 2" xfId="20971" xr:uid="{00000000-0005-0000-0000-0000E6480000}"/>
    <cellStyle name="Normal 7 2 2 7 2 2 3" xfId="13715" xr:uid="{00000000-0005-0000-0000-0000E7480000}"/>
    <cellStyle name="Normal 7 2 2 7 2 3" xfId="17343" xr:uid="{00000000-0005-0000-0000-0000E8480000}"/>
    <cellStyle name="Normal 7 2 2 7 2 4" xfId="10087" xr:uid="{00000000-0005-0000-0000-0000E9480000}"/>
    <cellStyle name="Normal 7 2 2 7 3" xfId="4645" xr:uid="{00000000-0005-0000-0000-0000EA480000}"/>
    <cellStyle name="Normal 7 2 2 7 3 2" xfId="19157" xr:uid="{00000000-0005-0000-0000-0000EB480000}"/>
    <cellStyle name="Normal 7 2 2 7 3 3" xfId="11901" xr:uid="{00000000-0005-0000-0000-0000EC480000}"/>
    <cellStyle name="Normal 7 2 2 7 4" xfId="15529" xr:uid="{00000000-0005-0000-0000-0000ED480000}"/>
    <cellStyle name="Normal 7 2 2 7 5" xfId="8273" xr:uid="{00000000-0005-0000-0000-0000EE480000}"/>
    <cellStyle name="Normal 7 2 2 8" xfId="1924" xr:uid="{00000000-0005-0000-0000-0000EF480000}"/>
    <cellStyle name="Normal 7 2 2 8 2" xfId="5552" xr:uid="{00000000-0005-0000-0000-0000F0480000}"/>
    <cellStyle name="Normal 7 2 2 8 2 2" xfId="20064" xr:uid="{00000000-0005-0000-0000-0000F1480000}"/>
    <cellStyle name="Normal 7 2 2 8 2 3" xfId="12808" xr:uid="{00000000-0005-0000-0000-0000F2480000}"/>
    <cellStyle name="Normal 7 2 2 8 3" xfId="16436" xr:uid="{00000000-0005-0000-0000-0000F3480000}"/>
    <cellStyle name="Normal 7 2 2 8 4" xfId="9180" xr:uid="{00000000-0005-0000-0000-0000F4480000}"/>
    <cellStyle name="Normal 7 2 2 9" xfId="3738" xr:uid="{00000000-0005-0000-0000-0000F5480000}"/>
    <cellStyle name="Normal 7 2 2 9 2" xfId="18250" xr:uid="{00000000-0005-0000-0000-0000F6480000}"/>
    <cellStyle name="Normal 7 2 2 9 3" xfId="10994" xr:uid="{00000000-0005-0000-0000-0000F7480000}"/>
    <cellStyle name="Normal 7 2 3" xfId="239" xr:uid="{00000000-0005-0000-0000-0000F8480000}"/>
    <cellStyle name="Normal 7 2 3 2" xfId="369" xr:uid="{00000000-0005-0000-0000-0000F9480000}"/>
    <cellStyle name="Normal 7 2 3 2 2" xfId="715" xr:uid="{00000000-0005-0000-0000-0000FA480000}"/>
    <cellStyle name="Normal 7 2 3 2 2 2" xfId="1623" xr:uid="{00000000-0005-0000-0000-0000FB480000}"/>
    <cellStyle name="Normal 7 2 3 2 2 2 2" xfId="3437" xr:uid="{00000000-0005-0000-0000-0000FC480000}"/>
    <cellStyle name="Normal 7 2 3 2 2 2 2 2" xfId="7065" xr:uid="{00000000-0005-0000-0000-0000FD480000}"/>
    <cellStyle name="Normal 7 2 3 2 2 2 2 2 2" xfId="21577" xr:uid="{00000000-0005-0000-0000-0000FE480000}"/>
    <cellStyle name="Normal 7 2 3 2 2 2 2 2 3" xfId="14321" xr:uid="{00000000-0005-0000-0000-0000FF480000}"/>
    <cellStyle name="Normal 7 2 3 2 2 2 2 3" xfId="17949" xr:uid="{00000000-0005-0000-0000-000000490000}"/>
    <cellStyle name="Normal 7 2 3 2 2 2 2 4" xfId="10693" xr:uid="{00000000-0005-0000-0000-000001490000}"/>
    <cellStyle name="Normal 7 2 3 2 2 2 3" xfId="5251" xr:uid="{00000000-0005-0000-0000-000002490000}"/>
    <cellStyle name="Normal 7 2 3 2 2 2 3 2" xfId="19763" xr:uid="{00000000-0005-0000-0000-000003490000}"/>
    <cellStyle name="Normal 7 2 3 2 2 2 3 3" xfId="12507" xr:uid="{00000000-0005-0000-0000-000004490000}"/>
    <cellStyle name="Normal 7 2 3 2 2 2 4" xfId="16135" xr:uid="{00000000-0005-0000-0000-000005490000}"/>
    <cellStyle name="Normal 7 2 3 2 2 2 5" xfId="8879" xr:uid="{00000000-0005-0000-0000-000006490000}"/>
    <cellStyle name="Normal 7 2 3 2 2 3" xfId="2530" xr:uid="{00000000-0005-0000-0000-000007490000}"/>
    <cellStyle name="Normal 7 2 3 2 2 3 2" xfId="6158" xr:uid="{00000000-0005-0000-0000-000008490000}"/>
    <cellStyle name="Normal 7 2 3 2 2 3 2 2" xfId="20670" xr:uid="{00000000-0005-0000-0000-000009490000}"/>
    <cellStyle name="Normal 7 2 3 2 2 3 2 3" xfId="13414" xr:uid="{00000000-0005-0000-0000-00000A490000}"/>
    <cellStyle name="Normal 7 2 3 2 2 3 3" xfId="17042" xr:uid="{00000000-0005-0000-0000-00000B490000}"/>
    <cellStyle name="Normal 7 2 3 2 2 3 4" xfId="9786" xr:uid="{00000000-0005-0000-0000-00000C490000}"/>
    <cellStyle name="Normal 7 2 3 2 2 4" xfId="4344" xr:uid="{00000000-0005-0000-0000-00000D490000}"/>
    <cellStyle name="Normal 7 2 3 2 2 4 2" xfId="18856" xr:uid="{00000000-0005-0000-0000-00000E490000}"/>
    <cellStyle name="Normal 7 2 3 2 2 4 3" xfId="11600" xr:uid="{00000000-0005-0000-0000-00000F490000}"/>
    <cellStyle name="Normal 7 2 3 2 2 5" xfId="15228" xr:uid="{00000000-0005-0000-0000-000010490000}"/>
    <cellStyle name="Normal 7 2 3 2 2 6" xfId="7972" xr:uid="{00000000-0005-0000-0000-000011490000}"/>
    <cellStyle name="Normal 7 2 3 2 3" xfId="1277" xr:uid="{00000000-0005-0000-0000-000012490000}"/>
    <cellStyle name="Normal 7 2 3 2 3 2" xfId="3091" xr:uid="{00000000-0005-0000-0000-000013490000}"/>
    <cellStyle name="Normal 7 2 3 2 3 2 2" xfId="6719" xr:uid="{00000000-0005-0000-0000-000014490000}"/>
    <cellStyle name="Normal 7 2 3 2 3 2 2 2" xfId="21231" xr:uid="{00000000-0005-0000-0000-000015490000}"/>
    <cellStyle name="Normal 7 2 3 2 3 2 2 3" xfId="13975" xr:uid="{00000000-0005-0000-0000-000016490000}"/>
    <cellStyle name="Normal 7 2 3 2 3 2 3" xfId="17603" xr:uid="{00000000-0005-0000-0000-000017490000}"/>
    <cellStyle name="Normal 7 2 3 2 3 2 4" xfId="10347" xr:uid="{00000000-0005-0000-0000-000018490000}"/>
    <cellStyle name="Normal 7 2 3 2 3 3" xfId="4905" xr:uid="{00000000-0005-0000-0000-000019490000}"/>
    <cellStyle name="Normal 7 2 3 2 3 3 2" xfId="19417" xr:uid="{00000000-0005-0000-0000-00001A490000}"/>
    <cellStyle name="Normal 7 2 3 2 3 3 3" xfId="12161" xr:uid="{00000000-0005-0000-0000-00001B490000}"/>
    <cellStyle name="Normal 7 2 3 2 3 4" xfId="15789" xr:uid="{00000000-0005-0000-0000-00001C490000}"/>
    <cellStyle name="Normal 7 2 3 2 3 5" xfId="8533" xr:uid="{00000000-0005-0000-0000-00001D490000}"/>
    <cellStyle name="Normal 7 2 3 2 4" xfId="2184" xr:uid="{00000000-0005-0000-0000-00001E490000}"/>
    <cellStyle name="Normal 7 2 3 2 4 2" xfId="5812" xr:uid="{00000000-0005-0000-0000-00001F490000}"/>
    <cellStyle name="Normal 7 2 3 2 4 2 2" xfId="20324" xr:uid="{00000000-0005-0000-0000-000020490000}"/>
    <cellStyle name="Normal 7 2 3 2 4 2 3" xfId="13068" xr:uid="{00000000-0005-0000-0000-000021490000}"/>
    <cellStyle name="Normal 7 2 3 2 4 3" xfId="16696" xr:uid="{00000000-0005-0000-0000-000022490000}"/>
    <cellStyle name="Normal 7 2 3 2 4 4" xfId="9440" xr:uid="{00000000-0005-0000-0000-000023490000}"/>
    <cellStyle name="Normal 7 2 3 2 5" xfId="3998" xr:uid="{00000000-0005-0000-0000-000024490000}"/>
    <cellStyle name="Normal 7 2 3 2 5 2" xfId="18510" xr:uid="{00000000-0005-0000-0000-000025490000}"/>
    <cellStyle name="Normal 7 2 3 2 5 3" xfId="11254" xr:uid="{00000000-0005-0000-0000-000026490000}"/>
    <cellStyle name="Normal 7 2 3 2 6" xfId="14882" xr:uid="{00000000-0005-0000-0000-000027490000}"/>
    <cellStyle name="Normal 7 2 3 2 7" xfId="7626" xr:uid="{00000000-0005-0000-0000-000028490000}"/>
    <cellStyle name="Normal 7 2 3 3" xfId="845" xr:uid="{00000000-0005-0000-0000-000029490000}"/>
    <cellStyle name="Normal 7 2 3 3 2" xfId="1753" xr:uid="{00000000-0005-0000-0000-00002A490000}"/>
    <cellStyle name="Normal 7 2 3 3 2 2" xfId="3567" xr:uid="{00000000-0005-0000-0000-00002B490000}"/>
    <cellStyle name="Normal 7 2 3 3 2 2 2" xfId="7195" xr:uid="{00000000-0005-0000-0000-00002C490000}"/>
    <cellStyle name="Normal 7 2 3 3 2 2 2 2" xfId="21707" xr:uid="{00000000-0005-0000-0000-00002D490000}"/>
    <cellStyle name="Normal 7 2 3 3 2 2 2 3" xfId="14451" xr:uid="{00000000-0005-0000-0000-00002E490000}"/>
    <cellStyle name="Normal 7 2 3 3 2 2 3" xfId="18079" xr:uid="{00000000-0005-0000-0000-00002F490000}"/>
    <cellStyle name="Normal 7 2 3 3 2 2 4" xfId="10823" xr:uid="{00000000-0005-0000-0000-000030490000}"/>
    <cellStyle name="Normal 7 2 3 3 2 3" xfId="5381" xr:uid="{00000000-0005-0000-0000-000031490000}"/>
    <cellStyle name="Normal 7 2 3 3 2 3 2" xfId="19893" xr:uid="{00000000-0005-0000-0000-000032490000}"/>
    <cellStyle name="Normal 7 2 3 3 2 3 3" xfId="12637" xr:uid="{00000000-0005-0000-0000-000033490000}"/>
    <cellStyle name="Normal 7 2 3 3 2 4" xfId="16265" xr:uid="{00000000-0005-0000-0000-000034490000}"/>
    <cellStyle name="Normal 7 2 3 3 2 5" xfId="9009" xr:uid="{00000000-0005-0000-0000-000035490000}"/>
    <cellStyle name="Normal 7 2 3 3 3" xfId="2660" xr:uid="{00000000-0005-0000-0000-000036490000}"/>
    <cellStyle name="Normal 7 2 3 3 3 2" xfId="6288" xr:uid="{00000000-0005-0000-0000-000037490000}"/>
    <cellStyle name="Normal 7 2 3 3 3 2 2" xfId="20800" xr:uid="{00000000-0005-0000-0000-000038490000}"/>
    <cellStyle name="Normal 7 2 3 3 3 2 3" xfId="13544" xr:uid="{00000000-0005-0000-0000-000039490000}"/>
    <cellStyle name="Normal 7 2 3 3 3 3" xfId="17172" xr:uid="{00000000-0005-0000-0000-00003A490000}"/>
    <cellStyle name="Normal 7 2 3 3 3 4" xfId="9916" xr:uid="{00000000-0005-0000-0000-00003B490000}"/>
    <cellStyle name="Normal 7 2 3 3 4" xfId="4474" xr:uid="{00000000-0005-0000-0000-00003C490000}"/>
    <cellStyle name="Normal 7 2 3 3 4 2" xfId="18986" xr:uid="{00000000-0005-0000-0000-00003D490000}"/>
    <cellStyle name="Normal 7 2 3 3 4 3" xfId="11730" xr:uid="{00000000-0005-0000-0000-00003E490000}"/>
    <cellStyle name="Normal 7 2 3 3 5" xfId="15358" xr:uid="{00000000-0005-0000-0000-00003F490000}"/>
    <cellStyle name="Normal 7 2 3 3 6" xfId="8102" xr:uid="{00000000-0005-0000-0000-000040490000}"/>
    <cellStyle name="Normal 7 2 3 4" xfId="585" xr:uid="{00000000-0005-0000-0000-000041490000}"/>
    <cellStyle name="Normal 7 2 3 4 2" xfId="1493" xr:uid="{00000000-0005-0000-0000-000042490000}"/>
    <cellStyle name="Normal 7 2 3 4 2 2" xfId="3307" xr:uid="{00000000-0005-0000-0000-000043490000}"/>
    <cellStyle name="Normal 7 2 3 4 2 2 2" xfId="6935" xr:uid="{00000000-0005-0000-0000-000044490000}"/>
    <cellStyle name="Normal 7 2 3 4 2 2 2 2" xfId="21447" xr:uid="{00000000-0005-0000-0000-000045490000}"/>
    <cellStyle name="Normal 7 2 3 4 2 2 2 3" xfId="14191" xr:uid="{00000000-0005-0000-0000-000046490000}"/>
    <cellStyle name="Normal 7 2 3 4 2 2 3" xfId="17819" xr:uid="{00000000-0005-0000-0000-000047490000}"/>
    <cellStyle name="Normal 7 2 3 4 2 2 4" xfId="10563" xr:uid="{00000000-0005-0000-0000-000048490000}"/>
    <cellStyle name="Normal 7 2 3 4 2 3" xfId="5121" xr:uid="{00000000-0005-0000-0000-000049490000}"/>
    <cellStyle name="Normal 7 2 3 4 2 3 2" xfId="19633" xr:uid="{00000000-0005-0000-0000-00004A490000}"/>
    <cellStyle name="Normal 7 2 3 4 2 3 3" xfId="12377" xr:uid="{00000000-0005-0000-0000-00004B490000}"/>
    <cellStyle name="Normal 7 2 3 4 2 4" xfId="16005" xr:uid="{00000000-0005-0000-0000-00004C490000}"/>
    <cellStyle name="Normal 7 2 3 4 2 5" xfId="8749" xr:uid="{00000000-0005-0000-0000-00004D490000}"/>
    <cellStyle name="Normal 7 2 3 4 3" xfId="2400" xr:uid="{00000000-0005-0000-0000-00004E490000}"/>
    <cellStyle name="Normal 7 2 3 4 3 2" xfId="6028" xr:uid="{00000000-0005-0000-0000-00004F490000}"/>
    <cellStyle name="Normal 7 2 3 4 3 2 2" xfId="20540" xr:uid="{00000000-0005-0000-0000-000050490000}"/>
    <cellStyle name="Normal 7 2 3 4 3 2 3" xfId="13284" xr:uid="{00000000-0005-0000-0000-000051490000}"/>
    <cellStyle name="Normal 7 2 3 4 3 3" xfId="16912" xr:uid="{00000000-0005-0000-0000-000052490000}"/>
    <cellStyle name="Normal 7 2 3 4 3 4" xfId="9656" xr:uid="{00000000-0005-0000-0000-000053490000}"/>
    <cellStyle name="Normal 7 2 3 4 4" xfId="4214" xr:uid="{00000000-0005-0000-0000-000054490000}"/>
    <cellStyle name="Normal 7 2 3 4 4 2" xfId="18726" xr:uid="{00000000-0005-0000-0000-000055490000}"/>
    <cellStyle name="Normal 7 2 3 4 4 3" xfId="11470" xr:uid="{00000000-0005-0000-0000-000056490000}"/>
    <cellStyle name="Normal 7 2 3 4 5" xfId="15098" xr:uid="{00000000-0005-0000-0000-000057490000}"/>
    <cellStyle name="Normal 7 2 3 4 6" xfId="7842" xr:uid="{00000000-0005-0000-0000-000058490000}"/>
    <cellStyle name="Normal 7 2 3 5" xfId="1147" xr:uid="{00000000-0005-0000-0000-000059490000}"/>
    <cellStyle name="Normal 7 2 3 5 2" xfId="2961" xr:uid="{00000000-0005-0000-0000-00005A490000}"/>
    <cellStyle name="Normal 7 2 3 5 2 2" xfId="6589" xr:uid="{00000000-0005-0000-0000-00005B490000}"/>
    <cellStyle name="Normal 7 2 3 5 2 2 2" xfId="21101" xr:uid="{00000000-0005-0000-0000-00005C490000}"/>
    <cellStyle name="Normal 7 2 3 5 2 2 3" xfId="13845" xr:uid="{00000000-0005-0000-0000-00005D490000}"/>
    <cellStyle name="Normal 7 2 3 5 2 3" xfId="17473" xr:uid="{00000000-0005-0000-0000-00005E490000}"/>
    <cellStyle name="Normal 7 2 3 5 2 4" xfId="10217" xr:uid="{00000000-0005-0000-0000-00005F490000}"/>
    <cellStyle name="Normal 7 2 3 5 3" xfId="4775" xr:uid="{00000000-0005-0000-0000-000060490000}"/>
    <cellStyle name="Normal 7 2 3 5 3 2" xfId="19287" xr:uid="{00000000-0005-0000-0000-000061490000}"/>
    <cellStyle name="Normal 7 2 3 5 3 3" xfId="12031" xr:uid="{00000000-0005-0000-0000-000062490000}"/>
    <cellStyle name="Normal 7 2 3 5 4" xfId="15659" xr:uid="{00000000-0005-0000-0000-000063490000}"/>
    <cellStyle name="Normal 7 2 3 5 5" xfId="8403" xr:uid="{00000000-0005-0000-0000-000064490000}"/>
    <cellStyle name="Normal 7 2 3 6" xfId="2054" xr:uid="{00000000-0005-0000-0000-000065490000}"/>
    <cellStyle name="Normal 7 2 3 6 2" xfId="5682" xr:uid="{00000000-0005-0000-0000-000066490000}"/>
    <cellStyle name="Normal 7 2 3 6 2 2" xfId="20194" xr:uid="{00000000-0005-0000-0000-000067490000}"/>
    <cellStyle name="Normal 7 2 3 6 2 3" xfId="12938" xr:uid="{00000000-0005-0000-0000-000068490000}"/>
    <cellStyle name="Normal 7 2 3 6 3" xfId="16566" xr:uid="{00000000-0005-0000-0000-000069490000}"/>
    <cellStyle name="Normal 7 2 3 6 4" xfId="9310" xr:uid="{00000000-0005-0000-0000-00006A490000}"/>
    <cellStyle name="Normal 7 2 3 7" xfId="3868" xr:uid="{00000000-0005-0000-0000-00006B490000}"/>
    <cellStyle name="Normal 7 2 3 7 2" xfId="18380" xr:uid="{00000000-0005-0000-0000-00006C490000}"/>
    <cellStyle name="Normal 7 2 3 7 3" xfId="11124" xr:uid="{00000000-0005-0000-0000-00006D490000}"/>
    <cellStyle name="Normal 7 2 3 8" xfId="14752" xr:uid="{00000000-0005-0000-0000-00006E490000}"/>
    <cellStyle name="Normal 7 2 3 9" xfId="7496" xr:uid="{00000000-0005-0000-0000-00006F490000}"/>
    <cellStyle name="Normal 7 2 4" xfId="153" xr:uid="{00000000-0005-0000-0000-000070490000}"/>
    <cellStyle name="Normal 7 2 4 2" xfId="499" xr:uid="{00000000-0005-0000-0000-000071490000}"/>
    <cellStyle name="Normal 7 2 4 2 2" xfId="1407" xr:uid="{00000000-0005-0000-0000-000072490000}"/>
    <cellStyle name="Normal 7 2 4 2 2 2" xfId="3221" xr:uid="{00000000-0005-0000-0000-000073490000}"/>
    <cellStyle name="Normal 7 2 4 2 2 2 2" xfId="6849" xr:uid="{00000000-0005-0000-0000-000074490000}"/>
    <cellStyle name="Normal 7 2 4 2 2 2 2 2" xfId="21361" xr:uid="{00000000-0005-0000-0000-000075490000}"/>
    <cellStyle name="Normal 7 2 4 2 2 2 2 3" xfId="14105" xr:uid="{00000000-0005-0000-0000-000076490000}"/>
    <cellStyle name="Normal 7 2 4 2 2 2 3" xfId="17733" xr:uid="{00000000-0005-0000-0000-000077490000}"/>
    <cellStyle name="Normal 7 2 4 2 2 2 4" xfId="10477" xr:uid="{00000000-0005-0000-0000-000078490000}"/>
    <cellStyle name="Normal 7 2 4 2 2 3" xfId="5035" xr:uid="{00000000-0005-0000-0000-000079490000}"/>
    <cellStyle name="Normal 7 2 4 2 2 3 2" xfId="19547" xr:uid="{00000000-0005-0000-0000-00007A490000}"/>
    <cellStyle name="Normal 7 2 4 2 2 3 3" xfId="12291" xr:uid="{00000000-0005-0000-0000-00007B490000}"/>
    <cellStyle name="Normal 7 2 4 2 2 4" xfId="15919" xr:uid="{00000000-0005-0000-0000-00007C490000}"/>
    <cellStyle name="Normal 7 2 4 2 2 5" xfId="8663" xr:uid="{00000000-0005-0000-0000-00007D490000}"/>
    <cellStyle name="Normal 7 2 4 2 3" xfId="2314" xr:uid="{00000000-0005-0000-0000-00007E490000}"/>
    <cellStyle name="Normal 7 2 4 2 3 2" xfId="5942" xr:uid="{00000000-0005-0000-0000-00007F490000}"/>
    <cellStyle name="Normal 7 2 4 2 3 2 2" xfId="20454" xr:uid="{00000000-0005-0000-0000-000080490000}"/>
    <cellStyle name="Normal 7 2 4 2 3 2 3" xfId="13198" xr:uid="{00000000-0005-0000-0000-000081490000}"/>
    <cellStyle name="Normal 7 2 4 2 3 3" xfId="16826" xr:uid="{00000000-0005-0000-0000-000082490000}"/>
    <cellStyle name="Normal 7 2 4 2 3 4" xfId="9570" xr:uid="{00000000-0005-0000-0000-000083490000}"/>
    <cellStyle name="Normal 7 2 4 2 4" xfId="4128" xr:uid="{00000000-0005-0000-0000-000084490000}"/>
    <cellStyle name="Normal 7 2 4 2 4 2" xfId="18640" xr:uid="{00000000-0005-0000-0000-000085490000}"/>
    <cellStyle name="Normal 7 2 4 2 4 3" xfId="11384" xr:uid="{00000000-0005-0000-0000-000086490000}"/>
    <cellStyle name="Normal 7 2 4 2 5" xfId="15012" xr:uid="{00000000-0005-0000-0000-000087490000}"/>
    <cellStyle name="Normal 7 2 4 2 6" xfId="7756" xr:uid="{00000000-0005-0000-0000-000088490000}"/>
    <cellStyle name="Normal 7 2 4 3" xfId="1061" xr:uid="{00000000-0005-0000-0000-000089490000}"/>
    <cellStyle name="Normal 7 2 4 3 2" xfId="2875" xr:uid="{00000000-0005-0000-0000-00008A490000}"/>
    <cellStyle name="Normal 7 2 4 3 2 2" xfId="6503" xr:uid="{00000000-0005-0000-0000-00008B490000}"/>
    <cellStyle name="Normal 7 2 4 3 2 2 2" xfId="21015" xr:uid="{00000000-0005-0000-0000-00008C490000}"/>
    <cellStyle name="Normal 7 2 4 3 2 2 3" xfId="13759" xr:uid="{00000000-0005-0000-0000-00008D490000}"/>
    <cellStyle name="Normal 7 2 4 3 2 3" xfId="17387" xr:uid="{00000000-0005-0000-0000-00008E490000}"/>
    <cellStyle name="Normal 7 2 4 3 2 4" xfId="10131" xr:uid="{00000000-0005-0000-0000-00008F490000}"/>
    <cellStyle name="Normal 7 2 4 3 3" xfId="4689" xr:uid="{00000000-0005-0000-0000-000090490000}"/>
    <cellStyle name="Normal 7 2 4 3 3 2" xfId="19201" xr:uid="{00000000-0005-0000-0000-000091490000}"/>
    <cellStyle name="Normal 7 2 4 3 3 3" xfId="11945" xr:uid="{00000000-0005-0000-0000-000092490000}"/>
    <cellStyle name="Normal 7 2 4 3 4" xfId="15573" xr:uid="{00000000-0005-0000-0000-000093490000}"/>
    <cellStyle name="Normal 7 2 4 3 5" xfId="8317" xr:uid="{00000000-0005-0000-0000-000094490000}"/>
    <cellStyle name="Normal 7 2 4 4" xfId="1968" xr:uid="{00000000-0005-0000-0000-000095490000}"/>
    <cellStyle name="Normal 7 2 4 4 2" xfId="5596" xr:uid="{00000000-0005-0000-0000-000096490000}"/>
    <cellStyle name="Normal 7 2 4 4 2 2" xfId="20108" xr:uid="{00000000-0005-0000-0000-000097490000}"/>
    <cellStyle name="Normal 7 2 4 4 2 3" xfId="12852" xr:uid="{00000000-0005-0000-0000-000098490000}"/>
    <cellStyle name="Normal 7 2 4 4 3" xfId="16480" xr:uid="{00000000-0005-0000-0000-000099490000}"/>
    <cellStyle name="Normal 7 2 4 4 4" xfId="9224" xr:uid="{00000000-0005-0000-0000-00009A490000}"/>
    <cellStyle name="Normal 7 2 4 5" xfId="3782" xr:uid="{00000000-0005-0000-0000-00009B490000}"/>
    <cellStyle name="Normal 7 2 4 5 2" xfId="18294" xr:uid="{00000000-0005-0000-0000-00009C490000}"/>
    <cellStyle name="Normal 7 2 4 5 3" xfId="11038" xr:uid="{00000000-0005-0000-0000-00009D490000}"/>
    <cellStyle name="Normal 7 2 4 6" xfId="14666" xr:uid="{00000000-0005-0000-0000-00009E490000}"/>
    <cellStyle name="Normal 7 2 4 7" xfId="7410" xr:uid="{00000000-0005-0000-0000-00009F490000}"/>
    <cellStyle name="Normal 7 2 5" xfId="283" xr:uid="{00000000-0005-0000-0000-0000A0490000}"/>
    <cellStyle name="Normal 7 2 5 2" xfId="629" xr:uid="{00000000-0005-0000-0000-0000A1490000}"/>
    <cellStyle name="Normal 7 2 5 2 2" xfId="1537" xr:uid="{00000000-0005-0000-0000-0000A2490000}"/>
    <cellStyle name="Normal 7 2 5 2 2 2" xfId="3351" xr:uid="{00000000-0005-0000-0000-0000A3490000}"/>
    <cellStyle name="Normal 7 2 5 2 2 2 2" xfId="6979" xr:uid="{00000000-0005-0000-0000-0000A4490000}"/>
    <cellStyle name="Normal 7 2 5 2 2 2 2 2" xfId="21491" xr:uid="{00000000-0005-0000-0000-0000A5490000}"/>
    <cellStyle name="Normal 7 2 5 2 2 2 2 3" xfId="14235" xr:uid="{00000000-0005-0000-0000-0000A6490000}"/>
    <cellStyle name="Normal 7 2 5 2 2 2 3" xfId="17863" xr:uid="{00000000-0005-0000-0000-0000A7490000}"/>
    <cellStyle name="Normal 7 2 5 2 2 2 4" xfId="10607" xr:uid="{00000000-0005-0000-0000-0000A8490000}"/>
    <cellStyle name="Normal 7 2 5 2 2 3" xfId="5165" xr:uid="{00000000-0005-0000-0000-0000A9490000}"/>
    <cellStyle name="Normal 7 2 5 2 2 3 2" xfId="19677" xr:uid="{00000000-0005-0000-0000-0000AA490000}"/>
    <cellStyle name="Normal 7 2 5 2 2 3 3" xfId="12421" xr:uid="{00000000-0005-0000-0000-0000AB490000}"/>
    <cellStyle name="Normal 7 2 5 2 2 4" xfId="16049" xr:uid="{00000000-0005-0000-0000-0000AC490000}"/>
    <cellStyle name="Normal 7 2 5 2 2 5" xfId="8793" xr:uid="{00000000-0005-0000-0000-0000AD490000}"/>
    <cellStyle name="Normal 7 2 5 2 3" xfId="2444" xr:uid="{00000000-0005-0000-0000-0000AE490000}"/>
    <cellStyle name="Normal 7 2 5 2 3 2" xfId="6072" xr:uid="{00000000-0005-0000-0000-0000AF490000}"/>
    <cellStyle name="Normal 7 2 5 2 3 2 2" xfId="20584" xr:uid="{00000000-0005-0000-0000-0000B0490000}"/>
    <cellStyle name="Normal 7 2 5 2 3 2 3" xfId="13328" xr:uid="{00000000-0005-0000-0000-0000B1490000}"/>
    <cellStyle name="Normal 7 2 5 2 3 3" xfId="16956" xr:uid="{00000000-0005-0000-0000-0000B2490000}"/>
    <cellStyle name="Normal 7 2 5 2 3 4" xfId="9700" xr:uid="{00000000-0005-0000-0000-0000B3490000}"/>
    <cellStyle name="Normal 7 2 5 2 4" xfId="4258" xr:uid="{00000000-0005-0000-0000-0000B4490000}"/>
    <cellStyle name="Normal 7 2 5 2 4 2" xfId="18770" xr:uid="{00000000-0005-0000-0000-0000B5490000}"/>
    <cellStyle name="Normal 7 2 5 2 4 3" xfId="11514" xr:uid="{00000000-0005-0000-0000-0000B6490000}"/>
    <cellStyle name="Normal 7 2 5 2 5" xfId="15142" xr:uid="{00000000-0005-0000-0000-0000B7490000}"/>
    <cellStyle name="Normal 7 2 5 2 6" xfId="7886" xr:uid="{00000000-0005-0000-0000-0000B8490000}"/>
    <cellStyle name="Normal 7 2 5 3" xfId="1191" xr:uid="{00000000-0005-0000-0000-0000B9490000}"/>
    <cellStyle name="Normal 7 2 5 3 2" xfId="3005" xr:uid="{00000000-0005-0000-0000-0000BA490000}"/>
    <cellStyle name="Normal 7 2 5 3 2 2" xfId="6633" xr:uid="{00000000-0005-0000-0000-0000BB490000}"/>
    <cellStyle name="Normal 7 2 5 3 2 2 2" xfId="21145" xr:uid="{00000000-0005-0000-0000-0000BC490000}"/>
    <cellStyle name="Normal 7 2 5 3 2 2 3" xfId="13889" xr:uid="{00000000-0005-0000-0000-0000BD490000}"/>
    <cellStyle name="Normal 7 2 5 3 2 3" xfId="17517" xr:uid="{00000000-0005-0000-0000-0000BE490000}"/>
    <cellStyle name="Normal 7 2 5 3 2 4" xfId="10261" xr:uid="{00000000-0005-0000-0000-0000BF490000}"/>
    <cellStyle name="Normal 7 2 5 3 3" xfId="4819" xr:uid="{00000000-0005-0000-0000-0000C0490000}"/>
    <cellStyle name="Normal 7 2 5 3 3 2" xfId="19331" xr:uid="{00000000-0005-0000-0000-0000C1490000}"/>
    <cellStyle name="Normal 7 2 5 3 3 3" xfId="12075" xr:uid="{00000000-0005-0000-0000-0000C2490000}"/>
    <cellStyle name="Normal 7 2 5 3 4" xfId="15703" xr:uid="{00000000-0005-0000-0000-0000C3490000}"/>
    <cellStyle name="Normal 7 2 5 3 5" xfId="8447" xr:uid="{00000000-0005-0000-0000-0000C4490000}"/>
    <cellStyle name="Normal 7 2 5 4" xfId="2098" xr:uid="{00000000-0005-0000-0000-0000C5490000}"/>
    <cellStyle name="Normal 7 2 5 4 2" xfId="5726" xr:uid="{00000000-0005-0000-0000-0000C6490000}"/>
    <cellStyle name="Normal 7 2 5 4 2 2" xfId="20238" xr:uid="{00000000-0005-0000-0000-0000C7490000}"/>
    <cellStyle name="Normal 7 2 5 4 2 3" xfId="12982" xr:uid="{00000000-0005-0000-0000-0000C8490000}"/>
    <cellStyle name="Normal 7 2 5 4 3" xfId="16610" xr:uid="{00000000-0005-0000-0000-0000C9490000}"/>
    <cellStyle name="Normal 7 2 5 4 4" xfId="9354" xr:uid="{00000000-0005-0000-0000-0000CA490000}"/>
    <cellStyle name="Normal 7 2 5 5" xfId="3912" xr:uid="{00000000-0005-0000-0000-0000CB490000}"/>
    <cellStyle name="Normal 7 2 5 5 2" xfId="18424" xr:uid="{00000000-0005-0000-0000-0000CC490000}"/>
    <cellStyle name="Normal 7 2 5 5 3" xfId="11168" xr:uid="{00000000-0005-0000-0000-0000CD490000}"/>
    <cellStyle name="Normal 7 2 5 6" xfId="14796" xr:uid="{00000000-0005-0000-0000-0000CE490000}"/>
    <cellStyle name="Normal 7 2 5 7" xfId="7540" xr:uid="{00000000-0005-0000-0000-0000CF490000}"/>
    <cellStyle name="Normal 7 2 6" xfId="759" xr:uid="{00000000-0005-0000-0000-0000D0490000}"/>
    <cellStyle name="Normal 7 2 6 2" xfId="1667" xr:uid="{00000000-0005-0000-0000-0000D1490000}"/>
    <cellStyle name="Normal 7 2 6 2 2" xfId="3481" xr:uid="{00000000-0005-0000-0000-0000D2490000}"/>
    <cellStyle name="Normal 7 2 6 2 2 2" xfId="7109" xr:uid="{00000000-0005-0000-0000-0000D3490000}"/>
    <cellStyle name="Normal 7 2 6 2 2 2 2" xfId="21621" xr:uid="{00000000-0005-0000-0000-0000D4490000}"/>
    <cellStyle name="Normal 7 2 6 2 2 2 3" xfId="14365" xr:uid="{00000000-0005-0000-0000-0000D5490000}"/>
    <cellStyle name="Normal 7 2 6 2 2 3" xfId="17993" xr:uid="{00000000-0005-0000-0000-0000D6490000}"/>
    <cellStyle name="Normal 7 2 6 2 2 4" xfId="10737" xr:uid="{00000000-0005-0000-0000-0000D7490000}"/>
    <cellStyle name="Normal 7 2 6 2 3" xfId="5295" xr:uid="{00000000-0005-0000-0000-0000D8490000}"/>
    <cellStyle name="Normal 7 2 6 2 3 2" xfId="19807" xr:uid="{00000000-0005-0000-0000-0000D9490000}"/>
    <cellStyle name="Normal 7 2 6 2 3 3" xfId="12551" xr:uid="{00000000-0005-0000-0000-0000DA490000}"/>
    <cellStyle name="Normal 7 2 6 2 4" xfId="16179" xr:uid="{00000000-0005-0000-0000-0000DB490000}"/>
    <cellStyle name="Normal 7 2 6 2 5" xfId="8923" xr:uid="{00000000-0005-0000-0000-0000DC490000}"/>
    <cellStyle name="Normal 7 2 6 3" xfId="2574" xr:uid="{00000000-0005-0000-0000-0000DD490000}"/>
    <cellStyle name="Normal 7 2 6 3 2" xfId="6202" xr:uid="{00000000-0005-0000-0000-0000DE490000}"/>
    <cellStyle name="Normal 7 2 6 3 2 2" xfId="20714" xr:uid="{00000000-0005-0000-0000-0000DF490000}"/>
    <cellStyle name="Normal 7 2 6 3 2 3" xfId="13458" xr:uid="{00000000-0005-0000-0000-0000E0490000}"/>
    <cellStyle name="Normal 7 2 6 3 3" xfId="17086" xr:uid="{00000000-0005-0000-0000-0000E1490000}"/>
    <cellStyle name="Normal 7 2 6 3 4" xfId="9830" xr:uid="{00000000-0005-0000-0000-0000E2490000}"/>
    <cellStyle name="Normal 7 2 6 4" xfId="4388" xr:uid="{00000000-0005-0000-0000-0000E3490000}"/>
    <cellStyle name="Normal 7 2 6 4 2" xfId="18900" xr:uid="{00000000-0005-0000-0000-0000E4490000}"/>
    <cellStyle name="Normal 7 2 6 4 3" xfId="11644" xr:uid="{00000000-0005-0000-0000-0000E5490000}"/>
    <cellStyle name="Normal 7 2 6 5" xfId="15272" xr:uid="{00000000-0005-0000-0000-0000E6490000}"/>
    <cellStyle name="Normal 7 2 6 6" xfId="8016" xr:uid="{00000000-0005-0000-0000-0000E7490000}"/>
    <cellStyle name="Normal 7 2 7" xfId="413" xr:uid="{00000000-0005-0000-0000-0000E8490000}"/>
    <cellStyle name="Normal 7 2 7 2" xfId="1321" xr:uid="{00000000-0005-0000-0000-0000E9490000}"/>
    <cellStyle name="Normal 7 2 7 2 2" xfId="3135" xr:uid="{00000000-0005-0000-0000-0000EA490000}"/>
    <cellStyle name="Normal 7 2 7 2 2 2" xfId="6763" xr:uid="{00000000-0005-0000-0000-0000EB490000}"/>
    <cellStyle name="Normal 7 2 7 2 2 2 2" xfId="21275" xr:uid="{00000000-0005-0000-0000-0000EC490000}"/>
    <cellStyle name="Normal 7 2 7 2 2 2 3" xfId="14019" xr:uid="{00000000-0005-0000-0000-0000ED490000}"/>
    <cellStyle name="Normal 7 2 7 2 2 3" xfId="17647" xr:uid="{00000000-0005-0000-0000-0000EE490000}"/>
    <cellStyle name="Normal 7 2 7 2 2 4" xfId="10391" xr:uid="{00000000-0005-0000-0000-0000EF490000}"/>
    <cellStyle name="Normal 7 2 7 2 3" xfId="4949" xr:uid="{00000000-0005-0000-0000-0000F0490000}"/>
    <cellStyle name="Normal 7 2 7 2 3 2" xfId="19461" xr:uid="{00000000-0005-0000-0000-0000F1490000}"/>
    <cellStyle name="Normal 7 2 7 2 3 3" xfId="12205" xr:uid="{00000000-0005-0000-0000-0000F2490000}"/>
    <cellStyle name="Normal 7 2 7 2 4" xfId="15833" xr:uid="{00000000-0005-0000-0000-0000F3490000}"/>
    <cellStyle name="Normal 7 2 7 2 5" xfId="8577" xr:uid="{00000000-0005-0000-0000-0000F4490000}"/>
    <cellStyle name="Normal 7 2 7 3" xfId="2228" xr:uid="{00000000-0005-0000-0000-0000F5490000}"/>
    <cellStyle name="Normal 7 2 7 3 2" xfId="5856" xr:uid="{00000000-0005-0000-0000-0000F6490000}"/>
    <cellStyle name="Normal 7 2 7 3 2 2" xfId="20368" xr:uid="{00000000-0005-0000-0000-0000F7490000}"/>
    <cellStyle name="Normal 7 2 7 3 2 3" xfId="13112" xr:uid="{00000000-0005-0000-0000-0000F8490000}"/>
    <cellStyle name="Normal 7 2 7 3 3" xfId="16740" xr:uid="{00000000-0005-0000-0000-0000F9490000}"/>
    <cellStyle name="Normal 7 2 7 3 4" xfId="9484" xr:uid="{00000000-0005-0000-0000-0000FA490000}"/>
    <cellStyle name="Normal 7 2 7 4" xfId="4042" xr:uid="{00000000-0005-0000-0000-0000FB490000}"/>
    <cellStyle name="Normal 7 2 7 4 2" xfId="18554" xr:uid="{00000000-0005-0000-0000-0000FC490000}"/>
    <cellStyle name="Normal 7 2 7 4 3" xfId="11298" xr:uid="{00000000-0005-0000-0000-0000FD490000}"/>
    <cellStyle name="Normal 7 2 7 5" xfId="14926" xr:uid="{00000000-0005-0000-0000-0000FE490000}"/>
    <cellStyle name="Normal 7 2 7 6" xfId="7670" xr:uid="{00000000-0005-0000-0000-0000FF490000}"/>
    <cellStyle name="Normal 7 2 8" xfId="887" xr:uid="{00000000-0005-0000-0000-0000004A0000}"/>
    <cellStyle name="Normal 7 2 8 2" xfId="1795" xr:uid="{00000000-0005-0000-0000-0000014A0000}"/>
    <cellStyle name="Normal 7 2 8 2 2" xfId="3609" xr:uid="{00000000-0005-0000-0000-0000024A0000}"/>
    <cellStyle name="Normal 7 2 8 2 2 2" xfId="7237" xr:uid="{00000000-0005-0000-0000-0000034A0000}"/>
    <cellStyle name="Normal 7 2 8 2 2 2 2" xfId="21749" xr:uid="{00000000-0005-0000-0000-0000044A0000}"/>
    <cellStyle name="Normal 7 2 8 2 2 2 3" xfId="14493" xr:uid="{00000000-0005-0000-0000-0000054A0000}"/>
    <cellStyle name="Normal 7 2 8 2 2 3" xfId="18121" xr:uid="{00000000-0005-0000-0000-0000064A0000}"/>
    <cellStyle name="Normal 7 2 8 2 2 4" xfId="10865" xr:uid="{00000000-0005-0000-0000-0000074A0000}"/>
    <cellStyle name="Normal 7 2 8 2 3" xfId="5423" xr:uid="{00000000-0005-0000-0000-0000084A0000}"/>
    <cellStyle name="Normal 7 2 8 2 3 2" xfId="19935" xr:uid="{00000000-0005-0000-0000-0000094A0000}"/>
    <cellStyle name="Normal 7 2 8 2 3 3" xfId="12679" xr:uid="{00000000-0005-0000-0000-00000A4A0000}"/>
    <cellStyle name="Normal 7 2 8 2 4" xfId="16307" xr:uid="{00000000-0005-0000-0000-00000B4A0000}"/>
    <cellStyle name="Normal 7 2 8 2 5" xfId="9051" xr:uid="{00000000-0005-0000-0000-00000C4A0000}"/>
    <cellStyle name="Normal 7 2 8 3" xfId="2702" xr:uid="{00000000-0005-0000-0000-00000D4A0000}"/>
    <cellStyle name="Normal 7 2 8 3 2" xfId="6330" xr:uid="{00000000-0005-0000-0000-00000E4A0000}"/>
    <cellStyle name="Normal 7 2 8 3 2 2" xfId="20842" xr:uid="{00000000-0005-0000-0000-00000F4A0000}"/>
    <cellStyle name="Normal 7 2 8 3 2 3" xfId="13586" xr:uid="{00000000-0005-0000-0000-0000104A0000}"/>
    <cellStyle name="Normal 7 2 8 3 3" xfId="17214" xr:uid="{00000000-0005-0000-0000-0000114A0000}"/>
    <cellStyle name="Normal 7 2 8 3 4" xfId="9958" xr:uid="{00000000-0005-0000-0000-0000124A0000}"/>
    <cellStyle name="Normal 7 2 8 4" xfId="4516" xr:uid="{00000000-0005-0000-0000-0000134A0000}"/>
    <cellStyle name="Normal 7 2 8 4 2" xfId="19028" xr:uid="{00000000-0005-0000-0000-0000144A0000}"/>
    <cellStyle name="Normal 7 2 8 4 3" xfId="11772" xr:uid="{00000000-0005-0000-0000-0000154A0000}"/>
    <cellStyle name="Normal 7 2 8 5" xfId="15400" xr:uid="{00000000-0005-0000-0000-0000164A0000}"/>
    <cellStyle name="Normal 7 2 8 6" xfId="8144" xr:uid="{00000000-0005-0000-0000-0000174A0000}"/>
    <cellStyle name="Normal 7 2 9" xfId="975" xr:uid="{00000000-0005-0000-0000-0000184A0000}"/>
    <cellStyle name="Normal 7 2 9 2" xfId="2789" xr:uid="{00000000-0005-0000-0000-0000194A0000}"/>
    <cellStyle name="Normal 7 2 9 2 2" xfId="6417" xr:uid="{00000000-0005-0000-0000-00001A4A0000}"/>
    <cellStyle name="Normal 7 2 9 2 2 2" xfId="20929" xr:uid="{00000000-0005-0000-0000-00001B4A0000}"/>
    <cellStyle name="Normal 7 2 9 2 2 3" xfId="13673" xr:uid="{00000000-0005-0000-0000-00001C4A0000}"/>
    <cellStyle name="Normal 7 2 9 2 3" xfId="17301" xr:uid="{00000000-0005-0000-0000-00001D4A0000}"/>
    <cellStyle name="Normal 7 2 9 2 4" xfId="10045" xr:uid="{00000000-0005-0000-0000-00001E4A0000}"/>
    <cellStyle name="Normal 7 2 9 3" xfId="4603" xr:uid="{00000000-0005-0000-0000-00001F4A0000}"/>
    <cellStyle name="Normal 7 2 9 3 2" xfId="19115" xr:uid="{00000000-0005-0000-0000-0000204A0000}"/>
    <cellStyle name="Normal 7 2 9 3 3" xfId="11859" xr:uid="{00000000-0005-0000-0000-0000214A0000}"/>
    <cellStyle name="Normal 7 2 9 4" xfId="15487" xr:uid="{00000000-0005-0000-0000-0000224A0000}"/>
    <cellStyle name="Normal 7 2 9 5" xfId="8231" xr:uid="{00000000-0005-0000-0000-0000234A0000}"/>
    <cellStyle name="Normal 7 3" xfId="86" xr:uid="{00000000-0005-0000-0000-0000244A0000}"/>
    <cellStyle name="Normal 7 3 10" xfId="14601" xr:uid="{00000000-0005-0000-0000-0000254A0000}"/>
    <cellStyle name="Normal 7 3 11" xfId="7345" xr:uid="{00000000-0005-0000-0000-0000264A0000}"/>
    <cellStyle name="Normal 7 3 2" xfId="174" xr:uid="{00000000-0005-0000-0000-0000274A0000}"/>
    <cellStyle name="Normal 7 3 2 2" xfId="520" xr:uid="{00000000-0005-0000-0000-0000284A0000}"/>
    <cellStyle name="Normal 7 3 2 2 2" xfId="1428" xr:uid="{00000000-0005-0000-0000-0000294A0000}"/>
    <cellStyle name="Normal 7 3 2 2 2 2" xfId="3242" xr:uid="{00000000-0005-0000-0000-00002A4A0000}"/>
    <cellStyle name="Normal 7 3 2 2 2 2 2" xfId="6870" xr:uid="{00000000-0005-0000-0000-00002B4A0000}"/>
    <cellStyle name="Normal 7 3 2 2 2 2 2 2" xfId="21382" xr:uid="{00000000-0005-0000-0000-00002C4A0000}"/>
    <cellStyle name="Normal 7 3 2 2 2 2 2 3" xfId="14126" xr:uid="{00000000-0005-0000-0000-00002D4A0000}"/>
    <cellStyle name="Normal 7 3 2 2 2 2 3" xfId="17754" xr:uid="{00000000-0005-0000-0000-00002E4A0000}"/>
    <cellStyle name="Normal 7 3 2 2 2 2 4" xfId="10498" xr:uid="{00000000-0005-0000-0000-00002F4A0000}"/>
    <cellStyle name="Normal 7 3 2 2 2 3" xfId="5056" xr:uid="{00000000-0005-0000-0000-0000304A0000}"/>
    <cellStyle name="Normal 7 3 2 2 2 3 2" xfId="19568" xr:uid="{00000000-0005-0000-0000-0000314A0000}"/>
    <cellStyle name="Normal 7 3 2 2 2 3 3" xfId="12312" xr:uid="{00000000-0005-0000-0000-0000324A0000}"/>
    <cellStyle name="Normal 7 3 2 2 2 4" xfId="15940" xr:uid="{00000000-0005-0000-0000-0000334A0000}"/>
    <cellStyle name="Normal 7 3 2 2 2 5" xfId="8684" xr:uid="{00000000-0005-0000-0000-0000344A0000}"/>
    <cellStyle name="Normal 7 3 2 2 3" xfId="2335" xr:uid="{00000000-0005-0000-0000-0000354A0000}"/>
    <cellStyle name="Normal 7 3 2 2 3 2" xfId="5963" xr:uid="{00000000-0005-0000-0000-0000364A0000}"/>
    <cellStyle name="Normal 7 3 2 2 3 2 2" xfId="20475" xr:uid="{00000000-0005-0000-0000-0000374A0000}"/>
    <cellStyle name="Normal 7 3 2 2 3 2 3" xfId="13219" xr:uid="{00000000-0005-0000-0000-0000384A0000}"/>
    <cellStyle name="Normal 7 3 2 2 3 3" xfId="16847" xr:uid="{00000000-0005-0000-0000-0000394A0000}"/>
    <cellStyle name="Normal 7 3 2 2 3 4" xfId="9591" xr:uid="{00000000-0005-0000-0000-00003A4A0000}"/>
    <cellStyle name="Normal 7 3 2 2 4" xfId="4149" xr:uid="{00000000-0005-0000-0000-00003B4A0000}"/>
    <cellStyle name="Normal 7 3 2 2 4 2" xfId="18661" xr:uid="{00000000-0005-0000-0000-00003C4A0000}"/>
    <cellStyle name="Normal 7 3 2 2 4 3" xfId="11405" xr:uid="{00000000-0005-0000-0000-00003D4A0000}"/>
    <cellStyle name="Normal 7 3 2 2 5" xfId="15033" xr:uid="{00000000-0005-0000-0000-00003E4A0000}"/>
    <cellStyle name="Normal 7 3 2 2 6" xfId="7777" xr:uid="{00000000-0005-0000-0000-00003F4A0000}"/>
    <cellStyle name="Normal 7 3 2 3" xfId="1082" xr:uid="{00000000-0005-0000-0000-0000404A0000}"/>
    <cellStyle name="Normal 7 3 2 3 2" xfId="2896" xr:uid="{00000000-0005-0000-0000-0000414A0000}"/>
    <cellStyle name="Normal 7 3 2 3 2 2" xfId="6524" xr:uid="{00000000-0005-0000-0000-0000424A0000}"/>
    <cellStyle name="Normal 7 3 2 3 2 2 2" xfId="21036" xr:uid="{00000000-0005-0000-0000-0000434A0000}"/>
    <cellStyle name="Normal 7 3 2 3 2 2 3" xfId="13780" xr:uid="{00000000-0005-0000-0000-0000444A0000}"/>
    <cellStyle name="Normal 7 3 2 3 2 3" xfId="17408" xr:uid="{00000000-0005-0000-0000-0000454A0000}"/>
    <cellStyle name="Normal 7 3 2 3 2 4" xfId="10152" xr:uid="{00000000-0005-0000-0000-0000464A0000}"/>
    <cellStyle name="Normal 7 3 2 3 3" xfId="4710" xr:uid="{00000000-0005-0000-0000-0000474A0000}"/>
    <cellStyle name="Normal 7 3 2 3 3 2" xfId="19222" xr:uid="{00000000-0005-0000-0000-0000484A0000}"/>
    <cellStyle name="Normal 7 3 2 3 3 3" xfId="11966" xr:uid="{00000000-0005-0000-0000-0000494A0000}"/>
    <cellStyle name="Normal 7 3 2 3 4" xfId="15594" xr:uid="{00000000-0005-0000-0000-00004A4A0000}"/>
    <cellStyle name="Normal 7 3 2 3 5" xfId="8338" xr:uid="{00000000-0005-0000-0000-00004B4A0000}"/>
    <cellStyle name="Normal 7 3 2 4" xfId="1989" xr:uid="{00000000-0005-0000-0000-00004C4A0000}"/>
    <cellStyle name="Normal 7 3 2 4 2" xfId="5617" xr:uid="{00000000-0005-0000-0000-00004D4A0000}"/>
    <cellStyle name="Normal 7 3 2 4 2 2" xfId="20129" xr:uid="{00000000-0005-0000-0000-00004E4A0000}"/>
    <cellStyle name="Normal 7 3 2 4 2 3" xfId="12873" xr:uid="{00000000-0005-0000-0000-00004F4A0000}"/>
    <cellStyle name="Normal 7 3 2 4 3" xfId="16501" xr:uid="{00000000-0005-0000-0000-0000504A0000}"/>
    <cellStyle name="Normal 7 3 2 4 4" xfId="9245" xr:uid="{00000000-0005-0000-0000-0000514A0000}"/>
    <cellStyle name="Normal 7 3 2 5" xfId="3803" xr:uid="{00000000-0005-0000-0000-0000524A0000}"/>
    <cellStyle name="Normal 7 3 2 5 2" xfId="18315" xr:uid="{00000000-0005-0000-0000-0000534A0000}"/>
    <cellStyle name="Normal 7 3 2 5 3" xfId="11059" xr:uid="{00000000-0005-0000-0000-0000544A0000}"/>
    <cellStyle name="Normal 7 3 2 6" xfId="14687" xr:uid="{00000000-0005-0000-0000-0000554A0000}"/>
    <cellStyle name="Normal 7 3 2 7" xfId="7431" xr:uid="{00000000-0005-0000-0000-0000564A0000}"/>
    <cellStyle name="Normal 7 3 3" xfId="304" xr:uid="{00000000-0005-0000-0000-0000574A0000}"/>
    <cellStyle name="Normal 7 3 3 2" xfId="650" xr:uid="{00000000-0005-0000-0000-0000584A0000}"/>
    <cellStyle name="Normal 7 3 3 2 2" xfId="1558" xr:uid="{00000000-0005-0000-0000-0000594A0000}"/>
    <cellStyle name="Normal 7 3 3 2 2 2" xfId="3372" xr:uid="{00000000-0005-0000-0000-00005A4A0000}"/>
    <cellStyle name="Normal 7 3 3 2 2 2 2" xfId="7000" xr:uid="{00000000-0005-0000-0000-00005B4A0000}"/>
    <cellStyle name="Normal 7 3 3 2 2 2 2 2" xfId="21512" xr:uid="{00000000-0005-0000-0000-00005C4A0000}"/>
    <cellStyle name="Normal 7 3 3 2 2 2 2 3" xfId="14256" xr:uid="{00000000-0005-0000-0000-00005D4A0000}"/>
    <cellStyle name="Normal 7 3 3 2 2 2 3" xfId="17884" xr:uid="{00000000-0005-0000-0000-00005E4A0000}"/>
    <cellStyle name="Normal 7 3 3 2 2 2 4" xfId="10628" xr:uid="{00000000-0005-0000-0000-00005F4A0000}"/>
    <cellStyle name="Normal 7 3 3 2 2 3" xfId="5186" xr:uid="{00000000-0005-0000-0000-0000604A0000}"/>
    <cellStyle name="Normal 7 3 3 2 2 3 2" xfId="19698" xr:uid="{00000000-0005-0000-0000-0000614A0000}"/>
    <cellStyle name="Normal 7 3 3 2 2 3 3" xfId="12442" xr:uid="{00000000-0005-0000-0000-0000624A0000}"/>
    <cellStyle name="Normal 7 3 3 2 2 4" xfId="16070" xr:uid="{00000000-0005-0000-0000-0000634A0000}"/>
    <cellStyle name="Normal 7 3 3 2 2 5" xfId="8814" xr:uid="{00000000-0005-0000-0000-0000644A0000}"/>
    <cellStyle name="Normal 7 3 3 2 3" xfId="2465" xr:uid="{00000000-0005-0000-0000-0000654A0000}"/>
    <cellStyle name="Normal 7 3 3 2 3 2" xfId="6093" xr:uid="{00000000-0005-0000-0000-0000664A0000}"/>
    <cellStyle name="Normal 7 3 3 2 3 2 2" xfId="20605" xr:uid="{00000000-0005-0000-0000-0000674A0000}"/>
    <cellStyle name="Normal 7 3 3 2 3 2 3" xfId="13349" xr:uid="{00000000-0005-0000-0000-0000684A0000}"/>
    <cellStyle name="Normal 7 3 3 2 3 3" xfId="16977" xr:uid="{00000000-0005-0000-0000-0000694A0000}"/>
    <cellStyle name="Normal 7 3 3 2 3 4" xfId="9721" xr:uid="{00000000-0005-0000-0000-00006A4A0000}"/>
    <cellStyle name="Normal 7 3 3 2 4" xfId="4279" xr:uid="{00000000-0005-0000-0000-00006B4A0000}"/>
    <cellStyle name="Normal 7 3 3 2 4 2" xfId="18791" xr:uid="{00000000-0005-0000-0000-00006C4A0000}"/>
    <cellStyle name="Normal 7 3 3 2 4 3" xfId="11535" xr:uid="{00000000-0005-0000-0000-00006D4A0000}"/>
    <cellStyle name="Normal 7 3 3 2 5" xfId="15163" xr:uid="{00000000-0005-0000-0000-00006E4A0000}"/>
    <cellStyle name="Normal 7 3 3 2 6" xfId="7907" xr:uid="{00000000-0005-0000-0000-00006F4A0000}"/>
    <cellStyle name="Normal 7 3 3 3" xfId="1212" xr:uid="{00000000-0005-0000-0000-0000704A0000}"/>
    <cellStyle name="Normal 7 3 3 3 2" xfId="3026" xr:uid="{00000000-0005-0000-0000-0000714A0000}"/>
    <cellStyle name="Normal 7 3 3 3 2 2" xfId="6654" xr:uid="{00000000-0005-0000-0000-0000724A0000}"/>
    <cellStyle name="Normal 7 3 3 3 2 2 2" xfId="21166" xr:uid="{00000000-0005-0000-0000-0000734A0000}"/>
    <cellStyle name="Normal 7 3 3 3 2 2 3" xfId="13910" xr:uid="{00000000-0005-0000-0000-0000744A0000}"/>
    <cellStyle name="Normal 7 3 3 3 2 3" xfId="17538" xr:uid="{00000000-0005-0000-0000-0000754A0000}"/>
    <cellStyle name="Normal 7 3 3 3 2 4" xfId="10282" xr:uid="{00000000-0005-0000-0000-0000764A0000}"/>
    <cellStyle name="Normal 7 3 3 3 3" xfId="4840" xr:uid="{00000000-0005-0000-0000-0000774A0000}"/>
    <cellStyle name="Normal 7 3 3 3 3 2" xfId="19352" xr:uid="{00000000-0005-0000-0000-0000784A0000}"/>
    <cellStyle name="Normal 7 3 3 3 3 3" xfId="12096" xr:uid="{00000000-0005-0000-0000-0000794A0000}"/>
    <cellStyle name="Normal 7 3 3 3 4" xfId="15724" xr:uid="{00000000-0005-0000-0000-00007A4A0000}"/>
    <cellStyle name="Normal 7 3 3 3 5" xfId="8468" xr:uid="{00000000-0005-0000-0000-00007B4A0000}"/>
    <cellStyle name="Normal 7 3 3 4" xfId="2119" xr:uid="{00000000-0005-0000-0000-00007C4A0000}"/>
    <cellStyle name="Normal 7 3 3 4 2" xfId="5747" xr:uid="{00000000-0005-0000-0000-00007D4A0000}"/>
    <cellStyle name="Normal 7 3 3 4 2 2" xfId="20259" xr:uid="{00000000-0005-0000-0000-00007E4A0000}"/>
    <cellStyle name="Normal 7 3 3 4 2 3" xfId="13003" xr:uid="{00000000-0005-0000-0000-00007F4A0000}"/>
    <cellStyle name="Normal 7 3 3 4 3" xfId="16631" xr:uid="{00000000-0005-0000-0000-0000804A0000}"/>
    <cellStyle name="Normal 7 3 3 4 4" xfId="9375" xr:uid="{00000000-0005-0000-0000-0000814A0000}"/>
    <cellStyle name="Normal 7 3 3 5" xfId="3933" xr:uid="{00000000-0005-0000-0000-0000824A0000}"/>
    <cellStyle name="Normal 7 3 3 5 2" xfId="18445" xr:uid="{00000000-0005-0000-0000-0000834A0000}"/>
    <cellStyle name="Normal 7 3 3 5 3" xfId="11189" xr:uid="{00000000-0005-0000-0000-0000844A0000}"/>
    <cellStyle name="Normal 7 3 3 6" xfId="14817" xr:uid="{00000000-0005-0000-0000-0000854A0000}"/>
    <cellStyle name="Normal 7 3 3 7" xfId="7561" xr:uid="{00000000-0005-0000-0000-0000864A0000}"/>
    <cellStyle name="Normal 7 3 4" xfId="780" xr:uid="{00000000-0005-0000-0000-0000874A0000}"/>
    <cellStyle name="Normal 7 3 4 2" xfId="1688" xr:uid="{00000000-0005-0000-0000-0000884A0000}"/>
    <cellStyle name="Normal 7 3 4 2 2" xfId="3502" xr:uid="{00000000-0005-0000-0000-0000894A0000}"/>
    <cellStyle name="Normal 7 3 4 2 2 2" xfId="7130" xr:uid="{00000000-0005-0000-0000-00008A4A0000}"/>
    <cellStyle name="Normal 7 3 4 2 2 2 2" xfId="21642" xr:uid="{00000000-0005-0000-0000-00008B4A0000}"/>
    <cellStyle name="Normal 7 3 4 2 2 2 3" xfId="14386" xr:uid="{00000000-0005-0000-0000-00008C4A0000}"/>
    <cellStyle name="Normal 7 3 4 2 2 3" xfId="18014" xr:uid="{00000000-0005-0000-0000-00008D4A0000}"/>
    <cellStyle name="Normal 7 3 4 2 2 4" xfId="10758" xr:uid="{00000000-0005-0000-0000-00008E4A0000}"/>
    <cellStyle name="Normal 7 3 4 2 3" xfId="5316" xr:uid="{00000000-0005-0000-0000-00008F4A0000}"/>
    <cellStyle name="Normal 7 3 4 2 3 2" xfId="19828" xr:uid="{00000000-0005-0000-0000-0000904A0000}"/>
    <cellStyle name="Normal 7 3 4 2 3 3" xfId="12572" xr:uid="{00000000-0005-0000-0000-0000914A0000}"/>
    <cellStyle name="Normal 7 3 4 2 4" xfId="16200" xr:uid="{00000000-0005-0000-0000-0000924A0000}"/>
    <cellStyle name="Normal 7 3 4 2 5" xfId="8944" xr:uid="{00000000-0005-0000-0000-0000934A0000}"/>
    <cellStyle name="Normal 7 3 4 3" xfId="2595" xr:uid="{00000000-0005-0000-0000-0000944A0000}"/>
    <cellStyle name="Normal 7 3 4 3 2" xfId="6223" xr:uid="{00000000-0005-0000-0000-0000954A0000}"/>
    <cellStyle name="Normal 7 3 4 3 2 2" xfId="20735" xr:uid="{00000000-0005-0000-0000-0000964A0000}"/>
    <cellStyle name="Normal 7 3 4 3 2 3" xfId="13479" xr:uid="{00000000-0005-0000-0000-0000974A0000}"/>
    <cellStyle name="Normal 7 3 4 3 3" xfId="17107" xr:uid="{00000000-0005-0000-0000-0000984A0000}"/>
    <cellStyle name="Normal 7 3 4 3 4" xfId="9851" xr:uid="{00000000-0005-0000-0000-0000994A0000}"/>
    <cellStyle name="Normal 7 3 4 4" xfId="4409" xr:uid="{00000000-0005-0000-0000-00009A4A0000}"/>
    <cellStyle name="Normal 7 3 4 4 2" xfId="18921" xr:uid="{00000000-0005-0000-0000-00009B4A0000}"/>
    <cellStyle name="Normal 7 3 4 4 3" xfId="11665" xr:uid="{00000000-0005-0000-0000-00009C4A0000}"/>
    <cellStyle name="Normal 7 3 4 5" xfId="15293" xr:uid="{00000000-0005-0000-0000-00009D4A0000}"/>
    <cellStyle name="Normal 7 3 4 6" xfId="8037" xr:uid="{00000000-0005-0000-0000-00009E4A0000}"/>
    <cellStyle name="Normal 7 3 5" xfId="434" xr:uid="{00000000-0005-0000-0000-00009F4A0000}"/>
    <cellStyle name="Normal 7 3 5 2" xfId="1342" xr:uid="{00000000-0005-0000-0000-0000A04A0000}"/>
    <cellStyle name="Normal 7 3 5 2 2" xfId="3156" xr:uid="{00000000-0005-0000-0000-0000A14A0000}"/>
    <cellStyle name="Normal 7 3 5 2 2 2" xfId="6784" xr:uid="{00000000-0005-0000-0000-0000A24A0000}"/>
    <cellStyle name="Normal 7 3 5 2 2 2 2" xfId="21296" xr:uid="{00000000-0005-0000-0000-0000A34A0000}"/>
    <cellStyle name="Normal 7 3 5 2 2 2 3" xfId="14040" xr:uid="{00000000-0005-0000-0000-0000A44A0000}"/>
    <cellStyle name="Normal 7 3 5 2 2 3" xfId="17668" xr:uid="{00000000-0005-0000-0000-0000A54A0000}"/>
    <cellStyle name="Normal 7 3 5 2 2 4" xfId="10412" xr:uid="{00000000-0005-0000-0000-0000A64A0000}"/>
    <cellStyle name="Normal 7 3 5 2 3" xfId="4970" xr:uid="{00000000-0005-0000-0000-0000A74A0000}"/>
    <cellStyle name="Normal 7 3 5 2 3 2" xfId="19482" xr:uid="{00000000-0005-0000-0000-0000A84A0000}"/>
    <cellStyle name="Normal 7 3 5 2 3 3" xfId="12226" xr:uid="{00000000-0005-0000-0000-0000A94A0000}"/>
    <cellStyle name="Normal 7 3 5 2 4" xfId="15854" xr:uid="{00000000-0005-0000-0000-0000AA4A0000}"/>
    <cellStyle name="Normal 7 3 5 2 5" xfId="8598" xr:uid="{00000000-0005-0000-0000-0000AB4A0000}"/>
    <cellStyle name="Normal 7 3 5 3" xfId="2249" xr:uid="{00000000-0005-0000-0000-0000AC4A0000}"/>
    <cellStyle name="Normal 7 3 5 3 2" xfId="5877" xr:uid="{00000000-0005-0000-0000-0000AD4A0000}"/>
    <cellStyle name="Normal 7 3 5 3 2 2" xfId="20389" xr:uid="{00000000-0005-0000-0000-0000AE4A0000}"/>
    <cellStyle name="Normal 7 3 5 3 2 3" xfId="13133" xr:uid="{00000000-0005-0000-0000-0000AF4A0000}"/>
    <cellStyle name="Normal 7 3 5 3 3" xfId="16761" xr:uid="{00000000-0005-0000-0000-0000B04A0000}"/>
    <cellStyle name="Normal 7 3 5 3 4" xfId="9505" xr:uid="{00000000-0005-0000-0000-0000B14A0000}"/>
    <cellStyle name="Normal 7 3 5 4" xfId="4063" xr:uid="{00000000-0005-0000-0000-0000B24A0000}"/>
    <cellStyle name="Normal 7 3 5 4 2" xfId="18575" xr:uid="{00000000-0005-0000-0000-0000B34A0000}"/>
    <cellStyle name="Normal 7 3 5 4 3" xfId="11319" xr:uid="{00000000-0005-0000-0000-0000B44A0000}"/>
    <cellStyle name="Normal 7 3 5 5" xfId="14947" xr:uid="{00000000-0005-0000-0000-0000B54A0000}"/>
    <cellStyle name="Normal 7 3 5 6" xfId="7691" xr:uid="{00000000-0005-0000-0000-0000B64A0000}"/>
    <cellStyle name="Normal 7 3 6" xfId="912" xr:uid="{00000000-0005-0000-0000-0000B74A0000}"/>
    <cellStyle name="Normal 7 3 6 2" xfId="1819" xr:uid="{00000000-0005-0000-0000-0000B84A0000}"/>
    <cellStyle name="Normal 7 3 6 2 2" xfId="3633" xr:uid="{00000000-0005-0000-0000-0000B94A0000}"/>
    <cellStyle name="Normal 7 3 6 2 2 2" xfId="7261" xr:uid="{00000000-0005-0000-0000-0000BA4A0000}"/>
    <cellStyle name="Normal 7 3 6 2 2 2 2" xfId="21773" xr:uid="{00000000-0005-0000-0000-0000BB4A0000}"/>
    <cellStyle name="Normal 7 3 6 2 2 2 3" xfId="14517" xr:uid="{00000000-0005-0000-0000-0000BC4A0000}"/>
    <cellStyle name="Normal 7 3 6 2 2 3" xfId="18145" xr:uid="{00000000-0005-0000-0000-0000BD4A0000}"/>
    <cellStyle name="Normal 7 3 6 2 2 4" xfId="10889" xr:uid="{00000000-0005-0000-0000-0000BE4A0000}"/>
    <cellStyle name="Normal 7 3 6 2 3" xfId="5447" xr:uid="{00000000-0005-0000-0000-0000BF4A0000}"/>
    <cellStyle name="Normal 7 3 6 2 3 2" xfId="19959" xr:uid="{00000000-0005-0000-0000-0000C04A0000}"/>
    <cellStyle name="Normal 7 3 6 2 3 3" xfId="12703" xr:uid="{00000000-0005-0000-0000-0000C14A0000}"/>
    <cellStyle name="Normal 7 3 6 2 4" xfId="16331" xr:uid="{00000000-0005-0000-0000-0000C24A0000}"/>
    <cellStyle name="Normal 7 3 6 2 5" xfId="9075" xr:uid="{00000000-0005-0000-0000-0000C34A0000}"/>
    <cellStyle name="Normal 7 3 6 3" xfId="2726" xr:uid="{00000000-0005-0000-0000-0000C44A0000}"/>
    <cellStyle name="Normal 7 3 6 3 2" xfId="6354" xr:uid="{00000000-0005-0000-0000-0000C54A0000}"/>
    <cellStyle name="Normal 7 3 6 3 2 2" xfId="20866" xr:uid="{00000000-0005-0000-0000-0000C64A0000}"/>
    <cellStyle name="Normal 7 3 6 3 2 3" xfId="13610" xr:uid="{00000000-0005-0000-0000-0000C74A0000}"/>
    <cellStyle name="Normal 7 3 6 3 3" xfId="17238" xr:uid="{00000000-0005-0000-0000-0000C84A0000}"/>
    <cellStyle name="Normal 7 3 6 3 4" xfId="9982" xr:uid="{00000000-0005-0000-0000-0000C94A0000}"/>
    <cellStyle name="Normal 7 3 6 4" xfId="4540" xr:uid="{00000000-0005-0000-0000-0000CA4A0000}"/>
    <cellStyle name="Normal 7 3 6 4 2" xfId="19052" xr:uid="{00000000-0005-0000-0000-0000CB4A0000}"/>
    <cellStyle name="Normal 7 3 6 4 3" xfId="11796" xr:uid="{00000000-0005-0000-0000-0000CC4A0000}"/>
    <cellStyle name="Normal 7 3 6 5" xfId="15424" xr:uid="{00000000-0005-0000-0000-0000CD4A0000}"/>
    <cellStyle name="Normal 7 3 6 6" xfId="8168" xr:uid="{00000000-0005-0000-0000-0000CE4A0000}"/>
    <cellStyle name="Normal 7 3 7" xfId="996" xr:uid="{00000000-0005-0000-0000-0000CF4A0000}"/>
    <cellStyle name="Normal 7 3 7 2" xfId="2810" xr:uid="{00000000-0005-0000-0000-0000D04A0000}"/>
    <cellStyle name="Normal 7 3 7 2 2" xfId="6438" xr:uid="{00000000-0005-0000-0000-0000D14A0000}"/>
    <cellStyle name="Normal 7 3 7 2 2 2" xfId="20950" xr:uid="{00000000-0005-0000-0000-0000D24A0000}"/>
    <cellStyle name="Normal 7 3 7 2 2 3" xfId="13694" xr:uid="{00000000-0005-0000-0000-0000D34A0000}"/>
    <cellStyle name="Normal 7 3 7 2 3" xfId="17322" xr:uid="{00000000-0005-0000-0000-0000D44A0000}"/>
    <cellStyle name="Normal 7 3 7 2 4" xfId="10066" xr:uid="{00000000-0005-0000-0000-0000D54A0000}"/>
    <cellStyle name="Normal 7 3 7 3" xfId="4624" xr:uid="{00000000-0005-0000-0000-0000D64A0000}"/>
    <cellStyle name="Normal 7 3 7 3 2" xfId="19136" xr:uid="{00000000-0005-0000-0000-0000D74A0000}"/>
    <cellStyle name="Normal 7 3 7 3 3" xfId="11880" xr:uid="{00000000-0005-0000-0000-0000D84A0000}"/>
    <cellStyle name="Normal 7 3 7 4" xfId="15508" xr:uid="{00000000-0005-0000-0000-0000D94A0000}"/>
    <cellStyle name="Normal 7 3 7 5" xfId="8252" xr:uid="{00000000-0005-0000-0000-0000DA4A0000}"/>
    <cellStyle name="Normal 7 3 8" xfId="1903" xr:uid="{00000000-0005-0000-0000-0000DB4A0000}"/>
    <cellStyle name="Normal 7 3 8 2" xfId="5531" xr:uid="{00000000-0005-0000-0000-0000DC4A0000}"/>
    <cellStyle name="Normal 7 3 8 2 2" xfId="20043" xr:uid="{00000000-0005-0000-0000-0000DD4A0000}"/>
    <cellStyle name="Normal 7 3 8 2 3" xfId="12787" xr:uid="{00000000-0005-0000-0000-0000DE4A0000}"/>
    <cellStyle name="Normal 7 3 8 3" xfId="16415" xr:uid="{00000000-0005-0000-0000-0000DF4A0000}"/>
    <cellStyle name="Normal 7 3 8 4" xfId="9159" xr:uid="{00000000-0005-0000-0000-0000E04A0000}"/>
    <cellStyle name="Normal 7 3 9" xfId="3717" xr:uid="{00000000-0005-0000-0000-0000E14A0000}"/>
    <cellStyle name="Normal 7 3 9 2" xfId="18229" xr:uid="{00000000-0005-0000-0000-0000E24A0000}"/>
    <cellStyle name="Normal 7 3 9 3" xfId="10973" xr:uid="{00000000-0005-0000-0000-0000E34A0000}"/>
    <cellStyle name="Normal 7 4" xfId="218" xr:uid="{00000000-0005-0000-0000-0000E44A0000}"/>
    <cellStyle name="Normal 7 4 2" xfId="348" xr:uid="{00000000-0005-0000-0000-0000E54A0000}"/>
    <cellStyle name="Normal 7 4 2 2" xfId="694" xr:uid="{00000000-0005-0000-0000-0000E64A0000}"/>
    <cellStyle name="Normal 7 4 2 2 2" xfId="1602" xr:uid="{00000000-0005-0000-0000-0000E74A0000}"/>
    <cellStyle name="Normal 7 4 2 2 2 2" xfId="3416" xr:uid="{00000000-0005-0000-0000-0000E84A0000}"/>
    <cellStyle name="Normal 7 4 2 2 2 2 2" xfId="7044" xr:uid="{00000000-0005-0000-0000-0000E94A0000}"/>
    <cellStyle name="Normal 7 4 2 2 2 2 2 2" xfId="21556" xr:uid="{00000000-0005-0000-0000-0000EA4A0000}"/>
    <cellStyle name="Normal 7 4 2 2 2 2 2 3" xfId="14300" xr:uid="{00000000-0005-0000-0000-0000EB4A0000}"/>
    <cellStyle name="Normal 7 4 2 2 2 2 3" xfId="17928" xr:uid="{00000000-0005-0000-0000-0000EC4A0000}"/>
    <cellStyle name="Normal 7 4 2 2 2 2 4" xfId="10672" xr:uid="{00000000-0005-0000-0000-0000ED4A0000}"/>
    <cellStyle name="Normal 7 4 2 2 2 3" xfId="5230" xr:uid="{00000000-0005-0000-0000-0000EE4A0000}"/>
    <cellStyle name="Normal 7 4 2 2 2 3 2" xfId="19742" xr:uid="{00000000-0005-0000-0000-0000EF4A0000}"/>
    <cellStyle name="Normal 7 4 2 2 2 3 3" xfId="12486" xr:uid="{00000000-0005-0000-0000-0000F04A0000}"/>
    <cellStyle name="Normal 7 4 2 2 2 4" xfId="16114" xr:uid="{00000000-0005-0000-0000-0000F14A0000}"/>
    <cellStyle name="Normal 7 4 2 2 2 5" xfId="8858" xr:uid="{00000000-0005-0000-0000-0000F24A0000}"/>
    <cellStyle name="Normal 7 4 2 2 3" xfId="2509" xr:uid="{00000000-0005-0000-0000-0000F34A0000}"/>
    <cellStyle name="Normal 7 4 2 2 3 2" xfId="6137" xr:uid="{00000000-0005-0000-0000-0000F44A0000}"/>
    <cellStyle name="Normal 7 4 2 2 3 2 2" xfId="20649" xr:uid="{00000000-0005-0000-0000-0000F54A0000}"/>
    <cellStyle name="Normal 7 4 2 2 3 2 3" xfId="13393" xr:uid="{00000000-0005-0000-0000-0000F64A0000}"/>
    <cellStyle name="Normal 7 4 2 2 3 3" xfId="17021" xr:uid="{00000000-0005-0000-0000-0000F74A0000}"/>
    <cellStyle name="Normal 7 4 2 2 3 4" xfId="9765" xr:uid="{00000000-0005-0000-0000-0000F84A0000}"/>
    <cellStyle name="Normal 7 4 2 2 4" xfId="4323" xr:uid="{00000000-0005-0000-0000-0000F94A0000}"/>
    <cellStyle name="Normal 7 4 2 2 4 2" xfId="18835" xr:uid="{00000000-0005-0000-0000-0000FA4A0000}"/>
    <cellStyle name="Normal 7 4 2 2 4 3" xfId="11579" xr:uid="{00000000-0005-0000-0000-0000FB4A0000}"/>
    <cellStyle name="Normal 7 4 2 2 5" xfId="15207" xr:uid="{00000000-0005-0000-0000-0000FC4A0000}"/>
    <cellStyle name="Normal 7 4 2 2 6" xfId="7951" xr:uid="{00000000-0005-0000-0000-0000FD4A0000}"/>
    <cellStyle name="Normal 7 4 2 3" xfId="1256" xr:uid="{00000000-0005-0000-0000-0000FE4A0000}"/>
    <cellStyle name="Normal 7 4 2 3 2" xfId="3070" xr:uid="{00000000-0005-0000-0000-0000FF4A0000}"/>
    <cellStyle name="Normal 7 4 2 3 2 2" xfId="6698" xr:uid="{00000000-0005-0000-0000-0000004B0000}"/>
    <cellStyle name="Normal 7 4 2 3 2 2 2" xfId="21210" xr:uid="{00000000-0005-0000-0000-0000014B0000}"/>
    <cellStyle name="Normal 7 4 2 3 2 2 3" xfId="13954" xr:uid="{00000000-0005-0000-0000-0000024B0000}"/>
    <cellStyle name="Normal 7 4 2 3 2 3" xfId="17582" xr:uid="{00000000-0005-0000-0000-0000034B0000}"/>
    <cellStyle name="Normal 7 4 2 3 2 4" xfId="10326" xr:uid="{00000000-0005-0000-0000-0000044B0000}"/>
    <cellStyle name="Normal 7 4 2 3 3" xfId="4884" xr:uid="{00000000-0005-0000-0000-0000054B0000}"/>
    <cellStyle name="Normal 7 4 2 3 3 2" xfId="19396" xr:uid="{00000000-0005-0000-0000-0000064B0000}"/>
    <cellStyle name="Normal 7 4 2 3 3 3" xfId="12140" xr:uid="{00000000-0005-0000-0000-0000074B0000}"/>
    <cellStyle name="Normal 7 4 2 3 4" xfId="15768" xr:uid="{00000000-0005-0000-0000-0000084B0000}"/>
    <cellStyle name="Normal 7 4 2 3 5" xfId="8512" xr:uid="{00000000-0005-0000-0000-0000094B0000}"/>
    <cellStyle name="Normal 7 4 2 4" xfId="2163" xr:uid="{00000000-0005-0000-0000-00000A4B0000}"/>
    <cellStyle name="Normal 7 4 2 4 2" xfId="5791" xr:uid="{00000000-0005-0000-0000-00000B4B0000}"/>
    <cellStyle name="Normal 7 4 2 4 2 2" xfId="20303" xr:uid="{00000000-0005-0000-0000-00000C4B0000}"/>
    <cellStyle name="Normal 7 4 2 4 2 3" xfId="13047" xr:uid="{00000000-0005-0000-0000-00000D4B0000}"/>
    <cellStyle name="Normal 7 4 2 4 3" xfId="16675" xr:uid="{00000000-0005-0000-0000-00000E4B0000}"/>
    <cellStyle name="Normal 7 4 2 4 4" xfId="9419" xr:uid="{00000000-0005-0000-0000-00000F4B0000}"/>
    <cellStyle name="Normal 7 4 2 5" xfId="3977" xr:uid="{00000000-0005-0000-0000-0000104B0000}"/>
    <cellStyle name="Normal 7 4 2 5 2" xfId="18489" xr:uid="{00000000-0005-0000-0000-0000114B0000}"/>
    <cellStyle name="Normal 7 4 2 5 3" xfId="11233" xr:uid="{00000000-0005-0000-0000-0000124B0000}"/>
    <cellStyle name="Normal 7 4 2 6" xfId="14861" xr:uid="{00000000-0005-0000-0000-0000134B0000}"/>
    <cellStyle name="Normal 7 4 2 7" xfId="7605" xr:uid="{00000000-0005-0000-0000-0000144B0000}"/>
    <cellStyle name="Normal 7 4 3" xfId="824" xr:uid="{00000000-0005-0000-0000-0000154B0000}"/>
    <cellStyle name="Normal 7 4 3 2" xfId="1732" xr:uid="{00000000-0005-0000-0000-0000164B0000}"/>
    <cellStyle name="Normal 7 4 3 2 2" xfId="3546" xr:uid="{00000000-0005-0000-0000-0000174B0000}"/>
    <cellStyle name="Normal 7 4 3 2 2 2" xfId="7174" xr:uid="{00000000-0005-0000-0000-0000184B0000}"/>
    <cellStyle name="Normal 7 4 3 2 2 2 2" xfId="21686" xr:uid="{00000000-0005-0000-0000-0000194B0000}"/>
    <cellStyle name="Normal 7 4 3 2 2 2 3" xfId="14430" xr:uid="{00000000-0005-0000-0000-00001A4B0000}"/>
    <cellStyle name="Normal 7 4 3 2 2 3" xfId="18058" xr:uid="{00000000-0005-0000-0000-00001B4B0000}"/>
    <cellStyle name="Normal 7 4 3 2 2 4" xfId="10802" xr:uid="{00000000-0005-0000-0000-00001C4B0000}"/>
    <cellStyle name="Normal 7 4 3 2 3" xfId="5360" xr:uid="{00000000-0005-0000-0000-00001D4B0000}"/>
    <cellStyle name="Normal 7 4 3 2 3 2" xfId="19872" xr:uid="{00000000-0005-0000-0000-00001E4B0000}"/>
    <cellStyle name="Normal 7 4 3 2 3 3" xfId="12616" xr:uid="{00000000-0005-0000-0000-00001F4B0000}"/>
    <cellStyle name="Normal 7 4 3 2 4" xfId="16244" xr:uid="{00000000-0005-0000-0000-0000204B0000}"/>
    <cellStyle name="Normal 7 4 3 2 5" xfId="8988" xr:uid="{00000000-0005-0000-0000-0000214B0000}"/>
    <cellStyle name="Normal 7 4 3 3" xfId="2639" xr:uid="{00000000-0005-0000-0000-0000224B0000}"/>
    <cellStyle name="Normal 7 4 3 3 2" xfId="6267" xr:uid="{00000000-0005-0000-0000-0000234B0000}"/>
    <cellStyle name="Normal 7 4 3 3 2 2" xfId="20779" xr:uid="{00000000-0005-0000-0000-0000244B0000}"/>
    <cellStyle name="Normal 7 4 3 3 2 3" xfId="13523" xr:uid="{00000000-0005-0000-0000-0000254B0000}"/>
    <cellStyle name="Normal 7 4 3 3 3" xfId="17151" xr:uid="{00000000-0005-0000-0000-0000264B0000}"/>
    <cellStyle name="Normal 7 4 3 3 4" xfId="9895" xr:uid="{00000000-0005-0000-0000-0000274B0000}"/>
    <cellStyle name="Normal 7 4 3 4" xfId="4453" xr:uid="{00000000-0005-0000-0000-0000284B0000}"/>
    <cellStyle name="Normal 7 4 3 4 2" xfId="18965" xr:uid="{00000000-0005-0000-0000-0000294B0000}"/>
    <cellStyle name="Normal 7 4 3 4 3" xfId="11709" xr:uid="{00000000-0005-0000-0000-00002A4B0000}"/>
    <cellStyle name="Normal 7 4 3 5" xfId="15337" xr:uid="{00000000-0005-0000-0000-00002B4B0000}"/>
    <cellStyle name="Normal 7 4 3 6" xfId="8081" xr:uid="{00000000-0005-0000-0000-00002C4B0000}"/>
    <cellStyle name="Normal 7 4 4" xfId="564" xr:uid="{00000000-0005-0000-0000-00002D4B0000}"/>
    <cellStyle name="Normal 7 4 4 2" xfId="1472" xr:uid="{00000000-0005-0000-0000-00002E4B0000}"/>
    <cellStyle name="Normal 7 4 4 2 2" xfId="3286" xr:uid="{00000000-0005-0000-0000-00002F4B0000}"/>
    <cellStyle name="Normal 7 4 4 2 2 2" xfId="6914" xr:uid="{00000000-0005-0000-0000-0000304B0000}"/>
    <cellStyle name="Normal 7 4 4 2 2 2 2" xfId="21426" xr:uid="{00000000-0005-0000-0000-0000314B0000}"/>
    <cellStyle name="Normal 7 4 4 2 2 2 3" xfId="14170" xr:uid="{00000000-0005-0000-0000-0000324B0000}"/>
    <cellStyle name="Normal 7 4 4 2 2 3" xfId="17798" xr:uid="{00000000-0005-0000-0000-0000334B0000}"/>
    <cellStyle name="Normal 7 4 4 2 2 4" xfId="10542" xr:uid="{00000000-0005-0000-0000-0000344B0000}"/>
    <cellStyle name="Normal 7 4 4 2 3" xfId="5100" xr:uid="{00000000-0005-0000-0000-0000354B0000}"/>
    <cellStyle name="Normal 7 4 4 2 3 2" xfId="19612" xr:uid="{00000000-0005-0000-0000-0000364B0000}"/>
    <cellStyle name="Normal 7 4 4 2 3 3" xfId="12356" xr:uid="{00000000-0005-0000-0000-0000374B0000}"/>
    <cellStyle name="Normal 7 4 4 2 4" xfId="15984" xr:uid="{00000000-0005-0000-0000-0000384B0000}"/>
    <cellStyle name="Normal 7 4 4 2 5" xfId="8728" xr:uid="{00000000-0005-0000-0000-0000394B0000}"/>
    <cellStyle name="Normal 7 4 4 3" xfId="2379" xr:uid="{00000000-0005-0000-0000-00003A4B0000}"/>
    <cellStyle name="Normal 7 4 4 3 2" xfId="6007" xr:uid="{00000000-0005-0000-0000-00003B4B0000}"/>
    <cellStyle name="Normal 7 4 4 3 2 2" xfId="20519" xr:uid="{00000000-0005-0000-0000-00003C4B0000}"/>
    <cellStyle name="Normal 7 4 4 3 2 3" xfId="13263" xr:uid="{00000000-0005-0000-0000-00003D4B0000}"/>
    <cellStyle name="Normal 7 4 4 3 3" xfId="16891" xr:uid="{00000000-0005-0000-0000-00003E4B0000}"/>
    <cellStyle name="Normal 7 4 4 3 4" xfId="9635" xr:uid="{00000000-0005-0000-0000-00003F4B0000}"/>
    <cellStyle name="Normal 7 4 4 4" xfId="4193" xr:uid="{00000000-0005-0000-0000-0000404B0000}"/>
    <cellStyle name="Normal 7 4 4 4 2" xfId="18705" xr:uid="{00000000-0005-0000-0000-0000414B0000}"/>
    <cellStyle name="Normal 7 4 4 4 3" xfId="11449" xr:uid="{00000000-0005-0000-0000-0000424B0000}"/>
    <cellStyle name="Normal 7 4 4 5" xfId="15077" xr:uid="{00000000-0005-0000-0000-0000434B0000}"/>
    <cellStyle name="Normal 7 4 4 6" xfId="7821" xr:uid="{00000000-0005-0000-0000-0000444B0000}"/>
    <cellStyle name="Normal 7 4 5" xfId="1126" xr:uid="{00000000-0005-0000-0000-0000454B0000}"/>
    <cellStyle name="Normal 7 4 5 2" xfId="2940" xr:uid="{00000000-0005-0000-0000-0000464B0000}"/>
    <cellStyle name="Normal 7 4 5 2 2" xfId="6568" xr:uid="{00000000-0005-0000-0000-0000474B0000}"/>
    <cellStyle name="Normal 7 4 5 2 2 2" xfId="21080" xr:uid="{00000000-0005-0000-0000-0000484B0000}"/>
    <cellStyle name="Normal 7 4 5 2 2 3" xfId="13824" xr:uid="{00000000-0005-0000-0000-0000494B0000}"/>
    <cellStyle name="Normal 7 4 5 2 3" xfId="17452" xr:uid="{00000000-0005-0000-0000-00004A4B0000}"/>
    <cellStyle name="Normal 7 4 5 2 4" xfId="10196" xr:uid="{00000000-0005-0000-0000-00004B4B0000}"/>
    <cellStyle name="Normal 7 4 5 3" xfId="4754" xr:uid="{00000000-0005-0000-0000-00004C4B0000}"/>
    <cellStyle name="Normal 7 4 5 3 2" xfId="19266" xr:uid="{00000000-0005-0000-0000-00004D4B0000}"/>
    <cellStyle name="Normal 7 4 5 3 3" xfId="12010" xr:uid="{00000000-0005-0000-0000-00004E4B0000}"/>
    <cellStyle name="Normal 7 4 5 4" xfId="15638" xr:uid="{00000000-0005-0000-0000-00004F4B0000}"/>
    <cellStyle name="Normal 7 4 5 5" xfId="8382" xr:uid="{00000000-0005-0000-0000-0000504B0000}"/>
    <cellStyle name="Normal 7 4 6" xfId="2033" xr:uid="{00000000-0005-0000-0000-0000514B0000}"/>
    <cellStyle name="Normal 7 4 6 2" xfId="5661" xr:uid="{00000000-0005-0000-0000-0000524B0000}"/>
    <cellStyle name="Normal 7 4 6 2 2" xfId="20173" xr:uid="{00000000-0005-0000-0000-0000534B0000}"/>
    <cellStyle name="Normal 7 4 6 2 3" xfId="12917" xr:uid="{00000000-0005-0000-0000-0000544B0000}"/>
    <cellStyle name="Normal 7 4 6 3" xfId="16545" xr:uid="{00000000-0005-0000-0000-0000554B0000}"/>
    <cellStyle name="Normal 7 4 6 4" xfId="9289" xr:uid="{00000000-0005-0000-0000-0000564B0000}"/>
    <cellStyle name="Normal 7 4 7" xfId="3847" xr:uid="{00000000-0005-0000-0000-0000574B0000}"/>
    <cellStyle name="Normal 7 4 7 2" xfId="18359" xr:uid="{00000000-0005-0000-0000-0000584B0000}"/>
    <cellStyle name="Normal 7 4 7 3" xfId="11103" xr:uid="{00000000-0005-0000-0000-0000594B0000}"/>
    <cellStyle name="Normal 7 4 8" xfId="14731" xr:uid="{00000000-0005-0000-0000-00005A4B0000}"/>
    <cellStyle name="Normal 7 4 9" xfId="7475" xr:uid="{00000000-0005-0000-0000-00005B4B0000}"/>
    <cellStyle name="Normal 7 5" xfId="132" xr:uid="{00000000-0005-0000-0000-00005C4B0000}"/>
    <cellStyle name="Normal 7 5 2" xfId="478" xr:uid="{00000000-0005-0000-0000-00005D4B0000}"/>
    <cellStyle name="Normal 7 5 2 2" xfId="1386" xr:uid="{00000000-0005-0000-0000-00005E4B0000}"/>
    <cellStyle name="Normal 7 5 2 2 2" xfId="3200" xr:uid="{00000000-0005-0000-0000-00005F4B0000}"/>
    <cellStyle name="Normal 7 5 2 2 2 2" xfId="6828" xr:uid="{00000000-0005-0000-0000-0000604B0000}"/>
    <cellStyle name="Normal 7 5 2 2 2 2 2" xfId="21340" xr:uid="{00000000-0005-0000-0000-0000614B0000}"/>
    <cellStyle name="Normal 7 5 2 2 2 2 3" xfId="14084" xr:uid="{00000000-0005-0000-0000-0000624B0000}"/>
    <cellStyle name="Normal 7 5 2 2 2 3" xfId="17712" xr:uid="{00000000-0005-0000-0000-0000634B0000}"/>
    <cellStyle name="Normal 7 5 2 2 2 4" xfId="10456" xr:uid="{00000000-0005-0000-0000-0000644B0000}"/>
    <cellStyle name="Normal 7 5 2 2 3" xfId="5014" xr:uid="{00000000-0005-0000-0000-0000654B0000}"/>
    <cellStyle name="Normal 7 5 2 2 3 2" xfId="19526" xr:uid="{00000000-0005-0000-0000-0000664B0000}"/>
    <cellStyle name="Normal 7 5 2 2 3 3" xfId="12270" xr:uid="{00000000-0005-0000-0000-0000674B0000}"/>
    <cellStyle name="Normal 7 5 2 2 4" xfId="15898" xr:uid="{00000000-0005-0000-0000-0000684B0000}"/>
    <cellStyle name="Normal 7 5 2 2 5" xfId="8642" xr:uid="{00000000-0005-0000-0000-0000694B0000}"/>
    <cellStyle name="Normal 7 5 2 3" xfId="2293" xr:uid="{00000000-0005-0000-0000-00006A4B0000}"/>
    <cellStyle name="Normal 7 5 2 3 2" xfId="5921" xr:uid="{00000000-0005-0000-0000-00006B4B0000}"/>
    <cellStyle name="Normal 7 5 2 3 2 2" xfId="20433" xr:uid="{00000000-0005-0000-0000-00006C4B0000}"/>
    <cellStyle name="Normal 7 5 2 3 2 3" xfId="13177" xr:uid="{00000000-0005-0000-0000-00006D4B0000}"/>
    <cellStyle name="Normal 7 5 2 3 3" xfId="16805" xr:uid="{00000000-0005-0000-0000-00006E4B0000}"/>
    <cellStyle name="Normal 7 5 2 3 4" xfId="9549" xr:uid="{00000000-0005-0000-0000-00006F4B0000}"/>
    <cellStyle name="Normal 7 5 2 4" xfId="4107" xr:uid="{00000000-0005-0000-0000-0000704B0000}"/>
    <cellStyle name="Normal 7 5 2 4 2" xfId="18619" xr:uid="{00000000-0005-0000-0000-0000714B0000}"/>
    <cellStyle name="Normal 7 5 2 4 3" xfId="11363" xr:uid="{00000000-0005-0000-0000-0000724B0000}"/>
    <cellStyle name="Normal 7 5 2 5" xfId="14991" xr:uid="{00000000-0005-0000-0000-0000734B0000}"/>
    <cellStyle name="Normal 7 5 2 6" xfId="7735" xr:uid="{00000000-0005-0000-0000-0000744B0000}"/>
    <cellStyle name="Normal 7 5 3" xfId="1040" xr:uid="{00000000-0005-0000-0000-0000754B0000}"/>
    <cellStyle name="Normal 7 5 3 2" xfId="2854" xr:uid="{00000000-0005-0000-0000-0000764B0000}"/>
    <cellStyle name="Normal 7 5 3 2 2" xfId="6482" xr:uid="{00000000-0005-0000-0000-0000774B0000}"/>
    <cellStyle name="Normal 7 5 3 2 2 2" xfId="20994" xr:uid="{00000000-0005-0000-0000-0000784B0000}"/>
    <cellStyle name="Normal 7 5 3 2 2 3" xfId="13738" xr:uid="{00000000-0005-0000-0000-0000794B0000}"/>
    <cellStyle name="Normal 7 5 3 2 3" xfId="17366" xr:uid="{00000000-0005-0000-0000-00007A4B0000}"/>
    <cellStyle name="Normal 7 5 3 2 4" xfId="10110" xr:uid="{00000000-0005-0000-0000-00007B4B0000}"/>
    <cellStyle name="Normal 7 5 3 3" xfId="4668" xr:uid="{00000000-0005-0000-0000-00007C4B0000}"/>
    <cellStyle name="Normal 7 5 3 3 2" xfId="19180" xr:uid="{00000000-0005-0000-0000-00007D4B0000}"/>
    <cellStyle name="Normal 7 5 3 3 3" xfId="11924" xr:uid="{00000000-0005-0000-0000-00007E4B0000}"/>
    <cellStyle name="Normal 7 5 3 4" xfId="15552" xr:uid="{00000000-0005-0000-0000-00007F4B0000}"/>
    <cellStyle name="Normal 7 5 3 5" xfId="8296" xr:uid="{00000000-0005-0000-0000-0000804B0000}"/>
    <cellStyle name="Normal 7 5 4" xfId="1947" xr:uid="{00000000-0005-0000-0000-0000814B0000}"/>
    <cellStyle name="Normal 7 5 4 2" xfId="5575" xr:uid="{00000000-0005-0000-0000-0000824B0000}"/>
    <cellStyle name="Normal 7 5 4 2 2" xfId="20087" xr:uid="{00000000-0005-0000-0000-0000834B0000}"/>
    <cellStyle name="Normal 7 5 4 2 3" xfId="12831" xr:uid="{00000000-0005-0000-0000-0000844B0000}"/>
    <cellStyle name="Normal 7 5 4 3" xfId="16459" xr:uid="{00000000-0005-0000-0000-0000854B0000}"/>
    <cellStyle name="Normal 7 5 4 4" xfId="9203" xr:uid="{00000000-0005-0000-0000-0000864B0000}"/>
    <cellStyle name="Normal 7 5 5" xfId="3761" xr:uid="{00000000-0005-0000-0000-0000874B0000}"/>
    <cellStyle name="Normal 7 5 5 2" xfId="18273" xr:uid="{00000000-0005-0000-0000-0000884B0000}"/>
    <cellStyle name="Normal 7 5 5 3" xfId="11017" xr:uid="{00000000-0005-0000-0000-0000894B0000}"/>
    <cellStyle name="Normal 7 5 6" xfId="14645" xr:uid="{00000000-0005-0000-0000-00008A4B0000}"/>
    <cellStyle name="Normal 7 5 7" xfId="7389" xr:uid="{00000000-0005-0000-0000-00008B4B0000}"/>
    <cellStyle name="Normal 7 6" xfId="262" xr:uid="{00000000-0005-0000-0000-00008C4B0000}"/>
    <cellStyle name="Normal 7 6 2" xfId="608" xr:uid="{00000000-0005-0000-0000-00008D4B0000}"/>
    <cellStyle name="Normal 7 6 2 2" xfId="1516" xr:uid="{00000000-0005-0000-0000-00008E4B0000}"/>
    <cellStyle name="Normal 7 6 2 2 2" xfId="3330" xr:uid="{00000000-0005-0000-0000-00008F4B0000}"/>
    <cellStyle name="Normal 7 6 2 2 2 2" xfId="6958" xr:uid="{00000000-0005-0000-0000-0000904B0000}"/>
    <cellStyle name="Normal 7 6 2 2 2 2 2" xfId="21470" xr:uid="{00000000-0005-0000-0000-0000914B0000}"/>
    <cellStyle name="Normal 7 6 2 2 2 2 3" xfId="14214" xr:uid="{00000000-0005-0000-0000-0000924B0000}"/>
    <cellStyle name="Normal 7 6 2 2 2 3" xfId="17842" xr:uid="{00000000-0005-0000-0000-0000934B0000}"/>
    <cellStyle name="Normal 7 6 2 2 2 4" xfId="10586" xr:uid="{00000000-0005-0000-0000-0000944B0000}"/>
    <cellStyle name="Normal 7 6 2 2 3" xfId="5144" xr:uid="{00000000-0005-0000-0000-0000954B0000}"/>
    <cellStyle name="Normal 7 6 2 2 3 2" xfId="19656" xr:uid="{00000000-0005-0000-0000-0000964B0000}"/>
    <cellStyle name="Normal 7 6 2 2 3 3" xfId="12400" xr:uid="{00000000-0005-0000-0000-0000974B0000}"/>
    <cellStyle name="Normal 7 6 2 2 4" xfId="16028" xr:uid="{00000000-0005-0000-0000-0000984B0000}"/>
    <cellStyle name="Normal 7 6 2 2 5" xfId="8772" xr:uid="{00000000-0005-0000-0000-0000994B0000}"/>
    <cellStyle name="Normal 7 6 2 3" xfId="2423" xr:uid="{00000000-0005-0000-0000-00009A4B0000}"/>
    <cellStyle name="Normal 7 6 2 3 2" xfId="6051" xr:uid="{00000000-0005-0000-0000-00009B4B0000}"/>
    <cellStyle name="Normal 7 6 2 3 2 2" xfId="20563" xr:uid="{00000000-0005-0000-0000-00009C4B0000}"/>
    <cellStyle name="Normal 7 6 2 3 2 3" xfId="13307" xr:uid="{00000000-0005-0000-0000-00009D4B0000}"/>
    <cellStyle name="Normal 7 6 2 3 3" xfId="16935" xr:uid="{00000000-0005-0000-0000-00009E4B0000}"/>
    <cellStyle name="Normal 7 6 2 3 4" xfId="9679" xr:uid="{00000000-0005-0000-0000-00009F4B0000}"/>
    <cellStyle name="Normal 7 6 2 4" xfId="4237" xr:uid="{00000000-0005-0000-0000-0000A04B0000}"/>
    <cellStyle name="Normal 7 6 2 4 2" xfId="18749" xr:uid="{00000000-0005-0000-0000-0000A14B0000}"/>
    <cellStyle name="Normal 7 6 2 4 3" xfId="11493" xr:uid="{00000000-0005-0000-0000-0000A24B0000}"/>
    <cellStyle name="Normal 7 6 2 5" xfId="15121" xr:uid="{00000000-0005-0000-0000-0000A34B0000}"/>
    <cellStyle name="Normal 7 6 2 6" xfId="7865" xr:uid="{00000000-0005-0000-0000-0000A44B0000}"/>
    <cellStyle name="Normal 7 6 3" xfId="1170" xr:uid="{00000000-0005-0000-0000-0000A54B0000}"/>
    <cellStyle name="Normal 7 6 3 2" xfId="2984" xr:uid="{00000000-0005-0000-0000-0000A64B0000}"/>
    <cellStyle name="Normal 7 6 3 2 2" xfId="6612" xr:uid="{00000000-0005-0000-0000-0000A74B0000}"/>
    <cellStyle name="Normal 7 6 3 2 2 2" xfId="21124" xr:uid="{00000000-0005-0000-0000-0000A84B0000}"/>
    <cellStyle name="Normal 7 6 3 2 2 3" xfId="13868" xr:uid="{00000000-0005-0000-0000-0000A94B0000}"/>
    <cellStyle name="Normal 7 6 3 2 3" xfId="17496" xr:uid="{00000000-0005-0000-0000-0000AA4B0000}"/>
    <cellStyle name="Normal 7 6 3 2 4" xfId="10240" xr:uid="{00000000-0005-0000-0000-0000AB4B0000}"/>
    <cellStyle name="Normal 7 6 3 3" xfId="4798" xr:uid="{00000000-0005-0000-0000-0000AC4B0000}"/>
    <cellStyle name="Normal 7 6 3 3 2" xfId="19310" xr:uid="{00000000-0005-0000-0000-0000AD4B0000}"/>
    <cellStyle name="Normal 7 6 3 3 3" xfId="12054" xr:uid="{00000000-0005-0000-0000-0000AE4B0000}"/>
    <cellStyle name="Normal 7 6 3 4" xfId="15682" xr:uid="{00000000-0005-0000-0000-0000AF4B0000}"/>
    <cellStyle name="Normal 7 6 3 5" xfId="8426" xr:uid="{00000000-0005-0000-0000-0000B04B0000}"/>
    <cellStyle name="Normal 7 6 4" xfId="2077" xr:uid="{00000000-0005-0000-0000-0000B14B0000}"/>
    <cellStyle name="Normal 7 6 4 2" xfId="5705" xr:uid="{00000000-0005-0000-0000-0000B24B0000}"/>
    <cellStyle name="Normal 7 6 4 2 2" xfId="20217" xr:uid="{00000000-0005-0000-0000-0000B34B0000}"/>
    <cellStyle name="Normal 7 6 4 2 3" xfId="12961" xr:uid="{00000000-0005-0000-0000-0000B44B0000}"/>
    <cellStyle name="Normal 7 6 4 3" xfId="16589" xr:uid="{00000000-0005-0000-0000-0000B54B0000}"/>
    <cellStyle name="Normal 7 6 4 4" xfId="9333" xr:uid="{00000000-0005-0000-0000-0000B64B0000}"/>
    <cellStyle name="Normal 7 6 5" xfId="3891" xr:uid="{00000000-0005-0000-0000-0000B74B0000}"/>
    <cellStyle name="Normal 7 6 5 2" xfId="18403" xr:uid="{00000000-0005-0000-0000-0000B84B0000}"/>
    <cellStyle name="Normal 7 6 5 3" xfId="11147" xr:uid="{00000000-0005-0000-0000-0000B94B0000}"/>
    <cellStyle name="Normal 7 6 6" xfId="14775" xr:uid="{00000000-0005-0000-0000-0000BA4B0000}"/>
    <cellStyle name="Normal 7 6 7" xfId="7519" xr:uid="{00000000-0005-0000-0000-0000BB4B0000}"/>
    <cellStyle name="Normal 7 7" xfId="738" xr:uid="{00000000-0005-0000-0000-0000BC4B0000}"/>
    <cellStyle name="Normal 7 7 2" xfId="1646" xr:uid="{00000000-0005-0000-0000-0000BD4B0000}"/>
    <cellStyle name="Normal 7 7 2 2" xfId="3460" xr:uid="{00000000-0005-0000-0000-0000BE4B0000}"/>
    <cellStyle name="Normal 7 7 2 2 2" xfId="7088" xr:uid="{00000000-0005-0000-0000-0000BF4B0000}"/>
    <cellStyle name="Normal 7 7 2 2 2 2" xfId="21600" xr:uid="{00000000-0005-0000-0000-0000C04B0000}"/>
    <cellStyle name="Normal 7 7 2 2 2 3" xfId="14344" xr:uid="{00000000-0005-0000-0000-0000C14B0000}"/>
    <cellStyle name="Normal 7 7 2 2 3" xfId="17972" xr:uid="{00000000-0005-0000-0000-0000C24B0000}"/>
    <cellStyle name="Normal 7 7 2 2 4" xfId="10716" xr:uid="{00000000-0005-0000-0000-0000C34B0000}"/>
    <cellStyle name="Normal 7 7 2 3" xfId="5274" xr:uid="{00000000-0005-0000-0000-0000C44B0000}"/>
    <cellStyle name="Normal 7 7 2 3 2" xfId="19786" xr:uid="{00000000-0005-0000-0000-0000C54B0000}"/>
    <cellStyle name="Normal 7 7 2 3 3" xfId="12530" xr:uid="{00000000-0005-0000-0000-0000C64B0000}"/>
    <cellStyle name="Normal 7 7 2 4" xfId="16158" xr:uid="{00000000-0005-0000-0000-0000C74B0000}"/>
    <cellStyle name="Normal 7 7 2 5" xfId="8902" xr:uid="{00000000-0005-0000-0000-0000C84B0000}"/>
    <cellStyle name="Normal 7 7 3" xfId="2553" xr:uid="{00000000-0005-0000-0000-0000C94B0000}"/>
    <cellStyle name="Normal 7 7 3 2" xfId="6181" xr:uid="{00000000-0005-0000-0000-0000CA4B0000}"/>
    <cellStyle name="Normal 7 7 3 2 2" xfId="20693" xr:uid="{00000000-0005-0000-0000-0000CB4B0000}"/>
    <cellStyle name="Normal 7 7 3 2 3" xfId="13437" xr:uid="{00000000-0005-0000-0000-0000CC4B0000}"/>
    <cellStyle name="Normal 7 7 3 3" xfId="17065" xr:uid="{00000000-0005-0000-0000-0000CD4B0000}"/>
    <cellStyle name="Normal 7 7 3 4" xfId="9809" xr:uid="{00000000-0005-0000-0000-0000CE4B0000}"/>
    <cellStyle name="Normal 7 7 4" xfId="4367" xr:uid="{00000000-0005-0000-0000-0000CF4B0000}"/>
    <cellStyle name="Normal 7 7 4 2" xfId="18879" xr:uid="{00000000-0005-0000-0000-0000D04B0000}"/>
    <cellStyle name="Normal 7 7 4 3" xfId="11623" xr:uid="{00000000-0005-0000-0000-0000D14B0000}"/>
    <cellStyle name="Normal 7 7 5" xfId="15251" xr:uid="{00000000-0005-0000-0000-0000D24B0000}"/>
    <cellStyle name="Normal 7 7 6" xfId="7995" xr:uid="{00000000-0005-0000-0000-0000D34B0000}"/>
    <cellStyle name="Normal 7 8" xfId="392" xr:uid="{00000000-0005-0000-0000-0000D44B0000}"/>
    <cellStyle name="Normal 7 8 2" xfId="1300" xr:uid="{00000000-0005-0000-0000-0000D54B0000}"/>
    <cellStyle name="Normal 7 8 2 2" xfId="3114" xr:uid="{00000000-0005-0000-0000-0000D64B0000}"/>
    <cellStyle name="Normal 7 8 2 2 2" xfId="6742" xr:uid="{00000000-0005-0000-0000-0000D74B0000}"/>
    <cellStyle name="Normal 7 8 2 2 2 2" xfId="21254" xr:uid="{00000000-0005-0000-0000-0000D84B0000}"/>
    <cellStyle name="Normal 7 8 2 2 2 3" xfId="13998" xr:uid="{00000000-0005-0000-0000-0000D94B0000}"/>
    <cellStyle name="Normal 7 8 2 2 3" xfId="17626" xr:uid="{00000000-0005-0000-0000-0000DA4B0000}"/>
    <cellStyle name="Normal 7 8 2 2 4" xfId="10370" xr:uid="{00000000-0005-0000-0000-0000DB4B0000}"/>
    <cellStyle name="Normal 7 8 2 3" xfId="4928" xr:uid="{00000000-0005-0000-0000-0000DC4B0000}"/>
    <cellStyle name="Normal 7 8 2 3 2" xfId="19440" xr:uid="{00000000-0005-0000-0000-0000DD4B0000}"/>
    <cellStyle name="Normal 7 8 2 3 3" xfId="12184" xr:uid="{00000000-0005-0000-0000-0000DE4B0000}"/>
    <cellStyle name="Normal 7 8 2 4" xfId="15812" xr:uid="{00000000-0005-0000-0000-0000DF4B0000}"/>
    <cellStyle name="Normal 7 8 2 5" xfId="8556" xr:uid="{00000000-0005-0000-0000-0000E04B0000}"/>
    <cellStyle name="Normal 7 8 3" xfId="2207" xr:uid="{00000000-0005-0000-0000-0000E14B0000}"/>
    <cellStyle name="Normal 7 8 3 2" xfId="5835" xr:uid="{00000000-0005-0000-0000-0000E24B0000}"/>
    <cellStyle name="Normal 7 8 3 2 2" xfId="20347" xr:uid="{00000000-0005-0000-0000-0000E34B0000}"/>
    <cellStyle name="Normal 7 8 3 2 3" xfId="13091" xr:uid="{00000000-0005-0000-0000-0000E44B0000}"/>
    <cellStyle name="Normal 7 8 3 3" xfId="16719" xr:uid="{00000000-0005-0000-0000-0000E54B0000}"/>
    <cellStyle name="Normal 7 8 3 4" xfId="9463" xr:uid="{00000000-0005-0000-0000-0000E64B0000}"/>
    <cellStyle name="Normal 7 8 4" xfId="4021" xr:uid="{00000000-0005-0000-0000-0000E74B0000}"/>
    <cellStyle name="Normal 7 8 4 2" xfId="18533" xr:uid="{00000000-0005-0000-0000-0000E84B0000}"/>
    <cellStyle name="Normal 7 8 4 3" xfId="11277" xr:uid="{00000000-0005-0000-0000-0000E94B0000}"/>
    <cellStyle name="Normal 7 8 5" xfId="14905" xr:uid="{00000000-0005-0000-0000-0000EA4B0000}"/>
    <cellStyle name="Normal 7 8 6" xfId="7649" xr:uid="{00000000-0005-0000-0000-0000EB4B0000}"/>
    <cellStyle name="Normal 7 9" xfId="868" xr:uid="{00000000-0005-0000-0000-0000EC4B0000}"/>
    <cellStyle name="Normal 7 9 2" xfId="1776" xr:uid="{00000000-0005-0000-0000-0000ED4B0000}"/>
    <cellStyle name="Normal 7 9 2 2" xfId="3590" xr:uid="{00000000-0005-0000-0000-0000EE4B0000}"/>
    <cellStyle name="Normal 7 9 2 2 2" xfId="7218" xr:uid="{00000000-0005-0000-0000-0000EF4B0000}"/>
    <cellStyle name="Normal 7 9 2 2 2 2" xfId="21730" xr:uid="{00000000-0005-0000-0000-0000F04B0000}"/>
    <cellStyle name="Normal 7 9 2 2 2 3" xfId="14474" xr:uid="{00000000-0005-0000-0000-0000F14B0000}"/>
    <cellStyle name="Normal 7 9 2 2 3" xfId="18102" xr:uid="{00000000-0005-0000-0000-0000F24B0000}"/>
    <cellStyle name="Normal 7 9 2 2 4" xfId="10846" xr:uid="{00000000-0005-0000-0000-0000F34B0000}"/>
    <cellStyle name="Normal 7 9 2 3" xfId="5404" xr:uid="{00000000-0005-0000-0000-0000F44B0000}"/>
    <cellStyle name="Normal 7 9 2 3 2" xfId="19916" xr:uid="{00000000-0005-0000-0000-0000F54B0000}"/>
    <cellStyle name="Normal 7 9 2 3 3" xfId="12660" xr:uid="{00000000-0005-0000-0000-0000F64B0000}"/>
    <cellStyle name="Normal 7 9 2 4" xfId="16288" xr:uid="{00000000-0005-0000-0000-0000F74B0000}"/>
    <cellStyle name="Normal 7 9 2 5" xfId="9032" xr:uid="{00000000-0005-0000-0000-0000F84B0000}"/>
    <cellStyle name="Normal 7 9 3" xfId="2683" xr:uid="{00000000-0005-0000-0000-0000F94B0000}"/>
    <cellStyle name="Normal 7 9 3 2" xfId="6311" xr:uid="{00000000-0005-0000-0000-0000FA4B0000}"/>
    <cellStyle name="Normal 7 9 3 2 2" xfId="20823" xr:uid="{00000000-0005-0000-0000-0000FB4B0000}"/>
    <cellStyle name="Normal 7 9 3 2 3" xfId="13567" xr:uid="{00000000-0005-0000-0000-0000FC4B0000}"/>
    <cellStyle name="Normal 7 9 3 3" xfId="17195" xr:uid="{00000000-0005-0000-0000-0000FD4B0000}"/>
    <cellStyle name="Normal 7 9 3 4" xfId="9939" xr:uid="{00000000-0005-0000-0000-0000FE4B0000}"/>
    <cellStyle name="Normal 7 9 4" xfId="4497" xr:uid="{00000000-0005-0000-0000-0000FF4B0000}"/>
    <cellStyle name="Normal 7 9 4 2" xfId="19009" xr:uid="{00000000-0005-0000-0000-0000004C0000}"/>
    <cellStyle name="Normal 7 9 4 3" xfId="11753" xr:uid="{00000000-0005-0000-0000-0000014C0000}"/>
    <cellStyle name="Normal 7 9 5" xfId="15381" xr:uid="{00000000-0005-0000-0000-0000024C0000}"/>
    <cellStyle name="Normal 7 9 6" xfId="8125" xr:uid="{00000000-0005-0000-0000-0000034C0000}"/>
    <cellStyle name="Normal 8" xfId="108" xr:uid="{00000000-0005-0000-0000-0000044C0000}"/>
    <cellStyle name="Normal 9" xfId="109" xr:uid="{00000000-0005-0000-0000-0000054C0000}"/>
    <cellStyle name="Normal 9 10" xfId="3739" xr:uid="{00000000-0005-0000-0000-0000064C0000}"/>
    <cellStyle name="Normal 9 10 2" xfId="18251" xr:uid="{00000000-0005-0000-0000-0000074C0000}"/>
    <cellStyle name="Normal 9 10 3" xfId="10995" xr:uid="{00000000-0005-0000-0000-0000084C0000}"/>
    <cellStyle name="Normal 9 11" xfId="14623" xr:uid="{00000000-0005-0000-0000-0000094C0000}"/>
    <cellStyle name="Normal 9 12" xfId="7367" xr:uid="{00000000-0005-0000-0000-00000A4C0000}"/>
    <cellStyle name="Normal 9 2" xfId="240" xr:uid="{00000000-0005-0000-0000-00000B4C0000}"/>
    <cellStyle name="Normal 9 2 2" xfId="370" xr:uid="{00000000-0005-0000-0000-00000C4C0000}"/>
    <cellStyle name="Normal 9 2 2 2" xfId="716" xr:uid="{00000000-0005-0000-0000-00000D4C0000}"/>
    <cellStyle name="Normal 9 2 2 2 2" xfId="1624" xr:uid="{00000000-0005-0000-0000-00000E4C0000}"/>
    <cellStyle name="Normal 9 2 2 2 2 2" xfId="3438" xr:uid="{00000000-0005-0000-0000-00000F4C0000}"/>
    <cellStyle name="Normal 9 2 2 2 2 2 2" xfId="7066" xr:uid="{00000000-0005-0000-0000-0000104C0000}"/>
    <cellStyle name="Normal 9 2 2 2 2 2 2 2" xfId="21578" xr:uid="{00000000-0005-0000-0000-0000114C0000}"/>
    <cellStyle name="Normal 9 2 2 2 2 2 2 3" xfId="14322" xr:uid="{00000000-0005-0000-0000-0000124C0000}"/>
    <cellStyle name="Normal 9 2 2 2 2 2 3" xfId="17950" xr:uid="{00000000-0005-0000-0000-0000134C0000}"/>
    <cellStyle name="Normal 9 2 2 2 2 2 4" xfId="10694" xr:uid="{00000000-0005-0000-0000-0000144C0000}"/>
    <cellStyle name="Normal 9 2 2 2 2 3" xfId="5252" xr:uid="{00000000-0005-0000-0000-0000154C0000}"/>
    <cellStyle name="Normal 9 2 2 2 2 3 2" xfId="19764" xr:uid="{00000000-0005-0000-0000-0000164C0000}"/>
    <cellStyle name="Normal 9 2 2 2 2 3 3" xfId="12508" xr:uid="{00000000-0005-0000-0000-0000174C0000}"/>
    <cellStyle name="Normal 9 2 2 2 2 4" xfId="16136" xr:uid="{00000000-0005-0000-0000-0000184C0000}"/>
    <cellStyle name="Normal 9 2 2 2 2 5" xfId="8880" xr:uid="{00000000-0005-0000-0000-0000194C0000}"/>
    <cellStyle name="Normal 9 2 2 2 3" xfId="2531" xr:uid="{00000000-0005-0000-0000-00001A4C0000}"/>
    <cellStyle name="Normal 9 2 2 2 3 2" xfId="6159" xr:uid="{00000000-0005-0000-0000-00001B4C0000}"/>
    <cellStyle name="Normal 9 2 2 2 3 2 2" xfId="20671" xr:uid="{00000000-0005-0000-0000-00001C4C0000}"/>
    <cellStyle name="Normal 9 2 2 2 3 2 3" xfId="13415" xr:uid="{00000000-0005-0000-0000-00001D4C0000}"/>
    <cellStyle name="Normal 9 2 2 2 3 3" xfId="17043" xr:uid="{00000000-0005-0000-0000-00001E4C0000}"/>
    <cellStyle name="Normal 9 2 2 2 3 4" xfId="9787" xr:uid="{00000000-0005-0000-0000-00001F4C0000}"/>
    <cellStyle name="Normal 9 2 2 2 4" xfId="4345" xr:uid="{00000000-0005-0000-0000-0000204C0000}"/>
    <cellStyle name="Normal 9 2 2 2 4 2" xfId="18857" xr:uid="{00000000-0005-0000-0000-0000214C0000}"/>
    <cellStyle name="Normal 9 2 2 2 4 3" xfId="11601" xr:uid="{00000000-0005-0000-0000-0000224C0000}"/>
    <cellStyle name="Normal 9 2 2 2 5" xfId="15229" xr:uid="{00000000-0005-0000-0000-0000234C0000}"/>
    <cellStyle name="Normal 9 2 2 2 6" xfId="7973" xr:uid="{00000000-0005-0000-0000-0000244C0000}"/>
    <cellStyle name="Normal 9 2 2 3" xfId="1278" xr:uid="{00000000-0005-0000-0000-0000254C0000}"/>
    <cellStyle name="Normal 9 2 2 3 2" xfId="3092" xr:uid="{00000000-0005-0000-0000-0000264C0000}"/>
    <cellStyle name="Normal 9 2 2 3 2 2" xfId="6720" xr:uid="{00000000-0005-0000-0000-0000274C0000}"/>
    <cellStyle name="Normal 9 2 2 3 2 2 2" xfId="21232" xr:uid="{00000000-0005-0000-0000-0000284C0000}"/>
    <cellStyle name="Normal 9 2 2 3 2 2 3" xfId="13976" xr:uid="{00000000-0005-0000-0000-0000294C0000}"/>
    <cellStyle name="Normal 9 2 2 3 2 3" xfId="17604" xr:uid="{00000000-0005-0000-0000-00002A4C0000}"/>
    <cellStyle name="Normal 9 2 2 3 2 4" xfId="10348" xr:uid="{00000000-0005-0000-0000-00002B4C0000}"/>
    <cellStyle name="Normal 9 2 2 3 3" xfId="4906" xr:uid="{00000000-0005-0000-0000-00002C4C0000}"/>
    <cellStyle name="Normal 9 2 2 3 3 2" xfId="19418" xr:uid="{00000000-0005-0000-0000-00002D4C0000}"/>
    <cellStyle name="Normal 9 2 2 3 3 3" xfId="12162" xr:uid="{00000000-0005-0000-0000-00002E4C0000}"/>
    <cellStyle name="Normal 9 2 2 3 4" xfId="15790" xr:uid="{00000000-0005-0000-0000-00002F4C0000}"/>
    <cellStyle name="Normal 9 2 2 3 5" xfId="8534" xr:uid="{00000000-0005-0000-0000-0000304C0000}"/>
    <cellStyle name="Normal 9 2 2 4" xfId="2185" xr:uid="{00000000-0005-0000-0000-0000314C0000}"/>
    <cellStyle name="Normal 9 2 2 4 2" xfId="5813" xr:uid="{00000000-0005-0000-0000-0000324C0000}"/>
    <cellStyle name="Normal 9 2 2 4 2 2" xfId="20325" xr:uid="{00000000-0005-0000-0000-0000334C0000}"/>
    <cellStyle name="Normal 9 2 2 4 2 3" xfId="13069" xr:uid="{00000000-0005-0000-0000-0000344C0000}"/>
    <cellStyle name="Normal 9 2 2 4 3" xfId="16697" xr:uid="{00000000-0005-0000-0000-0000354C0000}"/>
    <cellStyle name="Normal 9 2 2 4 4" xfId="9441" xr:uid="{00000000-0005-0000-0000-0000364C0000}"/>
    <cellStyle name="Normal 9 2 2 5" xfId="3999" xr:uid="{00000000-0005-0000-0000-0000374C0000}"/>
    <cellStyle name="Normal 9 2 2 5 2" xfId="18511" xr:uid="{00000000-0005-0000-0000-0000384C0000}"/>
    <cellStyle name="Normal 9 2 2 5 3" xfId="11255" xr:uid="{00000000-0005-0000-0000-0000394C0000}"/>
    <cellStyle name="Normal 9 2 2 6" xfId="14883" xr:uid="{00000000-0005-0000-0000-00003A4C0000}"/>
    <cellStyle name="Normal 9 2 2 7" xfId="7627" xr:uid="{00000000-0005-0000-0000-00003B4C0000}"/>
    <cellStyle name="Normal 9 2 3" xfId="846" xr:uid="{00000000-0005-0000-0000-00003C4C0000}"/>
    <cellStyle name="Normal 9 2 3 2" xfId="1754" xr:uid="{00000000-0005-0000-0000-00003D4C0000}"/>
    <cellStyle name="Normal 9 2 3 2 2" xfId="3568" xr:uid="{00000000-0005-0000-0000-00003E4C0000}"/>
    <cellStyle name="Normal 9 2 3 2 2 2" xfId="7196" xr:uid="{00000000-0005-0000-0000-00003F4C0000}"/>
    <cellStyle name="Normal 9 2 3 2 2 2 2" xfId="21708" xr:uid="{00000000-0005-0000-0000-0000404C0000}"/>
    <cellStyle name="Normal 9 2 3 2 2 2 3" xfId="14452" xr:uid="{00000000-0005-0000-0000-0000414C0000}"/>
    <cellStyle name="Normal 9 2 3 2 2 3" xfId="18080" xr:uid="{00000000-0005-0000-0000-0000424C0000}"/>
    <cellStyle name="Normal 9 2 3 2 2 4" xfId="10824" xr:uid="{00000000-0005-0000-0000-0000434C0000}"/>
    <cellStyle name="Normal 9 2 3 2 3" xfId="5382" xr:uid="{00000000-0005-0000-0000-0000444C0000}"/>
    <cellStyle name="Normal 9 2 3 2 3 2" xfId="19894" xr:uid="{00000000-0005-0000-0000-0000454C0000}"/>
    <cellStyle name="Normal 9 2 3 2 3 3" xfId="12638" xr:uid="{00000000-0005-0000-0000-0000464C0000}"/>
    <cellStyle name="Normal 9 2 3 2 4" xfId="16266" xr:uid="{00000000-0005-0000-0000-0000474C0000}"/>
    <cellStyle name="Normal 9 2 3 2 5" xfId="9010" xr:uid="{00000000-0005-0000-0000-0000484C0000}"/>
    <cellStyle name="Normal 9 2 3 3" xfId="2661" xr:uid="{00000000-0005-0000-0000-0000494C0000}"/>
    <cellStyle name="Normal 9 2 3 3 2" xfId="6289" xr:uid="{00000000-0005-0000-0000-00004A4C0000}"/>
    <cellStyle name="Normal 9 2 3 3 2 2" xfId="20801" xr:uid="{00000000-0005-0000-0000-00004B4C0000}"/>
    <cellStyle name="Normal 9 2 3 3 2 3" xfId="13545" xr:uid="{00000000-0005-0000-0000-00004C4C0000}"/>
    <cellStyle name="Normal 9 2 3 3 3" xfId="17173" xr:uid="{00000000-0005-0000-0000-00004D4C0000}"/>
    <cellStyle name="Normal 9 2 3 3 4" xfId="9917" xr:uid="{00000000-0005-0000-0000-00004E4C0000}"/>
    <cellStyle name="Normal 9 2 3 4" xfId="4475" xr:uid="{00000000-0005-0000-0000-00004F4C0000}"/>
    <cellStyle name="Normal 9 2 3 4 2" xfId="18987" xr:uid="{00000000-0005-0000-0000-0000504C0000}"/>
    <cellStyle name="Normal 9 2 3 4 3" xfId="11731" xr:uid="{00000000-0005-0000-0000-0000514C0000}"/>
    <cellStyle name="Normal 9 2 3 5" xfId="15359" xr:uid="{00000000-0005-0000-0000-0000524C0000}"/>
    <cellStyle name="Normal 9 2 3 6" xfId="8103" xr:uid="{00000000-0005-0000-0000-0000534C0000}"/>
    <cellStyle name="Normal 9 2 4" xfId="586" xr:uid="{00000000-0005-0000-0000-0000544C0000}"/>
    <cellStyle name="Normal 9 2 4 2" xfId="1494" xr:uid="{00000000-0005-0000-0000-0000554C0000}"/>
    <cellStyle name="Normal 9 2 4 2 2" xfId="3308" xr:uid="{00000000-0005-0000-0000-0000564C0000}"/>
    <cellStyle name="Normal 9 2 4 2 2 2" xfId="6936" xr:uid="{00000000-0005-0000-0000-0000574C0000}"/>
    <cellStyle name="Normal 9 2 4 2 2 2 2" xfId="21448" xr:uid="{00000000-0005-0000-0000-0000584C0000}"/>
    <cellStyle name="Normal 9 2 4 2 2 2 3" xfId="14192" xr:uid="{00000000-0005-0000-0000-0000594C0000}"/>
    <cellStyle name="Normal 9 2 4 2 2 3" xfId="17820" xr:uid="{00000000-0005-0000-0000-00005A4C0000}"/>
    <cellStyle name="Normal 9 2 4 2 2 4" xfId="10564" xr:uid="{00000000-0005-0000-0000-00005B4C0000}"/>
    <cellStyle name="Normal 9 2 4 2 3" xfId="5122" xr:uid="{00000000-0005-0000-0000-00005C4C0000}"/>
    <cellStyle name="Normal 9 2 4 2 3 2" xfId="19634" xr:uid="{00000000-0005-0000-0000-00005D4C0000}"/>
    <cellStyle name="Normal 9 2 4 2 3 3" xfId="12378" xr:uid="{00000000-0005-0000-0000-00005E4C0000}"/>
    <cellStyle name="Normal 9 2 4 2 4" xfId="16006" xr:uid="{00000000-0005-0000-0000-00005F4C0000}"/>
    <cellStyle name="Normal 9 2 4 2 5" xfId="8750" xr:uid="{00000000-0005-0000-0000-0000604C0000}"/>
    <cellStyle name="Normal 9 2 4 3" xfId="2401" xr:uid="{00000000-0005-0000-0000-0000614C0000}"/>
    <cellStyle name="Normal 9 2 4 3 2" xfId="6029" xr:uid="{00000000-0005-0000-0000-0000624C0000}"/>
    <cellStyle name="Normal 9 2 4 3 2 2" xfId="20541" xr:uid="{00000000-0005-0000-0000-0000634C0000}"/>
    <cellStyle name="Normal 9 2 4 3 2 3" xfId="13285" xr:uid="{00000000-0005-0000-0000-0000644C0000}"/>
    <cellStyle name="Normal 9 2 4 3 3" xfId="16913" xr:uid="{00000000-0005-0000-0000-0000654C0000}"/>
    <cellStyle name="Normal 9 2 4 3 4" xfId="9657" xr:uid="{00000000-0005-0000-0000-0000664C0000}"/>
    <cellStyle name="Normal 9 2 4 4" xfId="4215" xr:uid="{00000000-0005-0000-0000-0000674C0000}"/>
    <cellStyle name="Normal 9 2 4 4 2" xfId="18727" xr:uid="{00000000-0005-0000-0000-0000684C0000}"/>
    <cellStyle name="Normal 9 2 4 4 3" xfId="11471" xr:uid="{00000000-0005-0000-0000-0000694C0000}"/>
    <cellStyle name="Normal 9 2 4 5" xfId="15099" xr:uid="{00000000-0005-0000-0000-00006A4C0000}"/>
    <cellStyle name="Normal 9 2 4 6" xfId="7843" xr:uid="{00000000-0005-0000-0000-00006B4C0000}"/>
    <cellStyle name="Normal 9 2 5" xfId="1148" xr:uid="{00000000-0005-0000-0000-00006C4C0000}"/>
    <cellStyle name="Normal 9 2 5 2" xfId="2962" xr:uid="{00000000-0005-0000-0000-00006D4C0000}"/>
    <cellStyle name="Normal 9 2 5 2 2" xfId="6590" xr:uid="{00000000-0005-0000-0000-00006E4C0000}"/>
    <cellStyle name="Normal 9 2 5 2 2 2" xfId="21102" xr:uid="{00000000-0005-0000-0000-00006F4C0000}"/>
    <cellStyle name="Normal 9 2 5 2 2 3" xfId="13846" xr:uid="{00000000-0005-0000-0000-0000704C0000}"/>
    <cellStyle name="Normal 9 2 5 2 3" xfId="17474" xr:uid="{00000000-0005-0000-0000-0000714C0000}"/>
    <cellStyle name="Normal 9 2 5 2 4" xfId="10218" xr:uid="{00000000-0005-0000-0000-0000724C0000}"/>
    <cellStyle name="Normal 9 2 5 3" xfId="4776" xr:uid="{00000000-0005-0000-0000-0000734C0000}"/>
    <cellStyle name="Normal 9 2 5 3 2" xfId="19288" xr:uid="{00000000-0005-0000-0000-0000744C0000}"/>
    <cellStyle name="Normal 9 2 5 3 3" xfId="12032" xr:uid="{00000000-0005-0000-0000-0000754C0000}"/>
    <cellStyle name="Normal 9 2 5 4" xfId="15660" xr:uid="{00000000-0005-0000-0000-0000764C0000}"/>
    <cellStyle name="Normal 9 2 5 5" xfId="8404" xr:uid="{00000000-0005-0000-0000-0000774C0000}"/>
    <cellStyle name="Normal 9 2 6" xfId="2055" xr:uid="{00000000-0005-0000-0000-0000784C0000}"/>
    <cellStyle name="Normal 9 2 6 2" xfId="5683" xr:uid="{00000000-0005-0000-0000-0000794C0000}"/>
    <cellStyle name="Normal 9 2 6 2 2" xfId="20195" xr:uid="{00000000-0005-0000-0000-00007A4C0000}"/>
    <cellStyle name="Normal 9 2 6 2 3" xfId="12939" xr:uid="{00000000-0005-0000-0000-00007B4C0000}"/>
    <cellStyle name="Normal 9 2 6 3" xfId="16567" xr:uid="{00000000-0005-0000-0000-00007C4C0000}"/>
    <cellStyle name="Normal 9 2 6 4" xfId="9311" xr:uid="{00000000-0005-0000-0000-00007D4C0000}"/>
    <cellStyle name="Normal 9 2 7" xfId="3869" xr:uid="{00000000-0005-0000-0000-00007E4C0000}"/>
    <cellStyle name="Normal 9 2 7 2" xfId="18381" xr:uid="{00000000-0005-0000-0000-00007F4C0000}"/>
    <cellStyle name="Normal 9 2 7 3" xfId="11125" xr:uid="{00000000-0005-0000-0000-0000804C0000}"/>
    <cellStyle name="Normal 9 2 8" xfId="14753" xr:uid="{00000000-0005-0000-0000-0000814C0000}"/>
    <cellStyle name="Normal 9 2 9" xfId="7497" xr:uid="{00000000-0005-0000-0000-0000824C0000}"/>
    <cellStyle name="Normal 9 3" xfId="196" xr:uid="{00000000-0005-0000-0000-0000834C0000}"/>
    <cellStyle name="Normal 9 3 2" xfId="542" xr:uid="{00000000-0005-0000-0000-0000844C0000}"/>
    <cellStyle name="Normal 9 3 2 2" xfId="1450" xr:uid="{00000000-0005-0000-0000-0000854C0000}"/>
    <cellStyle name="Normal 9 3 2 2 2" xfId="3264" xr:uid="{00000000-0005-0000-0000-0000864C0000}"/>
    <cellStyle name="Normal 9 3 2 2 2 2" xfId="6892" xr:uid="{00000000-0005-0000-0000-0000874C0000}"/>
    <cellStyle name="Normal 9 3 2 2 2 2 2" xfId="21404" xr:uid="{00000000-0005-0000-0000-0000884C0000}"/>
    <cellStyle name="Normal 9 3 2 2 2 2 3" xfId="14148" xr:uid="{00000000-0005-0000-0000-0000894C0000}"/>
    <cellStyle name="Normal 9 3 2 2 2 3" xfId="17776" xr:uid="{00000000-0005-0000-0000-00008A4C0000}"/>
    <cellStyle name="Normal 9 3 2 2 2 4" xfId="10520" xr:uid="{00000000-0005-0000-0000-00008B4C0000}"/>
    <cellStyle name="Normal 9 3 2 2 3" xfId="5078" xr:uid="{00000000-0005-0000-0000-00008C4C0000}"/>
    <cellStyle name="Normal 9 3 2 2 3 2" xfId="19590" xr:uid="{00000000-0005-0000-0000-00008D4C0000}"/>
    <cellStyle name="Normal 9 3 2 2 3 3" xfId="12334" xr:uid="{00000000-0005-0000-0000-00008E4C0000}"/>
    <cellStyle name="Normal 9 3 2 2 4" xfId="15962" xr:uid="{00000000-0005-0000-0000-00008F4C0000}"/>
    <cellStyle name="Normal 9 3 2 2 5" xfId="8706" xr:uid="{00000000-0005-0000-0000-0000904C0000}"/>
    <cellStyle name="Normal 9 3 2 3" xfId="2357" xr:uid="{00000000-0005-0000-0000-0000914C0000}"/>
    <cellStyle name="Normal 9 3 2 3 2" xfId="5985" xr:uid="{00000000-0005-0000-0000-0000924C0000}"/>
    <cellStyle name="Normal 9 3 2 3 2 2" xfId="20497" xr:uid="{00000000-0005-0000-0000-0000934C0000}"/>
    <cellStyle name="Normal 9 3 2 3 2 3" xfId="13241" xr:uid="{00000000-0005-0000-0000-0000944C0000}"/>
    <cellStyle name="Normal 9 3 2 3 3" xfId="16869" xr:uid="{00000000-0005-0000-0000-0000954C0000}"/>
    <cellStyle name="Normal 9 3 2 3 4" xfId="9613" xr:uid="{00000000-0005-0000-0000-0000964C0000}"/>
    <cellStyle name="Normal 9 3 2 4" xfId="4171" xr:uid="{00000000-0005-0000-0000-0000974C0000}"/>
    <cellStyle name="Normal 9 3 2 4 2" xfId="18683" xr:uid="{00000000-0005-0000-0000-0000984C0000}"/>
    <cellStyle name="Normal 9 3 2 4 3" xfId="11427" xr:uid="{00000000-0005-0000-0000-0000994C0000}"/>
    <cellStyle name="Normal 9 3 2 5" xfId="15055" xr:uid="{00000000-0005-0000-0000-00009A4C0000}"/>
    <cellStyle name="Normal 9 3 2 6" xfId="7799" xr:uid="{00000000-0005-0000-0000-00009B4C0000}"/>
    <cellStyle name="Normal 9 3 3" xfId="1104" xr:uid="{00000000-0005-0000-0000-00009C4C0000}"/>
    <cellStyle name="Normal 9 3 3 2" xfId="2918" xr:uid="{00000000-0005-0000-0000-00009D4C0000}"/>
    <cellStyle name="Normal 9 3 3 2 2" xfId="6546" xr:uid="{00000000-0005-0000-0000-00009E4C0000}"/>
    <cellStyle name="Normal 9 3 3 2 2 2" xfId="21058" xr:uid="{00000000-0005-0000-0000-00009F4C0000}"/>
    <cellStyle name="Normal 9 3 3 2 2 3" xfId="13802" xr:uid="{00000000-0005-0000-0000-0000A04C0000}"/>
    <cellStyle name="Normal 9 3 3 2 3" xfId="17430" xr:uid="{00000000-0005-0000-0000-0000A14C0000}"/>
    <cellStyle name="Normal 9 3 3 2 4" xfId="10174" xr:uid="{00000000-0005-0000-0000-0000A24C0000}"/>
    <cellStyle name="Normal 9 3 3 3" xfId="4732" xr:uid="{00000000-0005-0000-0000-0000A34C0000}"/>
    <cellStyle name="Normal 9 3 3 3 2" xfId="19244" xr:uid="{00000000-0005-0000-0000-0000A44C0000}"/>
    <cellStyle name="Normal 9 3 3 3 3" xfId="11988" xr:uid="{00000000-0005-0000-0000-0000A54C0000}"/>
    <cellStyle name="Normal 9 3 3 4" xfId="15616" xr:uid="{00000000-0005-0000-0000-0000A64C0000}"/>
    <cellStyle name="Normal 9 3 3 5" xfId="8360" xr:uid="{00000000-0005-0000-0000-0000A74C0000}"/>
    <cellStyle name="Normal 9 3 4" xfId="2011" xr:uid="{00000000-0005-0000-0000-0000A84C0000}"/>
    <cellStyle name="Normal 9 3 4 2" xfId="5639" xr:uid="{00000000-0005-0000-0000-0000A94C0000}"/>
    <cellStyle name="Normal 9 3 4 2 2" xfId="20151" xr:uid="{00000000-0005-0000-0000-0000AA4C0000}"/>
    <cellStyle name="Normal 9 3 4 2 3" xfId="12895" xr:uid="{00000000-0005-0000-0000-0000AB4C0000}"/>
    <cellStyle name="Normal 9 3 4 3" xfId="16523" xr:uid="{00000000-0005-0000-0000-0000AC4C0000}"/>
    <cellStyle name="Normal 9 3 4 4" xfId="9267" xr:uid="{00000000-0005-0000-0000-0000AD4C0000}"/>
    <cellStyle name="Normal 9 3 5" xfId="3825" xr:uid="{00000000-0005-0000-0000-0000AE4C0000}"/>
    <cellStyle name="Normal 9 3 5 2" xfId="18337" xr:uid="{00000000-0005-0000-0000-0000AF4C0000}"/>
    <cellStyle name="Normal 9 3 5 3" xfId="11081" xr:uid="{00000000-0005-0000-0000-0000B04C0000}"/>
    <cellStyle name="Normal 9 3 6" xfId="14709" xr:uid="{00000000-0005-0000-0000-0000B14C0000}"/>
    <cellStyle name="Normal 9 3 7" xfId="7453" xr:uid="{00000000-0005-0000-0000-0000B24C0000}"/>
    <cellStyle name="Normal 9 4" xfId="326" xr:uid="{00000000-0005-0000-0000-0000B34C0000}"/>
    <cellStyle name="Normal 9 4 2" xfId="672" xr:uid="{00000000-0005-0000-0000-0000B44C0000}"/>
    <cellStyle name="Normal 9 4 2 2" xfId="1580" xr:uid="{00000000-0005-0000-0000-0000B54C0000}"/>
    <cellStyle name="Normal 9 4 2 2 2" xfId="3394" xr:uid="{00000000-0005-0000-0000-0000B64C0000}"/>
    <cellStyle name="Normal 9 4 2 2 2 2" xfId="7022" xr:uid="{00000000-0005-0000-0000-0000B74C0000}"/>
    <cellStyle name="Normal 9 4 2 2 2 2 2" xfId="21534" xr:uid="{00000000-0005-0000-0000-0000B84C0000}"/>
    <cellStyle name="Normal 9 4 2 2 2 2 3" xfId="14278" xr:uid="{00000000-0005-0000-0000-0000B94C0000}"/>
    <cellStyle name="Normal 9 4 2 2 2 3" xfId="17906" xr:uid="{00000000-0005-0000-0000-0000BA4C0000}"/>
    <cellStyle name="Normal 9 4 2 2 2 4" xfId="10650" xr:uid="{00000000-0005-0000-0000-0000BB4C0000}"/>
    <cellStyle name="Normal 9 4 2 2 3" xfId="5208" xr:uid="{00000000-0005-0000-0000-0000BC4C0000}"/>
    <cellStyle name="Normal 9 4 2 2 3 2" xfId="19720" xr:uid="{00000000-0005-0000-0000-0000BD4C0000}"/>
    <cellStyle name="Normal 9 4 2 2 3 3" xfId="12464" xr:uid="{00000000-0005-0000-0000-0000BE4C0000}"/>
    <cellStyle name="Normal 9 4 2 2 4" xfId="16092" xr:uid="{00000000-0005-0000-0000-0000BF4C0000}"/>
    <cellStyle name="Normal 9 4 2 2 5" xfId="8836" xr:uid="{00000000-0005-0000-0000-0000C04C0000}"/>
    <cellStyle name="Normal 9 4 2 3" xfId="2487" xr:uid="{00000000-0005-0000-0000-0000C14C0000}"/>
    <cellStyle name="Normal 9 4 2 3 2" xfId="6115" xr:uid="{00000000-0005-0000-0000-0000C24C0000}"/>
    <cellStyle name="Normal 9 4 2 3 2 2" xfId="20627" xr:uid="{00000000-0005-0000-0000-0000C34C0000}"/>
    <cellStyle name="Normal 9 4 2 3 2 3" xfId="13371" xr:uid="{00000000-0005-0000-0000-0000C44C0000}"/>
    <cellStyle name="Normal 9 4 2 3 3" xfId="16999" xr:uid="{00000000-0005-0000-0000-0000C54C0000}"/>
    <cellStyle name="Normal 9 4 2 3 4" xfId="9743" xr:uid="{00000000-0005-0000-0000-0000C64C0000}"/>
    <cellStyle name="Normal 9 4 2 4" xfId="4301" xr:uid="{00000000-0005-0000-0000-0000C74C0000}"/>
    <cellStyle name="Normal 9 4 2 4 2" xfId="18813" xr:uid="{00000000-0005-0000-0000-0000C84C0000}"/>
    <cellStyle name="Normal 9 4 2 4 3" xfId="11557" xr:uid="{00000000-0005-0000-0000-0000C94C0000}"/>
    <cellStyle name="Normal 9 4 2 5" xfId="15185" xr:uid="{00000000-0005-0000-0000-0000CA4C0000}"/>
    <cellStyle name="Normal 9 4 2 6" xfId="7929" xr:uid="{00000000-0005-0000-0000-0000CB4C0000}"/>
    <cellStyle name="Normal 9 4 3" xfId="1234" xr:uid="{00000000-0005-0000-0000-0000CC4C0000}"/>
    <cellStyle name="Normal 9 4 3 2" xfId="3048" xr:uid="{00000000-0005-0000-0000-0000CD4C0000}"/>
    <cellStyle name="Normal 9 4 3 2 2" xfId="6676" xr:uid="{00000000-0005-0000-0000-0000CE4C0000}"/>
    <cellStyle name="Normal 9 4 3 2 2 2" xfId="21188" xr:uid="{00000000-0005-0000-0000-0000CF4C0000}"/>
    <cellStyle name="Normal 9 4 3 2 2 3" xfId="13932" xr:uid="{00000000-0005-0000-0000-0000D04C0000}"/>
    <cellStyle name="Normal 9 4 3 2 3" xfId="17560" xr:uid="{00000000-0005-0000-0000-0000D14C0000}"/>
    <cellStyle name="Normal 9 4 3 2 4" xfId="10304" xr:uid="{00000000-0005-0000-0000-0000D24C0000}"/>
    <cellStyle name="Normal 9 4 3 3" xfId="4862" xr:uid="{00000000-0005-0000-0000-0000D34C0000}"/>
    <cellStyle name="Normal 9 4 3 3 2" xfId="19374" xr:uid="{00000000-0005-0000-0000-0000D44C0000}"/>
    <cellStyle name="Normal 9 4 3 3 3" xfId="12118" xr:uid="{00000000-0005-0000-0000-0000D54C0000}"/>
    <cellStyle name="Normal 9 4 3 4" xfId="15746" xr:uid="{00000000-0005-0000-0000-0000D64C0000}"/>
    <cellStyle name="Normal 9 4 3 5" xfId="8490" xr:uid="{00000000-0005-0000-0000-0000D74C0000}"/>
    <cellStyle name="Normal 9 4 4" xfId="2141" xr:uid="{00000000-0005-0000-0000-0000D84C0000}"/>
    <cellStyle name="Normal 9 4 4 2" xfId="5769" xr:uid="{00000000-0005-0000-0000-0000D94C0000}"/>
    <cellStyle name="Normal 9 4 4 2 2" xfId="20281" xr:uid="{00000000-0005-0000-0000-0000DA4C0000}"/>
    <cellStyle name="Normal 9 4 4 2 3" xfId="13025" xr:uid="{00000000-0005-0000-0000-0000DB4C0000}"/>
    <cellStyle name="Normal 9 4 4 3" xfId="16653" xr:uid="{00000000-0005-0000-0000-0000DC4C0000}"/>
    <cellStyle name="Normal 9 4 4 4" xfId="9397" xr:uid="{00000000-0005-0000-0000-0000DD4C0000}"/>
    <cellStyle name="Normal 9 4 5" xfId="3955" xr:uid="{00000000-0005-0000-0000-0000DE4C0000}"/>
    <cellStyle name="Normal 9 4 5 2" xfId="18467" xr:uid="{00000000-0005-0000-0000-0000DF4C0000}"/>
    <cellStyle name="Normal 9 4 5 3" xfId="11211" xr:uid="{00000000-0005-0000-0000-0000E04C0000}"/>
    <cellStyle name="Normal 9 4 6" xfId="14839" xr:uid="{00000000-0005-0000-0000-0000E14C0000}"/>
    <cellStyle name="Normal 9 4 7" xfId="7583" xr:uid="{00000000-0005-0000-0000-0000E24C0000}"/>
    <cellStyle name="Normal 9 5" xfId="802" xr:uid="{00000000-0005-0000-0000-0000E34C0000}"/>
    <cellStyle name="Normal 9 5 2" xfId="1710" xr:uid="{00000000-0005-0000-0000-0000E44C0000}"/>
    <cellStyle name="Normal 9 5 2 2" xfId="3524" xr:uid="{00000000-0005-0000-0000-0000E54C0000}"/>
    <cellStyle name="Normal 9 5 2 2 2" xfId="7152" xr:uid="{00000000-0005-0000-0000-0000E64C0000}"/>
    <cellStyle name="Normal 9 5 2 2 2 2" xfId="21664" xr:uid="{00000000-0005-0000-0000-0000E74C0000}"/>
    <cellStyle name="Normal 9 5 2 2 2 3" xfId="14408" xr:uid="{00000000-0005-0000-0000-0000E84C0000}"/>
    <cellStyle name="Normal 9 5 2 2 3" xfId="18036" xr:uid="{00000000-0005-0000-0000-0000E94C0000}"/>
    <cellStyle name="Normal 9 5 2 2 4" xfId="10780" xr:uid="{00000000-0005-0000-0000-0000EA4C0000}"/>
    <cellStyle name="Normal 9 5 2 3" xfId="5338" xr:uid="{00000000-0005-0000-0000-0000EB4C0000}"/>
    <cellStyle name="Normal 9 5 2 3 2" xfId="19850" xr:uid="{00000000-0005-0000-0000-0000EC4C0000}"/>
    <cellStyle name="Normal 9 5 2 3 3" xfId="12594" xr:uid="{00000000-0005-0000-0000-0000ED4C0000}"/>
    <cellStyle name="Normal 9 5 2 4" xfId="16222" xr:uid="{00000000-0005-0000-0000-0000EE4C0000}"/>
    <cellStyle name="Normal 9 5 2 5" xfId="8966" xr:uid="{00000000-0005-0000-0000-0000EF4C0000}"/>
    <cellStyle name="Normal 9 5 3" xfId="2617" xr:uid="{00000000-0005-0000-0000-0000F04C0000}"/>
    <cellStyle name="Normal 9 5 3 2" xfId="6245" xr:uid="{00000000-0005-0000-0000-0000F14C0000}"/>
    <cellStyle name="Normal 9 5 3 2 2" xfId="20757" xr:uid="{00000000-0005-0000-0000-0000F24C0000}"/>
    <cellStyle name="Normal 9 5 3 2 3" xfId="13501" xr:uid="{00000000-0005-0000-0000-0000F34C0000}"/>
    <cellStyle name="Normal 9 5 3 3" xfId="17129" xr:uid="{00000000-0005-0000-0000-0000F44C0000}"/>
    <cellStyle name="Normal 9 5 3 4" xfId="9873" xr:uid="{00000000-0005-0000-0000-0000F54C0000}"/>
    <cellStyle name="Normal 9 5 4" xfId="4431" xr:uid="{00000000-0005-0000-0000-0000F64C0000}"/>
    <cellStyle name="Normal 9 5 4 2" xfId="18943" xr:uid="{00000000-0005-0000-0000-0000F74C0000}"/>
    <cellStyle name="Normal 9 5 4 3" xfId="11687" xr:uid="{00000000-0005-0000-0000-0000F84C0000}"/>
    <cellStyle name="Normal 9 5 5" xfId="15315" xr:uid="{00000000-0005-0000-0000-0000F94C0000}"/>
    <cellStyle name="Normal 9 5 6" xfId="8059" xr:uid="{00000000-0005-0000-0000-0000FA4C0000}"/>
    <cellStyle name="Normal 9 6" xfId="456" xr:uid="{00000000-0005-0000-0000-0000FB4C0000}"/>
    <cellStyle name="Normal 9 6 2" xfId="1364" xr:uid="{00000000-0005-0000-0000-0000FC4C0000}"/>
    <cellStyle name="Normal 9 6 2 2" xfId="3178" xr:uid="{00000000-0005-0000-0000-0000FD4C0000}"/>
    <cellStyle name="Normal 9 6 2 2 2" xfId="6806" xr:uid="{00000000-0005-0000-0000-0000FE4C0000}"/>
    <cellStyle name="Normal 9 6 2 2 2 2" xfId="21318" xr:uid="{00000000-0005-0000-0000-0000FF4C0000}"/>
    <cellStyle name="Normal 9 6 2 2 2 3" xfId="14062" xr:uid="{00000000-0005-0000-0000-0000004D0000}"/>
    <cellStyle name="Normal 9 6 2 2 3" xfId="17690" xr:uid="{00000000-0005-0000-0000-0000014D0000}"/>
    <cellStyle name="Normal 9 6 2 2 4" xfId="10434" xr:uid="{00000000-0005-0000-0000-0000024D0000}"/>
    <cellStyle name="Normal 9 6 2 3" xfId="4992" xr:uid="{00000000-0005-0000-0000-0000034D0000}"/>
    <cellStyle name="Normal 9 6 2 3 2" xfId="19504" xr:uid="{00000000-0005-0000-0000-0000044D0000}"/>
    <cellStyle name="Normal 9 6 2 3 3" xfId="12248" xr:uid="{00000000-0005-0000-0000-0000054D0000}"/>
    <cellStyle name="Normal 9 6 2 4" xfId="15876" xr:uid="{00000000-0005-0000-0000-0000064D0000}"/>
    <cellStyle name="Normal 9 6 2 5" xfId="8620" xr:uid="{00000000-0005-0000-0000-0000074D0000}"/>
    <cellStyle name="Normal 9 6 3" xfId="2271" xr:uid="{00000000-0005-0000-0000-0000084D0000}"/>
    <cellStyle name="Normal 9 6 3 2" xfId="5899" xr:uid="{00000000-0005-0000-0000-0000094D0000}"/>
    <cellStyle name="Normal 9 6 3 2 2" xfId="20411" xr:uid="{00000000-0005-0000-0000-00000A4D0000}"/>
    <cellStyle name="Normal 9 6 3 2 3" xfId="13155" xr:uid="{00000000-0005-0000-0000-00000B4D0000}"/>
    <cellStyle name="Normal 9 6 3 3" xfId="16783" xr:uid="{00000000-0005-0000-0000-00000C4D0000}"/>
    <cellStyle name="Normal 9 6 3 4" xfId="9527" xr:uid="{00000000-0005-0000-0000-00000D4D0000}"/>
    <cellStyle name="Normal 9 6 4" xfId="4085" xr:uid="{00000000-0005-0000-0000-00000E4D0000}"/>
    <cellStyle name="Normal 9 6 4 2" xfId="18597" xr:uid="{00000000-0005-0000-0000-00000F4D0000}"/>
    <cellStyle name="Normal 9 6 4 3" xfId="11341" xr:uid="{00000000-0005-0000-0000-0000104D0000}"/>
    <cellStyle name="Normal 9 6 5" xfId="14969" xr:uid="{00000000-0005-0000-0000-0000114D0000}"/>
    <cellStyle name="Normal 9 6 6" xfId="7713" xr:uid="{00000000-0005-0000-0000-0000124D0000}"/>
    <cellStyle name="Normal 9 7" xfId="890" xr:uid="{00000000-0005-0000-0000-0000134D0000}"/>
    <cellStyle name="Normal 9 7 2" xfId="1798" xr:uid="{00000000-0005-0000-0000-0000144D0000}"/>
    <cellStyle name="Normal 9 7 2 2" xfId="3612" xr:uid="{00000000-0005-0000-0000-0000154D0000}"/>
    <cellStyle name="Normal 9 7 2 2 2" xfId="7240" xr:uid="{00000000-0005-0000-0000-0000164D0000}"/>
    <cellStyle name="Normal 9 7 2 2 2 2" xfId="21752" xr:uid="{00000000-0005-0000-0000-0000174D0000}"/>
    <cellStyle name="Normal 9 7 2 2 2 3" xfId="14496" xr:uid="{00000000-0005-0000-0000-0000184D0000}"/>
    <cellStyle name="Normal 9 7 2 2 3" xfId="18124" xr:uid="{00000000-0005-0000-0000-0000194D0000}"/>
    <cellStyle name="Normal 9 7 2 2 4" xfId="10868" xr:uid="{00000000-0005-0000-0000-00001A4D0000}"/>
    <cellStyle name="Normal 9 7 2 3" xfId="5426" xr:uid="{00000000-0005-0000-0000-00001B4D0000}"/>
    <cellStyle name="Normal 9 7 2 3 2" xfId="19938" xr:uid="{00000000-0005-0000-0000-00001C4D0000}"/>
    <cellStyle name="Normal 9 7 2 3 3" xfId="12682" xr:uid="{00000000-0005-0000-0000-00001D4D0000}"/>
    <cellStyle name="Normal 9 7 2 4" xfId="16310" xr:uid="{00000000-0005-0000-0000-00001E4D0000}"/>
    <cellStyle name="Normal 9 7 2 5" xfId="9054" xr:uid="{00000000-0005-0000-0000-00001F4D0000}"/>
    <cellStyle name="Normal 9 7 3" xfId="2705" xr:uid="{00000000-0005-0000-0000-0000204D0000}"/>
    <cellStyle name="Normal 9 7 3 2" xfId="6333" xr:uid="{00000000-0005-0000-0000-0000214D0000}"/>
    <cellStyle name="Normal 9 7 3 2 2" xfId="20845" xr:uid="{00000000-0005-0000-0000-0000224D0000}"/>
    <cellStyle name="Normal 9 7 3 2 3" xfId="13589" xr:uid="{00000000-0005-0000-0000-0000234D0000}"/>
    <cellStyle name="Normal 9 7 3 3" xfId="17217" xr:uid="{00000000-0005-0000-0000-0000244D0000}"/>
    <cellStyle name="Normal 9 7 3 4" xfId="9961" xr:uid="{00000000-0005-0000-0000-0000254D0000}"/>
    <cellStyle name="Normal 9 7 4" xfId="4519" xr:uid="{00000000-0005-0000-0000-0000264D0000}"/>
    <cellStyle name="Normal 9 7 4 2" xfId="19031" xr:uid="{00000000-0005-0000-0000-0000274D0000}"/>
    <cellStyle name="Normal 9 7 4 3" xfId="11775" xr:uid="{00000000-0005-0000-0000-0000284D0000}"/>
    <cellStyle name="Normal 9 7 5" xfId="15403" xr:uid="{00000000-0005-0000-0000-0000294D0000}"/>
    <cellStyle name="Normal 9 7 6" xfId="8147" xr:uid="{00000000-0005-0000-0000-00002A4D0000}"/>
    <cellStyle name="Normal 9 8" xfId="1018" xr:uid="{00000000-0005-0000-0000-00002B4D0000}"/>
    <cellStyle name="Normal 9 8 2" xfId="2832" xr:uid="{00000000-0005-0000-0000-00002C4D0000}"/>
    <cellStyle name="Normal 9 8 2 2" xfId="6460" xr:uid="{00000000-0005-0000-0000-00002D4D0000}"/>
    <cellStyle name="Normal 9 8 2 2 2" xfId="20972" xr:uid="{00000000-0005-0000-0000-00002E4D0000}"/>
    <cellStyle name="Normal 9 8 2 2 3" xfId="13716" xr:uid="{00000000-0005-0000-0000-00002F4D0000}"/>
    <cellStyle name="Normal 9 8 2 3" xfId="17344" xr:uid="{00000000-0005-0000-0000-0000304D0000}"/>
    <cellStyle name="Normal 9 8 2 4" xfId="10088" xr:uid="{00000000-0005-0000-0000-0000314D0000}"/>
    <cellStyle name="Normal 9 8 3" xfId="4646" xr:uid="{00000000-0005-0000-0000-0000324D0000}"/>
    <cellStyle name="Normal 9 8 3 2" xfId="19158" xr:uid="{00000000-0005-0000-0000-0000334D0000}"/>
    <cellStyle name="Normal 9 8 3 3" xfId="11902" xr:uid="{00000000-0005-0000-0000-0000344D0000}"/>
    <cellStyle name="Normal 9 8 4" xfId="15530" xr:uid="{00000000-0005-0000-0000-0000354D0000}"/>
    <cellStyle name="Normal 9 8 5" xfId="8274" xr:uid="{00000000-0005-0000-0000-0000364D0000}"/>
    <cellStyle name="Normal 9 9" xfId="1925" xr:uid="{00000000-0005-0000-0000-0000374D0000}"/>
    <cellStyle name="Normal 9 9 2" xfId="5553" xr:uid="{00000000-0005-0000-0000-0000384D0000}"/>
    <cellStyle name="Normal 9 9 2 2" xfId="20065" xr:uid="{00000000-0005-0000-0000-0000394D0000}"/>
    <cellStyle name="Normal 9 9 2 3" xfId="12809" xr:uid="{00000000-0005-0000-0000-00003A4D0000}"/>
    <cellStyle name="Normal 9 9 3" xfId="16437" xr:uid="{00000000-0005-0000-0000-00003B4D0000}"/>
    <cellStyle name="Normal 9 9 4" xfId="9181" xr:uid="{00000000-0005-0000-0000-00003C4D0000}"/>
    <cellStyle name="Percent 2" xfId="43" xr:uid="{00000000-0005-0000-0000-00003D4D0000}"/>
    <cellStyle name="Percent 3" xfId="901" xr:uid="{00000000-0005-0000-0000-00003E4D0000}"/>
    <cellStyle name="Style 1" xfId="10" xr:uid="{00000000-0005-0000-0000-00003F4D0000}"/>
    <cellStyle name="好_P4" xfId="20" xr:uid="{00000000-0005-0000-0000-0000404D0000}"/>
    <cellStyle name="好_P4_1" xfId="22" xr:uid="{00000000-0005-0000-0000-0000414D0000}"/>
    <cellStyle name="差_P4" xfId="21" xr:uid="{00000000-0005-0000-0000-0000424D0000}"/>
    <cellStyle name="差_P4_1" xfId="23" xr:uid="{00000000-0005-0000-0000-0000434D0000}"/>
    <cellStyle name="常规 2" xfId="24" xr:uid="{00000000-0005-0000-0000-0000444D0000}"/>
    <cellStyle name="常规 2 10" xfId="854" xr:uid="{00000000-0005-0000-0000-0000454D0000}"/>
    <cellStyle name="常规 2 10 2" xfId="1762" xr:uid="{00000000-0005-0000-0000-0000464D0000}"/>
    <cellStyle name="常规 2 10 2 2" xfId="3576" xr:uid="{00000000-0005-0000-0000-0000474D0000}"/>
    <cellStyle name="常规 2 10 2 2 2" xfId="7204" xr:uid="{00000000-0005-0000-0000-0000484D0000}"/>
    <cellStyle name="常规 2 10 2 2 2 2" xfId="21716" xr:uid="{00000000-0005-0000-0000-0000494D0000}"/>
    <cellStyle name="常规 2 10 2 2 2 3" xfId="14460" xr:uid="{00000000-0005-0000-0000-00004A4D0000}"/>
    <cellStyle name="常规 2 10 2 2 3" xfId="18088" xr:uid="{00000000-0005-0000-0000-00004B4D0000}"/>
    <cellStyle name="常规 2 10 2 2 4" xfId="10832" xr:uid="{00000000-0005-0000-0000-00004C4D0000}"/>
    <cellStyle name="常规 2 10 2 3" xfId="5390" xr:uid="{00000000-0005-0000-0000-00004D4D0000}"/>
    <cellStyle name="常规 2 10 2 3 2" xfId="19902" xr:uid="{00000000-0005-0000-0000-00004E4D0000}"/>
    <cellStyle name="常规 2 10 2 3 3" xfId="12646" xr:uid="{00000000-0005-0000-0000-00004F4D0000}"/>
    <cellStyle name="常规 2 10 2 4" xfId="16274" xr:uid="{00000000-0005-0000-0000-0000504D0000}"/>
    <cellStyle name="常规 2 10 2 5" xfId="9018" xr:uid="{00000000-0005-0000-0000-0000514D0000}"/>
    <cellStyle name="常规 2 10 3" xfId="2669" xr:uid="{00000000-0005-0000-0000-0000524D0000}"/>
    <cellStyle name="常规 2 10 3 2" xfId="6297" xr:uid="{00000000-0005-0000-0000-0000534D0000}"/>
    <cellStyle name="常规 2 10 3 2 2" xfId="20809" xr:uid="{00000000-0005-0000-0000-0000544D0000}"/>
    <cellStyle name="常规 2 10 3 2 3" xfId="13553" xr:uid="{00000000-0005-0000-0000-0000554D0000}"/>
    <cellStyle name="常规 2 10 3 3" xfId="17181" xr:uid="{00000000-0005-0000-0000-0000564D0000}"/>
    <cellStyle name="常规 2 10 3 4" xfId="9925" xr:uid="{00000000-0005-0000-0000-0000574D0000}"/>
    <cellStyle name="常规 2 10 4" xfId="4483" xr:uid="{00000000-0005-0000-0000-0000584D0000}"/>
    <cellStyle name="常规 2 10 4 2" xfId="18995" xr:uid="{00000000-0005-0000-0000-0000594D0000}"/>
    <cellStyle name="常规 2 10 4 3" xfId="11739" xr:uid="{00000000-0005-0000-0000-00005A4D0000}"/>
    <cellStyle name="常规 2 10 5" xfId="15367" xr:uid="{00000000-0005-0000-0000-00005B4D0000}"/>
    <cellStyle name="常规 2 10 6" xfId="8111" xr:uid="{00000000-0005-0000-0000-00005C4D0000}"/>
    <cellStyle name="常规 2 11" xfId="940" xr:uid="{00000000-0005-0000-0000-00005D4D0000}"/>
    <cellStyle name="常规 2 11 2" xfId="2754" xr:uid="{00000000-0005-0000-0000-00005E4D0000}"/>
    <cellStyle name="常规 2 11 2 2" xfId="6382" xr:uid="{00000000-0005-0000-0000-00005F4D0000}"/>
    <cellStyle name="常规 2 11 2 2 2" xfId="20894" xr:uid="{00000000-0005-0000-0000-0000604D0000}"/>
    <cellStyle name="常规 2 11 2 2 3" xfId="13638" xr:uid="{00000000-0005-0000-0000-0000614D0000}"/>
    <cellStyle name="常规 2 11 2 3" xfId="17266" xr:uid="{00000000-0005-0000-0000-0000624D0000}"/>
    <cellStyle name="常规 2 11 2 4" xfId="10010" xr:uid="{00000000-0005-0000-0000-0000634D0000}"/>
    <cellStyle name="常规 2 11 3" xfId="4568" xr:uid="{00000000-0005-0000-0000-0000644D0000}"/>
    <cellStyle name="常规 2 11 3 2" xfId="19080" xr:uid="{00000000-0005-0000-0000-0000654D0000}"/>
    <cellStyle name="常规 2 11 3 3" xfId="11824" xr:uid="{00000000-0005-0000-0000-0000664D0000}"/>
    <cellStyle name="常规 2 11 4" xfId="15452" xr:uid="{00000000-0005-0000-0000-0000674D0000}"/>
    <cellStyle name="常规 2 11 5" xfId="8196" xr:uid="{00000000-0005-0000-0000-0000684D0000}"/>
    <cellStyle name="常规 2 12" xfId="1847" xr:uid="{00000000-0005-0000-0000-0000694D0000}"/>
    <cellStyle name="常规 2 12 2" xfId="5475" xr:uid="{00000000-0005-0000-0000-00006A4D0000}"/>
    <cellStyle name="常规 2 12 2 2" xfId="19987" xr:uid="{00000000-0005-0000-0000-00006B4D0000}"/>
    <cellStyle name="常规 2 12 2 3" xfId="12731" xr:uid="{00000000-0005-0000-0000-00006C4D0000}"/>
    <cellStyle name="常规 2 12 3" xfId="16359" xr:uid="{00000000-0005-0000-0000-00006D4D0000}"/>
    <cellStyle name="常规 2 12 4" xfId="9103" xr:uid="{00000000-0005-0000-0000-00006E4D0000}"/>
    <cellStyle name="常规 2 13" xfId="3661" xr:uid="{00000000-0005-0000-0000-00006F4D0000}"/>
    <cellStyle name="常规 2 13 2" xfId="18173" xr:uid="{00000000-0005-0000-0000-0000704D0000}"/>
    <cellStyle name="常规 2 13 3" xfId="10917" xr:uid="{00000000-0005-0000-0000-0000714D0000}"/>
    <cellStyle name="常规 2 14" xfId="14545" xr:uid="{00000000-0005-0000-0000-0000724D0000}"/>
    <cellStyle name="常规 2 15" xfId="7289" xr:uid="{00000000-0005-0000-0000-0000734D0000}"/>
    <cellStyle name="常规 2 2" xfId="39" xr:uid="{00000000-0005-0000-0000-0000744D0000}"/>
    <cellStyle name="常规 2 2 10" xfId="950" xr:uid="{00000000-0005-0000-0000-0000754D0000}"/>
    <cellStyle name="常规 2 2 10 2" xfId="2764" xr:uid="{00000000-0005-0000-0000-0000764D0000}"/>
    <cellStyle name="常规 2 2 10 2 2" xfId="6392" xr:uid="{00000000-0005-0000-0000-0000774D0000}"/>
    <cellStyle name="常规 2 2 10 2 2 2" xfId="20904" xr:uid="{00000000-0005-0000-0000-0000784D0000}"/>
    <cellStyle name="常规 2 2 10 2 2 3" xfId="13648" xr:uid="{00000000-0005-0000-0000-0000794D0000}"/>
    <cellStyle name="常规 2 2 10 2 3" xfId="17276" xr:uid="{00000000-0005-0000-0000-00007A4D0000}"/>
    <cellStyle name="常规 2 2 10 2 4" xfId="10020" xr:uid="{00000000-0005-0000-0000-00007B4D0000}"/>
    <cellStyle name="常规 2 2 10 3" xfId="4578" xr:uid="{00000000-0005-0000-0000-00007C4D0000}"/>
    <cellStyle name="常规 2 2 10 3 2" xfId="19090" xr:uid="{00000000-0005-0000-0000-00007D4D0000}"/>
    <cellStyle name="常规 2 2 10 3 3" xfId="11834" xr:uid="{00000000-0005-0000-0000-00007E4D0000}"/>
    <cellStyle name="常规 2 2 10 4" xfId="15462" xr:uid="{00000000-0005-0000-0000-00007F4D0000}"/>
    <cellStyle name="常规 2 2 10 5" xfId="8206" xr:uid="{00000000-0005-0000-0000-0000804D0000}"/>
    <cellStyle name="常规 2 2 11" xfId="1857" xr:uid="{00000000-0005-0000-0000-0000814D0000}"/>
    <cellStyle name="常规 2 2 11 2" xfId="5485" xr:uid="{00000000-0005-0000-0000-0000824D0000}"/>
    <cellStyle name="常规 2 2 11 2 2" xfId="19997" xr:uid="{00000000-0005-0000-0000-0000834D0000}"/>
    <cellStyle name="常规 2 2 11 2 3" xfId="12741" xr:uid="{00000000-0005-0000-0000-0000844D0000}"/>
    <cellStyle name="常规 2 2 11 3" xfId="16369" xr:uid="{00000000-0005-0000-0000-0000854D0000}"/>
    <cellStyle name="常规 2 2 11 4" xfId="9113" xr:uid="{00000000-0005-0000-0000-0000864D0000}"/>
    <cellStyle name="常规 2 2 12" xfId="3671" xr:uid="{00000000-0005-0000-0000-0000874D0000}"/>
    <cellStyle name="常规 2 2 12 2" xfId="18183" xr:uid="{00000000-0005-0000-0000-0000884D0000}"/>
    <cellStyle name="常规 2 2 12 3" xfId="10927" xr:uid="{00000000-0005-0000-0000-0000894D0000}"/>
    <cellStyle name="常规 2 2 13" xfId="14555" xr:uid="{00000000-0005-0000-0000-00008A4D0000}"/>
    <cellStyle name="常规 2 2 14" xfId="7299" xr:uid="{00000000-0005-0000-0000-00008B4D0000}"/>
    <cellStyle name="常规 2 2 2" xfId="61" xr:uid="{00000000-0005-0000-0000-00008C4D0000}"/>
    <cellStyle name="常规 2 2 2 10" xfId="1878" xr:uid="{00000000-0005-0000-0000-00008D4D0000}"/>
    <cellStyle name="常规 2 2 2 10 2" xfId="5506" xr:uid="{00000000-0005-0000-0000-00008E4D0000}"/>
    <cellStyle name="常规 2 2 2 10 2 2" xfId="20018" xr:uid="{00000000-0005-0000-0000-00008F4D0000}"/>
    <cellStyle name="常规 2 2 2 10 2 3" xfId="12762" xr:uid="{00000000-0005-0000-0000-0000904D0000}"/>
    <cellStyle name="常规 2 2 2 10 3" xfId="16390" xr:uid="{00000000-0005-0000-0000-0000914D0000}"/>
    <cellStyle name="常规 2 2 2 10 4" xfId="9134" xr:uid="{00000000-0005-0000-0000-0000924D0000}"/>
    <cellStyle name="常规 2 2 2 11" xfId="3692" xr:uid="{00000000-0005-0000-0000-0000934D0000}"/>
    <cellStyle name="常规 2 2 2 11 2" xfId="18204" xr:uid="{00000000-0005-0000-0000-0000944D0000}"/>
    <cellStyle name="常规 2 2 2 11 3" xfId="10948" xr:uid="{00000000-0005-0000-0000-0000954D0000}"/>
    <cellStyle name="常规 2 2 2 12" xfId="14576" xr:uid="{00000000-0005-0000-0000-0000964D0000}"/>
    <cellStyle name="常规 2 2 2 13" xfId="7320" xr:uid="{00000000-0005-0000-0000-0000974D0000}"/>
    <cellStyle name="常规 2 2 2 2" xfId="103" xr:uid="{00000000-0005-0000-0000-0000984D0000}"/>
    <cellStyle name="常规 2 2 2 2 10" xfId="14618" xr:uid="{00000000-0005-0000-0000-0000994D0000}"/>
    <cellStyle name="常规 2 2 2 2 11" xfId="7362" xr:uid="{00000000-0005-0000-0000-00009A4D0000}"/>
    <cellStyle name="常规 2 2 2 2 2" xfId="191" xr:uid="{00000000-0005-0000-0000-00009B4D0000}"/>
    <cellStyle name="常规 2 2 2 2 2 2" xfId="537" xr:uid="{00000000-0005-0000-0000-00009C4D0000}"/>
    <cellStyle name="常规 2 2 2 2 2 2 2" xfId="1445" xr:uid="{00000000-0005-0000-0000-00009D4D0000}"/>
    <cellStyle name="常规 2 2 2 2 2 2 2 2" xfId="3259" xr:uid="{00000000-0005-0000-0000-00009E4D0000}"/>
    <cellStyle name="常规 2 2 2 2 2 2 2 2 2" xfId="6887" xr:uid="{00000000-0005-0000-0000-00009F4D0000}"/>
    <cellStyle name="常规 2 2 2 2 2 2 2 2 2 2" xfId="21399" xr:uid="{00000000-0005-0000-0000-0000A04D0000}"/>
    <cellStyle name="常规 2 2 2 2 2 2 2 2 2 3" xfId="14143" xr:uid="{00000000-0005-0000-0000-0000A14D0000}"/>
    <cellStyle name="常规 2 2 2 2 2 2 2 2 3" xfId="17771" xr:uid="{00000000-0005-0000-0000-0000A24D0000}"/>
    <cellStyle name="常规 2 2 2 2 2 2 2 2 4" xfId="10515" xr:uid="{00000000-0005-0000-0000-0000A34D0000}"/>
    <cellStyle name="常规 2 2 2 2 2 2 2 3" xfId="5073" xr:uid="{00000000-0005-0000-0000-0000A44D0000}"/>
    <cellStyle name="常规 2 2 2 2 2 2 2 3 2" xfId="19585" xr:uid="{00000000-0005-0000-0000-0000A54D0000}"/>
    <cellStyle name="常规 2 2 2 2 2 2 2 3 3" xfId="12329" xr:uid="{00000000-0005-0000-0000-0000A64D0000}"/>
    <cellStyle name="常规 2 2 2 2 2 2 2 4" xfId="15957" xr:uid="{00000000-0005-0000-0000-0000A74D0000}"/>
    <cellStyle name="常规 2 2 2 2 2 2 2 5" xfId="8701" xr:uid="{00000000-0005-0000-0000-0000A84D0000}"/>
    <cellStyle name="常规 2 2 2 2 2 2 3" xfId="2352" xr:uid="{00000000-0005-0000-0000-0000A94D0000}"/>
    <cellStyle name="常规 2 2 2 2 2 2 3 2" xfId="5980" xr:uid="{00000000-0005-0000-0000-0000AA4D0000}"/>
    <cellStyle name="常规 2 2 2 2 2 2 3 2 2" xfId="20492" xr:uid="{00000000-0005-0000-0000-0000AB4D0000}"/>
    <cellStyle name="常规 2 2 2 2 2 2 3 2 3" xfId="13236" xr:uid="{00000000-0005-0000-0000-0000AC4D0000}"/>
    <cellStyle name="常规 2 2 2 2 2 2 3 3" xfId="16864" xr:uid="{00000000-0005-0000-0000-0000AD4D0000}"/>
    <cellStyle name="常规 2 2 2 2 2 2 3 4" xfId="9608" xr:uid="{00000000-0005-0000-0000-0000AE4D0000}"/>
    <cellStyle name="常规 2 2 2 2 2 2 4" xfId="4166" xr:uid="{00000000-0005-0000-0000-0000AF4D0000}"/>
    <cellStyle name="常规 2 2 2 2 2 2 4 2" xfId="18678" xr:uid="{00000000-0005-0000-0000-0000B04D0000}"/>
    <cellStyle name="常规 2 2 2 2 2 2 4 3" xfId="11422" xr:uid="{00000000-0005-0000-0000-0000B14D0000}"/>
    <cellStyle name="常规 2 2 2 2 2 2 5" xfId="15050" xr:uid="{00000000-0005-0000-0000-0000B24D0000}"/>
    <cellStyle name="常规 2 2 2 2 2 2 6" xfId="7794" xr:uid="{00000000-0005-0000-0000-0000B34D0000}"/>
    <cellStyle name="常规 2 2 2 2 2 3" xfId="1099" xr:uid="{00000000-0005-0000-0000-0000B44D0000}"/>
    <cellStyle name="常规 2 2 2 2 2 3 2" xfId="2913" xr:uid="{00000000-0005-0000-0000-0000B54D0000}"/>
    <cellStyle name="常规 2 2 2 2 2 3 2 2" xfId="6541" xr:uid="{00000000-0005-0000-0000-0000B64D0000}"/>
    <cellStyle name="常规 2 2 2 2 2 3 2 2 2" xfId="21053" xr:uid="{00000000-0005-0000-0000-0000B74D0000}"/>
    <cellStyle name="常规 2 2 2 2 2 3 2 2 3" xfId="13797" xr:uid="{00000000-0005-0000-0000-0000B84D0000}"/>
    <cellStyle name="常规 2 2 2 2 2 3 2 3" xfId="17425" xr:uid="{00000000-0005-0000-0000-0000B94D0000}"/>
    <cellStyle name="常规 2 2 2 2 2 3 2 4" xfId="10169" xr:uid="{00000000-0005-0000-0000-0000BA4D0000}"/>
    <cellStyle name="常规 2 2 2 2 2 3 3" xfId="4727" xr:uid="{00000000-0005-0000-0000-0000BB4D0000}"/>
    <cellStyle name="常规 2 2 2 2 2 3 3 2" xfId="19239" xr:uid="{00000000-0005-0000-0000-0000BC4D0000}"/>
    <cellStyle name="常规 2 2 2 2 2 3 3 3" xfId="11983" xr:uid="{00000000-0005-0000-0000-0000BD4D0000}"/>
    <cellStyle name="常规 2 2 2 2 2 3 4" xfId="15611" xr:uid="{00000000-0005-0000-0000-0000BE4D0000}"/>
    <cellStyle name="常规 2 2 2 2 2 3 5" xfId="8355" xr:uid="{00000000-0005-0000-0000-0000BF4D0000}"/>
    <cellStyle name="常规 2 2 2 2 2 4" xfId="2006" xr:uid="{00000000-0005-0000-0000-0000C04D0000}"/>
    <cellStyle name="常规 2 2 2 2 2 4 2" xfId="5634" xr:uid="{00000000-0005-0000-0000-0000C14D0000}"/>
    <cellStyle name="常规 2 2 2 2 2 4 2 2" xfId="20146" xr:uid="{00000000-0005-0000-0000-0000C24D0000}"/>
    <cellStyle name="常规 2 2 2 2 2 4 2 3" xfId="12890" xr:uid="{00000000-0005-0000-0000-0000C34D0000}"/>
    <cellStyle name="常规 2 2 2 2 2 4 3" xfId="16518" xr:uid="{00000000-0005-0000-0000-0000C44D0000}"/>
    <cellStyle name="常规 2 2 2 2 2 4 4" xfId="9262" xr:uid="{00000000-0005-0000-0000-0000C54D0000}"/>
    <cellStyle name="常规 2 2 2 2 2 5" xfId="3820" xr:uid="{00000000-0005-0000-0000-0000C64D0000}"/>
    <cellStyle name="常规 2 2 2 2 2 5 2" xfId="18332" xr:uid="{00000000-0005-0000-0000-0000C74D0000}"/>
    <cellStyle name="常规 2 2 2 2 2 5 3" xfId="11076" xr:uid="{00000000-0005-0000-0000-0000C84D0000}"/>
    <cellStyle name="常规 2 2 2 2 2 6" xfId="14704" xr:uid="{00000000-0005-0000-0000-0000C94D0000}"/>
    <cellStyle name="常规 2 2 2 2 2 7" xfId="7448" xr:uid="{00000000-0005-0000-0000-0000CA4D0000}"/>
    <cellStyle name="常规 2 2 2 2 3" xfId="321" xr:uid="{00000000-0005-0000-0000-0000CB4D0000}"/>
    <cellStyle name="常规 2 2 2 2 3 2" xfId="667" xr:uid="{00000000-0005-0000-0000-0000CC4D0000}"/>
    <cellStyle name="常规 2 2 2 2 3 2 2" xfId="1575" xr:uid="{00000000-0005-0000-0000-0000CD4D0000}"/>
    <cellStyle name="常规 2 2 2 2 3 2 2 2" xfId="3389" xr:uid="{00000000-0005-0000-0000-0000CE4D0000}"/>
    <cellStyle name="常规 2 2 2 2 3 2 2 2 2" xfId="7017" xr:uid="{00000000-0005-0000-0000-0000CF4D0000}"/>
    <cellStyle name="常规 2 2 2 2 3 2 2 2 2 2" xfId="21529" xr:uid="{00000000-0005-0000-0000-0000D04D0000}"/>
    <cellStyle name="常规 2 2 2 2 3 2 2 2 2 3" xfId="14273" xr:uid="{00000000-0005-0000-0000-0000D14D0000}"/>
    <cellStyle name="常规 2 2 2 2 3 2 2 2 3" xfId="17901" xr:uid="{00000000-0005-0000-0000-0000D24D0000}"/>
    <cellStyle name="常规 2 2 2 2 3 2 2 2 4" xfId="10645" xr:uid="{00000000-0005-0000-0000-0000D34D0000}"/>
    <cellStyle name="常规 2 2 2 2 3 2 2 3" xfId="5203" xr:uid="{00000000-0005-0000-0000-0000D44D0000}"/>
    <cellStyle name="常规 2 2 2 2 3 2 2 3 2" xfId="19715" xr:uid="{00000000-0005-0000-0000-0000D54D0000}"/>
    <cellStyle name="常规 2 2 2 2 3 2 2 3 3" xfId="12459" xr:uid="{00000000-0005-0000-0000-0000D64D0000}"/>
    <cellStyle name="常规 2 2 2 2 3 2 2 4" xfId="16087" xr:uid="{00000000-0005-0000-0000-0000D74D0000}"/>
    <cellStyle name="常规 2 2 2 2 3 2 2 5" xfId="8831" xr:uid="{00000000-0005-0000-0000-0000D84D0000}"/>
    <cellStyle name="常规 2 2 2 2 3 2 3" xfId="2482" xr:uid="{00000000-0005-0000-0000-0000D94D0000}"/>
    <cellStyle name="常规 2 2 2 2 3 2 3 2" xfId="6110" xr:uid="{00000000-0005-0000-0000-0000DA4D0000}"/>
    <cellStyle name="常规 2 2 2 2 3 2 3 2 2" xfId="20622" xr:uid="{00000000-0005-0000-0000-0000DB4D0000}"/>
    <cellStyle name="常规 2 2 2 2 3 2 3 2 3" xfId="13366" xr:uid="{00000000-0005-0000-0000-0000DC4D0000}"/>
    <cellStyle name="常规 2 2 2 2 3 2 3 3" xfId="16994" xr:uid="{00000000-0005-0000-0000-0000DD4D0000}"/>
    <cellStyle name="常规 2 2 2 2 3 2 3 4" xfId="9738" xr:uid="{00000000-0005-0000-0000-0000DE4D0000}"/>
    <cellStyle name="常规 2 2 2 2 3 2 4" xfId="4296" xr:uid="{00000000-0005-0000-0000-0000DF4D0000}"/>
    <cellStyle name="常规 2 2 2 2 3 2 4 2" xfId="18808" xr:uid="{00000000-0005-0000-0000-0000E04D0000}"/>
    <cellStyle name="常规 2 2 2 2 3 2 4 3" xfId="11552" xr:uid="{00000000-0005-0000-0000-0000E14D0000}"/>
    <cellStyle name="常规 2 2 2 2 3 2 5" xfId="15180" xr:uid="{00000000-0005-0000-0000-0000E24D0000}"/>
    <cellStyle name="常规 2 2 2 2 3 2 6" xfId="7924" xr:uid="{00000000-0005-0000-0000-0000E34D0000}"/>
    <cellStyle name="常规 2 2 2 2 3 3" xfId="1229" xr:uid="{00000000-0005-0000-0000-0000E44D0000}"/>
    <cellStyle name="常规 2 2 2 2 3 3 2" xfId="3043" xr:uid="{00000000-0005-0000-0000-0000E54D0000}"/>
    <cellStyle name="常规 2 2 2 2 3 3 2 2" xfId="6671" xr:uid="{00000000-0005-0000-0000-0000E64D0000}"/>
    <cellStyle name="常规 2 2 2 2 3 3 2 2 2" xfId="21183" xr:uid="{00000000-0005-0000-0000-0000E74D0000}"/>
    <cellStyle name="常规 2 2 2 2 3 3 2 2 3" xfId="13927" xr:uid="{00000000-0005-0000-0000-0000E84D0000}"/>
    <cellStyle name="常规 2 2 2 2 3 3 2 3" xfId="17555" xr:uid="{00000000-0005-0000-0000-0000E94D0000}"/>
    <cellStyle name="常规 2 2 2 2 3 3 2 4" xfId="10299" xr:uid="{00000000-0005-0000-0000-0000EA4D0000}"/>
    <cellStyle name="常规 2 2 2 2 3 3 3" xfId="4857" xr:uid="{00000000-0005-0000-0000-0000EB4D0000}"/>
    <cellStyle name="常规 2 2 2 2 3 3 3 2" xfId="19369" xr:uid="{00000000-0005-0000-0000-0000EC4D0000}"/>
    <cellStyle name="常规 2 2 2 2 3 3 3 3" xfId="12113" xr:uid="{00000000-0005-0000-0000-0000ED4D0000}"/>
    <cellStyle name="常规 2 2 2 2 3 3 4" xfId="15741" xr:uid="{00000000-0005-0000-0000-0000EE4D0000}"/>
    <cellStyle name="常规 2 2 2 2 3 3 5" xfId="8485" xr:uid="{00000000-0005-0000-0000-0000EF4D0000}"/>
    <cellStyle name="常规 2 2 2 2 3 4" xfId="2136" xr:uid="{00000000-0005-0000-0000-0000F04D0000}"/>
    <cellStyle name="常规 2 2 2 2 3 4 2" xfId="5764" xr:uid="{00000000-0005-0000-0000-0000F14D0000}"/>
    <cellStyle name="常规 2 2 2 2 3 4 2 2" xfId="20276" xr:uid="{00000000-0005-0000-0000-0000F24D0000}"/>
    <cellStyle name="常规 2 2 2 2 3 4 2 3" xfId="13020" xr:uid="{00000000-0005-0000-0000-0000F34D0000}"/>
    <cellStyle name="常规 2 2 2 2 3 4 3" xfId="16648" xr:uid="{00000000-0005-0000-0000-0000F44D0000}"/>
    <cellStyle name="常规 2 2 2 2 3 4 4" xfId="9392" xr:uid="{00000000-0005-0000-0000-0000F54D0000}"/>
    <cellStyle name="常规 2 2 2 2 3 5" xfId="3950" xr:uid="{00000000-0005-0000-0000-0000F64D0000}"/>
    <cellStyle name="常规 2 2 2 2 3 5 2" xfId="18462" xr:uid="{00000000-0005-0000-0000-0000F74D0000}"/>
    <cellStyle name="常规 2 2 2 2 3 5 3" xfId="11206" xr:uid="{00000000-0005-0000-0000-0000F84D0000}"/>
    <cellStyle name="常规 2 2 2 2 3 6" xfId="14834" xr:uid="{00000000-0005-0000-0000-0000F94D0000}"/>
    <cellStyle name="常规 2 2 2 2 3 7" xfId="7578" xr:uid="{00000000-0005-0000-0000-0000FA4D0000}"/>
    <cellStyle name="常规 2 2 2 2 4" xfId="797" xr:uid="{00000000-0005-0000-0000-0000FB4D0000}"/>
    <cellStyle name="常规 2 2 2 2 4 2" xfId="1705" xr:uid="{00000000-0005-0000-0000-0000FC4D0000}"/>
    <cellStyle name="常规 2 2 2 2 4 2 2" xfId="3519" xr:uid="{00000000-0005-0000-0000-0000FD4D0000}"/>
    <cellStyle name="常规 2 2 2 2 4 2 2 2" xfId="7147" xr:uid="{00000000-0005-0000-0000-0000FE4D0000}"/>
    <cellStyle name="常规 2 2 2 2 4 2 2 2 2" xfId="21659" xr:uid="{00000000-0005-0000-0000-0000FF4D0000}"/>
    <cellStyle name="常规 2 2 2 2 4 2 2 2 3" xfId="14403" xr:uid="{00000000-0005-0000-0000-0000004E0000}"/>
    <cellStyle name="常规 2 2 2 2 4 2 2 3" xfId="18031" xr:uid="{00000000-0005-0000-0000-0000014E0000}"/>
    <cellStyle name="常规 2 2 2 2 4 2 2 4" xfId="10775" xr:uid="{00000000-0005-0000-0000-0000024E0000}"/>
    <cellStyle name="常规 2 2 2 2 4 2 3" xfId="5333" xr:uid="{00000000-0005-0000-0000-0000034E0000}"/>
    <cellStyle name="常规 2 2 2 2 4 2 3 2" xfId="19845" xr:uid="{00000000-0005-0000-0000-0000044E0000}"/>
    <cellStyle name="常规 2 2 2 2 4 2 3 3" xfId="12589" xr:uid="{00000000-0005-0000-0000-0000054E0000}"/>
    <cellStyle name="常规 2 2 2 2 4 2 4" xfId="16217" xr:uid="{00000000-0005-0000-0000-0000064E0000}"/>
    <cellStyle name="常规 2 2 2 2 4 2 5" xfId="8961" xr:uid="{00000000-0005-0000-0000-0000074E0000}"/>
    <cellStyle name="常规 2 2 2 2 4 3" xfId="2612" xr:uid="{00000000-0005-0000-0000-0000084E0000}"/>
    <cellStyle name="常规 2 2 2 2 4 3 2" xfId="6240" xr:uid="{00000000-0005-0000-0000-0000094E0000}"/>
    <cellStyle name="常规 2 2 2 2 4 3 2 2" xfId="20752" xr:uid="{00000000-0005-0000-0000-00000A4E0000}"/>
    <cellStyle name="常规 2 2 2 2 4 3 2 3" xfId="13496" xr:uid="{00000000-0005-0000-0000-00000B4E0000}"/>
    <cellStyle name="常规 2 2 2 2 4 3 3" xfId="17124" xr:uid="{00000000-0005-0000-0000-00000C4E0000}"/>
    <cellStyle name="常规 2 2 2 2 4 3 4" xfId="9868" xr:uid="{00000000-0005-0000-0000-00000D4E0000}"/>
    <cellStyle name="常规 2 2 2 2 4 4" xfId="4426" xr:uid="{00000000-0005-0000-0000-00000E4E0000}"/>
    <cellStyle name="常规 2 2 2 2 4 4 2" xfId="18938" xr:uid="{00000000-0005-0000-0000-00000F4E0000}"/>
    <cellStyle name="常规 2 2 2 2 4 4 3" xfId="11682" xr:uid="{00000000-0005-0000-0000-0000104E0000}"/>
    <cellStyle name="常规 2 2 2 2 4 5" xfId="15310" xr:uid="{00000000-0005-0000-0000-0000114E0000}"/>
    <cellStyle name="常规 2 2 2 2 4 6" xfId="8054" xr:uid="{00000000-0005-0000-0000-0000124E0000}"/>
    <cellStyle name="常规 2 2 2 2 5" xfId="451" xr:uid="{00000000-0005-0000-0000-0000134E0000}"/>
    <cellStyle name="常规 2 2 2 2 5 2" xfId="1359" xr:uid="{00000000-0005-0000-0000-0000144E0000}"/>
    <cellStyle name="常规 2 2 2 2 5 2 2" xfId="3173" xr:uid="{00000000-0005-0000-0000-0000154E0000}"/>
    <cellStyle name="常规 2 2 2 2 5 2 2 2" xfId="6801" xr:uid="{00000000-0005-0000-0000-0000164E0000}"/>
    <cellStyle name="常规 2 2 2 2 5 2 2 2 2" xfId="21313" xr:uid="{00000000-0005-0000-0000-0000174E0000}"/>
    <cellStyle name="常规 2 2 2 2 5 2 2 2 3" xfId="14057" xr:uid="{00000000-0005-0000-0000-0000184E0000}"/>
    <cellStyle name="常规 2 2 2 2 5 2 2 3" xfId="17685" xr:uid="{00000000-0005-0000-0000-0000194E0000}"/>
    <cellStyle name="常规 2 2 2 2 5 2 2 4" xfId="10429" xr:uid="{00000000-0005-0000-0000-00001A4E0000}"/>
    <cellStyle name="常规 2 2 2 2 5 2 3" xfId="4987" xr:uid="{00000000-0005-0000-0000-00001B4E0000}"/>
    <cellStyle name="常规 2 2 2 2 5 2 3 2" xfId="19499" xr:uid="{00000000-0005-0000-0000-00001C4E0000}"/>
    <cellStyle name="常规 2 2 2 2 5 2 3 3" xfId="12243" xr:uid="{00000000-0005-0000-0000-00001D4E0000}"/>
    <cellStyle name="常规 2 2 2 2 5 2 4" xfId="15871" xr:uid="{00000000-0005-0000-0000-00001E4E0000}"/>
    <cellStyle name="常规 2 2 2 2 5 2 5" xfId="8615" xr:uid="{00000000-0005-0000-0000-00001F4E0000}"/>
    <cellStyle name="常规 2 2 2 2 5 3" xfId="2266" xr:uid="{00000000-0005-0000-0000-0000204E0000}"/>
    <cellStyle name="常规 2 2 2 2 5 3 2" xfId="5894" xr:uid="{00000000-0005-0000-0000-0000214E0000}"/>
    <cellStyle name="常规 2 2 2 2 5 3 2 2" xfId="20406" xr:uid="{00000000-0005-0000-0000-0000224E0000}"/>
    <cellStyle name="常规 2 2 2 2 5 3 2 3" xfId="13150" xr:uid="{00000000-0005-0000-0000-0000234E0000}"/>
    <cellStyle name="常规 2 2 2 2 5 3 3" xfId="16778" xr:uid="{00000000-0005-0000-0000-0000244E0000}"/>
    <cellStyle name="常规 2 2 2 2 5 3 4" xfId="9522" xr:uid="{00000000-0005-0000-0000-0000254E0000}"/>
    <cellStyle name="常规 2 2 2 2 5 4" xfId="4080" xr:uid="{00000000-0005-0000-0000-0000264E0000}"/>
    <cellStyle name="常规 2 2 2 2 5 4 2" xfId="18592" xr:uid="{00000000-0005-0000-0000-0000274E0000}"/>
    <cellStyle name="常规 2 2 2 2 5 4 3" xfId="11336" xr:uid="{00000000-0005-0000-0000-0000284E0000}"/>
    <cellStyle name="常规 2 2 2 2 5 5" xfId="14964" xr:uid="{00000000-0005-0000-0000-0000294E0000}"/>
    <cellStyle name="常规 2 2 2 2 5 6" xfId="7708" xr:uid="{00000000-0005-0000-0000-00002A4E0000}"/>
    <cellStyle name="常规 2 2 2 2 6" xfId="933" xr:uid="{00000000-0005-0000-0000-00002B4E0000}"/>
    <cellStyle name="常规 2 2 2 2 6 2" xfId="1840" xr:uid="{00000000-0005-0000-0000-00002C4E0000}"/>
    <cellStyle name="常规 2 2 2 2 6 2 2" xfId="3654" xr:uid="{00000000-0005-0000-0000-00002D4E0000}"/>
    <cellStyle name="常规 2 2 2 2 6 2 2 2" xfId="7282" xr:uid="{00000000-0005-0000-0000-00002E4E0000}"/>
    <cellStyle name="常规 2 2 2 2 6 2 2 2 2" xfId="21794" xr:uid="{00000000-0005-0000-0000-00002F4E0000}"/>
    <cellStyle name="常规 2 2 2 2 6 2 2 2 3" xfId="14538" xr:uid="{00000000-0005-0000-0000-0000304E0000}"/>
    <cellStyle name="常规 2 2 2 2 6 2 2 3" xfId="18166" xr:uid="{00000000-0005-0000-0000-0000314E0000}"/>
    <cellStyle name="常规 2 2 2 2 6 2 2 4" xfId="10910" xr:uid="{00000000-0005-0000-0000-0000324E0000}"/>
    <cellStyle name="常规 2 2 2 2 6 2 3" xfId="5468" xr:uid="{00000000-0005-0000-0000-0000334E0000}"/>
    <cellStyle name="常规 2 2 2 2 6 2 3 2" xfId="19980" xr:uid="{00000000-0005-0000-0000-0000344E0000}"/>
    <cellStyle name="常规 2 2 2 2 6 2 3 3" xfId="12724" xr:uid="{00000000-0005-0000-0000-0000354E0000}"/>
    <cellStyle name="常规 2 2 2 2 6 2 4" xfId="16352" xr:uid="{00000000-0005-0000-0000-0000364E0000}"/>
    <cellStyle name="常规 2 2 2 2 6 2 5" xfId="9096" xr:uid="{00000000-0005-0000-0000-0000374E0000}"/>
    <cellStyle name="常规 2 2 2 2 6 3" xfId="2747" xr:uid="{00000000-0005-0000-0000-0000384E0000}"/>
    <cellStyle name="常规 2 2 2 2 6 3 2" xfId="6375" xr:uid="{00000000-0005-0000-0000-0000394E0000}"/>
    <cellStyle name="常规 2 2 2 2 6 3 2 2" xfId="20887" xr:uid="{00000000-0005-0000-0000-00003A4E0000}"/>
    <cellStyle name="常规 2 2 2 2 6 3 2 3" xfId="13631" xr:uid="{00000000-0005-0000-0000-00003B4E0000}"/>
    <cellStyle name="常规 2 2 2 2 6 3 3" xfId="17259" xr:uid="{00000000-0005-0000-0000-00003C4E0000}"/>
    <cellStyle name="常规 2 2 2 2 6 3 4" xfId="10003" xr:uid="{00000000-0005-0000-0000-00003D4E0000}"/>
    <cellStyle name="常规 2 2 2 2 6 4" xfId="4561" xr:uid="{00000000-0005-0000-0000-00003E4E0000}"/>
    <cellStyle name="常规 2 2 2 2 6 4 2" xfId="19073" xr:uid="{00000000-0005-0000-0000-00003F4E0000}"/>
    <cellStyle name="常规 2 2 2 2 6 4 3" xfId="11817" xr:uid="{00000000-0005-0000-0000-0000404E0000}"/>
    <cellStyle name="常规 2 2 2 2 6 5" xfId="15445" xr:uid="{00000000-0005-0000-0000-0000414E0000}"/>
    <cellStyle name="常规 2 2 2 2 6 6" xfId="8189" xr:uid="{00000000-0005-0000-0000-0000424E0000}"/>
    <cellStyle name="常规 2 2 2 2 7" xfId="1013" xr:uid="{00000000-0005-0000-0000-0000434E0000}"/>
    <cellStyle name="常规 2 2 2 2 7 2" xfId="2827" xr:uid="{00000000-0005-0000-0000-0000444E0000}"/>
    <cellStyle name="常规 2 2 2 2 7 2 2" xfId="6455" xr:uid="{00000000-0005-0000-0000-0000454E0000}"/>
    <cellStyle name="常规 2 2 2 2 7 2 2 2" xfId="20967" xr:uid="{00000000-0005-0000-0000-0000464E0000}"/>
    <cellStyle name="常规 2 2 2 2 7 2 2 3" xfId="13711" xr:uid="{00000000-0005-0000-0000-0000474E0000}"/>
    <cellStyle name="常规 2 2 2 2 7 2 3" xfId="17339" xr:uid="{00000000-0005-0000-0000-0000484E0000}"/>
    <cellStyle name="常规 2 2 2 2 7 2 4" xfId="10083" xr:uid="{00000000-0005-0000-0000-0000494E0000}"/>
    <cellStyle name="常规 2 2 2 2 7 3" xfId="4641" xr:uid="{00000000-0005-0000-0000-00004A4E0000}"/>
    <cellStyle name="常规 2 2 2 2 7 3 2" xfId="19153" xr:uid="{00000000-0005-0000-0000-00004B4E0000}"/>
    <cellStyle name="常规 2 2 2 2 7 3 3" xfId="11897" xr:uid="{00000000-0005-0000-0000-00004C4E0000}"/>
    <cellStyle name="常规 2 2 2 2 7 4" xfId="15525" xr:uid="{00000000-0005-0000-0000-00004D4E0000}"/>
    <cellStyle name="常规 2 2 2 2 7 5" xfId="8269" xr:uid="{00000000-0005-0000-0000-00004E4E0000}"/>
    <cellStyle name="常规 2 2 2 2 8" xfId="1920" xr:uid="{00000000-0005-0000-0000-00004F4E0000}"/>
    <cellStyle name="常规 2 2 2 2 8 2" xfId="5548" xr:uid="{00000000-0005-0000-0000-0000504E0000}"/>
    <cellStyle name="常规 2 2 2 2 8 2 2" xfId="20060" xr:uid="{00000000-0005-0000-0000-0000514E0000}"/>
    <cellStyle name="常规 2 2 2 2 8 2 3" xfId="12804" xr:uid="{00000000-0005-0000-0000-0000524E0000}"/>
    <cellStyle name="常规 2 2 2 2 8 3" xfId="16432" xr:uid="{00000000-0005-0000-0000-0000534E0000}"/>
    <cellStyle name="常规 2 2 2 2 8 4" xfId="9176" xr:uid="{00000000-0005-0000-0000-0000544E0000}"/>
    <cellStyle name="常规 2 2 2 2 9" xfId="3734" xr:uid="{00000000-0005-0000-0000-0000554E0000}"/>
    <cellStyle name="常规 2 2 2 2 9 2" xfId="18246" xr:uid="{00000000-0005-0000-0000-0000564E0000}"/>
    <cellStyle name="常规 2 2 2 2 9 3" xfId="10990" xr:uid="{00000000-0005-0000-0000-0000574E0000}"/>
    <cellStyle name="常规 2 2 2 3" xfId="235" xr:uid="{00000000-0005-0000-0000-0000584E0000}"/>
    <cellStyle name="常规 2 2 2 3 2" xfId="365" xr:uid="{00000000-0005-0000-0000-0000594E0000}"/>
    <cellStyle name="常规 2 2 2 3 2 2" xfId="711" xr:uid="{00000000-0005-0000-0000-00005A4E0000}"/>
    <cellStyle name="常规 2 2 2 3 2 2 2" xfId="1619" xr:uid="{00000000-0005-0000-0000-00005B4E0000}"/>
    <cellStyle name="常规 2 2 2 3 2 2 2 2" xfId="3433" xr:uid="{00000000-0005-0000-0000-00005C4E0000}"/>
    <cellStyle name="常规 2 2 2 3 2 2 2 2 2" xfId="7061" xr:uid="{00000000-0005-0000-0000-00005D4E0000}"/>
    <cellStyle name="常规 2 2 2 3 2 2 2 2 2 2" xfId="21573" xr:uid="{00000000-0005-0000-0000-00005E4E0000}"/>
    <cellStyle name="常规 2 2 2 3 2 2 2 2 2 3" xfId="14317" xr:uid="{00000000-0005-0000-0000-00005F4E0000}"/>
    <cellStyle name="常规 2 2 2 3 2 2 2 2 3" xfId="17945" xr:uid="{00000000-0005-0000-0000-0000604E0000}"/>
    <cellStyle name="常规 2 2 2 3 2 2 2 2 4" xfId="10689" xr:uid="{00000000-0005-0000-0000-0000614E0000}"/>
    <cellStyle name="常规 2 2 2 3 2 2 2 3" xfId="5247" xr:uid="{00000000-0005-0000-0000-0000624E0000}"/>
    <cellStyle name="常规 2 2 2 3 2 2 2 3 2" xfId="19759" xr:uid="{00000000-0005-0000-0000-0000634E0000}"/>
    <cellStyle name="常规 2 2 2 3 2 2 2 3 3" xfId="12503" xr:uid="{00000000-0005-0000-0000-0000644E0000}"/>
    <cellStyle name="常规 2 2 2 3 2 2 2 4" xfId="16131" xr:uid="{00000000-0005-0000-0000-0000654E0000}"/>
    <cellStyle name="常规 2 2 2 3 2 2 2 5" xfId="8875" xr:uid="{00000000-0005-0000-0000-0000664E0000}"/>
    <cellStyle name="常规 2 2 2 3 2 2 3" xfId="2526" xr:uid="{00000000-0005-0000-0000-0000674E0000}"/>
    <cellStyle name="常规 2 2 2 3 2 2 3 2" xfId="6154" xr:uid="{00000000-0005-0000-0000-0000684E0000}"/>
    <cellStyle name="常规 2 2 2 3 2 2 3 2 2" xfId="20666" xr:uid="{00000000-0005-0000-0000-0000694E0000}"/>
    <cellStyle name="常规 2 2 2 3 2 2 3 2 3" xfId="13410" xr:uid="{00000000-0005-0000-0000-00006A4E0000}"/>
    <cellStyle name="常规 2 2 2 3 2 2 3 3" xfId="17038" xr:uid="{00000000-0005-0000-0000-00006B4E0000}"/>
    <cellStyle name="常规 2 2 2 3 2 2 3 4" xfId="9782" xr:uid="{00000000-0005-0000-0000-00006C4E0000}"/>
    <cellStyle name="常规 2 2 2 3 2 2 4" xfId="4340" xr:uid="{00000000-0005-0000-0000-00006D4E0000}"/>
    <cellStyle name="常规 2 2 2 3 2 2 4 2" xfId="18852" xr:uid="{00000000-0005-0000-0000-00006E4E0000}"/>
    <cellStyle name="常规 2 2 2 3 2 2 4 3" xfId="11596" xr:uid="{00000000-0005-0000-0000-00006F4E0000}"/>
    <cellStyle name="常规 2 2 2 3 2 2 5" xfId="15224" xr:uid="{00000000-0005-0000-0000-0000704E0000}"/>
    <cellStyle name="常规 2 2 2 3 2 2 6" xfId="7968" xr:uid="{00000000-0005-0000-0000-0000714E0000}"/>
    <cellStyle name="常规 2 2 2 3 2 3" xfId="1273" xr:uid="{00000000-0005-0000-0000-0000724E0000}"/>
    <cellStyle name="常规 2 2 2 3 2 3 2" xfId="3087" xr:uid="{00000000-0005-0000-0000-0000734E0000}"/>
    <cellStyle name="常规 2 2 2 3 2 3 2 2" xfId="6715" xr:uid="{00000000-0005-0000-0000-0000744E0000}"/>
    <cellStyle name="常规 2 2 2 3 2 3 2 2 2" xfId="21227" xr:uid="{00000000-0005-0000-0000-0000754E0000}"/>
    <cellStyle name="常规 2 2 2 3 2 3 2 2 3" xfId="13971" xr:uid="{00000000-0005-0000-0000-0000764E0000}"/>
    <cellStyle name="常规 2 2 2 3 2 3 2 3" xfId="17599" xr:uid="{00000000-0005-0000-0000-0000774E0000}"/>
    <cellStyle name="常规 2 2 2 3 2 3 2 4" xfId="10343" xr:uid="{00000000-0005-0000-0000-0000784E0000}"/>
    <cellStyle name="常规 2 2 2 3 2 3 3" xfId="4901" xr:uid="{00000000-0005-0000-0000-0000794E0000}"/>
    <cellStyle name="常规 2 2 2 3 2 3 3 2" xfId="19413" xr:uid="{00000000-0005-0000-0000-00007A4E0000}"/>
    <cellStyle name="常规 2 2 2 3 2 3 3 3" xfId="12157" xr:uid="{00000000-0005-0000-0000-00007B4E0000}"/>
    <cellStyle name="常规 2 2 2 3 2 3 4" xfId="15785" xr:uid="{00000000-0005-0000-0000-00007C4E0000}"/>
    <cellStyle name="常规 2 2 2 3 2 3 5" xfId="8529" xr:uid="{00000000-0005-0000-0000-00007D4E0000}"/>
    <cellStyle name="常规 2 2 2 3 2 4" xfId="2180" xr:uid="{00000000-0005-0000-0000-00007E4E0000}"/>
    <cellStyle name="常规 2 2 2 3 2 4 2" xfId="5808" xr:uid="{00000000-0005-0000-0000-00007F4E0000}"/>
    <cellStyle name="常规 2 2 2 3 2 4 2 2" xfId="20320" xr:uid="{00000000-0005-0000-0000-0000804E0000}"/>
    <cellStyle name="常规 2 2 2 3 2 4 2 3" xfId="13064" xr:uid="{00000000-0005-0000-0000-0000814E0000}"/>
    <cellStyle name="常规 2 2 2 3 2 4 3" xfId="16692" xr:uid="{00000000-0005-0000-0000-0000824E0000}"/>
    <cellStyle name="常规 2 2 2 3 2 4 4" xfId="9436" xr:uid="{00000000-0005-0000-0000-0000834E0000}"/>
    <cellStyle name="常规 2 2 2 3 2 5" xfId="3994" xr:uid="{00000000-0005-0000-0000-0000844E0000}"/>
    <cellStyle name="常规 2 2 2 3 2 5 2" xfId="18506" xr:uid="{00000000-0005-0000-0000-0000854E0000}"/>
    <cellStyle name="常规 2 2 2 3 2 5 3" xfId="11250" xr:uid="{00000000-0005-0000-0000-0000864E0000}"/>
    <cellStyle name="常规 2 2 2 3 2 6" xfId="14878" xr:uid="{00000000-0005-0000-0000-0000874E0000}"/>
    <cellStyle name="常规 2 2 2 3 2 7" xfId="7622" xr:uid="{00000000-0005-0000-0000-0000884E0000}"/>
    <cellStyle name="常规 2 2 2 3 3" xfId="841" xr:uid="{00000000-0005-0000-0000-0000894E0000}"/>
    <cellStyle name="常规 2 2 2 3 3 2" xfId="1749" xr:uid="{00000000-0005-0000-0000-00008A4E0000}"/>
    <cellStyle name="常规 2 2 2 3 3 2 2" xfId="3563" xr:uid="{00000000-0005-0000-0000-00008B4E0000}"/>
    <cellStyle name="常规 2 2 2 3 3 2 2 2" xfId="7191" xr:uid="{00000000-0005-0000-0000-00008C4E0000}"/>
    <cellStyle name="常规 2 2 2 3 3 2 2 2 2" xfId="21703" xr:uid="{00000000-0005-0000-0000-00008D4E0000}"/>
    <cellStyle name="常规 2 2 2 3 3 2 2 2 3" xfId="14447" xr:uid="{00000000-0005-0000-0000-00008E4E0000}"/>
    <cellStyle name="常规 2 2 2 3 3 2 2 3" xfId="18075" xr:uid="{00000000-0005-0000-0000-00008F4E0000}"/>
    <cellStyle name="常规 2 2 2 3 3 2 2 4" xfId="10819" xr:uid="{00000000-0005-0000-0000-0000904E0000}"/>
    <cellStyle name="常规 2 2 2 3 3 2 3" xfId="5377" xr:uid="{00000000-0005-0000-0000-0000914E0000}"/>
    <cellStyle name="常规 2 2 2 3 3 2 3 2" xfId="19889" xr:uid="{00000000-0005-0000-0000-0000924E0000}"/>
    <cellStyle name="常规 2 2 2 3 3 2 3 3" xfId="12633" xr:uid="{00000000-0005-0000-0000-0000934E0000}"/>
    <cellStyle name="常规 2 2 2 3 3 2 4" xfId="16261" xr:uid="{00000000-0005-0000-0000-0000944E0000}"/>
    <cellStyle name="常规 2 2 2 3 3 2 5" xfId="9005" xr:uid="{00000000-0005-0000-0000-0000954E0000}"/>
    <cellStyle name="常规 2 2 2 3 3 3" xfId="2656" xr:uid="{00000000-0005-0000-0000-0000964E0000}"/>
    <cellStyle name="常规 2 2 2 3 3 3 2" xfId="6284" xr:uid="{00000000-0005-0000-0000-0000974E0000}"/>
    <cellStyle name="常规 2 2 2 3 3 3 2 2" xfId="20796" xr:uid="{00000000-0005-0000-0000-0000984E0000}"/>
    <cellStyle name="常规 2 2 2 3 3 3 2 3" xfId="13540" xr:uid="{00000000-0005-0000-0000-0000994E0000}"/>
    <cellStyle name="常规 2 2 2 3 3 3 3" xfId="17168" xr:uid="{00000000-0005-0000-0000-00009A4E0000}"/>
    <cellStyle name="常规 2 2 2 3 3 3 4" xfId="9912" xr:uid="{00000000-0005-0000-0000-00009B4E0000}"/>
    <cellStyle name="常规 2 2 2 3 3 4" xfId="4470" xr:uid="{00000000-0005-0000-0000-00009C4E0000}"/>
    <cellStyle name="常规 2 2 2 3 3 4 2" xfId="18982" xr:uid="{00000000-0005-0000-0000-00009D4E0000}"/>
    <cellStyle name="常规 2 2 2 3 3 4 3" xfId="11726" xr:uid="{00000000-0005-0000-0000-00009E4E0000}"/>
    <cellStyle name="常规 2 2 2 3 3 5" xfId="15354" xr:uid="{00000000-0005-0000-0000-00009F4E0000}"/>
    <cellStyle name="常规 2 2 2 3 3 6" xfId="8098" xr:uid="{00000000-0005-0000-0000-0000A04E0000}"/>
    <cellStyle name="常规 2 2 2 3 4" xfId="581" xr:uid="{00000000-0005-0000-0000-0000A14E0000}"/>
    <cellStyle name="常规 2 2 2 3 4 2" xfId="1489" xr:uid="{00000000-0005-0000-0000-0000A24E0000}"/>
    <cellStyle name="常规 2 2 2 3 4 2 2" xfId="3303" xr:uid="{00000000-0005-0000-0000-0000A34E0000}"/>
    <cellStyle name="常规 2 2 2 3 4 2 2 2" xfId="6931" xr:uid="{00000000-0005-0000-0000-0000A44E0000}"/>
    <cellStyle name="常规 2 2 2 3 4 2 2 2 2" xfId="21443" xr:uid="{00000000-0005-0000-0000-0000A54E0000}"/>
    <cellStyle name="常规 2 2 2 3 4 2 2 2 3" xfId="14187" xr:uid="{00000000-0005-0000-0000-0000A64E0000}"/>
    <cellStyle name="常规 2 2 2 3 4 2 2 3" xfId="17815" xr:uid="{00000000-0005-0000-0000-0000A74E0000}"/>
    <cellStyle name="常规 2 2 2 3 4 2 2 4" xfId="10559" xr:uid="{00000000-0005-0000-0000-0000A84E0000}"/>
    <cellStyle name="常规 2 2 2 3 4 2 3" xfId="5117" xr:uid="{00000000-0005-0000-0000-0000A94E0000}"/>
    <cellStyle name="常规 2 2 2 3 4 2 3 2" xfId="19629" xr:uid="{00000000-0005-0000-0000-0000AA4E0000}"/>
    <cellStyle name="常规 2 2 2 3 4 2 3 3" xfId="12373" xr:uid="{00000000-0005-0000-0000-0000AB4E0000}"/>
    <cellStyle name="常规 2 2 2 3 4 2 4" xfId="16001" xr:uid="{00000000-0005-0000-0000-0000AC4E0000}"/>
    <cellStyle name="常规 2 2 2 3 4 2 5" xfId="8745" xr:uid="{00000000-0005-0000-0000-0000AD4E0000}"/>
    <cellStyle name="常规 2 2 2 3 4 3" xfId="2396" xr:uid="{00000000-0005-0000-0000-0000AE4E0000}"/>
    <cellStyle name="常规 2 2 2 3 4 3 2" xfId="6024" xr:uid="{00000000-0005-0000-0000-0000AF4E0000}"/>
    <cellStyle name="常规 2 2 2 3 4 3 2 2" xfId="20536" xr:uid="{00000000-0005-0000-0000-0000B04E0000}"/>
    <cellStyle name="常规 2 2 2 3 4 3 2 3" xfId="13280" xr:uid="{00000000-0005-0000-0000-0000B14E0000}"/>
    <cellStyle name="常规 2 2 2 3 4 3 3" xfId="16908" xr:uid="{00000000-0005-0000-0000-0000B24E0000}"/>
    <cellStyle name="常规 2 2 2 3 4 3 4" xfId="9652" xr:uid="{00000000-0005-0000-0000-0000B34E0000}"/>
    <cellStyle name="常规 2 2 2 3 4 4" xfId="4210" xr:uid="{00000000-0005-0000-0000-0000B44E0000}"/>
    <cellStyle name="常规 2 2 2 3 4 4 2" xfId="18722" xr:uid="{00000000-0005-0000-0000-0000B54E0000}"/>
    <cellStyle name="常规 2 2 2 3 4 4 3" xfId="11466" xr:uid="{00000000-0005-0000-0000-0000B64E0000}"/>
    <cellStyle name="常规 2 2 2 3 4 5" xfId="15094" xr:uid="{00000000-0005-0000-0000-0000B74E0000}"/>
    <cellStyle name="常规 2 2 2 3 4 6" xfId="7838" xr:uid="{00000000-0005-0000-0000-0000B84E0000}"/>
    <cellStyle name="常规 2 2 2 3 5" xfId="1143" xr:uid="{00000000-0005-0000-0000-0000B94E0000}"/>
    <cellStyle name="常规 2 2 2 3 5 2" xfId="2957" xr:uid="{00000000-0005-0000-0000-0000BA4E0000}"/>
    <cellStyle name="常规 2 2 2 3 5 2 2" xfId="6585" xr:uid="{00000000-0005-0000-0000-0000BB4E0000}"/>
    <cellStyle name="常规 2 2 2 3 5 2 2 2" xfId="21097" xr:uid="{00000000-0005-0000-0000-0000BC4E0000}"/>
    <cellStyle name="常规 2 2 2 3 5 2 2 3" xfId="13841" xr:uid="{00000000-0005-0000-0000-0000BD4E0000}"/>
    <cellStyle name="常规 2 2 2 3 5 2 3" xfId="17469" xr:uid="{00000000-0005-0000-0000-0000BE4E0000}"/>
    <cellStyle name="常规 2 2 2 3 5 2 4" xfId="10213" xr:uid="{00000000-0005-0000-0000-0000BF4E0000}"/>
    <cellStyle name="常规 2 2 2 3 5 3" xfId="4771" xr:uid="{00000000-0005-0000-0000-0000C04E0000}"/>
    <cellStyle name="常规 2 2 2 3 5 3 2" xfId="19283" xr:uid="{00000000-0005-0000-0000-0000C14E0000}"/>
    <cellStyle name="常规 2 2 2 3 5 3 3" xfId="12027" xr:uid="{00000000-0005-0000-0000-0000C24E0000}"/>
    <cellStyle name="常规 2 2 2 3 5 4" xfId="15655" xr:uid="{00000000-0005-0000-0000-0000C34E0000}"/>
    <cellStyle name="常规 2 2 2 3 5 5" xfId="8399" xr:uid="{00000000-0005-0000-0000-0000C44E0000}"/>
    <cellStyle name="常规 2 2 2 3 6" xfId="2050" xr:uid="{00000000-0005-0000-0000-0000C54E0000}"/>
    <cellStyle name="常规 2 2 2 3 6 2" xfId="5678" xr:uid="{00000000-0005-0000-0000-0000C64E0000}"/>
    <cellStyle name="常规 2 2 2 3 6 2 2" xfId="20190" xr:uid="{00000000-0005-0000-0000-0000C74E0000}"/>
    <cellStyle name="常规 2 2 2 3 6 2 3" xfId="12934" xr:uid="{00000000-0005-0000-0000-0000C84E0000}"/>
    <cellStyle name="常规 2 2 2 3 6 3" xfId="16562" xr:uid="{00000000-0005-0000-0000-0000C94E0000}"/>
    <cellStyle name="常规 2 2 2 3 6 4" xfId="9306" xr:uid="{00000000-0005-0000-0000-0000CA4E0000}"/>
    <cellStyle name="常规 2 2 2 3 7" xfId="3864" xr:uid="{00000000-0005-0000-0000-0000CB4E0000}"/>
    <cellStyle name="常规 2 2 2 3 7 2" xfId="18376" xr:uid="{00000000-0005-0000-0000-0000CC4E0000}"/>
    <cellStyle name="常规 2 2 2 3 7 3" xfId="11120" xr:uid="{00000000-0005-0000-0000-0000CD4E0000}"/>
    <cellStyle name="常规 2 2 2 3 8" xfId="14748" xr:uid="{00000000-0005-0000-0000-0000CE4E0000}"/>
    <cellStyle name="常规 2 2 2 3 9" xfId="7492" xr:uid="{00000000-0005-0000-0000-0000CF4E0000}"/>
    <cellStyle name="常规 2 2 2 4" xfId="149" xr:uid="{00000000-0005-0000-0000-0000D04E0000}"/>
    <cellStyle name="常规 2 2 2 4 2" xfId="495" xr:uid="{00000000-0005-0000-0000-0000D14E0000}"/>
    <cellStyle name="常规 2 2 2 4 2 2" xfId="1403" xr:uid="{00000000-0005-0000-0000-0000D24E0000}"/>
    <cellStyle name="常规 2 2 2 4 2 2 2" xfId="3217" xr:uid="{00000000-0005-0000-0000-0000D34E0000}"/>
    <cellStyle name="常规 2 2 2 4 2 2 2 2" xfId="6845" xr:uid="{00000000-0005-0000-0000-0000D44E0000}"/>
    <cellStyle name="常规 2 2 2 4 2 2 2 2 2" xfId="21357" xr:uid="{00000000-0005-0000-0000-0000D54E0000}"/>
    <cellStyle name="常规 2 2 2 4 2 2 2 2 3" xfId="14101" xr:uid="{00000000-0005-0000-0000-0000D64E0000}"/>
    <cellStyle name="常规 2 2 2 4 2 2 2 3" xfId="17729" xr:uid="{00000000-0005-0000-0000-0000D74E0000}"/>
    <cellStyle name="常规 2 2 2 4 2 2 2 4" xfId="10473" xr:uid="{00000000-0005-0000-0000-0000D84E0000}"/>
    <cellStyle name="常规 2 2 2 4 2 2 3" xfId="5031" xr:uid="{00000000-0005-0000-0000-0000D94E0000}"/>
    <cellStyle name="常规 2 2 2 4 2 2 3 2" xfId="19543" xr:uid="{00000000-0005-0000-0000-0000DA4E0000}"/>
    <cellStyle name="常规 2 2 2 4 2 2 3 3" xfId="12287" xr:uid="{00000000-0005-0000-0000-0000DB4E0000}"/>
    <cellStyle name="常规 2 2 2 4 2 2 4" xfId="15915" xr:uid="{00000000-0005-0000-0000-0000DC4E0000}"/>
    <cellStyle name="常规 2 2 2 4 2 2 5" xfId="8659" xr:uid="{00000000-0005-0000-0000-0000DD4E0000}"/>
    <cellStyle name="常规 2 2 2 4 2 3" xfId="2310" xr:uid="{00000000-0005-0000-0000-0000DE4E0000}"/>
    <cellStyle name="常规 2 2 2 4 2 3 2" xfId="5938" xr:uid="{00000000-0005-0000-0000-0000DF4E0000}"/>
    <cellStyle name="常规 2 2 2 4 2 3 2 2" xfId="20450" xr:uid="{00000000-0005-0000-0000-0000E04E0000}"/>
    <cellStyle name="常规 2 2 2 4 2 3 2 3" xfId="13194" xr:uid="{00000000-0005-0000-0000-0000E14E0000}"/>
    <cellStyle name="常规 2 2 2 4 2 3 3" xfId="16822" xr:uid="{00000000-0005-0000-0000-0000E24E0000}"/>
    <cellStyle name="常规 2 2 2 4 2 3 4" xfId="9566" xr:uid="{00000000-0005-0000-0000-0000E34E0000}"/>
    <cellStyle name="常规 2 2 2 4 2 4" xfId="4124" xr:uid="{00000000-0005-0000-0000-0000E44E0000}"/>
    <cellStyle name="常规 2 2 2 4 2 4 2" xfId="18636" xr:uid="{00000000-0005-0000-0000-0000E54E0000}"/>
    <cellStyle name="常规 2 2 2 4 2 4 3" xfId="11380" xr:uid="{00000000-0005-0000-0000-0000E64E0000}"/>
    <cellStyle name="常规 2 2 2 4 2 5" xfId="15008" xr:uid="{00000000-0005-0000-0000-0000E74E0000}"/>
    <cellStyle name="常规 2 2 2 4 2 6" xfId="7752" xr:uid="{00000000-0005-0000-0000-0000E84E0000}"/>
    <cellStyle name="常规 2 2 2 4 3" xfId="1057" xr:uid="{00000000-0005-0000-0000-0000E94E0000}"/>
    <cellStyle name="常规 2 2 2 4 3 2" xfId="2871" xr:uid="{00000000-0005-0000-0000-0000EA4E0000}"/>
    <cellStyle name="常规 2 2 2 4 3 2 2" xfId="6499" xr:uid="{00000000-0005-0000-0000-0000EB4E0000}"/>
    <cellStyle name="常规 2 2 2 4 3 2 2 2" xfId="21011" xr:uid="{00000000-0005-0000-0000-0000EC4E0000}"/>
    <cellStyle name="常规 2 2 2 4 3 2 2 3" xfId="13755" xr:uid="{00000000-0005-0000-0000-0000ED4E0000}"/>
    <cellStyle name="常规 2 2 2 4 3 2 3" xfId="17383" xr:uid="{00000000-0005-0000-0000-0000EE4E0000}"/>
    <cellStyle name="常规 2 2 2 4 3 2 4" xfId="10127" xr:uid="{00000000-0005-0000-0000-0000EF4E0000}"/>
    <cellStyle name="常规 2 2 2 4 3 3" xfId="4685" xr:uid="{00000000-0005-0000-0000-0000F04E0000}"/>
    <cellStyle name="常规 2 2 2 4 3 3 2" xfId="19197" xr:uid="{00000000-0005-0000-0000-0000F14E0000}"/>
    <cellStyle name="常规 2 2 2 4 3 3 3" xfId="11941" xr:uid="{00000000-0005-0000-0000-0000F24E0000}"/>
    <cellStyle name="常规 2 2 2 4 3 4" xfId="15569" xr:uid="{00000000-0005-0000-0000-0000F34E0000}"/>
    <cellStyle name="常规 2 2 2 4 3 5" xfId="8313" xr:uid="{00000000-0005-0000-0000-0000F44E0000}"/>
    <cellStyle name="常规 2 2 2 4 4" xfId="1964" xr:uid="{00000000-0005-0000-0000-0000F54E0000}"/>
    <cellStyle name="常规 2 2 2 4 4 2" xfId="5592" xr:uid="{00000000-0005-0000-0000-0000F64E0000}"/>
    <cellStyle name="常规 2 2 2 4 4 2 2" xfId="20104" xr:uid="{00000000-0005-0000-0000-0000F74E0000}"/>
    <cellStyle name="常规 2 2 2 4 4 2 3" xfId="12848" xr:uid="{00000000-0005-0000-0000-0000F84E0000}"/>
    <cellStyle name="常规 2 2 2 4 4 3" xfId="16476" xr:uid="{00000000-0005-0000-0000-0000F94E0000}"/>
    <cellStyle name="常规 2 2 2 4 4 4" xfId="9220" xr:uid="{00000000-0005-0000-0000-0000FA4E0000}"/>
    <cellStyle name="常规 2 2 2 4 5" xfId="3778" xr:uid="{00000000-0005-0000-0000-0000FB4E0000}"/>
    <cellStyle name="常规 2 2 2 4 5 2" xfId="18290" xr:uid="{00000000-0005-0000-0000-0000FC4E0000}"/>
    <cellStyle name="常规 2 2 2 4 5 3" xfId="11034" xr:uid="{00000000-0005-0000-0000-0000FD4E0000}"/>
    <cellStyle name="常规 2 2 2 4 6" xfId="14662" xr:uid="{00000000-0005-0000-0000-0000FE4E0000}"/>
    <cellStyle name="常规 2 2 2 4 7" xfId="7406" xr:uid="{00000000-0005-0000-0000-0000FF4E0000}"/>
    <cellStyle name="常规 2 2 2 5" xfId="279" xr:uid="{00000000-0005-0000-0000-0000004F0000}"/>
    <cellStyle name="常规 2 2 2 5 2" xfId="625" xr:uid="{00000000-0005-0000-0000-0000014F0000}"/>
    <cellStyle name="常规 2 2 2 5 2 2" xfId="1533" xr:uid="{00000000-0005-0000-0000-0000024F0000}"/>
    <cellStyle name="常规 2 2 2 5 2 2 2" xfId="3347" xr:uid="{00000000-0005-0000-0000-0000034F0000}"/>
    <cellStyle name="常规 2 2 2 5 2 2 2 2" xfId="6975" xr:uid="{00000000-0005-0000-0000-0000044F0000}"/>
    <cellStyle name="常规 2 2 2 5 2 2 2 2 2" xfId="21487" xr:uid="{00000000-0005-0000-0000-0000054F0000}"/>
    <cellStyle name="常规 2 2 2 5 2 2 2 2 3" xfId="14231" xr:uid="{00000000-0005-0000-0000-0000064F0000}"/>
    <cellStyle name="常规 2 2 2 5 2 2 2 3" xfId="17859" xr:uid="{00000000-0005-0000-0000-0000074F0000}"/>
    <cellStyle name="常规 2 2 2 5 2 2 2 4" xfId="10603" xr:uid="{00000000-0005-0000-0000-0000084F0000}"/>
    <cellStyle name="常规 2 2 2 5 2 2 3" xfId="5161" xr:uid="{00000000-0005-0000-0000-0000094F0000}"/>
    <cellStyle name="常规 2 2 2 5 2 2 3 2" xfId="19673" xr:uid="{00000000-0005-0000-0000-00000A4F0000}"/>
    <cellStyle name="常规 2 2 2 5 2 2 3 3" xfId="12417" xr:uid="{00000000-0005-0000-0000-00000B4F0000}"/>
    <cellStyle name="常规 2 2 2 5 2 2 4" xfId="16045" xr:uid="{00000000-0005-0000-0000-00000C4F0000}"/>
    <cellStyle name="常规 2 2 2 5 2 2 5" xfId="8789" xr:uid="{00000000-0005-0000-0000-00000D4F0000}"/>
    <cellStyle name="常规 2 2 2 5 2 3" xfId="2440" xr:uid="{00000000-0005-0000-0000-00000E4F0000}"/>
    <cellStyle name="常规 2 2 2 5 2 3 2" xfId="6068" xr:uid="{00000000-0005-0000-0000-00000F4F0000}"/>
    <cellStyle name="常规 2 2 2 5 2 3 2 2" xfId="20580" xr:uid="{00000000-0005-0000-0000-0000104F0000}"/>
    <cellStyle name="常规 2 2 2 5 2 3 2 3" xfId="13324" xr:uid="{00000000-0005-0000-0000-0000114F0000}"/>
    <cellStyle name="常规 2 2 2 5 2 3 3" xfId="16952" xr:uid="{00000000-0005-0000-0000-0000124F0000}"/>
    <cellStyle name="常规 2 2 2 5 2 3 4" xfId="9696" xr:uid="{00000000-0005-0000-0000-0000134F0000}"/>
    <cellStyle name="常规 2 2 2 5 2 4" xfId="4254" xr:uid="{00000000-0005-0000-0000-0000144F0000}"/>
    <cellStyle name="常规 2 2 2 5 2 4 2" xfId="18766" xr:uid="{00000000-0005-0000-0000-0000154F0000}"/>
    <cellStyle name="常规 2 2 2 5 2 4 3" xfId="11510" xr:uid="{00000000-0005-0000-0000-0000164F0000}"/>
    <cellStyle name="常规 2 2 2 5 2 5" xfId="15138" xr:uid="{00000000-0005-0000-0000-0000174F0000}"/>
    <cellStyle name="常规 2 2 2 5 2 6" xfId="7882" xr:uid="{00000000-0005-0000-0000-0000184F0000}"/>
    <cellStyle name="常规 2 2 2 5 3" xfId="1187" xr:uid="{00000000-0005-0000-0000-0000194F0000}"/>
    <cellStyle name="常规 2 2 2 5 3 2" xfId="3001" xr:uid="{00000000-0005-0000-0000-00001A4F0000}"/>
    <cellStyle name="常规 2 2 2 5 3 2 2" xfId="6629" xr:uid="{00000000-0005-0000-0000-00001B4F0000}"/>
    <cellStyle name="常规 2 2 2 5 3 2 2 2" xfId="21141" xr:uid="{00000000-0005-0000-0000-00001C4F0000}"/>
    <cellStyle name="常规 2 2 2 5 3 2 2 3" xfId="13885" xr:uid="{00000000-0005-0000-0000-00001D4F0000}"/>
    <cellStyle name="常规 2 2 2 5 3 2 3" xfId="17513" xr:uid="{00000000-0005-0000-0000-00001E4F0000}"/>
    <cellStyle name="常规 2 2 2 5 3 2 4" xfId="10257" xr:uid="{00000000-0005-0000-0000-00001F4F0000}"/>
    <cellStyle name="常规 2 2 2 5 3 3" xfId="4815" xr:uid="{00000000-0005-0000-0000-0000204F0000}"/>
    <cellStyle name="常规 2 2 2 5 3 3 2" xfId="19327" xr:uid="{00000000-0005-0000-0000-0000214F0000}"/>
    <cellStyle name="常规 2 2 2 5 3 3 3" xfId="12071" xr:uid="{00000000-0005-0000-0000-0000224F0000}"/>
    <cellStyle name="常规 2 2 2 5 3 4" xfId="15699" xr:uid="{00000000-0005-0000-0000-0000234F0000}"/>
    <cellStyle name="常规 2 2 2 5 3 5" xfId="8443" xr:uid="{00000000-0005-0000-0000-0000244F0000}"/>
    <cellStyle name="常规 2 2 2 5 4" xfId="2094" xr:uid="{00000000-0005-0000-0000-0000254F0000}"/>
    <cellStyle name="常规 2 2 2 5 4 2" xfId="5722" xr:uid="{00000000-0005-0000-0000-0000264F0000}"/>
    <cellStyle name="常规 2 2 2 5 4 2 2" xfId="20234" xr:uid="{00000000-0005-0000-0000-0000274F0000}"/>
    <cellStyle name="常规 2 2 2 5 4 2 3" xfId="12978" xr:uid="{00000000-0005-0000-0000-0000284F0000}"/>
    <cellStyle name="常规 2 2 2 5 4 3" xfId="16606" xr:uid="{00000000-0005-0000-0000-0000294F0000}"/>
    <cellStyle name="常规 2 2 2 5 4 4" xfId="9350" xr:uid="{00000000-0005-0000-0000-00002A4F0000}"/>
    <cellStyle name="常规 2 2 2 5 5" xfId="3908" xr:uid="{00000000-0005-0000-0000-00002B4F0000}"/>
    <cellStyle name="常规 2 2 2 5 5 2" xfId="18420" xr:uid="{00000000-0005-0000-0000-00002C4F0000}"/>
    <cellStyle name="常规 2 2 2 5 5 3" xfId="11164" xr:uid="{00000000-0005-0000-0000-00002D4F0000}"/>
    <cellStyle name="常规 2 2 2 5 6" xfId="14792" xr:uid="{00000000-0005-0000-0000-00002E4F0000}"/>
    <cellStyle name="常规 2 2 2 5 7" xfId="7536" xr:uid="{00000000-0005-0000-0000-00002F4F0000}"/>
    <cellStyle name="常规 2 2 2 6" xfId="755" xr:uid="{00000000-0005-0000-0000-0000304F0000}"/>
    <cellStyle name="常规 2 2 2 6 2" xfId="1663" xr:uid="{00000000-0005-0000-0000-0000314F0000}"/>
    <cellStyle name="常规 2 2 2 6 2 2" xfId="3477" xr:uid="{00000000-0005-0000-0000-0000324F0000}"/>
    <cellStyle name="常规 2 2 2 6 2 2 2" xfId="7105" xr:uid="{00000000-0005-0000-0000-0000334F0000}"/>
    <cellStyle name="常规 2 2 2 6 2 2 2 2" xfId="21617" xr:uid="{00000000-0005-0000-0000-0000344F0000}"/>
    <cellStyle name="常规 2 2 2 6 2 2 2 3" xfId="14361" xr:uid="{00000000-0005-0000-0000-0000354F0000}"/>
    <cellStyle name="常规 2 2 2 6 2 2 3" xfId="17989" xr:uid="{00000000-0005-0000-0000-0000364F0000}"/>
    <cellStyle name="常规 2 2 2 6 2 2 4" xfId="10733" xr:uid="{00000000-0005-0000-0000-0000374F0000}"/>
    <cellStyle name="常规 2 2 2 6 2 3" xfId="5291" xr:uid="{00000000-0005-0000-0000-0000384F0000}"/>
    <cellStyle name="常规 2 2 2 6 2 3 2" xfId="19803" xr:uid="{00000000-0005-0000-0000-0000394F0000}"/>
    <cellStyle name="常规 2 2 2 6 2 3 3" xfId="12547" xr:uid="{00000000-0005-0000-0000-00003A4F0000}"/>
    <cellStyle name="常规 2 2 2 6 2 4" xfId="16175" xr:uid="{00000000-0005-0000-0000-00003B4F0000}"/>
    <cellStyle name="常规 2 2 2 6 2 5" xfId="8919" xr:uid="{00000000-0005-0000-0000-00003C4F0000}"/>
    <cellStyle name="常规 2 2 2 6 3" xfId="2570" xr:uid="{00000000-0005-0000-0000-00003D4F0000}"/>
    <cellStyle name="常规 2 2 2 6 3 2" xfId="6198" xr:uid="{00000000-0005-0000-0000-00003E4F0000}"/>
    <cellStyle name="常规 2 2 2 6 3 2 2" xfId="20710" xr:uid="{00000000-0005-0000-0000-00003F4F0000}"/>
    <cellStyle name="常规 2 2 2 6 3 2 3" xfId="13454" xr:uid="{00000000-0005-0000-0000-0000404F0000}"/>
    <cellStyle name="常规 2 2 2 6 3 3" xfId="17082" xr:uid="{00000000-0005-0000-0000-0000414F0000}"/>
    <cellStyle name="常规 2 2 2 6 3 4" xfId="9826" xr:uid="{00000000-0005-0000-0000-0000424F0000}"/>
    <cellStyle name="常规 2 2 2 6 4" xfId="4384" xr:uid="{00000000-0005-0000-0000-0000434F0000}"/>
    <cellStyle name="常规 2 2 2 6 4 2" xfId="18896" xr:uid="{00000000-0005-0000-0000-0000444F0000}"/>
    <cellStyle name="常规 2 2 2 6 4 3" xfId="11640" xr:uid="{00000000-0005-0000-0000-0000454F0000}"/>
    <cellStyle name="常规 2 2 2 6 5" xfId="15268" xr:uid="{00000000-0005-0000-0000-0000464F0000}"/>
    <cellStyle name="常规 2 2 2 6 6" xfId="8012" xr:uid="{00000000-0005-0000-0000-0000474F0000}"/>
    <cellStyle name="常规 2 2 2 7" xfId="409" xr:uid="{00000000-0005-0000-0000-0000484F0000}"/>
    <cellStyle name="常规 2 2 2 7 2" xfId="1317" xr:uid="{00000000-0005-0000-0000-0000494F0000}"/>
    <cellStyle name="常规 2 2 2 7 2 2" xfId="3131" xr:uid="{00000000-0005-0000-0000-00004A4F0000}"/>
    <cellStyle name="常规 2 2 2 7 2 2 2" xfId="6759" xr:uid="{00000000-0005-0000-0000-00004B4F0000}"/>
    <cellStyle name="常规 2 2 2 7 2 2 2 2" xfId="21271" xr:uid="{00000000-0005-0000-0000-00004C4F0000}"/>
    <cellStyle name="常规 2 2 2 7 2 2 2 3" xfId="14015" xr:uid="{00000000-0005-0000-0000-00004D4F0000}"/>
    <cellStyle name="常规 2 2 2 7 2 2 3" xfId="17643" xr:uid="{00000000-0005-0000-0000-00004E4F0000}"/>
    <cellStyle name="常规 2 2 2 7 2 2 4" xfId="10387" xr:uid="{00000000-0005-0000-0000-00004F4F0000}"/>
    <cellStyle name="常规 2 2 2 7 2 3" xfId="4945" xr:uid="{00000000-0005-0000-0000-0000504F0000}"/>
    <cellStyle name="常规 2 2 2 7 2 3 2" xfId="19457" xr:uid="{00000000-0005-0000-0000-0000514F0000}"/>
    <cellStyle name="常规 2 2 2 7 2 3 3" xfId="12201" xr:uid="{00000000-0005-0000-0000-0000524F0000}"/>
    <cellStyle name="常规 2 2 2 7 2 4" xfId="15829" xr:uid="{00000000-0005-0000-0000-0000534F0000}"/>
    <cellStyle name="常规 2 2 2 7 2 5" xfId="8573" xr:uid="{00000000-0005-0000-0000-0000544F0000}"/>
    <cellStyle name="常规 2 2 2 7 3" xfId="2224" xr:uid="{00000000-0005-0000-0000-0000554F0000}"/>
    <cellStyle name="常规 2 2 2 7 3 2" xfId="5852" xr:uid="{00000000-0005-0000-0000-0000564F0000}"/>
    <cellStyle name="常规 2 2 2 7 3 2 2" xfId="20364" xr:uid="{00000000-0005-0000-0000-0000574F0000}"/>
    <cellStyle name="常规 2 2 2 7 3 2 3" xfId="13108" xr:uid="{00000000-0005-0000-0000-0000584F0000}"/>
    <cellStyle name="常规 2 2 2 7 3 3" xfId="16736" xr:uid="{00000000-0005-0000-0000-0000594F0000}"/>
    <cellStyle name="常规 2 2 2 7 3 4" xfId="9480" xr:uid="{00000000-0005-0000-0000-00005A4F0000}"/>
    <cellStyle name="常规 2 2 2 7 4" xfId="4038" xr:uid="{00000000-0005-0000-0000-00005B4F0000}"/>
    <cellStyle name="常规 2 2 2 7 4 2" xfId="18550" xr:uid="{00000000-0005-0000-0000-00005C4F0000}"/>
    <cellStyle name="常规 2 2 2 7 4 3" xfId="11294" xr:uid="{00000000-0005-0000-0000-00005D4F0000}"/>
    <cellStyle name="常规 2 2 2 7 5" xfId="14922" xr:uid="{00000000-0005-0000-0000-00005E4F0000}"/>
    <cellStyle name="常规 2 2 2 7 6" xfId="7666" xr:uid="{00000000-0005-0000-0000-00005F4F0000}"/>
    <cellStyle name="常规 2 2 2 8" xfId="889" xr:uid="{00000000-0005-0000-0000-0000604F0000}"/>
    <cellStyle name="常规 2 2 2 8 2" xfId="1797" xr:uid="{00000000-0005-0000-0000-0000614F0000}"/>
    <cellStyle name="常规 2 2 2 8 2 2" xfId="3611" xr:uid="{00000000-0005-0000-0000-0000624F0000}"/>
    <cellStyle name="常规 2 2 2 8 2 2 2" xfId="7239" xr:uid="{00000000-0005-0000-0000-0000634F0000}"/>
    <cellStyle name="常规 2 2 2 8 2 2 2 2" xfId="21751" xr:uid="{00000000-0005-0000-0000-0000644F0000}"/>
    <cellStyle name="常规 2 2 2 8 2 2 2 3" xfId="14495" xr:uid="{00000000-0005-0000-0000-0000654F0000}"/>
    <cellStyle name="常规 2 2 2 8 2 2 3" xfId="18123" xr:uid="{00000000-0005-0000-0000-0000664F0000}"/>
    <cellStyle name="常规 2 2 2 8 2 2 4" xfId="10867" xr:uid="{00000000-0005-0000-0000-0000674F0000}"/>
    <cellStyle name="常规 2 2 2 8 2 3" xfId="5425" xr:uid="{00000000-0005-0000-0000-0000684F0000}"/>
    <cellStyle name="常规 2 2 2 8 2 3 2" xfId="19937" xr:uid="{00000000-0005-0000-0000-0000694F0000}"/>
    <cellStyle name="常规 2 2 2 8 2 3 3" xfId="12681" xr:uid="{00000000-0005-0000-0000-00006A4F0000}"/>
    <cellStyle name="常规 2 2 2 8 2 4" xfId="16309" xr:uid="{00000000-0005-0000-0000-00006B4F0000}"/>
    <cellStyle name="常规 2 2 2 8 2 5" xfId="9053" xr:uid="{00000000-0005-0000-0000-00006C4F0000}"/>
    <cellStyle name="常规 2 2 2 8 3" xfId="2704" xr:uid="{00000000-0005-0000-0000-00006D4F0000}"/>
    <cellStyle name="常规 2 2 2 8 3 2" xfId="6332" xr:uid="{00000000-0005-0000-0000-00006E4F0000}"/>
    <cellStyle name="常规 2 2 2 8 3 2 2" xfId="20844" xr:uid="{00000000-0005-0000-0000-00006F4F0000}"/>
    <cellStyle name="常规 2 2 2 8 3 2 3" xfId="13588" xr:uid="{00000000-0005-0000-0000-0000704F0000}"/>
    <cellStyle name="常规 2 2 2 8 3 3" xfId="17216" xr:uid="{00000000-0005-0000-0000-0000714F0000}"/>
    <cellStyle name="常规 2 2 2 8 3 4" xfId="9960" xr:uid="{00000000-0005-0000-0000-0000724F0000}"/>
    <cellStyle name="常规 2 2 2 8 4" xfId="4518" xr:uid="{00000000-0005-0000-0000-0000734F0000}"/>
    <cellStyle name="常规 2 2 2 8 4 2" xfId="19030" xr:uid="{00000000-0005-0000-0000-0000744F0000}"/>
    <cellStyle name="常规 2 2 2 8 4 3" xfId="11774" xr:uid="{00000000-0005-0000-0000-0000754F0000}"/>
    <cellStyle name="常规 2 2 2 8 5" xfId="15402" xr:uid="{00000000-0005-0000-0000-0000764F0000}"/>
    <cellStyle name="常规 2 2 2 8 6" xfId="8146" xr:uid="{00000000-0005-0000-0000-0000774F0000}"/>
    <cellStyle name="常规 2 2 2 9" xfId="971" xr:uid="{00000000-0005-0000-0000-0000784F0000}"/>
    <cellStyle name="常规 2 2 2 9 2" xfId="2785" xr:uid="{00000000-0005-0000-0000-0000794F0000}"/>
    <cellStyle name="常规 2 2 2 9 2 2" xfId="6413" xr:uid="{00000000-0005-0000-0000-00007A4F0000}"/>
    <cellStyle name="常规 2 2 2 9 2 2 2" xfId="20925" xr:uid="{00000000-0005-0000-0000-00007B4F0000}"/>
    <cellStyle name="常规 2 2 2 9 2 2 3" xfId="13669" xr:uid="{00000000-0005-0000-0000-00007C4F0000}"/>
    <cellStyle name="常规 2 2 2 9 2 3" xfId="17297" xr:uid="{00000000-0005-0000-0000-00007D4F0000}"/>
    <cellStyle name="常规 2 2 2 9 2 4" xfId="10041" xr:uid="{00000000-0005-0000-0000-00007E4F0000}"/>
    <cellStyle name="常规 2 2 2 9 3" xfId="4599" xr:uid="{00000000-0005-0000-0000-00007F4F0000}"/>
    <cellStyle name="常规 2 2 2 9 3 2" xfId="19111" xr:uid="{00000000-0005-0000-0000-0000804F0000}"/>
    <cellStyle name="常规 2 2 2 9 3 3" xfId="11855" xr:uid="{00000000-0005-0000-0000-0000814F0000}"/>
    <cellStyle name="常规 2 2 2 9 4" xfId="15483" xr:uid="{00000000-0005-0000-0000-0000824F0000}"/>
    <cellStyle name="常规 2 2 2 9 5" xfId="8227" xr:uid="{00000000-0005-0000-0000-0000834F0000}"/>
    <cellStyle name="常规 2 2 3" xfId="82" xr:uid="{00000000-0005-0000-0000-0000844F0000}"/>
    <cellStyle name="常规 2 2 3 10" xfId="14597" xr:uid="{00000000-0005-0000-0000-0000854F0000}"/>
    <cellStyle name="常规 2 2 3 11" xfId="7341" xr:uid="{00000000-0005-0000-0000-0000864F0000}"/>
    <cellStyle name="常规 2 2 3 2" xfId="170" xr:uid="{00000000-0005-0000-0000-0000874F0000}"/>
    <cellStyle name="常规 2 2 3 2 2" xfId="516" xr:uid="{00000000-0005-0000-0000-0000884F0000}"/>
    <cellStyle name="常规 2 2 3 2 2 2" xfId="1424" xr:uid="{00000000-0005-0000-0000-0000894F0000}"/>
    <cellStyle name="常规 2 2 3 2 2 2 2" xfId="3238" xr:uid="{00000000-0005-0000-0000-00008A4F0000}"/>
    <cellStyle name="常规 2 2 3 2 2 2 2 2" xfId="6866" xr:uid="{00000000-0005-0000-0000-00008B4F0000}"/>
    <cellStyle name="常规 2 2 3 2 2 2 2 2 2" xfId="21378" xr:uid="{00000000-0005-0000-0000-00008C4F0000}"/>
    <cellStyle name="常规 2 2 3 2 2 2 2 2 3" xfId="14122" xr:uid="{00000000-0005-0000-0000-00008D4F0000}"/>
    <cellStyle name="常规 2 2 3 2 2 2 2 3" xfId="17750" xr:uid="{00000000-0005-0000-0000-00008E4F0000}"/>
    <cellStyle name="常规 2 2 3 2 2 2 2 4" xfId="10494" xr:uid="{00000000-0005-0000-0000-00008F4F0000}"/>
    <cellStyle name="常规 2 2 3 2 2 2 3" xfId="5052" xr:uid="{00000000-0005-0000-0000-0000904F0000}"/>
    <cellStyle name="常规 2 2 3 2 2 2 3 2" xfId="19564" xr:uid="{00000000-0005-0000-0000-0000914F0000}"/>
    <cellStyle name="常规 2 2 3 2 2 2 3 3" xfId="12308" xr:uid="{00000000-0005-0000-0000-0000924F0000}"/>
    <cellStyle name="常规 2 2 3 2 2 2 4" xfId="15936" xr:uid="{00000000-0005-0000-0000-0000934F0000}"/>
    <cellStyle name="常规 2 2 3 2 2 2 5" xfId="8680" xr:uid="{00000000-0005-0000-0000-0000944F0000}"/>
    <cellStyle name="常规 2 2 3 2 2 3" xfId="2331" xr:uid="{00000000-0005-0000-0000-0000954F0000}"/>
    <cellStyle name="常规 2 2 3 2 2 3 2" xfId="5959" xr:uid="{00000000-0005-0000-0000-0000964F0000}"/>
    <cellStyle name="常规 2 2 3 2 2 3 2 2" xfId="20471" xr:uid="{00000000-0005-0000-0000-0000974F0000}"/>
    <cellStyle name="常规 2 2 3 2 2 3 2 3" xfId="13215" xr:uid="{00000000-0005-0000-0000-0000984F0000}"/>
    <cellStyle name="常规 2 2 3 2 2 3 3" xfId="16843" xr:uid="{00000000-0005-0000-0000-0000994F0000}"/>
    <cellStyle name="常规 2 2 3 2 2 3 4" xfId="9587" xr:uid="{00000000-0005-0000-0000-00009A4F0000}"/>
    <cellStyle name="常规 2 2 3 2 2 4" xfId="4145" xr:uid="{00000000-0005-0000-0000-00009B4F0000}"/>
    <cellStyle name="常规 2 2 3 2 2 4 2" xfId="18657" xr:uid="{00000000-0005-0000-0000-00009C4F0000}"/>
    <cellStyle name="常规 2 2 3 2 2 4 3" xfId="11401" xr:uid="{00000000-0005-0000-0000-00009D4F0000}"/>
    <cellStyle name="常规 2 2 3 2 2 5" xfId="15029" xr:uid="{00000000-0005-0000-0000-00009E4F0000}"/>
    <cellStyle name="常规 2 2 3 2 2 6" xfId="7773" xr:uid="{00000000-0005-0000-0000-00009F4F0000}"/>
    <cellStyle name="常规 2 2 3 2 3" xfId="1078" xr:uid="{00000000-0005-0000-0000-0000A04F0000}"/>
    <cellStyle name="常规 2 2 3 2 3 2" xfId="2892" xr:uid="{00000000-0005-0000-0000-0000A14F0000}"/>
    <cellStyle name="常规 2 2 3 2 3 2 2" xfId="6520" xr:uid="{00000000-0005-0000-0000-0000A24F0000}"/>
    <cellStyle name="常规 2 2 3 2 3 2 2 2" xfId="21032" xr:uid="{00000000-0005-0000-0000-0000A34F0000}"/>
    <cellStyle name="常规 2 2 3 2 3 2 2 3" xfId="13776" xr:uid="{00000000-0005-0000-0000-0000A44F0000}"/>
    <cellStyle name="常规 2 2 3 2 3 2 3" xfId="17404" xr:uid="{00000000-0005-0000-0000-0000A54F0000}"/>
    <cellStyle name="常规 2 2 3 2 3 2 4" xfId="10148" xr:uid="{00000000-0005-0000-0000-0000A64F0000}"/>
    <cellStyle name="常规 2 2 3 2 3 3" xfId="4706" xr:uid="{00000000-0005-0000-0000-0000A74F0000}"/>
    <cellStyle name="常规 2 2 3 2 3 3 2" xfId="19218" xr:uid="{00000000-0005-0000-0000-0000A84F0000}"/>
    <cellStyle name="常规 2 2 3 2 3 3 3" xfId="11962" xr:uid="{00000000-0005-0000-0000-0000A94F0000}"/>
    <cellStyle name="常规 2 2 3 2 3 4" xfId="15590" xr:uid="{00000000-0005-0000-0000-0000AA4F0000}"/>
    <cellStyle name="常规 2 2 3 2 3 5" xfId="8334" xr:uid="{00000000-0005-0000-0000-0000AB4F0000}"/>
    <cellStyle name="常规 2 2 3 2 4" xfId="1985" xr:uid="{00000000-0005-0000-0000-0000AC4F0000}"/>
    <cellStyle name="常规 2 2 3 2 4 2" xfId="5613" xr:uid="{00000000-0005-0000-0000-0000AD4F0000}"/>
    <cellStyle name="常规 2 2 3 2 4 2 2" xfId="20125" xr:uid="{00000000-0005-0000-0000-0000AE4F0000}"/>
    <cellStyle name="常规 2 2 3 2 4 2 3" xfId="12869" xr:uid="{00000000-0005-0000-0000-0000AF4F0000}"/>
    <cellStyle name="常规 2 2 3 2 4 3" xfId="16497" xr:uid="{00000000-0005-0000-0000-0000B04F0000}"/>
    <cellStyle name="常规 2 2 3 2 4 4" xfId="9241" xr:uid="{00000000-0005-0000-0000-0000B14F0000}"/>
    <cellStyle name="常规 2 2 3 2 5" xfId="3799" xr:uid="{00000000-0005-0000-0000-0000B24F0000}"/>
    <cellStyle name="常规 2 2 3 2 5 2" xfId="18311" xr:uid="{00000000-0005-0000-0000-0000B34F0000}"/>
    <cellStyle name="常规 2 2 3 2 5 3" xfId="11055" xr:uid="{00000000-0005-0000-0000-0000B44F0000}"/>
    <cellStyle name="常规 2 2 3 2 6" xfId="14683" xr:uid="{00000000-0005-0000-0000-0000B54F0000}"/>
    <cellStyle name="常规 2 2 3 2 7" xfId="7427" xr:uid="{00000000-0005-0000-0000-0000B64F0000}"/>
    <cellStyle name="常规 2 2 3 3" xfId="300" xr:uid="{00000000-0005-0000-0000-0000B74F0000}"/>
    <cellStyle name="常规 2 2 3 3 2" xfId="646" xr:uid="{00000000-0005-0000-0000-0000B84F0000}"/>
    <cellStyle name="常规 2 2 3 3 2 2" xfId="1554" xr:uid="{00000000-0005-0000-0000-0000B94F0000}"/>
    <cellStyle name="常规 2 2 3 3 2 2 2" xfId="3368" xr:uid="{00000000-0005-0000-0000-0000BA4F0000}"/>
    <cellStyle name="常规 2 2 3 3 2 2 2 2" xfId="6996" xr:uid="{00000000-0005-0000-0000-0000BB4F0000}"/>
    <cellStyle name="常规 2 2 3 3 2 2 2 2 2" xfId="21508" xr:uid="{00000000-0005-0000-0000-0000BC4F0000}"/>
    <cellStyle name="常规 2 2 3 3 2 2 2 2 3" xfId="14252" xr:uid="{00000000-0005-0000-0000-0000BD4F0000}"/>
    <cellStyle name="常规 2 2 3 3 2 2 2 3" xfId="17880" xr:uid="{00000000-0005-0000-0000-0000BE4F0000}"/>
    <cellStyle name="常规 2 2 3 3 2 2 2 4" xfId="10624" xr:uid="{00000000-0005-0000-0000-0000BF4F0000}"/>
    <cellStyle name="常规 2 2 3 3 2 2 3" xfId="5182" xr:uid="{00000000-0005-0000-0000-0000C04F0000}"/>
    <cellStyle name="常规 2 2 3 3 2 2 3 2" xfId="19694" xr:uid="{00000000-0005-0000-0000-0000C14F0000}"/>
    <cellStyle name="常规 2 2 3 3 2 2 3 3" xfId="12438" xr:uid="{00000000-0005-0000-0000-0000C24F0000}"/>
    <cellStyle name="常规 2 2 3 3 2 2 4" xfId="16066" xr:uid="{00000000-0005-0000-0000-0000C34F0000}"/>
    <cellStyle name="常规 2 2 3 3 2 2 5" xfId="8810" xr:uid="{00000000-0005-0000-0000-0000C44F0000}"/>
    <cellStyle name="常规 2 2 3 3 2 3" xfId="2461" xr:uid="{00000000-0005-0000-0000-0000C54F0000}"/>
    <cellStyle name="常规 2 2 3 3 2 3 2" xfId="6089" xr:uid="{00000000-0005-0000-0000-0000C64F0000}"/>
    <cellStyle name="常规 2 2 3 3 2 3 2 2" xfId="20601" xr:uid="{00000000-0005-0000-0000-0000C74F0000}"/>
    <cellStyle name="常规 2 2 3 3 2 3 2 3" xfId="13345" xr:uid="{00000000-0005-0000-0000-0000C84F0000}"/>
    <cellStyle name="常规 2 2 3 3 2 3 3" xfId="16973" xr:uid="{00000000-0005-0000-0000-0000C94F0000}"/>
    <cellStyle name="常规 2 2 3 3 2 3 4" xfId="9717" xr:uid="{00000000-0005-0000-0000-0000CA4F0000}"/>
    <cellStyle name="常规 2 2 3 3 2 4" xfId="4275" xr:uid="{00000000-0005-0000-0000-0000CB4F0000}"/>
    <cellStyle name="常规 2 2 3 3 2 4 2" xfId="18787" xr:uid="{00000000-0005-0000-0000-0000CC4F0000}"/>
    <cellStyle name="常规 2 2 3 3 2 4 3" xfId="11531" xr:uid="{00000000-0005-0000-0000-0000CD4F0000}"/>
    <cellStyle name="常规 2 2 3 3 2 5" xfId="15159" xr:uid="{00000000-0005-0000-0000-0000CE4F0000}"/>
    <cellStyle name="常规 2 2 3 3 2 6" xfId="7903" xr:uid="{00000000-0005-0000-0000-0000CF4F0000}"/>
    <cellStyle name="常规 2 2 3 3 3" xfId="1208" xr:uid="{00000000-0005-0000-0000-0000D04F0000}"/>
    <cellStyle name="常规 2 2 3 3 3 2" xfId="3022" xr:uid="{00000000-0005-0000-0000-0000D14F0000}"/>
    <cellStyle name="常规 2 2 3 3 3 2 2" xfId="6650" xr:uid="{00000000-0005-0000-0000-0000D24F0000}"/>
    <cellStyle name="常规 2 2 3 3 3 2 2 2" xfId="21162" xr:uid="{00000000-0005-0000-0000-0000D34F0000}"/>
    <cellStyle name="常规 2 2 3 3 3 2 2 3" xfId="13906" xr:uid="{00000000-0005-0000-0000-0000D44F0000}"/>
    <cellStyle name="常规 2 2 3 3 3 2 3" xfId="17534" xr:uid="{00000000-0005-0000-0000-0000D54F0000}"/>
    <cellStyle name="常规 2 2 3 3 3 2 4" xfId="10278" xr:uid="{00000000-0005-0000-0000-0000D64F0000}"/>
    <cellStyle name="常规 2 2 3 3 3 3" xfId="4836" xr:uid="{00000000-0005-0000-0000-0000D74F0000}"/>
    <cellStyle name="常规 2 2 3 3 3 3 2" xfId="19348" xr:uid="{00000000-0005-0000-0000-0000D84F0000}"/>
    <cellStyle name="常规 2 2 3 3 3 3 3" xfId="12092" xr:uid="{00000000-0005-0000-0000-0000D94F0000}"/>
    <cellStyle name="常规 2 2 3 3 3 4" xfId="15720" xr:uid="{00000000-0005-0000-0000-0000DA4F0000}"/>
    <cellStyle name="常规 2 2 3 3 3 5" xfId="8464" xr:uid="{00000000-0005-0000-0000-0000DB4F0000}"/>
    <cellStyle name="常规 2 2 3 3 4" xfId="2115" xr:uid="{00000000-0005-0000-0000-0000DC4F0000}"/>
    <cellStyle name="常规 2 2 3 3 4 2" xfId="5743" xr:uid="{00000000-0005-0000-0000-0000DD4F0000}"/>
    <cellStyle name="常规 2 2 3 3 4 2 2" xfId="20255" xr:uid="{00000000-0005-0000-0000-0000DE4F0000}"/>
    <cellStyle name="常规 2 2 3 3 4 2 3" xfId="12999" xr:uid="{00000000-0005-0000-0000-0000DF4F0000}"/>
    <cellStyle name="常规 2 2 3 3 4 3" xfId="16627" xr:uid="{00000000-0005-0000-0000-0000E04F0000}"/>
    <cellStyle name="常规 2 2 3 3 4 4" xfId="9371" xr:uid="{00000000-0005-0000-0000-0000E14F0000}"/>
    <cellStyle name="常规 2 2 3 3 5" xfId="3929" xr:uid="{00000000-0005-0000-0000-0000E24F0000}"/>
    <cellStyle name="常规 2 2 3 3 5 2" xfId="18441" xr:uid="{00000000-0005-0000-0000-0000E34F0000}"/>
    <cellStyle name="常规 2 2 3 3 5 3" xfId="11185" xr:uid="{00000000-0005-0000-0000-0000E44F0000}"/>
    <cellStyle name="常规 2 2 3 3 6" xfId="14813" xr:uid="{00000000-0005-0000-0000-0000E54F0000}"/>
    <cellStyle name="常规 2 2 3 3 7" xfId="7557" xr:uid="{00000000-0005-0000-0000-0000E64F0000}"/>
    <cellStyle name="常规 2 2 3 4" xfId="776" xr:uid="{00000000-0005-0000-0000-0000E74F0000}"/>
    <cellStyle name="常规 2 2 3 4 2" xfId="1684" xr:uid="{00000000-0005-0000-0000-0000E84F0000}"/>
    <cellStyle name="常规 2 2 3 4 2 2" xfId="3498" xr:uid="{00000000-0005-0000-0000-0000E94F0000}"/>
    <cellStyle name="常规 2 2 3 4 2 2 2" xfId="7126" xr:uid="{00000000-0005-0000-0000-0000EA4F0000}"/>
    <cellStyle name="常规 2 2 3 4 2 2 2 2" xfId="21638" xr:uid="{00000000-0005-0000-0000-0000EB4F0000}"/>
    <cellStyle name="常规 2 2 3 4 2 2 2 3" xfId="14382" xr:uid="{00000000-0005-0000-0000-0000EC4F0000}"/>
    <cellStyle name="常规 2 2 3 4 2 2 3" xfId="18010" xr:uid="{00000000-0005-0000-0000-0000ED4F0000}"/>
    <cellStyle name="常规 2 2 3 4 2 2 4" xfId="10754" xr:uid="{00000000-0005-0000-0000-0000EE4F0000}"/>
    <cellStyle name="常规 2 2 3 4 2 3" xfId="5312" xr:uid="{00000000-0005-0000-0000-0000EF4F0000}"/>
    <cellStyle name="常规 2 2 3 4 2 3 2" xfId="19824" xr:uid="{00000000-0005-0000-0000-0000F04F0000}"/>
    <cellStyle name="常规 2 2 3 4 2 3 3" xfId="12568" xr:uid="{00000000-0005-0000-0000-0000F14F0000}"/>
    <cellStyle name="常规 2 2 3 4 2 4" xfId="16196" xr:uid="{00000000-0005-0000-0000-0000F24F0000}"/>
    <cellStyle name="常规 2 2 3 4 2 5" xfId="8940" xr:uid="{00000000-0005-0000-0000-0000F34F0000}"/>
    <cellStyle name="常规 2 2 3 4 3" xfId="2591" xr:uid="{00000000-0005-0000-0000-0000F44F0000}"/>
    <cellStyle name="常规 2 2 3 4 3 2" xfId="6219" xr:uid="{00000000-0005-0000-0000-0000F54F0000}"/>
    <cellStyle name="常规 2 2 3 4 3 2 2" xfId="20731" xr:uid="{00000000-0005-0000-0000-0000F64F0000}"/>
    <cellStyle name="常规 2 2 3 4 3 2 3" xfId="13475" xr:uid="{00000000-0005-0000-0000-0000F74F0000}"/>
    <cellStyle name="常规 2 2 3 4 3 3" xfId="17103" xr:uid="{00000000-0005-0000-0000-0000F84F0000}"/>
    <cellStyle name="常规 2 2 3 4 3 4" xfId="9847" xr:uid="{00000000-0005-0000-0000-0000F94F0000}"/>
    <cellStyle name="常规 2 2 3 4 4" xfId="4405" xr:uid="{00000000-0005-0000-0000-0000FA4F0000}"/>
    <cellStyle name="常规 2 2 3 4 4 2" xfId="18917" xr:uid="{00000000-0005-0000-0000-0000FB4F0000}"/>
    <cellStyle name="常规 2 2 3 4 4 3" xfId="11661" xr:uid="{00000000-0005-0000-0000-0000FC4F0000}"/>
    <cellStyle name="常规 2 2 3 4 5" xfId="15289" xr:uid="{00000000-0005-0000-0000-0000FD4F0000}"/>
    <cellStyle name="常规 2 2 3 4 6" xfId="8033" xr:uid="{00000000-0005-0000-0000-0000FE4F0000}"/>
    <cellStyle name="常规 2 2 3 5" xfId="430" xr:uid="{00000000-0005-0000-0000-0000FF4F0000}"/>
    <cellStyle name="常规 2 2 3 5 2" xfId="1338" xr:uid="{00000000-0005-0000-0000-000000500000}"/>
    <cellStyle name="常规 2 2 3 5 2 2" xfId="3152" xr:uid="{00000000-0005-0000-0000-000001500000}"/>
    <cellStyle name="常规 2 2 3 5 2 2 2" xfId="6780" xr:uid="{00000000-0005-0000-0000-000002500000}"/>
    <cellStyle name="常规 2 2 3 5 2 2 2 2" xfId="21292" xr:uid="{00000000-0005-0000-0000-000003500000}"/>
    <cellStyle name="常规 2 2 3 5 2 2 2 3" xfId="14036" xr:uid="{00000000-0005-0000-0000-000004500000}"/>
    <cellStyle name="常规 2 2 3 5 2 2 3" xfId="17664" xr:uid="{00000000-0005-0000-0000-000005500000}"/>
    <cellStyle name="常规 2 2 3 5 2 2 4" xfId="10408" xr:uid="{00000000-0005-0000-0000-000006500000}"/>
    <cellStyle name="常规 2 2 3 5 2 3" xfId="4966" xr:uid="{00000000-0005-0000-0000-000007500000}"/>
    <cellStyle name="常规 2 2 3 5 2 3 2" xfId="19478" xr:uid="{00000000-0005-0000-0000-000008500000}"/>
    <cellStyle name="常规 2 2 3 5 2 3 3" xfId="12222" xr:uid="{00000000-0005-0000-0000-000009500000}"/>
    <cellStyle name="常规 2 2 3 5 2 4" xfId="15850" xr:uid="{00000000-0005-0000-0000-00000A500000}"/>
    <cellStyle name="常规 2 2 3 5 2 5" xfId="8594" xr:uid="{00000000-0005-0000-0000-00000B500000}"/>
    <cellStyle name="常规 2 2 3 5 3" xfId="2245" xr:uid="{00000000-0005-0000-0000-00000C500000}"/>
    <cellStyle name="常规 2 2 3 5 3 2" xfId="5873" xr:uid="{00000000-0005-0000-0000-00000D500000}"/>
    <cellStyle name="常规 2 2 3 5 3 2 2" xfId="20385" xr:uid="{00000000-0005-0000-0000-00000E500000}"/>
    <cellStyle name="常规 2 2 3 5 3 2 3" xfId="13129" xr:uid="{00000000-0005-0000-0000-00000F500000}"/>
    <cellStyle name="常规 2 2 3 5 3 3" xfId="16757" xr:uid="{00000000-0005-0000-0000-000010500000}"/>
    <cellStyle name="常规 2 2 3 5 3 4" xfId="9501" xr:uid="{00000000-0005-0000-0000-000011500000}"/>
    <cellStyle name="常规 2 2 3 5 4" xfId="4059" xr:uid="{00000000-0005-0000-0000-000012500000}"/>
    <cellStyle name="常规 2 2 3 5 4 2" xfId="18571" xr:uid="{00000000-0005-0000-0000-000013500000}"/>
    <cellStyle name="常规 2 2 3 5 4 3" xfId="11315" xr:uid="{00000000-0005-0000-0000-000014500000}"/>
    <cellStyle name="常规 2 2 3 5 5" xfId="14943" xr:uid="{00000000-0005-0000-0000-000015500000}"/>
    <cellStyle name="常规 2 2 3 5 6" xfId="7687" xr:uid="{00000000-0005-0000-0000-000016500000}"/>
    <cellStyle name="常规 2 2 3 6" xfId="908" xr:uid="{00000000-0005-0000-0000-000017500000}"/>
    <cellStyle name="常规 2 2 3 6 2" xfId="1815" xr:uid="{00000000-0005-0000-0000-000018500000}"/>
    <cellStyle name="常规 2 2 3 6 2 2" xfId="3629" xr:uid="{00000000-0005-0000-0000-000019500000}"/>
    <cellStyle name="常规 2 2 3 6 2 2 2" xfId="7257" xr:uid="{00000000-0005-0000-0000-00001A500000}"/>
    <cellStyle name="常规 2 2 3 6 2 2 2 2" xfId="21769" xr:uid="{00000000-0005-0000-0000-00001B500000}"/>
    <cellStyle name="常规 2 2 3 6 2 2 2 3" xfId="14513" xr:uid="{00000000-0005-0000-0000-00001C500000}"/>
    <cellStyle name="常规 2 2 3 6 2 2 3" xfId="18141" xr:uid="{00000000-0005-0000-0000-00001D500000}"/>
    <cellStyle name="常规 2 2 3 6 2 2 4" xfId="10885" xr:uid="{00000000-0005-0000-0000-00001E500000}"/>
    <cellStyle name="常规 2 2 3 6 2 3" xfId="5443" xr:uid="{00000000-0005-0000-0000-00001F500000}"/>
    <cellStyle name="常规 2 2 3 6 2 3 2" xfId="19955" xr:uid="{00000000-0005-0000-0000-000020500000}"/>
    <cellStyle name="常规 2 2 3 6 2 3 3" xfId="12699" xr:uid="{00000000-0005-0000-0000-000021500000}"/>
    <cellStyle name="常规 2 2 3 6 2 4" xfId="16327" xr:uid="{00000000-0005-0000-0000-000022500000}"/>
    <cellStyle name="常规 2 2 3 6 2 5" xfId="9071" xr:uid="{00000000-0005-0000-0000-000023500000}"/>
    <cellStyle name="常规 2 2 3 6 3" xfId="2722" xr:uid="{00000000-0005-0000-0000-000024500000}"/>
    <cellStyle name="常规 2 2 3 6 3 2" xfId="6350" xr:uid="{00000000-0005-0000-0000-000025500000}"/>
    <cellStyle name="常规 2 2 3 6 3 2 2" xfId="20862" xr:uid="{00000000-0005-0000-0000-000026500000}"/>
    <cellStyle name="常规 2 2 3 6 3 2 3" xfId="13606" xr:uid="{00000000-0005-0000-0000-000027500000}"/>
    <cellStyle name="常规 2 2 3 6 3 3" xfId="17234" xr:uid="{00000000-0005-0000-0000-000028500000}"/>
    <cellStyle name="常规 2 2 3 6 3 4" xfId="9978" xr:uid="{00000000-0005-0000-0000-000029500000}"/>
    <cellStyle name="常规 2 2 3 6 4" xfId="4536" xr:uid="{00000000-0005-0000-0000-00002A500000}"/>
    <cellStyle name="常规 2 2 3 6 4 2" xfId="19048" xr:uid="{00000000-0005-0000-0000-00002B500000}"/>
    <cellStyle name="常规 2 2 3 6 4 3" xfId="11792" xr:uid="{00000000-0005-0000-0000-00002C500000}"/>
    <cellStyle name="常规 2 2 3 6 5" xfId="15420" xr:uid="{00000000-0005-0000-0000-00002D500000}"/>
    <cellStyle name="常规 2 2 3 6 6" xfId="8164" xr:uid="{00000000-0005-0000-0000-00002E500000}"/>
    <cellStyle name="常规 2 2 3 7" xfId="992" xr:uid="{00000000-0005-0000-0000-00002F500000}"/>
    <cellStyle name="常规 2 2 3 7 2" xfId="2806" xr:uid="{00000000-0005-0000-0000-000030500000}"/>
    <cellStyle name="常规 2 2 3 7 2 2" xfId="6434" xr:uid="{00000000-0005-0000-0000-000031500000}"/>
    <cellStyle name="常规 2 2 3 7 2 2 2" xfId="20946" xr:uid="{00000000-0005-0000-0000-000032500000}"/>
    <cellStyle name="常规 2 2 3 7 2 2 3" xfId="13690" xr:uid="{00000000-0005-0000-0000-000033500000}"/>
    <cellStyle name="常规 2 2 3 7 2 3" xfId="17318" xr:uid="{00000000-0005-0000-0000-000034500000}"/>
    <cellStyle name="常规 2 2 3 7 2 4" xfId="10062" xr:uid="{00000000-0005-0000-0000-000035500000}"/>
    <cellStyle name="常规 2 2 3 7 3" xfId="4620" xr:uid="{00000000-0005-0000-0000-000036500000}"/>
    <cellStyle name="常规 2 2 3 7 3 2" xfId="19132" xr:uid="{00000000-0005-0000-0000-000037500000}"/>
    <cellStyle name="常规 2 2 3 7 3 3" xfId="11876" xr:uid="{00000000-0005-0000-0000-000038500000}"/>
    <cellStyle name="常规 2 2 3 7 4" xfId="15504" xr:uid="{00000000-0005-0000-0000-000039500000}"/>
    <cellStyle name="常规 2 2 3 7 5" xfId="8248" xr:uid="{00000000-0005-0000-0000-00003A500000}"/>
    <cellStyle name="常规 2 2 3 8" xfId="1899" xr:uid="{00000000-0005-0000-0000-00003B500000}"/>
    <cellStyle name="常规 2 2 3 8 2" xfId="5527" xr:uid="{00000000-0005-0000-0000-00003C500000}"/>
    <cellStyle name="常规 2 2 3 8 2 2" xfId="20039" xr:uid="{00000000-0005-0000-0000-00003D500000}"/>
    <cellStyle name="常规 2 2 3 8 2 3" xfId="12783" xr:uid="{00000000-0005-0000-0000-00003E500000}"/>
    <cellStyle name="常规 2 2 3 8 3" xfId="16411" xr:uid="{00000000-0005-0000-0000-00003F500000}"/>
    <cellStyle name="常规 2 2 3 8 4" xfId="9155" xr:uid="{00000000-0005-0000-0000-000040500000}"/>
    <cellStyle name="常规 2 2 3 9" xfId="3713" xr:uid="{00000000-0005-0000-0000-000041500000}"/>
    <cellStyle name="常规 2 2 3 9 2" xfId="18225" xr:uid="{00000000-0005-0000-0000-000042500000}"/>
    <cellStyle name="常规 2 2 3 9 3" xfId="10969" xr:uid="{00000000-0005-0000-0000-000043500000}"/>
    <cellStyle name="常规 2 2 4" xfId="214" xr:uid="{00000000-0005-0000-0000-000044500000}"/>
    <cellStyle name="常规 2 2 4 2" xfId="344" xr:uid="{00000000-0005-0000-0000-000045500000}"/>
    <cellStyle name="常规 2 2 4 2 2" xfId="690" xr:uid="{00000000-0005-0000-0000-000046500000}"/>
    <cellStyle name="常规 2 2 4 2 2 2" xfId="1598" xr:uid="{00000000-0005-0000-0000-000047500000}"/>
    <cellStyle name="常规 2 2 4 2 2 2 2" xfId="3412" xr:uid="{00000000-0005-0000-0000-000048500000}"/>
    <cellStyle name="常规 2 2 4 2 2 2 2 2" xfId="7040" xr:uid="{00000000-0005-0000-0000-000049500000}"/>
    <cellStyle name="常规 2 2 4 2 2 2 2 2 2" xfId="21552" xr:uid="{00000000-0005-0000-0000-00004A500000}"/>
    <cellStyle name="常规 2 2 4 2 2 2 2 2 3" xfId="14296" xr:uid="{00000000-0005-0000-0000-00004B500000}"/>
    <cellStyle name="常规 2 2 4 2 2 2 2 3" xfId="17924" xr:uid="{00000000-0005-0000-0000-00004C500000}"/>
    <cellStyle name="常规 2 2 4 2 2 2 2 4" xfId="10668" xr:uid="{00000000-0005-0000-0000-00004D500000}"/>
    <cellStyle name="常规 2 2 4 2 2 2 3" xfId="5226" xr:uid="{00000000-0005-0000-0000-00004E500000}"/>
    <cellStyle name="常规 2 2 4 2 2 2 3 2" xfId="19738" xr:uid="{00000000-0005-0000-0000-00004F500000}"/>
    <cellStyle name="常规 2 2 4 2 2 2 3 3" xfId="12482" xr:uid="{00000000-0005-0000-0000-000050500000}"/>
    <cellStyle name="常规 2 2 4 2 2 2 4" xfId="16110" xr:uid="{00000000-0005-0000-0000-000051500000}"/>
    <cellStyle name="常规 2 2 4 2 2 2 5" xfId="8854" xr:uid="{00000000-0005-0000-0000-000052500000}"/>
    <cellStyle name="常规 2 2 4 2 2 3" xfId="2505" xr:uid="{00000000-0005-0000-0000-000053500000}"/>
    <cellStyle name="常规 2 2 4 2 2 3 2" xfId="6133" xr:uid="{00000000-0005-0000-0000-000054500000}"/>
    <cellStyle name="常规 2 2 4 2 2 3 2 2" xfId="20645" xr:uid="{00000000-0005-0000-0000-000055500000}"/>
    <cellStyle name="常规 2 2 4 2 2 3 2 3" xfId="13389" xr:uid="{00000000-0005-0000-0000-000056500000}"/>
    <cellStyle name="常规 2 2 4 2 2 3 3" xfId="17017" xr:uid="{00000000-0005-0000-0000-000057500000}"/>
    <cellStyle name="常规 2 2 4 2 2 3 4" xfId="9761" xr:uid="{00000000-0005-0000-0000-000058500000}"/>
    <cellStyle name="常规 2 2 4 2 2 4" xfId="4319" xr:uid="{00000000-0005-0000-0000-000059500000}"/>
    <cellStyle name="常规 2 2 4 2 2 4 2" xfId="18831" xr:uid="{00000000-0005-0000-0000-00005A500000}"/>
    <cellStyle name="常规 2 2 4 2 2 4 3" xfId="11575" xr:uid="{00000000-0005-0000-0000-00005B500000}"/>
    <cellStyle name="常规 2 2 4 2 2 5" xfId="15203" xr:uid="{00000000-0005-0000-0000-00005C500000}"/>
    <cellStyle name="常规 2 2 4 2 2 6" xfId="7947" xr:uid="{00000000-0005-0000-0000-00005D500000}"/>
    <cellStyle name="常规 2 2 4 2 3" xfId="1252" xr:uid="{00000000-0005-0000-0000-00005E500000}"/>
    <cellStyle name="常规 2 2 4 2 3 2" xfId="3066" xr:uid="{00000000-0005-0000-0000-00005F500000}"/>
    <cellStyle name="常规 2 2 4 2 3 2 2" xfId="6694" xr:uid="{00000000-0005-0000-0000-000060500000}"/>
    <cellStyle name="常规 2 2 4 2 3 2 2 2" xfId="21206" xr:uid="{00000000-0005-0000-0000-000061500000}"/>
    <cellStyle name="常规 2 2 4 2 3 2 2 3" xfId="13950" xr:uid="{00000000-0005-0000-0000-000062500000}"/>
    <cellStyle name="常规 2 2 4 2 3 2 3" xfId="17578" xr:uid="{00000000-0005-0000-0000-000063500000}"/>
    <cellStyle name="常规 2 2 4 2 3 2 4" xfId="10322" xr:uid="{00000000-0005-0000-0000-000064500000}"/>
    <cellStyle name="常规 2 2 4 2 3 3" xfId="4880" xr:uid="{00000000-0005-0000-0000-000065500000}"/>
    <cellStyle name="常规 2 2 4 2 3 3 2" xfId="19392" xr:uid="{00000000-0005-0000-0000-000066500000}"/>
    <cellStyle name="常规 2 2 4 2 3 3 3" xfId="12136" xr:uid="{00000000-0005-0000-0000-000067500000}"/>
    <cellStyle name="常规 2 2 4 2 3 4" xfId="15764" xr:uid="{00000000-0005-0000-0000-000068500000}"/>
    <cellStyle name="常规 2 2 4 2 3 5" xfId="8508" xr:uid="{00000000-0005-0000-0000-000069500000}"/>
    <cellStyle name="常规 2 2 4 2 4" xfId="2159" xr:uid="{00000000-0005-0000-0000-00006A500000}"/>
    <cellStyle name="常规 2 2 4 2 4 2" xfId="5787" xr:uid="{00000000-0005-0000-0000-00006B500000}"/>
    <cellStyle name="常规 2 2 4 2 4 2 2" xfId="20299" xr:uid="{00000000-0005-0000-0000-00006C500000}"/>
    <cellStyle name="常规 2 2 4 2 4 2 3" xfId="13043" xr:uid="{00000000-0005-0000-0000-00006D500000}"/>
    <cellStyle name="常规 2 2 4 2 4 3" xfId="16671" xr:uid="{00000000-0005-0000-0000-00006E500000}"/>
    <cellStyle name="常规 2 2 4 2 4 4" xfId="9415" xr:uid="{00000000-0005-0000-0000-00006F500000}"/>
    <cellStyle name="常规 2 2 4 2 5" xfId="3973" xr:uid="{00000000-0005-0000-0000-000070500000}"/>
    <cellStyle name="常规 2 2 4 2 5 2" xfId="18485" xr:uid="{00000000-0005-0000-0000-000071500000}"/>
    <cellStyle name="常规 2 2 4 2 5 3" xfId="11229" xr:uid="{00000000-0005-0000-0000-000072500000}"/>
    <cellStyle name="常规 2 2 4 2 6" xfId="14857" xr:uid="{00000000-0005-0000-0000-000073500000}"/>
    <cellStyle name="常规 2 2 4 2 7" xfId="7601" xr:uid="{00000000-0005-0000-0000-000074500000}"/>
    <cellStyle name="常规 2 2 4 3" xfId="820" xr:uid="{00000000-0005-0000-0000-000075500000}"/>
    <cellStyle name="常规 2 2 4 3 2" xfId="1728" xr:uid="{00000000-0005-0000-0000-000076500000}"/>
    <cellStyle name="常规 2 2 4 3 2 2" xfId="3542" xr:uid="{00000000-0005-0000-0000-000077500000}"/>
    <cellStyle name="常规 2 2 4 3 2 2 2" xfId="7170" xr:uid="{00000000-0005-0000-0000-000078500000}"/>
    <cellStyle name="常规 2 2 4 3 2 2 2 2" xfId="21682" xr:uid="{00000000-0005-0000-0000-000079500000}"/>
    <cellStyle name="常规 2 2 4 3 2 2 2 3" xfId="14426" xr:uid="{00000000-0005-0000-0000-00007A500000}"/>
    <cellStyle name="常规 2 2 4 3 2 2 3" xfId="18054" xr:uid="{00000000-0005-0000-0000-00007B500000}"/>
    <cellStyle name="常规 2 2 4 3 2 2 4" xfId="10798" xr:uid="{00000000-0005-0000-0000-00007C500000}"/>
    <cellStyle name="常规 2 2 4 3 2 3" xfId="5356" xr:uid="{00000000-0005-0000-0000-00007D500000}"/>
    <cellStyle name="常规 2 2 4 3 2 3 2" xfId="19868" xr:uid="{00000000-0005-0000-0000-00007E500000}"/>
    <cellStyle name="常规 2 2 4 3 2 3 3" xfId="12612" xr:uid="{00000000-0005-0000-0000-00007F500000}"/>
    <cellStyle name="常规 2 2 4 3 2 4" xfId="16240" xr:uid="{00000000-0005-0000-0000-000080500000}"/>
    <cellStyle name="常规 2 2 4 3 2 5" xfId="8984" xr:uid="{00000000-0005-0000-0000-000081500000}"/>
    <cellStyle name="常规 2 2 4 3 3" xfId="2635" xr:uid="{00000000-0005-0000-0000-000082500000}"/>
    <cellStyle name="常规 2 2 4 3 3 2" xfId="6263" xr:uid="{00000000-0005-0000-0000-000083500000}"/>
    <cellStyle name="常规 2 2 4 3 3 2 2" xfId="20775" xr:uid="{00000000-0005-0000-0000-000084500000}"/>
    <cellStyle name="常规 2 2 4 3 3 2 3" xfId="13519" xr:uid="{00000000-0005-0000-0000-000085500000}"/>
    <cellStyle name="常规 2 2 4 3 3 3" xfId="17147" xr:uid="{00000000-0005-0000-0000-000086500000}"/>
    <cellStyle name="常规 2 2 4 3 3 4" xfId="9891" xr:uid="{00000000-0005-0000-0000-000087500000}"/>
    <cellStyle name="常规 2 2 4 3 4" xfId="4449" xr:uid="{00000000-0005-0000-0000-000088500000}"/>
    <cellStyle name="常规 2 2 4 3 4 2" xfId="18961" xr:uid="{00000000-0005-0000-0000-000089500000}"/>
    <cellStyle name="常规 2 2 4 3 4 3" xfId="11705" xr:uid="{00000000-0005-0000-0000-00008A500000}"/>
    <cellStyle name="常规 2 2 4 3 5" xfId="15333" xr:uid="{00000000-0005-0000-0000-00008B500000}"/>
    <cellStyle name="常规 2 2 4 3 6" xfId="8077" xr:uid="{00000000-0005-0000-0000-00008C500000}"/>
    <cellStyle name="常规 2 2 4 4" xfId="560" xr:uid="{00000000-0005-0000-0000-00008D500000}"/>
    <cellStyle name="常规 2 2 4 4 2" xfId="1468" xr:uid="{00000000-0005-0000-0000-00008E500000}"/>
    <cellStyle name="常规 2 2 4 4 2 2" xfId="3282" xr:uid="{00000000-0005-0000-0000-00008F500000}"/>
    <cellStyle name="常规 2 2 4 4 2 2 2" xfId="6910" xr:uid="{00000000-0005-0000-0000-000090500000}"/>
    <cellStyle name="常规 2 2 4 4 2 2 2 2" xfId="21422" xr:uid="{00000000-0005-0000-0000-000091500000}"/>
    <cellStyle name="常规 2 2 4 4 2 2 2 3" xfId="14166" xr:uid="{00000000-0005-0000-0000-000092500000}"/>
    <cellStyle name="常规 2 2 4 4 2 2 3" xfId="17794" xr:uid="{00000000-0005-0000-0000-000093500000}"/>
    <cellStyle name="常规 2 2 4 4 2 2 4" xfId="10538" xr:uid="{00000000-0005-0000-0000-000094500000}"/>
    <cellStyle name="常规 2 2 4 4 2 3" xfId="5096" xr:uid="{00000000-0005-0000-0000-000095500000}"/>
    <cellStyle name="常规 2 2 4 4 2 3 2" xfId="19608" xr:uid="{00000000-0005-0000-0000-000096500000}"/>
    <cellStyle name="常规 2 2 4 4 2 3 3" xfId="12352" xr:uid="{00000000-0005-0000-0000-000097500000}"/>
    <cellStyle name="常规 2 2 4 4 2 4" xfId="15980" xr:uid="{00000000-0005-0000-0000-000098500000}"/>
    <cellStyle name="常规 2 2 4 4 2 5" xfId="8724" xr:uid="{00000000-0005-0000-0000-000099500000}"/>
    <cellStyle name="常规 2 2 4 4 3" xfId="2375" xr:uid="{00000000-0005-0000-0000-00009A500000}"/>
    <cellStyle name="常规 2 2 4 4 3 2" xfId="6003" xr:uid="{00000000-0005-0000-0000-00009B500000}"/>
    <cellStyle name="常规 2 2 4 4 3 2 2" xfId="20515" xr:uid="{00000000-0005-0000-0000-00009C500000}"/>
    <cellStyle name="常规 2 2 4 4 3 2 3" xfId="13259" xr:uid="{00000000-0005-0000-0000-00009D500000}"/>
    <cellStyle name="常规 2 2 4 4 3 3" xfId="16887" xr:uid="{00000000-0005-0000-0000-00009E500000}"/>
    <cellStyle name="常规 2 2 4 4 3 4" xfId="9631" xr:uid="{00000000-0005-0000-0000-00009F500000}"/>
    <cellStyle name="常规 2 2 4 4 4" xfId="4189" xr:uid="{00000000-0005-0000-0000-0000A0500000}"/>
    <cellStyle name="常规 2 2 4 4 4 2" xfId="18701" xr:uid="{00000000-0005-0000-0000-0000A1500000}"/>
    <cellStyle name="常规 2 2 4 4 4 3" xfId="11445" xr:uid="{00000000-0005-0000-0000-0000A2500000}"/>
    <cellStyle name="常规 2 2 4 4 5" xfId="15073" xr:uid="{00000000-0005-0000-0000-0000A3500000}"/>
    <cellStyle name="常规 2 2 4 4 6" xfId="7817" xr:uid="{00000000-0005-0000-0000-0000A4500000}"/>
    <cellStyle name="常规 2 2 4 5" xfId="1122" xr:uid="{00000000-0005-0000-0000-0000A5500000}"/>
    <cellStyle name="常规 2 2 4 5 2" xfId="2936" xr:uid="{00000000-0005-0000-0000-0000A6500000}"/>
    <cellStyle name="常规 2 2 4 5 2 2" xfId="6564" xr:uid="{00000000-0005-0000-0000-0000A7500000}"/>
    <cellStyle name="常规 2 2 4 5 2 2 2" xfId="21076" xr:uid="{00000000-0005-0000-0000-0000A8500000}"/>
    <cellStyle name="常规 2 2 4 5 2 2 3" xfId="13820" xr:uid="{00000000-0005-0000-0000-0000A9500000}"/>
    <cellStyle name="常规 2 2 4 5 2 3" xfId="17448" xr:uid="{00000000-0005-0000-0000-0000AA500000}"/>
    <cellStyle name="常规 2 2 4 5 2 4" xfId="10192" xr:uid="{00000000-0005-0000-0000-0000AB500000}"/>
    <cellStyle name="常规 2 2 4 5 3" xfId="4750" xr:uid="{00000000-0005-0000-0000-0000AC500000}"/>
    <cellStyle name="常规 2 2 4 5 3 2" xfId="19262" xr:uid="{00000000-0005-0000-0000-0000AD500000}"/>
    <cellStyle name="常规 2 2 4 5 3 3" xfId="12006" xr:uid="{00000000-0005-0000-0000-0000AE500000}"/>
    <cellStyle name="常规 2 2 4 5 4" xfId="15634" xr:uid="{00000000-0005-0000-0000-0000AF500000}"/>
    <cellStyle name="常规 2 2 4 5 5" xfId="8378" xr:uid="{00000000-0005-0000-0000-0000B0500000}"/>
    <cellStyle name="常规 2 2 4 6" xfId="2029" xr:uid="{00000000-0005-0000-0000-0000B1500000}"/>
    <cellStyle name="常规 2 2 4 6 2" xfId="5657" xr:uid="{00000000-0005-0000-0000-0000B2500000}"/>
    <cellStyle name="常规 2 2 4 6 2 2" xfId="20169" xr:uid="{00000000-0005-0000-0000-0000B3500000}"/>
    <cellStyle name="常规 2 2 4 6 2 3" xfId="12913" xr:uid="{00000000-0005-0000-0000-0000B4500000}"/>
    <cellStyle name="常规 2 2 4 6 3" xfId="16541" xr:uid="{00000000-0005-0000-0000-0000B5500000}"/>
    <cellStyle name="常规 2 2 4 6 4" xfId="9285" xr:uid="{00000000-0005-0000-0000-0000B6500000}"/>
    <cellStyle name="常规 2 2 4 7" xfId="3843" xr:uid="{00000000-0005-0000-0000-0000B7500000}"/>
    <cellStyle name="常规 2 2 4 7 2" xfId="18355" xr:uid="{00000000-0005-0000-0000-0000B8500000}"/>
    <cellStyle name="常规 2 2 4 7 3" xfId="11099" xr:uid="{00000000-0005-0000-0000-0000B9500000}"/>
    <cellStyle name="常规 2 2 4 8" xfId="14727" xr:uid="{00000000-0005-0000-0000-0000BA500000}"/>
    <cellStyle name="常规 2 2 4 9" xfId="7471" xr:uid="{00000000-0005-0000-0000-0000BB500000}"/>
    <cellStyle name="常规 2 2 5" xfId="128" xr:uid="{00000000-0005-0000-0000-0000BC500000}"/>
    <cellStyle name="常规 2 2 5 2" xfId="474" xr:uid="{00000000-0005-0000-0000-0000BD500000}"/>
    <cellStyle name="常规 2 2 5 2 2" xfId="1382" xr:uid="{00000000-0005-0000-0000-0000BE500000}"/>
    <cellStyle name="常规 2 2 5 2 2 2" xfId="3196" xr:uid="{00000000-0005-0000-0000-0000BF500000}"/>
    <cellStyle name="常规 2 2 5 2 2 2 2" xfId="6824" xr:uid="{00000000-0005-0000-0000-0000C0500000}"/>
    <cellStyle name="常规 2 2 5 2 2 2 2 2" xfId="21336" xr:uid="{00000000-0005-0000-0000-0000C1500000}"/>
    <cellStyle name="常规 2 2 5 2 2 2 2 3" xfId="14080" xr:uid="{00000000-0005-0000-0000-0000C2500000}"/>
    <cellStyle name="常规 2 2 5 2 2 2 3" xfId="17708" xr:uid="{00000000-0005-0000-0000-0000C3500000}"/>
    <cellStyle name="常规 2 2 5 2 2 2 4" xfId="10452" xr:uid="{00000000-0005-0000-0000-0000C4500000}"/>
    <cellStyle name="常规 2 2 5 2 2 3" xfId="5010" xr:uid="{00000000-0005-0000-0000-0000C5500000}"/>
    <cellStyle name="常规 2 2 5 2 2 3 2" xfId="19522" xr:uid="{00000000-0005-0000-0000-0000C6500000}"/>
    <cellStyle name="常规 2 2 5 2 2 3 3" xfId="12266" xr:uid="{00000000-0005-0000-0000-0000C7500000}"/>
    <cellStyle name="常规 2 2 5 2 2 4" xfId="15894" xr:uid="{00000000-0005-0000-0000-0000C8500000}"/>
    <cellStyle name="常规 2 2 5 2 2 5" xfId="8638" xr:uid="{00000000-0005-0000-0000-0000C9500000}"/>
    <cellStyle name="常规 2 2 5 2 3" xfId="2289" xr:uid="{00000000-0005-0000-0000-0000CA500000}"/>
    <cellStyle name="常规 2 2 5 2 3 2" xfId="5917" xr:uid="{00000000-0005-0000-0000-0000CB500000}"/>
    <cellStyle name="常规 2 2 5 2 3 2 2" xfId="20429" xr:uid="{00000000-0005-0000-0000-0000CC500000}"/>
    <cellStyle name="常规 2 2 5 2 3 2 3" xfId="13173" xr:uid="{00000000-0005-0000-0000-0000CD500000}"/>
    <cellStyle name="常规 2 2 5 2 3 3" xfId="16801" xr:uid="{00000000-0005-0000-0000-0000CE500000}"/>
    <cellStyle name="常规 2 2 5 2 3 4" xfId="9545" xr:uid="{00000000-0005-0000-0000-0000CF500000}"/>
    <cellStyle name="常规 2 2 5 2 4" xfId="4103" xr:uid="{00000000-0005-0000-0000-0000D0500000}"/>
    <cellStyle name="常规 2 2 5 2 4 2" xfId="18615" xr:uid="{00000000-0005-0000-0000-0000D1500000}"/>
    <cellStyle name="常规 2 2 5 2 4 3" xfId="11359" xr:uid="{00000000-0005-0000-0000-0000D2500000}"/>
    <cellStyle name="常规 2 2 5 2 5" xfId="14987" xr:uid="{00000000-0005-0000-0000-0000D3500000}"/>
    <cellStyle name="常规 2 2 5 2 6" xfId="7731" xr:uid="{00000000-0005-0000-0000-0000D4500000}"/>
    <cellStyle name="常规 2 2 5 3" xfId="1036" xr:uid="{00000000-0005-0000-0000-0000D5500000}"/>
    <cellStyle name="常规 2 2 5 3 2" xfId="2850" xr:uid="{00000000-0005-0000-0000-0000D6500000}"/>
    <cellStyle name="常规 2 2 5 3 2 2" xfId="6478" xr:uid="{00000000-0005-0000-0000-0000D7500000}"/>
    <cellStyle name="常规 2 2 5 3 2 2 2" xfId="20990" xr:uid="{00000000-0005-0000-0000-0000D8500000}"/>
    <cellStyle name="常规 2 2 5 3 2 2 3" xfId="13734" xr:uid="{00000000-0005-0000-0000-0000D9500000}"/>
    <cellStyle name="常规 2 2 5 3 2 3" xfId="17362" xr:uid="{00000000-0005-0000-0000-0000DA500000}"/>
    <cellStyle name="常规 2 2 5 3 2 4" xfId="10106" xr:uid="{00000000-0005-0000-0000-0000DB500000}"/>
    <cellStyle name="常规 2 2 5 3 3" xfId="4664" xr:uid="{00000000-0005-0000-0000-0000DC500000}"/>
    <cellStyle name="常规 2 2 5 3 3 2" xfId="19176" xr:uid="{00000000-0005-0000-0000-0000DD500000}"/>
    <cellStyle name="常规 2 2 5 3 3 3" xfId="11920" xr:uid="{00000000-0005-0000-0000-0000DE500000}"/>
    <cellStyle name="常规 2 2 5 3 4" xfId="15548" xr:uid="{00000000-0005-0000-0000-0000DF500000}"/>
    <cellStyle name="常规 2 2 5 3 5" xfId="8292" xr:uid="{00000000-0005-0000-0000-0000E0500000}"/>
    <cellStyle name="常规 2 2 5 4" xfId="1943" xr:uid="{00000000-0005-0000-0000-0000E1500000}"/>
    <cellStyle name="常规 2 2 5 4 2" xfId="5571" xr:uid="{00000000-0005-0000-0000-0000E2500000}"/>
    <cellStyle name="常规 2 2 5 4 2 2" xfId="20083" xr:uid="{00000000-0005-0000-0000-0000E3500000}"/>
    <cellStyle name="常规 2 2 5 4 2 3" xfId="12827" xr:uid="{00000000-0005-0000-0000-0000E4500000}"/>
    <cellStyle name="常规 2 2 5 4 3" xfId="16455" xr:uid="{00000000-0005-0000-0000-0000E5500000}"/>
    <cellStyle name="常规 2 2 5 4 4" xfId="9199" xr:uid="{00000000-0005-0000-0000-0000E6500000}"/>
    <cellStyle name="常规 2 2 5 5" xfId="3757" xr:uid="{00000000-0005-0000-0000-0000E7500000}"/>
    <cellStyle name="常规 2 2 5 5 2" xfId="18269" xr:uid="{00000000-0005-0000-0000-0000E8500000}"/>
    <cellStyle name="常规 2 2 5 5 3" xfId="11013" xr:uid="{00000000-0005-0000-0000-0000E9500000}"/>
    <cellStyle name="常规 2 2 5 6" xfId="14641" xr:uid="{00000000-0005-0000-0000-0000EA500000}"/>
    <cellStyle name="常规 2 2 5 7" xfId="7385" xr:uid="{00000000-0005-0000-0000-0000EB500000}"/>
    <cellStyle name="常规 2 2 6" xfId="258" xr:uid="{00000000-0005-0000-0000-0000EC500000}"/>
    <cellStyle name="常规 2 2 6 2" xfId="604" xr:uid="{00000000-0005-0000-0000-0000ED500000}"/>
    <cellStyle name="常规 2 2 6 2 2" xfId="1512" xr:uid="{00000000-0005-0000-0000-0000EE500000}"/>
    <cellStyle name="常规 2 2 6 2 2 2" xfId="3326" xr:uid="{00000000-0005-0000-0000-0000EF500000}"/>
    <cellStyle name="常规 2 2 6 2 2 2 2" xfId="6954" xr:uid="{00000000-0005-0000-0000-0000F0500000}"/>
    <cellStyle name="常规 2 2 6 2 2 2 2 2" xfId="21466" xr:uid="{00000000-0005-0000-0000-0000F1500000}"/>
    <cellStyle name="常规 2 2 6 2 2 2 2 3" xfId="14210" xr:uid="{00000000-0005-0000-0000-0000F2500000}"/>
    <cellStyle name="常规 2 2 6 2 2 2 3" xfId="17838" xr:uid="{00000000-0005-0000-0000-0000F3500000}"/>
    <cellStyle name="常规 2 2 6 2 2 2 4" xfId="10582" xr:uid="{00000000-0005-0000-0000-0000F4500000}"/>
    <cellStyle name="常规 2 2 6 2 2 3" xfId="5140" xr:uid="{00000000-0005-0000-0000-0000F5500000}"/>
    <cellStyle name="常规 2 2 6 2 2 3 2" xfId="19652" xr:uid="{00000000-0005-0000-0000-0000F6500000}"/>
    <cellStyle name="常规 2 2 6 2 2 3 3" xfId="12396" xr:uid="{00000000-0005-0000-0000-0000F7500000}"/>
    <cellStyle name="常规 2 2 6 2 2 4" xfId="16024" xr:uid="{00000000-0005-0000-0000-0000F8500000}"/>
    <cellStyle name="常规 2 2 6 2 2 5" xfId="8768" xr:uid="{00000000-0005-0000-0000-0000F9500000}"/>
    <cellStyle name="常规 2 2 6 2 3" xfId="2419" xr:uid="{00000000-0005-0000-0000-0000FA500000}"/>
    <cellStyle name="常规 2 2 6 2 3 2" xfId="6047" xr:uid="{00000000-0005-0000-0000-0000FB500000}"/>
    <cellStyle name="常规 2 2 6 2 3 2 2" xfId="20559" xr:uid="{00000000-0005-0000-0000-0000FC500000}"/>
    <cellStyle name="常规 2 2 6 2 3 2 3" xfId="13303" xr:uid="{00000000-0005-0000-0000-0000FD500000}"/>
    <cellStyle name="常规 2 2 6 2 3 3" xfId="16931" xr:uid="{00000000-0005-0000-0000-0000FE500000}"/>
    <cellStyle name="常规 2 2 6 2 3 4" xfId="9675" xr:uid="{00000000-0005-0000-0000-0000FF500000}"/>
    <cellStyle name="常规 2 2 6 2 4" xfId="4233" xr:uid="{00000000-0005-0000-0000-000000510000}"/>
    <cellStyle name="常规 2 2 6 2 4 2" xfId="18745" xr:uid="{00000000-0005-0000-0000-000001510000}"/>
    <cellStyle name="常规 2 2 6 2 4 3" xfId="11489" xr:uid="{00000000-0005-0000-0000-000002510000}"/>
    <cellStyle name="常规 2 2 6 2 5" xfId="15117" xr:uid="{00000000-0005-0000-0000-000003510000}"/>
    <cellStyle name="常规 2 2 6 2 6" xfId="7861" xr:uid="{00000000-0005-0000-0000-000004510000}"/>
    <cellStyle name="常规 2 2 6 3" xfId="1166" xr:uid="{00000000-0005-0000-0000-000005510000}"/>
    <cellStyle name="常规 2 2 6 3 2" xfId="2980" xr:uid="{00000000-0005-0000-0000-000006510000}"/>
    <cellStyle name="常规 2 2 6 3 2 2" xfId="6608" xr:uid="{00000000-0005-0000-0000-000007510000}"/>
    <cellStyle name="常规 2 2 6 3 2 2 2" xfId="21120" xr:uid="{00000000-0005-0000-0000-000008510000}"/>
    <cellStyle name="常规 2 2 6 3 2 2 3" xfId="13864" xr:uid="{00000000-0005-0000-0000-000009510000}"/>
    <cellStyle name="常规 2 2 6 3 2 3" xfId="17492" xr:uid="{00000000-0005-0000-0000-00000A510000}"/>
    <cellStyle name="常规 2 2 6 3 2 4" xfId="10236" xr:uid="{00000000-0005-0000-0000-00000B510000}"/>
    <cellStyle name="常规 2 2 6 3 3" xfId="4794" xr:uid="{00000000-0005-0000-0000-00000C510000}"/>
    <cellStyle name="常规 2 2 6 3 3 2" xfId="19306" xr:uid="{00000000-0005-0000-0000-00000D510000}"/>
    <cellStyle name="常规 2 2 6 3 3 3" xfId="12050" xr:uid="{00000000-0005-0000-0000-00000E510000}"/>
    <cellStyle name="常规 2 2 6 3 4" xfId="15678" xr:uid="{00000000-0005-0000-0000-00000F510000}"/>
    <cellStyle name="常规 2 2 6 3 5" xfId="8422" xr:uid="{00000000-0005-0000-0000-000010510000}"/>
    <cellStyle name="常规 2 2 6 4" xfId="2073" xr:uid="{00000000-0005-0000-0000-000011510000}"/>
    <cellStyle name="常规 2 2 6 4 2" xfId="5701" xr:uid="{00000000-0005-0000-0000-000012510000}"/>
    <cellStyle name="常规 2 2 6 4 2 2" xfId="20213" xr:uid="{00000000-0005-0000-0000-000013510000}"/>
    <cellStyle name="常规 2 2 6 4 2 3" xfId="12957" xr:uid="{00000000-0005-0000-0000-000014510000}"/>
    <cellStyle name="常规 2 2 6 4 3" xfId="16585" xr:uid="{00000000-0005-0000-0000-000015510000}"/>
    <cellStyle name="常规 2 2 6 4 4" xfId="9329" xr:uid="{00000000-0005-0000-0000-000016510000}"/>
    <cellStyle name="常规 2 2 6 5" xfId="3887" xr:uid="{00000000-0005-0000-0000-000017510000}"/>
    <cellStyle name="常规 2 2 6 5 2" xfId="18399" xr:uid="{00000000-0005-0000-0000-000018510000}"/>
    <cellStyle name="常规 2 2 6 5 3" xfId="11143" xr:uid="{00000000-0005-0000-0000-000019510000}"/>
    <cellStyle name="常规 2 2 6 6" xfId="14771" xr:uid="{00000000-0005-0000-0000-00001A510000}"/>
    <cellStyle name="常规 2 2 6 7" xfId="7515" xr:uid="{00000000-0005-0000-0000-00001B510000}"/>
    <cellStyle name="常规 2 2 7" xfId="734" xr:uid="{00000000-0005-0000-0000-00001C510000}"/>
    <cellStyle name="常规 2 2 7 2" xfId="1642" xr:uid="{00000000-0005-0000-0000-00001D510000}"/>
    <cellStyle name="常规 2 2 7 2 2" xfId="3456" xr:uid="{00000000-0005-0000-0000-00001E510000}"/>
    <cellStyle name="常规 2 2 7 2 2 2" xfId="7084" xr:uid="{00000000-0005-0000-0000-00001F510000}"/>
    <cellStyle name="常规 2 2 7 2 2 2 2" xfId="21596" xr:uid="{00000000-0005-0000-0000-000020510000}"/>
    <cellStyle name="常规 2 2 7 2 2 2 3" xfId="14340" xr:uid="{00000000-0005-0000-0000-000021510000}"/>
    <cellStyle name="常规 2 2 7 2 2 3" xfId="17968" xr:uid="{00000000-0005-0000-0000-000022510000}"/>
    <cellStyle name="常规 2 2 7 2 2 4" xfId="10712" xr:uid="{00000000-0005-0000-0000-000023510000}"/>
    <cellStyle name="常规 2 2 7 2 3" xfId="5270" xr:uid="{00000000-0005-0000-0000-000024510000}"/>
    <cellStyle name="常规 2 2 7 2 3 2" xfId="19782" xr:uid="{00000000-0005-0000-0000-000025510000}"/>
    <cellStyle name="常规 2 2 7 2 3 3" xfId="12526" xr:uid="{00000000-0005-0000-0000-000026510000}"/>
    <cellStyle name="常规 2 2 7 2 4" xfId="16154" xr:uid="{00000000-0005-0000-0000-000027510000}"/>
    <cellStyle name="常规 2 2 7 2 5" xfId="8898" xr:uid="{00000000-0005-0000-0000-000028510000}"/>
    <cellStyle name="常规 2 2 7 3" xfId="2549" xr:uid="{00000000-0005-0000-0000-000029510000}"/>
    <cellStyle name="常规 2 2 7 3 2" xfId="6177" xr:uid="{00000000-0005-0000-0000-00002A510000}"/>
    <cellStyle name="常规 2 2 7 3 2 2" xfId="20689" xr:uid="{00000000-0005-0000-0000-00002B510000}"/>
    <cellStyle name="常规 2 2 7 3 2 3" xfId="13433" xr:uid="{00000000-0005-0000-0000-00002C510000}"/>
    <cellStyle name="常规 2 2 7 3 3" xfId="17061" xr:uid="{00000000-0005-0000-0000-00002D510000}"/>
    <cellStyle name="常规 2 2 7 3 4" xfId="9805" xr:uid="{00000000-0005-0000-0000-00002E510000}"/>
    <cellStyle name="常规 2 2 7 4" xfId="4363" xr:uid="{00000000-0005-0000-0000-00002F510000}"/>
    <cellStyle name="常规 2 2 7 4 2" xfId="18875" xr:uid="{00000000-0005-0000-0000-000030510000}"/>
    <cellStyle name="常规 2 2 7 4 3" xfId="11619" xr:uid="{00000000-0005-0000-0000-000031510000}"/>
    <cellStyle name="常规 2 2 7 5" xfId="15247" xr:uid="{00000000-0005-0000-0000-000032510000}"/>
    <cellStyle name="常规 2 2 7 6" xfId="7991" xr:uid="{00000000-0005-0000-0000-000033510000}"/>
    <cellStyle name="常规 2 2 8" xfId="388" xr:uid="{00000000-0005-0000-0000-000034510000}"/>
    <cellStyle name="常规 2 2 8 2" xfId="1296" xr:uid="{00000000-0005-0000-0000-000035510000}"/>
    <cellStyle name="常规 2 2 8 2 2" xfId="3110" xr:uid="{00000000-0005-0000-0000-000036510000}"/>
    <cellStyle name="常规 2 2 8 2 2 2" xfId="6738" xr:uid="{00000000-0005-0000-0000-000037510000}"/>
    <cellStyle name="常规 2 2 8 2 2 2 2" xfId="21250" xr:uid="{00000000-0005-0000-0000-000038510000}"/>
    <cellStyle name="常规 2 2 8 2 2 2 3" xfId="13994" xr:uid="{00000000-0005-0000-0000-000039510000}"/>
    <cellStyle name="常规 2 2 8 2 2 3" xfId="17622" xr:uid="{00000000-0005-0000-0000-00003A510000}"/>
    <cellStyle name="常规 2 2 8 2 2 4" xfId="10366" xr:uid="{00000000-0005-0000-0000-00003B510000}"/>
    <cellStyle name="常规 2 2 8 2 3" xfId="4924" xr:uid="{00000000-0005-0000-0000-00003C510000}"/>
    <cellStyle name="常规 2 2 8 2 3 2" xfId="19436" xr:uid="{00000000-0005-0000-0000-00003D510000}"/>
    <cellStyle name="常规 2 2 8 2 3 3" xfId="12180" xr:uid="{00000000-0005-0000-0000-00003E510000}"/>
    <cellStyle name="常规 2 2 8 2 4" xfId="15808" xr:uid="{00000000-0005-0000-0000-00003F510000}"/>
    <cellStyle name="常规 2 2 8 2 5" xfId="8552" xr:uid="{00000000-0005-0000-0000-000040510000}"/>
    <cellStyle name="常规 2 2 8 3" xfId="2203" xr:uid="{00000000-0005-0000-0000-000041510000}"/>
    <cellStyle name="常规 2 2 8 3 2" xfId="5831" xr:uid="{00000000-0005-0000-0000-000042510000}"/>
    <cellStyle name="常规 2 2 8 3 2 2" xfId="20343" xr:uid="{00000000-0005-0000-0000-000043510000}"/>
    <cellStyle name="常规 2 2 8 3 2 3" xfId="13087" xr:uid="{00000000-0005-0000-0000-000044510000}"/>
    <cellStyle name="常规 2 2 8 3 3" xfId="16715" xr:uid="{00000000-0005-0000-0000-000045510000}"/>
    <cellStyle name="常规 2 2 8 3 4" xfId="9459" xr:uid="{00000000-0005-0000-0000-000046510000}"/>
    <cellStyle name="常规 2 2 8 4" xfId="4017" xr:uid="{00000000-0005-0000-0000-000047510000}"/>
    <cellStyle name="常规 2 2 8 4 2" xfId="18529" xr:uid="{00000000-0005-0000-0000-000048510000}"/>
    <cellStyle name="常规 2 2 8 4 3" xfId="11273" xr:uid="{00000000-0005-0000-0000-000049510000}"/>
    <cellStyle name="常规 2 2 8 5" xfId="14901" xr:uid="{00000000-0005-0000-0000-00004A510000}"/>
    <cellStyle name="常规 2 2 8 6" xfId="7645" xr:uid="{00000000-0005-0000-0000-00004B510000}"/>
    <cellStyle name="常规 2 2 9" xfId="864" xr:uid="{00000000-0005-0000-0000-00004C510000}"/>
    <cellStyle name="常规 2 2 9 2" xfId="1772" xr:uid="{00000000-0005-0000-0000-00004D510000}"/>
    <cellStyle name="常规 2 2 9 2 2" xfId="3586" xr:uid="{00000000-0005-0000-0000-00004E510000}"/>
    <cellStyle name="常规 2 2 9 2 2 2" xfId="7214" xr:uid="{00000000-0005-0000-0000-00004F510000}"/>
    <cellStyle name="常规 2 2 9 2 2 2 2" xfId="21726" xr:uid="{00000000-0005-0000-0000-000050510000}"/>
    <cellStyle name="常规 2 2 9 2 2 2 3" xfId="14470" xr:uid="{00000000-0005-0000-0000-000051510000}"/>
    <cellStyle name="常规 2 2 9 2 2 3" xfId="18098" xr:uid="{00000000-0005-0000-0000-000052510000}"/>
    <cellStyle name="常规 2 2 9 2 2 4" xfId="10842" xr:uid="{00000000-0005-0000-0000-000053510000}"/>
    <cellStyle name="常规 2 2 9 2 3" xfId="5400" xr:uid="{00000000-0005-0000-0000-000054510000}"/>
    <cellStyle name="常规 2 2 9 2 3 2" xfId="19912" xr:uid="{00000000-0005-0000-0000-000055510000}"/>
    <cellStyle name="常规 2 2 9 2 3 3" xfId="12656" xr:uid="{00000000-0005-0000-0000-000056510000}"/>
    <cellStyle name="常规 2 2 9 2 4" xfId="16284" xr:uid="{00000000-0005-0000-0000-000057510000}"/>
    <cellStyle name="常规 2 2 9 2 5" xfId="9028" xr:uid="{00000000-0005-0000-0000-000058510000}"/>
    <cellStyle name="常规 2 2 9 3" xfId="2679" xr:uid="{00000000-0005-0000-0000-000059510000}"/>
    <cellStyle name="常规 2 2 9 3 2" xfId="6307" xr:uid="{00000000-0005-0000-0000-00005A510000}"/>
    <cellStyle name="常规 2 2 9 3 2 2" xfId="20819" xr:uid="{00000000-0005-0000-0000-00005B510000}"/>
    <cellStyle name="常规 2 2 9 3 2 3" xfId="13563" xr:uid="{00000000-0005-0000-0000-00005C510000}"/>
    <cellStyle name="常规 2 2 9 3 3" xfId="17191" xr:uid="{00000000-0005-0000-0000-00005D510000}"/>
    <cellStyle name="常规 2 2 9 3 4" xfId="9935" xr:uid="{00000000-0005-0000-0000-00005E510000}"/>
    <cellStyle name="常规 2 2 9 4" xfId="4493" xr:uid="{00000000-0005-0000-0000-00005F510000}"/>
    <cellStyle name="常规 2 2 9 4 2" xfId="19005" xr:uid="{00000000-0005-0000-0000-000060510000}"/>
    <cellStyle name="常规 2 2 9 4 3" xfId="11749" xr:uid="{00000000-0005-0000-0000-000061510000}"/>
    <cellStyle name="常规 2 2 9 5" xfId="15377" xr:uid="{00000000-0005-0000-0000-000062510000}"/>
    <cellStyle name="常规 2 2 9 6" xfId="8121" xr:uid="{00000000-0005-0000-0000-000063510000}"/>
    <cellStyle name="常规 2 3" xfId="51" xr:uid="{00000000-0005-0000-0000-000064510000}"/>
    <cellStyle name="常规 2 3 10" xfId="1868" xr:uid="{00000000-0005-0000-0000-000065510000}"/>
    <cellStyle name="常规 2 3 10 2" xfId="5496" xr:uid="{00000000-0005-0000-0000-000066510000}"/>
    <cellStyle name="常规 2 3 10 2 2" xfId="20008" xr:uid="{00000000-0005-0000-0000-000067510000}"/>
    <cellStyle name="常规 2 3 10 2 3" xfId="12752" xr:uid="{00000000-0005-0000-0000-000068510000}"/>
    <cellStyle name="常规 2 3 10 3" xfId="16380" xr:uid="{00000000-0005-0000-0000-000069510000}"/>
    <cellStyle name="常规 2 3 10 4" xfId="9124" xr:uid="{00000000-0005-0000-0000-00006A510000}"/>
    <cellStyle name="常规 2 3 11" xfId="3682" xr:uid="{00000000-0005-0000-0000-00006B510000}"/>
    <cellStyle name="常规 2 3 11 2" xfId="18194" xr:uid="{00000000-0005-0000-0000-00006C510000}"/>
    <cellStyle name="常规 2 3 11 3" xfId="10938" xr:uid="{00000000-0005-0000-0000-00006D510000}"/>
    <cellStyle name="常规 2 3 12" xfId="14566" xr:uid="{00000000-0005-0000-0000-00006E510000}"/>
    <cellStyle name="常规 2 3 13" xfId="7310" xr:uid="{00000000-0005-0000-0000-00006F510000}"/>
    <cellStyle name="常规 2 3 2" xfId="93" xr:uid="{00000000-0005-0000-0000-000070510000}"/>
    <cellStyle name="常规 2 3 2 10" xfId="14608" xr:uid="{00000000-0005-0000-0000-000071510000}"/>
    <cellStyle name="常规 2 3 2 11" xfId="7352" xr:uid="{00000000-0005-0000-0000-000072510000}"/>
    <cellStyle name="常规 2 3 2 2" xfId="181" xr:uid="{00000000-0005-0000-0000-000073510000}"/>
    <cellStyle name="常规 2 3 2 2 2" xfId="527" xr:uid="{00000000-0005-0000-0000-000074510000}"/>
    <cellStyle name="常规 2 3 2 2 2 2" xfId="1435" xr:uid="{00000000-0005-0000-0000-000075510000}"/>
    <cellStyle name="常规 2 3 2 2 2 2 2" xfId="3249" xr:uid="{00000000-0005-0000-0000-000076510000}"/>
    <cellStyle name="常规 2 3 2 2 2 2 2 2" xfId="6877" xr:uid="{00000000-0005-0000-0000-000077510000}"/>
    <cellStyle name="常规 2 3 2 2 2 2 2 2 2" xfId="21389" xr:uid="{00000000-0005-0000-0000-000078510000}"/>
    <cellStyle name="常规 2 3 2 2 2 2 2 2 3" xfId="14133" xr:uid="{00000000-0005-0000-0000-000079510000}"/>
    <cellStyle name="常规 2 3 2 2 2 2 2 3" xfId="17761" xr:uid="{00000000-0005-0000-0000-00007A510000}"/>
    <cellStyle name="常规 2 3 2 2 2 2 2 4" xfId="10505" xr:uid="{00000000-0005-0000-0000-00007B510000}"/>
    <cellStyle name="常规 2 3 2 2 2 2 3" xfId="5063" xr:uid="{00000000-0005-0000-0000-00007C510000}"/>
    <cellStyle name="常规 2 3 2 2 2 2 3 2" xfId="19575" xr:uid="{00000000-0005-0000-0000-00007D510000}"/>
    <cellStyle name="常规 2 3 2 2 2 2 3 3" xfId="12319" xr:uid="{00000000-0005-0000-0000-00007E510000}"/>
    <cellStyle name="常规 2 3 2 2 2 2 4" xfId="15947" xr:uid="{00000000-0005-0000-0000-00007F510000}"/>
    <cellStyle name="常规 2 3 2 2 2 2 5" xfId="8691" xr:uid="{00000000-0005-0000-0000-000080510000}"/>
    <cellStyle name="常规 2 3 2 2 2 3" xfId="2342" xr:uid="{00000000-0005-0000-0000-000081510000}"/>
    <cellStyle name="常规 2 3 2 2 2 3 2" xfId="5970" xr:uid="{00000000-0005-0000-0000-000082510000}"/>
    <cellStyle name="常规 2 3 2 2 2 3 2 2" xfId="20482" xr:uid="{00000000-0005-0000-0000-000083510000}"/>
    <cellStyle name="常规 2 3 2 2 2 3 2 3" xfId="13226" xr:uid="{00000000-0005-0000-0000-000084510000}"/>
    <cellStyle name="常规 2 3 2 2 2 3 3" xfId="16854" xr:uid="{00000000-0005-0000-0000-000085510000}"/>
    <cellStyle name="常规 2 3 2 2 2 3 4" xfId="9598" xr:uid="{00000000-0005-0000-0000-000086510000}"/>
    <cellStyle name="常规 2 3 2 2 2 4" xfId="4156" xr:uid="{00000000-0005-0000-0000-000087510000}"/>
    <cellStyle name="常规 2 3 2 2 2 4 2" xfId="18668" xr:uid="{00000000-0005-0000-0000-000088510000}"/>
    <cellStyle name="常规 2 3 2 2 2 4 3" xfId="11412" xr:uid="{00000000-0005-0000-0000-000089510000}"/>
    <cellStyle name="常规 2 3 2 2 2 5" xfId="15040" xr:uid="{00000000-0005-0000-0000-00008A510000}"/>
    <cellStyle name="常规 2 3 2 2 2 6" xfId="7784" xr:uid="{00000000-0005-0000-0000-00008B510000}"/>
    <cellStyle name="常规 2 3 2 2 3" xfId="1089" xr:uid="{00000000-0005-0000-0000-00008C510000}"/>
    <cellStyle name="常规 2 3 2 2 3 2" xfId="2903" xr:uid="{00000000-0005-0000-0000-00008D510000}"/>
    <cellStyle name="常规 2 3 2 2 3 2 2" xfId="6531" xr:uid="{00000000-0005-0000-0000-00008E510000}"/>
    <cellStyle name="常规 2 3 2 2 3 2 2 2" xfId="21043" xr:uid="{00000000-0005-0000-0000-00008F510000}"/>
    <cellStyle name="常规 2 3 2 2 3 2 2 3" xfId="13787" xr:uid="{00000000-0005-0000-0000-000090510000}"/>
    <cellStyle name="常规 2 3 2 2 3 2 3" xfId="17415" xr:uid="{00000000-0005-0000-0000-000091510000}"/>
    <cellStyle name="常规 2 3 2 2 3 2 4" xfId="10159" xr:uid="{00000000-0005-0000-0000-000092510000}"/>
    <cellStyle name="常规 2 3 2 2 3 3" xfId="4717" xr:uid="{00000000-0005-0000-0000-000093510000}"/>
    <cellStyle name="常规 2 3 2 2 3 3 2" xfId="19229" xr:uid="{00000000-0005-0000-0000-000094510000}"/>
    <cellStyle name="常规 2 3 2 2 3 3 3" xfId="11973" xr:uid="{00000000-0005-0000-0000-000095510000}"/>
    <cellStyle name="常规 2 3 2 2 3 4" xfId="15601" xr:uid="{00000000-0005-0000-0000-000096510000}"/>
    <cellStyle name="常规 2 3 2 2 3 5" xfId="8345" xr:uid="{00000000-0005-0000-0000-000097510000}"/>
    <cellStyle name="常规 2 3 2 2 4" xfId="1996" xr:uid="{00000000-0005-0000-0000-000098510000}"/>
    <cellStyle name="常规 2 3 2 2 4 2" xfId="5624" xr:uid="{00000000-0005-0000-0000-000099510000}"/>
    <cellStyle name="常规 2 3 2 2 4 2 2" xfId="20136" xr:uid="{00000000-0005-0000-0000-00009A510000}"/>
    <cellStyle name="常规 2 3 2 2 4 2 3" xfId="12880" xr:uid="{00000000-0005-0000-0000-00009B510000}"/>
    <cellStyle name="常规 2 3 2 2 4 3" xfId="16508" xr:uid="{00000000-0005-0000-0000-00009C510000}"/>
    <cellStyle name="常规 2 3 2 2 4 4" xfId="9252" xr:uid="{00000000-0005-0000-0000-00009D510000}"/>
    <cellStyle name="常规 2 3 2 2 5" xfId="3810" xr:uid="{00000000-0005-0000-0000-00009E510000}"/>
    <cellStyle name="常规 2 3 2 2 5 2" xfId="18322" xr:uid="{00000000-0005-0000-0000-00009F510000}"/>
    <cellStyle name="常规 2 3 2 2 5 3" xfId="11066" xr:uid="{00000000-0005-0000-0000-0000A0510000}"/>
    <cellStyle name="常规 2 3 2 2 6" xfId="14694" xr:uid="{00000000-0005-0000-0000-0000A1510000}"/>
    <cellStyle name="常规 2 3 2 2 7" xfId="7438" xr:uid="{00000000-0005-0000-0000-0000A2510000}"/>
    <cellStyle name="常规 2 3 2 3" xfId="311" xr:uid="{00000000-0005-0000-0000-0000A3510000}"/>
    <cellStyle name="常规 2 3 2 3 2" xfId="657" xr:uid="{00000000-0005-0000-0000-0000A4510000}"/>
    <cellStyle name="常规 2 3 2 3 2 2" xfId="1565" xr:uid="{00000000-0005-0000-0000-0000A5510000}"/>
    <cellStyle name="常规 2 3 2 3 2 2 2" xfId="3379" xr:uid="{00000000-0005-0000-0000-0000A6510000}"/>
    <cellStyle name="常规 2 3 2 3 2 2 2 2" xfId="7007" xr:uid="{00000000-0005-0000-0000-0000A7510000}"/>
    <cellStyle name="常规 2 3 2 3 2 2 2 2 2" xfId="21519" xr:uid="{00000000-0005-0000-0000-0000A8510000}"/>
    <cellStyle name="常规 2 3 2 3 2 2 2 2 3" xfId="14263" xr:uid="{00000000-0005-0000-0000-0000A9510000}"/>
    <cellStyle name="常规 2 3 2 3 2 2 2 3" xfId="17891" xr:uid="{00000000-0005-0000-0000-0000AA510000}"/>
    <cellStyle name="常规 2 3 2 3 2 2 2 4" xfId="10635" xr:uid="{00000000-0005-0000-0000-0000AB510000}"/>
    <cellStyle name="常规 2 3 2 3 2 2 3" xfId="5193" xr:uid="{00000000-0005-0000-0000-0000AC510000}"/>
    <cellStyle name="常规 2 3 2 3 2 2 3 2" xfId="19705" xr:uid="{00000000-0005-0000-0000-0000AD510000}"/>
    <cellStyle name="常规 2 3 2 3 2 2 3 3" xfId="12449" xr:uid="{00000000-0005-0000-0000-0000AE510000}"/>
    <cellStyle name="常规 2 3 2 3 2 2 4" xfId="16077" xr:uid="{00000000-0005-0000-0000-0000AF510000}"/>
    <cellStyle name="常规 2 3 2 3 2 2 5" xfId="8821" xr:uid="{00000000-0005-0000-0000-0000B0510000}"/>
    <cellStyle name="常规 2 3 2 3 2 3" xfId="2472" xr:uid="{00000000-0005-0000-0000-0000B1510000}"/>
    <cellStyle name="常规 2 3 2 3 2 3 2" xfId="6100" xr:uid="{00000000-0005-0000-0000-0000B2510000}"/>
    <cellStyle name="常规 2 3 2 3 2 3 2 2" xfId="20612" xr:uid="{00000000-0005-0000-0000-0000B3510000}"/>
    <cellStyle name="常规 2 3 2 3 2 3 2 3" xfId="13356" xr:uid="{00000000-0005-0000-0000-0000B4510000}"/>
    <cellStyle name="常规 2 3 2 3 2 3 3" xfId="16984" xr:uid="{00000000-0005-0000-0000-0000B5510000}"/>
    <cellStyle name="常规 2 3 2 3 2 3 4" xfId="9728" xr:uid="{00000000-0005-0000-0000-0000B6510000}"/>
    <cellStyle name="常规 2 3 2 3 2 4" xfId="4286" xr:uid="{00000000-0005-0000-0000-0000B7510000}"/>
    <cellStyle name="常规 2 3 2 3 2 4 2" xfId="18798" xr:uid="{00000000-0005-0000-0000-0000B8510000}"/>
    <cellStyle name="常规 2 3 2 3 2 4 3" xfId="11542" xr:uid="{00000000-0005-0000-0000-0000B9510000}"/>
    <cellStyle name="常规 2 3 2 3 2 5" xfId="15170" xr:uid="{00000000-0005-0000-0000-0000BA510000}"/>
    <cellStyle name="常规 2 3 2 3 2 6" xfId="7914" xr:uid="{00000000-0005-0000-0000-0000BB510000}"/>
    <cellStyle name="常规 2 3 2 3 3" xfId="1219" xr:uid="{00000000-0005-0000-0000-0000BC510000}"/>
    <cellStyle name="常规 2 3 2 3 3 2" xfId="3033" xr:uid="{00000000-0005-0000-0000-0000BD510000}"/>
    <cellStyle name="常规 2 3 2 3 3 2 2" xfId="6661" xr:uid="{00000000-0005-0000-0000-0000BE510000}"/>
    <cellStyle name="常规 2 3 2 3 3 2 2 2" xfId="21173" xr:uid="{00000000-0005-0000-0000-0000BF510000}"/>
    <cellStyle name="常规 2 3 2 3 3 2 2 3" xfId="13917" xr:uid="{00000000-0005-0000-0000-0000C0510000}"/>
    <cellStyle name="常规 2 3 2 3 3 2 3" xfId="17545" xr:uid="{00000000-0005-0000-0000-0000C1510000}"/>
    <cellStyle name="常规 2 3 2 3 3 2 4" xfId="10289" xr:uid="{00000000-0005-0000-0000-0000C2510000}"/>
    <cellStyle name="常规 2 3 2 3 3 3" xfId="4847" xr:uid="{00000000-0005-0000-0000-0000C3510000}"/>
    <cellStyle name="常规 2 3 2 3 3 3 2" xfId="19359" xr:uid="{00000000-0005-0000-0000-0000C4510000}"/>
    <cellStyle name="常规 2 3 2 3 3 3 3" xfId="12103" xr:uid="{00000000-0005-0000-0000-0000C5510000}"/>
    <cellStyle name="常规 2 3 2 3 3 4" xfId="15731" xr:uid="{00000000-0005-0000-0000-0000C6510000}"/>
    <cellStyle name="常规 2 3 2 3 3 5" xfId="8475" xr:uid="{00000000-0005-0000-0000-0000C7510000}"/>
    <cellStyle name="常规 2 3 2 3 4" xfId="2126" xr:uid="{00000000-0005-0000-0000-0000C8510000}"/>
    <cellStyle name="常规 2 3 2 3 4 2" xfId="5754" xr:uid="{00000000-0005-0000-0000-0000C9510000}"/>
    <cellStyle name="常规 2 3 2 3 4 2 2" xfId="20266" xr:uid="{00000000-0005-0000-0000-0000CA510000}"/>
    <cellStyle name="常规 2 3 2 3 4 2 3" xfId="13010" xr:uid="{00000000-0005-0000-0000-0000CB510000}"/>
    <cellStyle name="常规 2 3 2 3 4 3" xfId="16638" xr:uid="{00000000-0005-0000-0000-0000CC510000}"/>
    <cellStyle name="常规 2 3 2 3 4 4" xfId="9382" xr:uid="{00000000-0005-0000-0000-0000CD510000}"/>
    <cellStyle name="常规 2 3 2 3 5" xfId="3940" xr:uid="{00000000-0005-0000-0000-0000CE510000}"/>
    <cellStyle name="常规 2 3 2 3 5 2" xfId="18452" xr:uid="{00000000-0005-0000-0000-0000CF510000}"/>
    <cellStyle name="常规 2 3 2 3 5 3" xfId="11196" xr:uid="{00000000-0005-0000-0000-0000D0510000}"/>
    <cellStyle name="常规 2 3 2 3 6" xfId="14824" xr:uid="{00000000-0005-0000-0000-0000D1510000}"/>
    <cellStyle name="常规 2 3 2 3 7" xfId="7568" xr:uid="{00000000-0005-0000-0000-0000D2510000}"/>
    <cellStyle name="常规 2 3 2 4" xfId="787" xr:uid="{00000000-0005-0000-0000-0000D3510000}"/>
    <cellStyle name="常规 2 3 2 4 2" xfId="1695" xr:uid="{00000000-0005-0000-0000-0000D4510000}"/>
    <cellStyle name="常规 2 3 2 4 2 2" xfId="3509" xr:uid="{00000000-0005-0000-0000-0000D5510000}"/>
    <cellStyle name="常规 2 3 2 4 2 2 2" xfId="7137" xr:uid="{00000000-0005-0000-0000-0000D6510000}"/>
    <cellStyle name="常规 2 3 2 4 2 2 2 2" xfId="21649" xr:uid="{00000000-0005-0000-0000-0000D7510000}"/>
    <cellStyle name="常规 2 3 2 4 2 2 2 3" xfId="14393" xr:uid="{00000000-0005-0000-0000-0000D8510000}"/>
    <cellStyle name="常规 2 3 2 4 2 2 3" xfId="18021" xr:uid="{00000000-0005-0000-0000-0000D9510000}"/>
    <cellStyle name="常规 2 3 2 4 2 2 4" xfId="10765" xr:uid="{00000000-0005-0000-0000-0000DA510000}"/>
    <cellStyle name="常规 2 3 2 4 2 3" xfId="5323" xr:uid="{00000000-0005-0000-0000-0000DB510000}"/>
    <cellStyle name="常规 2 3 2 4 2 3 2" xfId="19835" xr:uid="{00000000-0005-0000-0000-0000DC510000}"/>
    <cellStyle name="常规 2 3 2 4 2 3 3" xfId="12579" xr:uid="{00000000-0005-0000-0000-0000DD510000}"/>
    <cellStyle name="常规 2 3 2 4 2 4" xfId="16207" xr:uid="{00000000-0005-0000-0000-0000DE510000}"/>
    <cellStyle name="常规 2 3 2 4 2 5" xfId="8951" xr:uid="{00000000-0005-0000-0000-0000DF510000}"/>
    <cellStyle name="常规 2 3 2 4 3" xfId="2602" xr:uid="{00000000-0005-0000-0000-0000E0510000}"/>
    <cellStyle name="常规 2 3 2 4 3 2" xfId="6230" xr:uid="{00000000-0005-0000-0000-0000E1510000}"/>
    <cellStyle name="常规 2 3 2 4 3 2 2" xfId="20742" xr:uid="{00000000-0005-0000-0000-0000E2510000}"/>
    <cellStyle name="常规 2 3 2 4 3 2 3" xfId="13486" xr:uid="{00000000-0005-0000-0000-0000E3510000}"/>
    <cellStyle name="常规 2 3 2 4 3 3" xfId="17114" xr:uid="{00000000-0005-0000-0000-0000E4510000}"/>
    <cellStyle name="常规 2 3 2 4 3 4" xfId="9858" xr:uid="{00000000-0005-0000-0000-0000E5510000}"/>
    <cellStyle name="常规 2 3 2 4 4" xfId="4416" xr:uid="{00000000-0005-0000-0000-0000E6510000}"/>
    <cellStyle name="常规 2 3 2 4 4 2" xfId="18928" xr:uid="{00000000-0005-0000-0000-0000E7510000}"/>
    <cellStyle name="常规 2 3 2 4 4 3" xfId="11672" xr:uid="{00000000-0005-0000-0000-0000E8510000}"/>
    <cellStyle name="常规 2 3 2 4 5" xfId="15300" xr:uid="{00000000-0005-0000-0000-0000E9510000}"/>
    <cellStyle name="常规 2 3 2 4 6" xfId="8044" xr:uid="{00000000-0005-0000-0000-0000EA510000}"/>
    <cellStyle name="常规 2 3 2 5" xfId="441" xr:uid="{00000000-0005-0000-0000-0000EB510000}"/>
    <cellStyle name="常规 2 3 2 5 2" xfId="1349" xr:uid="{00000000-0005-0000-0000-0000EC510000}"/>
    <cellStyle name="常规 2 3 2 5 2 2" xfId="3163" xr:uid="{00000000-0005-0000-0000-0000ED510000}"/>
    <cellStyle name="常规 2 3 2 5 2 2 2" xfId="6791" xr:uid="{00000000-0005-0000-0000-0000EE510000}"/>
    <cellStyle name="常规 2 3 2 5 2 2 2 2" xfId="21303" xr:uid="{00000000-0005-0000-0000-0000EF510000}"/>
    <cellStyle name="常规 2 3 2 5 2 2 2 3" xfId="14047" xr:uid="{00000000-0005-0000-0000-0000F0510000}"/>
    <cellStyle name="常规 2 3 2 5 2 2 3" xfId="17675" xr:uid="{00000000-0005-0000-0000-0000F1510000}"/>
    <cellStyle name="常规 2 3 2 5 2 2 4" xfId="10419" xr:uid="{00000000-0005-0000-0000-0000F2510000}"/>
    <cellStyle name="常规 2 3 2 5 2 3" xfId="4977" xr:uid="{00000000-0005-0000-0000-0000F3510000}"/>
    <cellStyle name="常规 2 3 2 5 2 3 2" xfId="19489" xr:uid="{00000000-0005-0000-0000-0000F4510000}"/>
    <cellStyle name="常规 2 3 2 5 2 3 3" xfId="12233" xr:uid="{00000000-0005-0000-0000-0000F5510000}"/>
    <cellStyle name="常规 2 3 2 5 2 4" xfId="15861" xr:uid="{00000000-0005-0000-0000-0000F6510000}"/>
    <cellStyle name="常规 2 3 2 5 2 5" xfId="8605" xr:uid="{00000000-0005-0000-0000-0000F7510000}"/>
    <cellStyle name="常规 2 3 2 5 3" xfId="2256" xr:uid="{00000000-0005-0000-0000-0000F8510000}"/>
    <cellStyle name="常规 2 3 2 5 3 2" xfId="5884" xr:uid="{00000000-0005-0000-0000-0000F9510000}"/>
    <cellStyle name="常规 2 3 2 5 3 2 2" xfId="20396" xr:uid="{00000000-0005-0000-0000-0000FA510000}"/>
    <cellStyle name="常规 2 3 2 5 3 2 3" xfId="13140" xr:uid="{00000000-0005-0000-0000-0000FB510000}"/>
    <cellStyle name="常规 2 3 2 5 3 3" xfId="16768" xr:uid="{00000000-0005-0000-0000-0000FC510000}"/>
    <cellStyle name="常规 2 3 2 5 3 4" xfId="9512" xr:uid="{00000000-0005-0000-0000-0000FD510000}"/>
    <cellStyle name="常规 2 3 2 5 4" xfId="4070" xr:uid="{00000000-0005-0000-0000-0000FE510000}"/>
    <cellStyle name="常规 2 3 2 5 4 2" xfId="18582" xr:uid="{00000000-0005-0000-0000-0000FF510000}"/>
    <cellStyle name="常规 2 3 2 5 4 3" xfId="11326" xr:uid="{00000000-0005-0000-0000-000000520000}"/>
    <cellStyle name="常规 2 3 2 5 5" xfId="14954" xr:uid="{00000000-0005-0000-0000-000001520000}"/>
    <cellStyle name="常规 2 3 2 5 6" xfId="7698" xr:uid="{00000000-0005-0000-0000-000002520000}"/>
    <cellStyle name="常规 2 3 2 6" xfId="932" xr:uid="{00000000-0005-0000-0000-000003520000}"/>
    <cellStyle name="常规 2 3 2 6 2" xfId="1839" xr:uid="{00000000-0005-0000-0000-000004520000}"/>
    <cellStyle name="常规 2 3 2 6 2 2" xfId="3653" xr:uid="{00000000-0005-0000-0000-000005520000}"/>
    <cellStyle name="常规 2 3 2 6 2 2 2" xfId="7281" xr:uid="{00000000-0005-0000-0000-000006520000}"/>
    <cellStyle name="常规 2 3 2 6 2 2 2 2" xfId="21793" xr:uid="{00000000-0005-0000-0000-000007520000}"/>
    <cellStyle name="常规 2 3 2 6 2 2 2 3" xfId="14537" xr:uid="{00000000-0005-0000-0000-000008520000}"/>
    <cellStyle name="常规 2 3 2 6 2 2 3" xfId="18165" xr:uid="{00000000-0005-0000-0000-000009520000}"/>
    <cellStyle name="常规 2 3 2 6 2 2 4" xfId="10909" xr:uid="{00000000-0005-0000-0000-00000A520000}"/>
    <cellStyle name="常规 2 3 2 6 2 3" xfId="5467" xr:uid="{00000000-0005-0000-0000-00000B520000}"/>
    <cellStyle name="常规 2 3 2 6 2 3 2" xfId="19979" xr:uid="{00000000-0005-0000-0000-00000C520000}"/>
    <cellStyle name="常规 2 3 2 6 2 3 3" xfId="12723" xr:uid="{00000000-0005-0000-0000-00000D520000}"/>
    <cellStyle name="常规 2 3 2 6 2 4" xfId="16351" xr:uid="{00000000-0005-0000-0000-00000E520000}"/>
    <cellStyle name="常规 2 3 2 6 2 5" xfId="9095" xr:uid="{00000000-0005-0000-0000-00000F520000}"/>
    <cellStyle name="常规 2 3 2 6 3" xfId="2746" xr:uid="{00000000-0005-0000-0000-000010520000}"/>
    <cellStyle name="常规 2 3 2 6 3 2" xfId="6374" xr:uid="{00000000-0005-0000-0000-000011520000}"/>
    <cellStyle name="常规 2 3 2 6 3 2 2" xfId="20886" xr:uid="{00000000-0005-0000-0000-000012520000}"/>
    <cellStyle name="常规 2 3 2 6 3 2 3" xfId="13630" xr:uid="{00000000-0005-0000-0000-000013520000}"/>
    <cellStyle name="常规 2 3 2 6 3 3" xfId="17258" xr:uid="{00000000-0005-0000-0000-000014520000}"/>
    <cellStyle name="常规 2 3 2 6 3 4" xfId="10002" xr:uid="{00000000-0005-0000-0000-000015520000}"/>
    <cellStyle name="常规 2 3 2 6 4" xfId="4560" xr:uid="{00000000-0005-0000-0000-000016520000}"/>
    <cellStyle name="常规 2 3 2 6 4 2" xfId="19072" xr:uid="{00000000-0005-0000-0000-000017520000}"/>
    <cellStyle name="常规 2 3 2 6 4 3" xfId="11816" xr:uid="{00000000-0005-0000-0000-000018520000}"/>
    <cellStyle name="常规 2 3 2 6 5" xfId="15444" xr:uid="{00000000-0005-0000-0000-000019520000}"/>
    <cellStyle name="常规 2 3 2 6 6" xfId="8188" xr:uid="{00000000-0005-0000-0000-00001A520000}"/>
    <cellStyle name="常规 2 3 2 7" xfId="1003" xr:uid="{00000000-0005-0000-0000-00001B520000}"/>
    <cellStyle name="常规 2 3 2 7 2" xfId="2817" xr:uid="{00000000-0005-0000-0000-00001C520000}"/>
    <cellStyle name="常规 2 3 2 7 2 2" xfId="6445" xr:uid="{00000000-0005-0000-0000-00001D520000}"/>
    <cellStyle name="常规 2 3 2 7 2 2 2" xfId="20957" xr:uid="{00000000-0005-0000-0000-00001E520000}"/>
    <cellStyle name="常规 2 3 2 7 2 2 3" xfId="13701" xr:uid="{00000000-0005-0000-0000-00001F520000}"/>
    <cellStyle name="常规 2 3 2 7 2 3" xfId="17329" xr:uid="{00000000-0005-0000-0000-000020520000}"/>
    <cellStyle name="常规 2 3 2 7 2 4" xfId="10073" xr:uid="{00000000-0005-0000-0000-000021520000}"/>
    <cellStyle name="常规 2 3 2 7 3" xfId="4631" xr:uid="{00000000-0005-0000-0000-000022520000}"/>
    <cellStyle name="常规 2 3 2 7 3 2" xfId="19143" xr:uid="{00000000-0005-0000-0000-000023520000}"/>
    <cellStyle name="常规 2 3 2 7 3 3" xfId="11887" xr:uid="{00000000-0005-0000-0000-000024520000}"/>
    <cellStyle name="常规 2 3 2 7 4" xfId="15515" xr:uid="{00000000-0005-0000-0000-000025520000}"/>
    <cellStyle name="常规 2 3 2 7 5" xfId="8259" xr:uid="{00000000-0005-0000-0000-000026520000}"/>
    <cellStyle name="常规 2 3 2 8" xfId="1910" xr:uid="{00000000-0005-0000-0000-000027520000}"/>
    <cellStyle name="常规 2 3 2 8 2" xfId="5538" xr:uid="{00000000-0005-0000-0000-000028520000}"/>
    <cellStyle name="常规 2 3 2 8 2 2" xfId="20050" xr:uid="{00000000-0005-0000-0000-000029520000}"/>
    <cellStyle name="常规 2 3 2 8 2 3" xfId="12794" xr:uid="{00000000-0005-0000-0000-00002A520000}"/>
    <cellStyle name="常规 2 3 2 8 3" xfId="16422" xr:uid="{00000000-0005-0000-0000-00002B520000}"/>
    <cellStyle name="常规 2 3 2 8 4" xfId="9166" xr:uid="{00000000-0005-0000-0000-00002C520000}"/>
    <cellStyle name="常规 2 3 2 9" xfId="3724" xr:uid="{00000000-0005-0000-0000-00002D520000}"/>
    <cellStyle name="常规 2 3 2 9 2" xfId="18236" xr:uid="{00000000-0005-0000-0000-00002E520000}"/>
    <cellStyle name="常规 2 3 2 9 3" xfId="10980" xr:uid="{00000000-0005-0000-0000-00002F520000}"/>
    <cellStyle name="常规 2 3 3" xfId="225" xr:uid="{00000000-0005-0000-0000-000030520000}"/>
    <cellStyle name="常规 2 3 3 2" xfId="355" xr:uid="{00000000-0005-0000-0000-000031520000}"/>
    <cellStyle name="常规 2 3 3 2 2" xfId="701" xr:uid="{00000000-0005-0000-0000-000032520000}"/>
    <cellStyle name="常规 2 3 3 2 2 2" xfId="1609" xr:uid="{00000000-0005-0000-0000-000033520000}"/>
    <cellStyle name="常规 2 3 3 2 2 2 2" xfId="3423" xr:uid="{00000000-0005-0000-0000-000034520000}"/>
    <cellStyle name="常规 2 3 3 2 2 2 2 2" xfId="7051" xr:uid="{00000000-0005-0000-0000-000035520000}"/>
    <cellStyle name="常规 2 3 3 2 2 2 2 2 2" xfId="21563" xr:uid="{00000000-0005-0000-0000-000036520000}"/>
    <cellStyle name="常规 2 3 3 2 2 2 2 2 3" xfId="14307" xr:uid="{00000000-0005-0000-0000-000037520000}"/>
    <cellStyle name="常规 2 3 3 2 2 2 2 3" xfId="17935" xr:uid="{00000000-0005-0000-0000-000038520000}"/>
    <cellStyle name="常规 2 3 3 2 2 2 2 4" xfId="10679" xr:uid="{00000000-0005-0000-0000-000039520000}"/>
    <cellStyle name="常规 2 3 3 2 2 2 3" xfId="5237" xr:uid="{00000000-0005-0000-0000-00003A520000}"/>
    <cellStyle name="常规 2 3 3 2 2 2 3 2" xfId="19749" xr:uid="{00000000-0005-0000-0000-00003B520000}"/>
    <cellStyle name="常规 2 3 3 2 2 2 3 3" xfId="12493" xr:uid="{00000000-0005-0000-0000-00003C520000}"/>
    <cellStyle name="常规 2 3 3 2 2 2 4" xfId="16121" xr:uid="{00000000-0005-0000-0000-00003D520000}"/>
    <cellStyle name="常规 2 3 3 2 2 2 5" xfId="8865" xr:uid="{00000000-0005-0000-0000-00003E520000}"/>
    <cellStyle name="常规 2 3 3 2 2 3" xfId="2516" xr:uid="{00000000-0005-0000-0000-00003F520000}"/>
    <cellStyle name="常规 2 3 3 2 2 3 2" xfId="6144" xr:uid="{00000000-0005-0000-0000-000040520000}"/>
    <cellStyle name="常规 2 3 3 2 2 3 2 2" xfId="20656" xr:uid="{00000000-0005-0000-0000-000041520000}"/>
    <cellStyle name="常规 2 3 3 2 2 3 2 3" xfId="13400" xr:uid="{00000000-0005-0000-0000-000042520000}"/>
    <cellStyle name="常规 2 3 3 2 2 3 3" xfId="17028" xr:uid="{00000000-0005-0000-0000-000043520000}"/>
    <cellStyle name="常规 2 3 3 2 2 3 4" xfId="9772" xr:uid="{00000000-0005-0000-0000-000044520000}"/>
    <cellStyle name="常规 2 3 3 2 2 4" xfId="4330" xr:uid="{00000000-0005-0000-0000-000045520000}"/>
    <cellStyle name="常规 2 3 3 2 2 4 2" xfId="18842" xr:uid="{00000000-0005-0000-0000-000046520000}"/>
    <cellStyle name="常规 2 3 3 2 2 4 3" xfId="11586" xr:uid="{00000000-0005-0000-0000-000047520000}"/>
    <cellStyle name="常规 2 3 3 2 2 5" xfId="15214" xr:uid="{00000000-0005-0000-0000-000048520000}"/>
    <cellStyle name="常规 2 3 3 2 2 6" xfId="7958" xr:uid="{00000000-0005-0000-0000-000049520000}"/>
    <cellStyle name="常规 2 3 3 2 3" xfId="1263" xr:uid="{00000000-0005-0000-0000-00004A520000}"/>
    <cellStyle name="常规 2 3 3 2 3 2" xfId="3077" xr:uid="{00000000-0005-0000-0000-00004B520000}"/>
    <cellStyle name="常规 2 3 3 2 3 2 2" xfId="6705" xr:uid="{00000000-0005-0000-0000-00004C520000}"/>
    <cellStyle name="常规 2 3 3 2 3 2 2 2" xfId="21217" xr:uid="{00000000-0005-0000-0000-00004D520000}"/>
    <cellStyle name="常规 2 3 3 2 3 2 2 3" xfId="13961" xr:uid="{00000000-0005-0000-0000-00004E520000}"/>
    <cellStyle name="常规 2 3 3 2 3 2 3" xfId="17589" xr:uid="{00000000-0005-0000-0000-00004F520000}"/>
    <cellStyle name="常规 2 3 3 2 3 2 4" xfId="10333" xr:uid="{00000000-0005-0000-0000-000050520000}"/>
    <cellStyle name="常规 2 3 3 2 3 3" xfId="4891" xr:uid="{00000000-0005-0000-0000-000051520000}"/>
    <cellStyle name="常规 2 3 3 2 3 3 2" xfId="19403" xr:uid="{00000000-0005-0000-0000-000052520000}"/>
    <cellStyle name="常规 2 3 3 2 3 3 3" xfId="12147" xr:uid="{00000000-0005-0000-0000-000053520000}"/>
    <cellStyle name="常规 2 3 3 2 3 4" xfId="15775" xr:uid="{00000000-0005-0000-0000-000054520000}"/>
    <cellStyle name="常规 2 3 3 2 3 5" xfId="8519" xr:uid="{00000000-0005-0000-0000-000055520000}"/>
    <cellStyle name="常规 2 3 3 2 4" xfId="2170" xr:uid="{00000000-0005-0000-0000-000056520000}"/>
    <cellStyle name="常规 2 3 3 2 4 2" xfId="5798" xr:uid="{00000000-0005-0000-0000-000057520000}"/>
    <cellStyle name="常规 2 3 3 2 4 2 2" xfId="20310" xr:uid="{00000000-0005-0000-0000-000058520000}"/>
    <cellStyle name="常规 2 3 3 2 4 2 3" xfId="13054" xr:uid="{00000000-0005-0000-0000-000059520000}"/>
    <cellStyle name="常规 2 3 3 2 4 3" xfId="16682" xr:uid="{00000000-0005-0000-0000-00005A520000}"/>
    <cellStyle name="常规 2 3 3 2 4 4" xfId="9426" xr:uid="{00000000-0005-0000-0000-00005B520000}"/>
    <cellStyle name="常规 2 3 3 2 5" xfId="3984" xr:uid="{00000000-0005-0000-0000-00005C520000}"/>
    <cellStyle name="常规 2 3 3 2 5 2" xfId="18496" xr:uid="{00000000-0005-0000-0000-00005D520000}"/>
    <cellStyle name="常规 2 3 3 2 5 3" xfId="11240" xr:uid="{00000000-0005-0000-0000-00005E520000}"/>
    <cellStyle name="常规 2 3 3 2 6" xfId="14868" xr:uid="{00000000-0005-0000-0000-00005F520000}"/>
    <cellStyle name="常规 2 3 3 2 7" xfId="7612" xr:uid="{00000000-0005-0000-0000-000060520000}"/>
    <cellStyle name="常规 2 3 3 3" xfId="831" xr:uid="{00000000-0005-0000-0000-000061520000}"/>
    <cellStyle name="常规 2 3 3 3 2" xfId="1739" xr:uid="{00000000-0005-0000-0000-000062520000}"/>
    <cellStyle name="常规 2 3 3 3 2 2" xfId="3553" xr:uid="{00000000-0005-0000-0000-000063520000}"/>
    <cellStyle name="常规 2 3 3 3 2 2 2" xfId="7181" xr:uid="{00000000-0005-0000-0000-000064520000}"/>
    <cellStyle name="常规 2 3 3 3 2 2 2 2" xfId="21693" xr:uid="{00000000-0005-0000-0000-000065520000}"/>
    <cellStyle name="常规 2 3 3 3 2 2 2 3" xfId="14437" xr:uid="{00000000-0005-0000-0000-000066520000}"/>
    <cellStyle name="常规 2 3 3 3 2 2 3" xfId="18065" xr:uid="{00000000-0005-0000-0000-000067520000}"/>
    <cellStyle name="常规 2 3 3 3 2 2 4" xfId="10809" xr:uid="{00000000-0005-0000-0000-000068520000}"/>
    <cellStyle name="常规 2 3 3 3 2 3" xfId="5367" xr:uid="{00000000-0005-0000-0000-000069520000}"/>
    <cellStyle name="常规 2 3 3 3 2 3 2" xfId="19879" xr:uid="{00000000-0005-0000-0000-00006A520000}"/>
    <cellStyle name="常规 2 3 3 3 2 3 3" xfId="12623" xr:uid="{00000000-0005-0000-0000-00006B520000}"/>
    <cellStyle name="常规 2 3 3 3 2 4" xfId="16251" xr:uid="{00000000-0005-0000-0000-00006C520000}"/>
    <cellStyle name="常规 2 3 3 3 2 5" xfId="8995" xr:uid="{00000000-0005-0000-0000-00006D520000}"/>
    <cellStyle name="常规 2 3 3 3 3" xfId="2646" xr:uid="{00000000-0005-0000-0000-00006E520000}"/>
    <cellStyle name="常规 2 3 3 3 3 2" xfId="6274" xr:uid="{00000000-0005-0000-0000-00006F520000}"/>
    <cellStyle name="常规 2 3 3 3 3 2 2" xfId="20786" xr:uid="{00000000-0005-0000-0000-000070520000}"/>
    <cellStyle name="常规 2 3 3 3 3 2 3" xfId="13530" xr:uid="{00000000-0005-0000-0000-000071520000}"/>
    <cellStyle name="常规 2 3 3 3 3 3" xfId="17158" xr:uid="{00000000-0005-0000-0000-000072520000}"/>
    <cellStyle name="常规 2 3 3 3 3 4" xfId="9902" xr:uid="{00000000-0005-0000-0000-000073520000}"/>
    <cellStyle name="常规 2 3 3 3 4" xfId="4460" xr:uid="{00000000-0005-0000-0000-000074520000}"/>
    <cellStyle name="常规 2 3 3 3 4 2" xfId="18972" xr:uid="{00000000-0005-0000-0000-000075520000}"/>
    <cellStyle name="常规 2 3 3 3 4 3" xfId="11716" xr:uid="{00000000-0005-0000-0000-000076520000}"/>
    <cellStyle name="常规 2 3 3 3 5" xfId="15344" xr:uid="{00000000-0005-0000-0000-000077520000}"/>
    <cellStyle name="常规 2 3 3 3 6" xfId="8088" xr:uid="{00000000-0005-0000-0000-000078520000}"/>
    <cellStyle name="常规 2 3 3 4" xfId="571" xr:uid="{00000000-0005-0000-0000-000079520000}"/>
    <cellStyle name="常规 2 3 3 4 2" xfId="1479" xr:uid="{00000000-0005-0000-0000-00007A520000}"/>
    <cellStyle name="常规 2 3 3 4 2 2" xfId="3293" xr:uid="{00000000-0005-0000-0000-00007B520000}"/>
    <cellStyle name="常规 2 3 3 4 2 2 2" xfId="6921" xr:uid="{00000000-0005-0000-0000-00007C520000}"/>
    <cellStyle name="常规 2 3 3 4 2 2 2 2" xfId="21433" xr:uid="{00000000-0005-0000-0000-00007D520000}"/>
    <cellStyle name="常规 2 3 3 4 2 2 2 3" xfId="14177" xr:uid="{00000000-0005-0000-0000-00007E520000}"/>
    <cellStyle name="常规 2 3 3 4 2 2 3" xfId="17805" xr:uid="{00000000-0005-0000-0000-00007F520000}"/>
    <cellStyle name="常规 2 3 3 4 2 2 4" xfId="10549" xr:uid="{00000000-0005-0000-0000-000080520000}"/>
    <cellStyle name="常规 2 3 3 4 2 3" xfId="5107" xr:uid="{00000000-0005-0000-0000-000081520000}"/>
    <cellStyle name="常规 2 3 3 4 2 3 2" xfId="19619" xr:uid="{00000000-0005-0000-0000-000082520000}"/>
    <cellStyle name="常规 2 3 3 4 2 3 3" xfId="12363" xr:uid="{00000000-0005-0000-0000-000083520000}"/>
    <cellStyle name="常规 2 3 3 4 2 4" xfId="15991" xr:uid="{00000000-0005-0000-0000-000084520000}"/>
    <cellStyle name="常规 2 3 3 4 2 5" xfId="8735" xr:uid="{00000000-0005-0000-0000-000085520000}"/>
    <cellStyle name="常规 2 3 3 4 3" xfId="2386" xr:uid="{00000000-0005-0000-0000-000086520000}"/>
    <cellStyle name="常规 2 3 3 4 3 2" xfId="6014" xr:uid="{00000000-0005-0000-0000-000087520000}"/>
    <cellStyle name="常规 2 3 3 4 3 2 2" xfId="20526" xr:uid="{00000000-0005-0000-0000-000088520000}"/>
    <cellStyle name="常规 2 3 3 4 3 2 3" xfId="13270" xr:uid="{00000000-0005-0000-0000-000089520000}"/>
    <cellStyle name="常规 2 3 3 4 3 3" xfId="16898" xr:uid="{00000000-0005-0000-0000-00008A520000}"/>
    <cellStyle name="常规 2 3 3 4 3 4" xfId="9642" xr:uid="{00000000-0005-0000-0000-00008B520000}"/>
    <cellStyle name="常规 2 3 3 4 4" xfId="4200" xr:uid="{00000000-0005-0000-0000-00008C520000}"/>
    <cellStyle name="常规 2 3 3 4 4 2" xfId="18712" xr:uid="{00000000-0005-0000-0000-00008D520000}"/>
    <cellStyle name="常规 2 3 3 4 4 3" xfId="11456" xr:uid="{00000000-0005-0000-0000-00008E520000}"/>
    <cellStyle name="常规 2 3 3 4 5" xfId="15084" xr:uid="{00000000-0005-0000-0000-00008F520000}"/>
    <cellStyle name="常规 2 3 3 4 6" xfId="7828" xr:uid="{00000000-0005-0000-0000-000090520000}"/>
    <cellStyle name="常规 2 3 3 5" xfId="1133" xr:uid="{00000000-0005-0000-0000-000091520000}"/>
    <cellStyle name="常规 2 3 3 5 2" xfId="2947" xr:uid="{00000000-0005-0000-0000-000092520000}"/>
    <cellStyle name="常规 2 3 3 5 2 2" xfId="6575" xr:uid="{00000000-0005-0000-0000-000093520000}"/>
    <cellStyle name="常规 2 3 3 5 2 2 2" xfId="21087" xr:uid="{00000000-0005-0000-0000-000094520000}"/>
    <cellStyle name="常规 2 3 3 5 2 2 3" xfId="13831" xr:uid="{00000000-0005-0000-0000-000095520000}"/>
    <cellStyle name="常规 2 3 3 5 2 3" xfId="17459" xr:uid="{00000000-0005-0000-0000-000096520000}"/>
    <cellStyle name="常规 2 3 3 5 2 4" xfId="10203" xr:uid="{00000000-0005-0000-0000-000097520000}"/>
    <cellStyle name="常规 2 3 3 5 3" xfId="4761" xr:uid="{00000000-0005-0000-0000-000098520000}"/>
    <cellStyle name="常规 2 3 3 5 3 2" xfId="19273" xr:uid="{00000000-0005-0000-0000-000099520000}"/>
    <cellStyle name="常规 2 3 3 5 3 3" xfId="12017" xr:uid="{00000000-0005-0000-0000-00009A520000}"/>
    <cellStyle name="常规 2 3 3 5 4" xfId="15645" xr:uid="{00000000-0005-0000-0000-00009B520000}"/>
    <cellStyle name="常规 2 3 3 5 5" xfId="8389" xr:uid="{00000000-0005-0000-0000-00009C520000}"/>
    <cellStyle name="常规 2 3 3 6" xfId="2040" xr:uid="{00000000-0005-0000-0000-00009D520000}"/>
    <cellStyle name="常规 2 3 3 6 2" xfId="5668" xr:uid="{00000000-0005-0000-0000-00009E520000}"/>
    <cellStyle name="常规 2 3 3 6 2 2" xfId="20180" xr:uid="{00000000-0005-0000-0000-00009F520000}"/>
    <cellStyle name="常规 2 3 3 6 2 3" xfId="12924" xr:uid="{00000000-0005-0000-0000-0000A0520000}"/>
    <cellStyle name="常规 2 3 3 6 3" xfId="16552" xr:uid="{00000000-0005-0000-0000-0000A1520000}"/>
    <cellStyle name="常规 2 3 3 6 4" xfId="9296" xr:uid="{00000000-0005-0000-0000-0000A2520000}"/>
    <cellStyle name="常规 2 3 3 7" xfId="3854" xr:uid="{00000000-0005-0000-0000-0000A3520000}"/>
    <cellStyle name="常规 2 3 3 7 2" xfId="18366" xr:uid="{00000000-0005-0000-0000-0000A4520000}"/>
    <cellStyle name="常规 2 3 3 7 3" xfId="11110" xr:uid="{00000000-0005-0000-0000-0000A5520000}"/>
    <cellStyle name="常规 2 3 3 8" xfId="14738" xr:uid="{00000000-0005-0000-0000-0000A6520000}"/>
    <cellStyle name="常规 2 3 3 9" xfId="7482" xr:uid="{00000000-0005-0000-0000-0000A7520000}"/>
    <cellStyle name="常规 2 3 4" xfId="139" xr:uid="{00000000-0005-0000-0000-0000A8520000}"/>
    <cellStyle name="常规 2 3 4 2" xfId="485" xr:uid="{00000000-0005-0000-0000-0000A9520000}"/>
    <cellStyle name="常规 2 3 4 2 2" xfId="1393" xr:uid="{00000000-0005-0000-0000-0000AA520000}"/>
    <cellStyle name="常规 2 3 4 2 2 2" xfId="3207" xr:uid="{00000000-0005-0000-0000-0000AB520000}"/>
    <cellStyle name="常规 2 3 4 2 2 2 2" xfId="6835" xr:uid="{00000000-0005-0000-0000-0000AC520000}"/>
    <cellStyle name="常规 2 3 4 2 2 2 2 2" xfId="21347" xr:uid="{00000000-0005-0000-0000-0000AD520000}"/>
    <cellStyle name="常规 2 3 4 2 2 2 2 3" xfId="14091" xr:uid="{00000000-0005-0000-0000-0000AE520000}"/>
    <cellStyle name="常规 2 3 4 2 2 2 3" xfId="17719" xr:uid="{00000000-0005-0000-0000-0000AF520000}"/>
    <cellStyle name="常规 2 3 4 2 2 2 4" xfId="10463" xr:uid="{00000000-0005-0000-0000-0000B0520000}"/>
    <cellStyle name="常规 2 3 4 2 2 3" xfId="5021" xr:uid="{00000000-0005-0000-0000-0000B1520000}"/>
    <cellStyle name="常规 2 3 4 2 2 3 2" xfId="19533" xr:uid="{00000000-0005-0000-0000-0000B2520000}"/>
    <cellStyle name="常规 2 3 4 2 2 3 3" xfId="12277" xr:uid="{00000000-0005-0000-0000-0000B3520000}"/>
    <cellStyle name="常规 2 3 4 2 2 4" xfId="15905" xr:uid="{00000000-0005-0000-0000-0000B4520000}"/>
    <cellStyle name="常规 2 3 4 2 2 5" xfId="8649" xr:uid="{00000000-0005-0000-0000-0000B5520000}"/>
    <cellStyle name="常规 2 3 4 2 3" xfId="2300" xr:uid="{00000000-0005-0000-0000-0000B6520000}"/>
    <cellStyle name="常规 2 3 4 2 3 2" xfId="5928" xr:uid="{00000000-0005-0000-0000-0000B7520000}"/>
    <cellStyle name="常规 2 3 4 2 3 2 2" xfId="20440" xr:uid="{00000000-0005-0000-0000-0000B8520000}"/>
    <cellStyle name="常规 2 3 4 2 3 2 3" xfId="13184" xr:uid="{00000000-0005-0000-0000-0000B9520000}"/>
    <cellStyle name="常规 2 3 4 2 3 3" xfId="16812" xr:uid="{00000000-0005-0000-0000-0000BA520000}"/>
    <cellStyle name="常规 2 3 4 2 3 4" xfId="9556" xr:uid="{00000000-0005-0000-0000-0000BB520000}"/>
    <cellStyle name="常规 2 3 4 2 4" xfId="4114" xr:uid="{00000000-0005-0000-0000-0000BC520000}"/>
    <cellStyle name="常规 2 3 4 2 4 2" xfId="18626" xr:uid="{00000000-0005-0000-0000-0000BD520000}"/>
    <cellStyle name="常规 2 3 4 2 4 3" xfId="11370" xr:uid="{00000000-0005-0000-0000-0000BE520000}"/>
    <cellStyle name="常规 2 3 4 2 5" xfId="14998" xr:uid="{00000000-0005-0000-0000-0000BF520000}"/>
    <cellStyle name="常规 2 3 4 2 6" xfId="7742" xr:uid="{00000000-0005-0000-0000-0000C0520000}"/>
    <cellStyle name="常规 2 3 4 3" xfId="1047" xr:uid="{00000000-0005-0000-0000-0000C1520000}"/>
    <cellStyle name="常规 2 3 4 3 2" xfId="2861" xr:uid="{00000000-0005-0000-0000-0000C2520000}"/>
    <cellStyle name="常规 2 3 4 3 2 2" xfId="6489" xr:uid="{00000000-0005-0000-0000-0000C3520000}"/>
    <cellStyle name="常规 2 3 4 3 2 2 2" xfId="21001" xr:uid="{00000000-0005-0000-0000-0000C4520000}"/>
    <cellStyle name="常规 2 3 4 3 2 2 3" xfId="13745" xr:uid="{00000000-0005-0000-0000-0000C5520000}"/>
    <cellStyle name="常规 2 3 4 3 2 3" xfId="17373" xr:uid="{00000000-0005-0000-0000-0000C6520000}"/>
    <cellStyle name="常规 2 3 4 3 2 4" xfId="10117" xr:uid="{00000000-0005-0000-0000-0000C7520000}"/>
    <cellStyle name="常规 2 3 4 3 3" xfId="4675" xr:uid="{00000000-0005-0000-0000-0000C8520000}"/>
    <cellStyle name="常规 2 3 4 3 3 2" xfId="19187" xr:uid="{00000000-0005-0000-0000-0000C9520000}"/>
    <cellStyle name="常规 2 3 4 3 3 3" xfId="11931" xr:uid="{00000000-0005-0000-0000-0000CA520000}"/>
    <cellStyle name="常规 2 3 4 3 4" xfId="15559" xr:uid="{00000000-0005-0000-0000-0000CB520000}"/>
    <cellStyle name="常规 2 3 4 3 5" xfId="8303" xr:uid="{00000000-0005-0000-0000-0000CC520000}"/>
    <cellStyle name="常规 2 3 4 4" xfId="1954" xr:uid="{00000000-0005-0000-0000-0000CD520000}"/>
    <cellStyle name="常规 2 3 4 4 2" xfId="5582" xr:uid="{00000000-0005-0000-0000-0000CE520000}"/>
    <cellStyle name="常规 2 3 4 4 2 2" xfId="20094" xr:uid="{00000000-0005-0000-0000-0000CF520000}"/>
    <cellStyle name="常规 2 3 4 4 2 3" xfId="12838" xr:uid="{00000000-0005-0000-0000-0000D0520000}"/>
    <cellStyle name="常规 2 3 4 4 3" xfId="16466" xr:uid="{00000000-0005-0000-0000-0000D1520000}"/>
    <cellStyle name="常规 2 3 4 4 4" xfId="9210" xr:uid="{00000000-0005-0000-0000-0000D2520000}"/>
    <cellStyle name="常规 2 3 4 5" xfId="3768" xr:uid="{00000000-0005-0000-0000-0000D3520000}"/>
    <cellStyle name="常规 2 3 4 5 2" xfId="18280" xr:uid="{00000000-0005-0000-0000-0000D4520000}"/>
    <cellStyle name="常规 2 3 4 5 3" xfId="11024" xr:uid="{00000000-0005-0000-0000-0000D5520000}"/>
    <cellStyle name="常规 2 3 4 6" xfId="14652" xr:uid="{00000000-0005-0000-0000-0000D6520000}"/>
    <cellStyle name="常规 2 3 4 7" xfId="7396" xr:uid="{00000000-0005-0000-0000-0000D7520000}"/>
    <cellStyle name="常规 2 3 5" xfId="269" xr:uid="{00000000-0005-0000-0000-0000D8520000}"/>
    <cellStyle name="常规 2 3 5 2" xfId="615" xr:uid="{00000000-0005-0000-0000-0000D9520000}"/>
    <cellStyle name="常规 2 3 5 2 2" xfId="1523" xr:uid="{00000000-0005-0000-0000-0000DA520000}"/>
    <cellStyle name="常规 2 3 5 2 2 2" xfId="3337" xr:uid="{00000000-0005-0000-0000-0000DB520000}"/>
    <cellStyle name="常规 2 3 5 2 2 2 2" xfId="6965" xr:uid="{00000000-0005-0000-0000-0000DC520000}"/>
    <cellStyle name="常规 2 3 5 2 2 2 2 2" xfId="21477" xr:uid="{00000000-0005-0000-0000-0000DD520000}"/>
    <cellStyle name="常规 2 3 5 2 2 2 2 3" xfId="14221" xr:uid="{00000000-0005-0000-0000-0000DE520000}"/>
    <cellStyle name="常规 2 3 5 2 2 2 3" xfId="17849" xr:uid="{00000000-0005-0000-0000-0000DF520000}"/>
    <cellStyle name="常规 2 3 5 2 2 2 4" xfId="10593" xr:uid="{00000000-0005-0000-0000-0000E0520000}"/>
    <cellStyle name="常规 2 3 5 2 2 3" xfId="5151" xr:uid="{00000000-0005-0000-0000-0000E1520000}"/>
    <cellStyle name="常规 2 3 5 2 2 3 2" xfId="19663" xr:uid="{00000000-0005-0000-0000-0000E2520000}"/>
    <cellStyle name="常规 2 3 5 2 2 3 3" xfId="12407" xr:uid="{00000000-0005-0000-0000-0000E3520000}"/>
    <cellStyle name="常规 2 3 5 2 2 4" xfId="16035" xr:uid="{00000000-0005-0000-0000-0000E4520000}"/>
    <cellStyle name="常规 2 3 5 2 2 5" xfId="8779" xr:uid="{00000000-0005-0000-0000-0000E5520000}"/>
    <cellStyle name="常规 2 3 5 2 3" xfId="2430" xr:uid="{00000000-0005-0000-0000-0000E6520000}"/>
    <cellStyle name="常规 2 3 5 2 3 2" xfId="6058" xr:uid="{00000000-0005-0000-0000-0000E7520000}"/>
    <cellStyle name="常规 2 3 5 2 3 2 2" xfId="20570" xr:uid="{00000000-0005-0000-0000-0000E8520000}"/>
    <cellStyle name="常规 2 3 5 2 3 2 3" xfId="13314" xr:uid="{00000000-0005-0000-0000-0000E9520000}"/>
    <cellStyle name="常规 2 3 5 2 3 3" xfId="16942" xr:uid="{00000000-0005-0000-0000-0000EA520000}"/>
    <cellStyle name="常规 2 3 5 2 3 4" xfId="9686" xr:uid="{00000000-0005-0000-0000-0000EB520000}"/>
    <cellStyle name="常规 2 3 5 2 4" xfId="4244" xr:uid="{00000000-0005-0000-0000-0000EC520000}"/>
    <cellStyle name="常规 2 3 5 2 4 2" xfId="18756" xr:uid="{00000000-0005-0000-0000-0000ED520000}"/>
    <cellStyle name="常规 2 3 5 2 4 3" xfId="11500" xr:uid="{00000000-0005-0000-0000-0000EE520000}"/>
    <cellStyle name="常规 2 3 5 2 5" xfId="15128" xr:uid="{00000000-0005-0000-0000-0000EF520000}"/>
    <cellStyle name="常规 2 3 5 2 6" xfId="7872" xr:uid="{00000000-0005-0000-0000-0000F0520000}"/>
    <cellStyle name="常规 2 3 5 3" xfId="1177" xr:uid="{00000000-0005-0000-0000-0000F1520000}"/>
    <cellStyle name="常规 2 3 5 3 2" xfId="2991" xr:uid="{00000000-0005-0000-0000-0000F2520000}"/>
    <cellStyle name="常规 2 3 5 3 2 2" xfId="6619" xr:uid="{00000000-0005-0000-0000-0000F3520000}"/>
    <cellStyle name="常规 2 3 5 3 2 2 2" xfId="21131" xr:uid="{00000000-0005-0000-0000-0000F4520000}"/>
    <cellStyle name="常规 2 3 5 3 2 2 3" xfId="13875" xr:uid="{00000000-0005-0000-0000-0000F5520000}"/>
    <cellStyle name="常规 2 3 5 3 2 3" xfId="17503" xr:uid="{00000000-0005-0000-0000-0000F6520000}"/>
    <cellStyle name="常规 2 3 5 3 2 4" xfId="10247" xr:uid="{00000000-0005-0000-0000-0000F7520000}"/>
    <cellStyle name="常规 2 3 5 3 3" xfId="4805" xr:uid="{00000000-0005-0000-0000-0000F8520000}"/>
    <cellStyle name="常规 2 3 5 3 3 2" xfId="19317" xr:uid="{00000000-0005-0000-0000-0000F9520000}"/>
    <cellStyle name="常规 2 3 5 3 3 3" xfId="12061" xr:uid="{00000000-0005-0000-0000-0000FA520000}"/>
    <cellStyle name="常规 2 3 5 3 4" xfId="15689" xr:uid="{00000000-0005-0000-0000-0000FB520000}"/>
    <cellStyle name="常规 2 3 5 3 5" xfId="8433" xr:uid="{00000000-0005-0000-0000-0000FC520000}"/>
    <cellStyle name="常规 2 3 5 4" xfId="2084" xr:uid="{00000000-0005-0000-0000-0000FD520000}"/>
    <cellStyle name="常规 2 3 5 4 2" xfId="5712" xr:uid="{00000000-0005-0000-0000-0000FE520000}"/>
    <cellStyle name="常规 2 3 5 4 2 2" xfId="20224" xr:uid="{00000000-0005-0000-0000-0000FF520000}"/>
    <cellStyle name="常规 2 3 5 4 2 3" xfId="12968" xr:uid="{00000000-0005-0000-0000-000000530000}"/>
    <cellStyle name="常规 2 3 5 4 3" xfId="16596" xr:uid="{00000000-0005-0000-0000-000001530000}"/>
    <cellStyle name="常规 2 3 5 4 4" xfId="9340" xr:uid="{00000000-0005-0000-0000-000002530000}"/>
    <cellStyle name="常规 2 3 5 5" xfId="3898" xr:uid="{00000000-0005-0000-0000-000003530000}"/>
    <cellStyle name="常规 2 3 5 5 2" xfId="18410" xr:uid="{00000000-0005-0000-0000-000004530000}"/>
    <cellStyle name="常规 2 3 5 5 3" xfId="11154" xr:uid="{00000000-0005-0000-0000-000005530000}"/>
    <cellStyle name="常规 2 3 5 6" xfId="14782" xr:uid="{00000000-0005-0000-0000-000006530000}"/>
    <cellStyle name="常规 2 3 5 7" xfId="7526" xr:uid="{00000000-0005-0000-0000-000007530000}"/>
    <cellStyle name="常规 2 3 6" xfId="745" xr:uid="{00000000-0005-0000-0000-000008530000}"/>
    <cellStyle name="常规 2 3 6 2" xfId="1653" xr:uid="{00000000-0005-0000-0000-000009530000}"/>
    <cellStyle name="常规 2 3 6 2 2" xfId="3467" xr:uid="{00000000-0005-0000-0000-00000A530000}"/>
    <cellStyle name="常规 2 3 6 2 2 2" xfId="7095" xr:uid="{00000000-0005-0000-0000-00000B530000}"/>
    <cellStyle name="常规 2 3 6 2 2 2 2" xfId="21607" xr:uid="{00000000-0005-0000-0000-00000C530000}"/>
    <cellStyle name="常规 2 3 6 2 2 2 3" xfId="14351" xr:uid="{00000000-0005-0000-0000-00000D530000}"/>
    <cellStyle name="常规 2 3 6 2 2 3" xfId="17979" xr:uid="{00000000-0005-0000-0000-00000E530000}"/>
    <cellStyle name="常规 2 3 6 2 2 4" xfId="10723" xr:uid="{00000000-0005-0000-0000-00000F530000}"/>
    <cellStyle name="常规 2 3 6 2 3" xfId="5281" xr:uid="{00000000-0005-0000-0000-000010530000}"/>
    <cellStyle name="常规 2 3 6 2 3 2" xfId="19793" xr:uid="{00000000-0005-0000-0000-000011530000}"/>
    <cellStyle name="常规 2 3 6 2 3 3" xfId="12537" xr:uid="{00000000-0005-0000-0000-000012530000}"/>
    <cellStyle name="常规 2 3 6 2 4" xfId="16165" xr:uid="{00000000-0005-0000-0000-000013530000}"/>
    <cellStyle name="常规 2 3 6 2 5" xfId="8909" xr:uid="{00000000-0005-0000-0000-000014530000}"/>
    <cellStyle name="常规 2 3 6 3" xfId="2560" xr:uid="{00000000-0005-0000-0000-000015530000}"/>
    <cellStyle name="常规 2 3 6 3 2" xfId="6188" xr:uid="{00000000-0005-0000-0000-000016530000}"/>
    <cellStyle name="常规 2 3 6 3 2 2" xfId="20700" xr:uid="{00000000-0005-0000-0000-000017530000}"/>
    <cellStyle name="常规 2 3 6 3 2 3" xfId="13444" xr:uid="{00000000-0005-0000-0000-000018530000}"/>
    <cellStyle name="常规 2 3 6 3 3" xfId="17072" xr:uid="{00000000-0005-0000-0000-000019530000}"/>
    <cellStyle name="常规 2 3 6 3 4" xfId="9816" xr:uid="{00000000-0005-0000-0000-00001A530000}"/>
    <cellStyle name="常规 2 3 6 4" xfId="4374" xr:uid="{00000000-0005-0000-0000-00001B530000}"/>
    <cellStyle name="常规 2 3 6 4 2" xfId="18886" xr:uid="{00000000-0005-0000-0000-00001C530000}"/>
    <cellStyle name="常规 2 3 6 4 3" xfId="11630" xr:uid="{00000000-0005-0000-0000-00001D530000}"/>
    <cellStyle name="常规 2 3 6 5" xfId="15258" xr:uid="{00000000-0005-0000-0000-00001E530000}"/>
    <cellStyle name="常规 2 3 6 6" xfId="8002" xr:uid="{00000000-0005-0000-0000-00001F530000}"/>
    <cellStyle name="常规 2 3 7" xfId="399" xr:uid="{00000000-0005-0000-0000-000020530000}"/>
    <cellStyle name="常规 2 3 7 2" xfId="1307" xr:uid="{00000000-0005-0000-0000-000021530000}"/>
    <cellStyle name="常规 2 3 7 2 2" xfId="3121" xr:uid="{00000000-0005-0000-0000-000022530000}"/>
    <cellStyle name="常规 2 3 7 2 2 2" xfId="6749" xr:uid="{00000000-0005-0000-0000-000023530000}"/>
    <cellStyle name="常规 2 3 7 2 2 2 2" xfId="21261" xr:uid="{00000000-0005-0000-0000-000024530000}"/>
    <cellStyle name="常规 2 3 7 2 2 2 3" xfId="14005" xr:uid="{00000000-0005-0000-0000-000025530000}"/>
    <cellStyle name="常规 2 3 7 2 2 3" xfId="17633" xr:uid="{00000000-0005-0000-0000-000026530000}"/>
    <cellStyle name="常规 2 3 7 2 2 4" xfId="10377" xr:uid="{00000000-0005-0000-0000-000027530000}"/>
    <cellStyle name="常规 2 3 7 2 3" xfId="4935" xr:uid="{00000000-0005-0000-0000-000028530000}"/>
    <cellStyle name="常规 2 3 7 2 3 2" xfId="19447" xr:uid="{00000000-0005-0000-0000-000029530000}"/>
    <cellStyle name="常规 2 3 7 2 3 3" xfId="12191" xr:uid="{00000000-0005-0000-0000-00002A530000}"/>
    <cellStyle name="常规 2 3 7 2 4" xfId="15819" xr:uid="{00000000-0005-0000-0000-00002B530000}"/>
    <cellStyle name="常规 2 3 7 2 5" xfId="8563" xr:uid="{00000000-0005-0000-0000-00002C530000}"/>
    <cellStyle name="常规 2 3 7 3" xfId="2214" xr:uid="{00000000-0005-0000-0000-00002D530000}"/>
    <cellStyle name="常规 2 3 7 3 2" xfId="5842" xr:uid="{00000000-0005-0000-0000-00002E530000}"/>
    <cellStyle name="常规 2 3 7 3 2 2" xfId="20354" xr:uid="{00000000-0005-0000-0000-00002F530000}"/>
    <cellStyle name="常规 2 3 7 3 2 3" xfId="13098" xr:uid="{00000000-0005-0000-0000-000030530000}"/>
    <cellStyle name="常规 2 3 7 3 3" xfId="16726" xr:uid="{00000000-0005-0000-0000-000031530000}"/>
    <cellStyle name="常规 2 3 7 3 4" xfId="9470" xr:uid="{00000000-0005-0000-0000-000032530000}"/>
    <cellStyle name="常规 2 3 7 4" xfId="4028" xr:uid="{00000000-0005-0000-0000-000033530000}"/>
    <cellStyle name="常规 2 3 7 4 2" xfId="18540" xr:uid="{00000000-0005-0000-0000-000034530000}"/>
    <cellStyle name="常规 2 3 7 4 3" xfId="11284" xr:uid="{00000000-0005-0000-0000-000035530000}"/>
    <cellStyle name="常规 2 3 7 5" xfId="14912" xr:uid="{00000000-0005-0000-0000-000036530000}"/>
    <cellStyle name="常规 2 3 7 6" xfId="7656" xr:uid="{00000000-0005-0000-0000-000037530000}"/>
    <cellStyle name="常规 2 3 8" xfId="888" xr:uid="{00000000-0005-0000-0000-000038530000}"/>
    <cellStyle name="常规 2 3 8 2" xfId="1796" xr:uid="{00000000-0005-0000-0000-000039530000}"/>
    <cellStyle name="常规 2 3 8 2 2" xfId="3610" xr:uid="{00000000-0005-0000-0000-00003A530000}"/>
    <cellStyle name="常规 2 3 8 2 2 2" xfId="7238" xr:uid="{00000000-0005-0000-0000-00003B530000}"/>
    <cellStyle name="常规 2 3 8 2 2 2 2" xfId="21750" xr:uid="{00000000-0005-0000-0000-00003C530000}"/>
    <cellStyle name="常规 2 3 8 2 2 2 3" xfId="14494" xr:uid="{00000000-0005-0000-0000-00003D530000}"/>
    <cellStyle name="常规 2 3 8 2 2 3" xfId="18122" xr:uid="{00000000-0005-0000-0000-00003E530000}"/>
    <cellStyle name="常规 2 3 8 2 2 4" xfId="10866" xr:uid="{00000000-0005-0000-0000-00003F530000}"/>
    <cellStyle name="常规 2 3 8 2 3" xfId="5424" xr:uid="{00000000-0005-0000-0000-000040530000}"/>
    <cellStyle name="常规 2 3 8 2 3 2" xfId="19936" xr:uid="{00000000-0005-0000-0000-000041530000}"/>
    <cellStyle name="常规 2 3 8 2 3 3" xfId="12680" xr:uid="{00000000-0005-0000-0000-000042530000}"/>
    <cellStyle name="常规 2 3 8 2 4" xfId="16308" xr:uid="{00000000-0005-0000-0000-000043530000}"/>
    <cellStyle name="常规 2 3 8 2 5" xfId="9052" xr:uid="{00000000-0005-0000-0000-000044530000}"/>
    <cellStyle name="常规 2 3 8 3" xfId="2703" xr:uid="{00000000-0005-0000-0000-000045530000}"/>
    <cellStyle name="常规 2 3 8 3 2" xfId="6331" xr:uid="{00000000-0005-0000-0000-000046530000}"/>
    <cellStyle name="常规 2 3 8 3 2 2" xfId="20843" xr:uid="{00000000-0005-0000-0000-000047530000}"/>
    <cellStyle name="常规 2 3 8 3 2 3" xfId="13587" xr:uid="{00000000-0005-0000-0000-000048530000}"/>
    <cellStyle name="常规 2 3 8 3 3" xfId="17215" xr:uid="{00000000-0005-0000-0000-000049530000}"/>
    <cellStyle name="常规 2 3 8 3 4" xfId="9959" xr:uid="{00000000-0005-0000-0000-00004A530000}"/>
    <cellStyle name="常规 2 3 8 4" xfId="4517" xr:uid="{00000000-0005-0000-0000-00004B530000}"/>
    <cellStyle name="常规 2 3 8 4 2" xfId="19029" xr:uid="{00000000-0005-0000-0000-00004C530000}"/>
    <cellStyle name="常规 2 3 8 4 3" xfId="11773" xr:uid="{00000000-0005-0000-0000-00004D530000}"/>
    <cellStyle name="常规 2 3 8 5" xfId="15401" xr:uid="{00000000-0005-0000-0000-00004E530000}"/>
    <cellStyle name="常规 2 3 8 6" xfId="8145" xr:uid="{00000000-0005-0000-0000-00004F530000}"/>
    <cellStyle name="常规 2 3 9" xfId="961" xr:uid="{00000000-0005-0000-0000-000050530000}"/>
    <cellStyle name="常规 2 3 9 2" xfId="2775" xr:uid="{00000000-0005-0000-0000-000051530000}"/>
    <cellStyle name="常规 2 3 9 2 2" xfId="6403" xr:uid="{00000000-0005-0000-0000-000052530000}"/>
    <cellStyle name="常规 2 3 9 2 2 2" xfId="20915" xr:uid="{00000000-0005-0000-0000-000053530000}"/>
    <cellStyle name="常规 2 3 9 2 2 3" xfId="13659" xr:uid="{00000000-0005-0000-0000-000054530000}"/>
    <cellStyle name="常规 2 3 9 2 3" xfId="17287" xr:uid="{00000000-0005-0000-0000-000055530000}"/>
    <cellStyle name="常规 2 3 9 2 4" xfId="10031" xr:uid="{00000000-0005-0000-0000-000056530000}"/>
    <cellStyle name="常规 2 3 9 3" xfId="4589" xr:uid="{00000000-0005-0000-0000-000057530000}"/>
    <cellStyle name="常规 2 3 9 3 2" xfId="19101" xr:uid="{00000000-0005-0000-0000-000058530000}"/>
    <cellStyle name="常规 2 3 9 3 3" xfId="11845" xr:uid="{00000000-0005-0000-0000-000059530000}"/>
    <cellStyle name="常规 2 3 9 4" xfId="15473" xr:uid="{00000000-0005-0000-0000-00005A530000}"/>
    <cellStyle name="常规 2 3 9 5" xfId="8217" xr:uid="{00000000-0005-0000-0000-00005B530000}"/>
    <cellStyle name="常规 2 4" xfId="72" xr:uid="{00000000-0005-0000-0000-00005C530000}"/>
    <cellStyle name="常规 2 4 10" xfId="14587" xr:uid="{00000000-0005-0000-0000-00005D530000}"/>
    <cellStyle name="常规 2 4 11" xfId="7331" xr:uid="{00000000-0005-0000-0000-00005E530000}"/>
    <cellStyle name="常规 2 4 2" xfId="160" xr:uid="{00000000-0005-0000-0000-00005F530000}"/>
    <cellStyle name="常规 2 4 2 2" xfId="506" xr:uid="{00000000-0005-0000-0000-000060530000}"/>
    <cellStyle name="常规 2 4 2 2 2" xfId="1414" xr:uid="{00000000-0005-0000-0000-000061530000}"/>
    <cellStyle name="常规 2 4 2 2 2 2" xfId="3228" xr:uid="{00000000-0005-0000-0000-000062530000}"/>
    <cellStyle name="常规 2 4 2 2 2 2 2" xfId="6856" xr:uid="{00000000-0005-0000-0000-000063530000}"/>
    <cellStyle name="常规 2 4 2 2 2 2 2 2" xfId="21368" xr:uid="{00000000-0005-0000-0000-000064530000}"/>
    <cellStyle name="常规 2 4 2 2 2 2 2 3" xfId="14112" xr:uid="{00000000-0005-0000-0000-000065530000}"/>
    <cellStyle name="常规 2 4 2 2 2 2 3" xfId="17740" xr:uid="{00000000-0005-0000-0000-000066530000}"/>
    <cellStyle name="常规 2 4 2 2 2 2 4" xfId="10484" xr:uid="{00000000-0005-0000-0000-000067530000}"/>
    <cellStyle name="常规 2 4 2 2 2 3" xfId="5042" xr:uid="{00000000-0005-0000-0000-000068530000}"/>
    <cellStyle name="常规 2 4 2 2 2 3 2" xfId="19554" xr:uid="{00000000-0005-0000-0000-000069530000}"/>
    <cellStyle name="常规 2 4 2 2 2 3 3" xfId="12298" xr:uid="{00000000-0005-0000-0000-00006A530000}"/>
    <cellStyle name="常规 2 4 2 2 2 4" xfId="15926" xr:uid="{00000000-0005-0000-0000-00006B530000}"/>
    <cellStyle name="常规 2 4 2 2 2 5" xfId="8670" xr:uid="{00000000-0005-0000-0000-00006C530000}"/>
    <cellStyle name="常规 2 4 2 2 3" xfId="2321" xr:uid="{00000000-0005-0000-0000-00006D530000}"/>
    <cellStyle name="常规 2 4 2 2 3 2" xfId="5949" xr:uid="{00000000-0005-0000-0000-00006E530000}"/>
    <cellStyle name="常规 2 4 2 2 3 2 2" xfId="20461" xr:uid="{00000000-0005-0000-0000-00006F530000}"/>
    <cellStyle name="常规 2 4 2 2 3 2 3" xfId="13205" xr:uid="{00000000-0005-0000-0000-000070530000}"/>
    <cellStyle name="常规 2 4 2 2 3 3" xfId="16833" xr:uid="{00000000-0005-0000-0000-000071530000}"/>
    <cellStyle name="常规 2 4 2 2 3 4" xfId="9577" xr:uid="{00000000-0005-0000-0000-000072530000}"/>
    <cellStyle name="常规 2 4 2 2 4" xfId="4135" xr:uid="{00000000-0005-0000-0000-000073530000}"/>
    <cellStyle name="常规 2 4 2 2 4 2" xfId="18647" xr:uid="{00000000-0005-0000-0000-000074530000}"/>
    <cellStyle name="常规 2 4 2 2 4 3" xfId="11391" xr:uid="{00000000-0005-0000-0000-000075530000}"/>
    <cellStyle name="常规 2 4 2 2 5" xfId="15019" xr:uid="{00000000-0005-0000-0000-000076530000}"/>
    <cellStyle name="常规 2 4 2 2 6" xfId="7763" xr:uid="{00000000-0005-0000-0000-000077530000}"/>
    <cellStyle name="常规 2 4 2 3" xfId="1068" xr:uid="{00000000-0005-0000-0000-000078530000}"/>
    <cellStyle name="常规 2 4 2 3 2" xfId="2882" xr:uid="{00000000-0005-0000-0000-000079530000}"/>
    <cellStyle name="常规 2 4 2 3 2 2" xfId="6510" xr:uid="{00000000-0005-0000-0000-00007A530000}"/>
    <cellStyle name="常规 2 4 2 3 2 2 2" xfId="21022" xr:uid="{00000000-0005-0000-0000-00007B530000}"/>
    <cellStyle name="常规 2 4 2 3 2 2 3" xfId="13766" xr:uid="{00000000-0005-0000-0000-00007C530000}"/>
    <cellStyle name="常规 2 4 2 3 2 3" xfId="17394" xr:uid="{00000000-0005-0000-0000-00007D530000}"/>
    <cellStyle name="常规 2 4 2 3 2 4" xfId="10138" xr:uid="{00000000-0005-0000-0000-00007E530000}"/>
    <cellStyle name="常规 2 4 2 3 3" xfId="4696" xr:uid="{00000000-0005-0000-0000-00007F530000}"/>
    <cellStyle name="常规 2 4 2 3 3 2" xfId="19208" xr:uid="{00000000-0005-0000-0000-000080530000}"/>
    <cellStyle name="常规 2 4 2 3 3 3" xfId="11952" xr:uid="{00000000-0005-0000-0000-000081530000}"/>
    <cellStyle name="常规 2 4 2 3 4" xfId="15580" xr:uid="{00000000-0005-0000-0000-000082530000}"/>
    <cellStyle name="常规 2 4 2 3 5" xfId="8324" xr:uid="{00000000-0005-0000-0000-000083530000}"/>
    <cellStyle name="常规 2 4 2 4" xfId="1975" xr:uid="{00000000-0005-0000-0000-000084530000}"/>
    <cellStyle name="常规 2 4 2 4 2" xfId="5603" xr:uid="{00000000-0005-0000-0000-000085530000}"/>
    <cellStyle name="常规 2 4 2 4 2 2" xfId="20115" xr:uid="{00000000-0005-0000-0000-000086530000}"/>
    <cellStyle name="常规 2 4 2 4 2 3" xfId="12859" xr:uid="{00000000-0005-0000-0000-000087530000}"/>
    <cellStyle name="常规 2 4 2 4 3" xfId="16487" xr:uid="{00000000-0005-0000-0000-000088530000}"/>
    <cellStyle name="常规 2 4 2 4 4" xfId="9231" xr:uid="{00000000-0005-0000-0000-000089530000}"/>
    <cellStyle name="常规 2 4 2 5" xfId="3789" xr:uid="{00000000-0005-0000-0000-00008A530000}"/>
    <cellStyle name="常规 2 4 2 5 2" xfId="18301" xr:uid="{00000000-0005-0000-0000-00008B530000}"/>
    <cellStyle name="常规 2 4 2 5 3" xfId="11045" xr:uid="{00000000-0005-0000-0000-00008C530000}"/>
    <cellStyle name="常规 2 4 2 6" xfId="14673" xr:uid="{00000000-0005-0000-0000-00008D530000}"/>
    <cellStyle name="常规 2 4 2 7" xfId="7417" xr:uid="{00000000-0005-0000-0000-00008E530000}"/>
    <cellStyle name="常规 2 4 3" xfId="290" xr:uid="{00000000-0005-0000-0000-00008F530000}"/>
    <cellStyle name="常规 2 4 3 2" xfId="636" xr:uid="{00000000-0005-0000-0000-000090530000}"/>
    <cellStyle name="常规 2 4 3 2 2" xfId="1544" xr:uid="{00000000-0005-0000-0000-000091530000}"/>
    <cellStyle name="常规 2 4 3 2 2 2" xfId="3358" xr:uid="{00000000-0005-0000-0000-000092530000}"/>
    <cellStyle name="常规 2 4 3 2 2 2 2" xfId="6986" xr:uid="{00000000-0005-0000-0000-000093530000}"/>
    <cellStyle name="常规 2 4 3 2 2 2 2 2" xfId="21498" xr:uid="{00000000-0005-0000-0000-000094530000}"/>
    <cellStyle name="常规 2 4 3 2 2 2 2 3" xfId="14242" xr:uid="{00000000-0005-0000-0000-000095530000}"/>
    <cellStyle name="常规 2 4 3 2 2 2 3" xfId="17870" xr:uid="{00000000-0005-0000-0000-000096530000}"/>
    <cellStyle name="常规 2 4 3 2 2 2 4" xfId="10614" xr:uid="{00000000-0005-0000-0000-000097530000}"/>
    <cellStyle name="常规 2 4 3 2 2 3" xfId="5172" xr:uid="{00000000-0005-0000-0000-000098530000}"/>
    <cellStyle name="常规 2 4 3 2 2 3 2" xfId="19684" xr:uid="{00000000-0005-0000-0000-000099530000}"/>
    <cellStyle name="常规 2 4 3 2 2 3 3" xfId="12428" xr:uid="{00000000-0005-0000-0000-00009A530000}"/>
    <cellStyle name="常规 2 4 3 2 2 4" xfId="16056" xr:uid="{00000000-0005-0000-0000-00009B530000}"/>
    <cellStyle name="常规 2 4 3 2 2 5" xfId="8800" xr:uid="{00000000-0005-0000-0000-00009C530000}"/>
    <cellStyle name="常规 2 4 3 2 3" xfId="2451" xr:uid="{00000000-0005-0000-0000-00009D530000}"/>
    <cellStyle name="常规 2 4 3 2 3 2" xfId="6079" xr:uid="{00000000-0005-0000-0000-00009E530000}"/>
    <cellStyle name="常规 2 4 3 2 3 2 2" xfId="20591" xr:uid="{00000000-0005-0000-0000-00009F530000}"/>
    <cellStyle name="常规 2 4 3 2 3 2 3" xfId="13335" xr:uid="{00000000-0005-0000-0000-0000A0530000}"/>
    <cellStyle name="常规 2 4 3 2 3 3" xfId="16963" xr:uid="{00000000-0005-0000-0000-0000A1530000}"/>
    <cellStyle name="常规 2 4 3 2 3 4" xfId="9707" xr:uid="{00000000-0005-0000-0000-0000A2530000}"/>
    <cellStyle name="常规 2 4 3 2 4" xfId="4265" xr:uid="{00000000-0005-0000-0000-0000A3530000}"/>
    <cellStyle name="常规 2 4 3 2 4 2" xfId="18777" xr:uid="{00000000-0005-0000-0000-0000A4530000}"/>
    <cellStyle name="常规 2 4 3 2 4 3" xfId="11521" xr:uid="{00000000-0005-0000-0000-0000A5530000}"/>
    <cellStyle name="常规 2 4 3 2 5" xfId="15149" xr:uid="{00000000-0005-0000-0000-0000A6530000}"/>
    <cellStyle name="常规 2 4 3 2 6" xfId="7893" xr:uid="{00000000-0005-0000-0000-0000A7530000}"/>
    <cellStyle name="常规 2 4 3 3" xfId="1198" xr:uid="{00000000-0005-0000-0000-0000A8530000}"/>
    <cellStyle name="常规 2 4 3 3 2" xfId="3012" xr:uid="{00000000-0005-0000-0000-0000A9530000}"/>
    <cellStyle name="常规 2 4 3 3 2 2" xfId="6640" xr:uid="{00000000-0005-0000-0000-0000AA530000}"/>
    <cellStyle name="常规 2 4 3 3 2 2 2" xfId="21152" xr:uid="{00000000-0005-0000-0000-0000AB530000}"/>
    <cellStyle name="常规 2 4 3 3 2 2 3" xfId="13896" xr:uid="{00000000-0005-0000-0000-0000AC530000}"/>
    <cellStyle name="常规 2 4 3 3 2 3" xfId="17524" xr:uid="{00000000-0005-0000-0000-0000AD530000}"/>
    <cellStyle name="常规 2 4 3 3 2 4" xfId="10268" xr:uid="{00000000-0005-0000-0000-0000AE530000}"/>
    <cellStyle name="常规 2 4 3 3 3" xfId="4826" xr:uid="{00000000-0005-0000-0000-0000AF530000}"/>
    <cellStyle name="常规 2 4 3 3 3 2" xfId="19338" xr:uid="{00000000-0005-0000-0000-0000B0530000}"/>
    <cellStyle name="常规 2 4 3 3 3 3" xfId="12082" xr:uid="{00000000-0005-0000-0000-0000B1530000}"/>
    <cellStyle name="常规 2 4 3 3 4" xfId="15710" xr:uid="{00000000-0005-0000-0000-0000B2530000}"/>
    <cellStyle name="常规 2 4 3 3 5" xfId="8454" xr:uid="{00000000-0005-0000-0000-0000B3530000}"/>
    <cellStyle name="常规 2 4 3 4" xfId="2105" xr:uid="{00000000-0005-0000-0000-0000B4530000}"/>
    <cellStyle name="常规 2 4 3 4 2" xfId="5733" xr:uid="{00000000-0005-0000-0000-0000B5530000}"/>
    <cellStyle name="常规 2 4 3 4 2 2" xfId="20245" xr:uid="{00000000-0005-0000-0000-0000B6530000}"/>
    <cellStyle name="常规 2 4 3 4 2 3" xfId="12989" xr:uid="{00000000-0005-0000-0000-0000B7530000}"/>
    <cellStyle name="常规 2 4 3 4 3" xfId="16617" xr:uid="{00000000-0005-0000-0000-0000B8530000}"/>
    <cellStyle name="常规 2 4 3 4 4" xfId="9361" xr:uid="{00000000-0005-0000-0000-0000B9530000}"/>
    <cellStyle name="常规 2 4 3 5" xfId="3919" xr:uid="{00000000-0005-0000-0000-0000BA530000}"/>
    <cellStyle name="常规 2 4 3 5 2" xfId="18431" xr:uid="{00000000-0005-0000-0000-0000BB530000}"/>
    <cellStyle name="常规 2 4 3 5 3" xfId="11175" xr:uid="{00000000-0005-0000-0000-0000BC530000}"/>
    <cellStyle name="常规 2 4 3 6" xfId="14803" xr:uid="{00000000-0005-0000-0000-0000BD530000}"/>
    <cellStyle name="常规 2 4 3 7" xfId="7547" xr:uid="{00000000-0005-0000-0000-0000BE530000}"/>
    <cellStyle name="常规 2 4 4" xfId="766" xr:uid="{00000000-0005-0000-0000-0000BF530000}"/>
    <cellStyle name="常规 2 4 4 2" xfId="1674" xr:uid="{00000000-0005-0000-0000-0000C0530000}"/>
    <cellStyle name="常规 2 4 4 2 2" xfId="3488" xr:uid="{00000000-0005-0000-0000-0000C1530000}"/>
    <cellStyle name="常规 2 4 4 2 2 2" xfId="7116" xr:uid="{00000000-0005-0000-0000-0000C2530000}"/>
    <cellStyle name="常规 2 4 4 2 2 2 2" xfId="21628" xr:uid="{00000000-0005-0000-0000-0000C3530000}"/>
    <cellStyle name="常规 2 4 4 2 2 2 3" xfId="14372" xr:uid="{00000000-0005-0000-0000-0000C4530000}"/>
    <cellStyle name="常规 2 4 4 2 2 3" xfId="18000" xr:uid="{00000000-0005-0000-0000-0000C5530000}"/>
    <cellStyle name="常规 2 4 4 2 2 4" xfId="10744" xr:uid="{00000000-0005-0000-0000-0000C6530000}"/>
    <cellStyle name="常规 2 4 4 2 3" xfId="5302" xr:uid="{00000000-0005-0000-0000-0000C7530000}"/>
    <cellStyle name="常规 2 4 4 2 3 2" xfId="19814" xr:uid="{00000000-0005-0000-0000-0000C8530000}"/>
    <cellStyle name="常规 2 4 4 2 3 3" xfId="12558" xr:uid="{00000000-0005-0000-0000-0000C9530000}"/>
    <cellStyle name="常规 2 4 4 2 4" xfId="16186" xr:uid="{00000000-0005-0000-0000-0000CA530000}"/>
    <cellStyle name="常规 2 4 4 2 5" xfId="8930" xr:uid="{00000000-0005-0000-0000-0000CB530000}"/>
    <cellStyle name="常规 2 4 4 3" xfId="2581" xr:uid="{00000000-0005-0000-0000-0000CC530000}"/>
    <cellStyle name="常规 2 4 4 3 2" xfId="6209" xr:uid="{00000000-0005-0000-0000-0000CD530000}"/>
    <cellStyle name="常规 2 4 4 3 2 2" xfId="20721" xr:uid="{00000000-0005-0000-0000-0000CE530000}"/>
    <cellStyle name="常规 2 4 4 3 2 3" xfId="13465" xr:uid="{00000000-0005-0000-0000-0000CF530000}"/>
    <cellStyle name="常规 2 4 4 3 3" xfId="17093" xr:uid="{00000000-0005-0000-0000-0000D0530000}"/>
    <cellStyle name="常规 2 4 4 3 4" xfId="9837" xr:uid="{00000000-0005-0000-0000-0000D1530000}"/>
    <cellStyle name="常规 2 4 4 4" xfId="4395" xr:uid="{00000000-0005-0000-0000-0000D2530000}"/>
    <cellStyle name="常规 2 4 4 4 2" xfId="18907" xr:uid="{00000000-0005-0000-0000-0000D3530000}"/>
    <cellStyle name="常规 2 4 4 4 3" xfId="11651" xr:uid="{00000000-0005-0000-0000-0000D4530000}"/>
    <cellStyle name="常规 2 4 4 5" xfId="15279" xr:uid="{00000000-0005-0000-0000-0000D5530000}"/>
    <cellStyle name="常规 2 4 4 6" xfId="8023" xr:uid="{00000000-0005-0000-0000-0000D6530000}"/>
    <cellStyle name="常规 2 4 5" xfId="420" xr:uid="{00000000-0005-0000-0000-0000D7530000}"/>
    <cellStyle name="常规 2 4 5 2" xfId="1328" xr:uid="{00000000-0005-0000-0000-0000D8530000}"/>
    <cellStyle name="常规 2 4 5 2 2" xfId="3142" xr:uid="{00000000-0005-0000-0000-0000D9530000}"/>
    <cellStyle name="常规 2 4 5 2 2 2" xfId="6770" xr:uid="{00000000-0005-0000-0000-0000DA530000}"/>
    <cellStyle name="常规 2 4 5 2 2 2 2" xfId="21282" xr:uid="{00000000-0005-0000-0000-0000DB530000}"/>
    <cellStyle name="常规 2 4 5 2 2 2 3" xfId="14026" xr:uid="{00000000-0005-0000-0000-0000DC530000}"/>
    <cellStyle name="常规 2 4 5 2 2 3" xfId="17654" xr:uid="{00000000-0005-0000-0000-0000DD530000}"/>
    <cellStyle name="常规 2 4 5 2 2 4" xfId="10398" xr:uid="{00000000-0005-0000-0000-0000DE530000}"/>
    <cellStyle name="常规 2 4 5 2 3" xfId="4956" xr:uid="{00000000-0005-0000-0000-0000DF530000}"/>
    <cellStyle name="常规 2 4 5 2 3 2" xfId="19468" xr:uid="{00000000-0005-0000-0000-0000E0530000}"/>
    <cellStyle name="常规 2 4 5 2 3 3" xfId="12212" xr:uid="{00000000-0005-0000-0000-0000E1530000}"/>
    <cellStyle name="常规 2 4 5 2 4" xfId="15840" xr:uid="{00000000-0005-0000-0000-0000E2530000}"/>
    <cellStyle name="常规 2 4 5 2 5" xfId="8584" xr:uid="{00000000-0005-0000-0000-0000E3530000}"/>
    <cellStyle name="常规 2 4 5 3" xfId="2235" xr:uid="{00000000-0005-0000-0000-0000E4530000}"/>
    <cellStyle name="常规 2 4 5 3 2" xfId="5863" xr:uid="{00000000-0005-0000-0000-0000E5530000}"/>
    <cellStyle name="常规 2 4 5 3 2 2" xfId="20375" xr:uid="{00000000-0005-0000-0000-0000E6530000}"/>
    <cellStyle name="常规 2 4 5 3 2 3" xfId="13119" xr:uid="{00000000-0005-0000-0000-0000E7530000}"/>
    <cellStyle name="常规 2 4 5 3 3" xfId="16747" xr:uid="{00000000-0005-0000-0000-0000E8530000}"/>
    <cellStyle name="常规 2 4 5 3 4" xfId="9491" xr:uid="{00000000-0005-0000-0000-0000E9530000}"/>
    <cellStyle name="常规 2 4 5 4" xfId="4049" xr:uid="{00000000-0005-0000-0000-0000EA530000}"/>
    <cellStyle name="常规 2 4 5 4 2" xfId="18561" xr:uid="{00000000-0005-0000-0000-0000EB530000}"/>
    <cellStyle name="常规 2 4 5 4 3" xfId="11305" xr:uid="{00000000-0005-0000-0000-0000EC530000}"/>
    <cellStyle name="常规 2 4 5 5" xfId="14933" xr:uid="{00000000-0005-0000-0000-0000ED530000}"/>
    <cellStyle name="常规 2 4 5 6" xfId="7677" xr:uid="{00000000-0005-0000-0000-0000EE530000}"/>
    <cellStyle name="常规 2 4 6" xfId="897" xr:uid="{00000000-0005-0000-0000-0000EF530000}"/>
    <cellStyle name="常规 2 4 6 2" xfId="1805" xr:uid="{00000000-0005-0000-0000-0000F0530000}"/>
    <cellStyle name="常规 2 4 6 2 2" xfId="3619" xr:uid="{00000000-0005-0000-0000-0000F1530000}"/>
    <cellStyle name="常规 2 4 6 2 2 2" xfId="7247" xr:uid="{00000000-0005-0000-0000-0000F2530000}"/>
    <cellStyle name="常规 2 4 6 2 2 2 2" xfId="21759" xr:uid="{00000000-0005-0000-0000-0000F3530000}"/>
    <cellStyle name="常规 2 4 6 2 2 2 3" xfId="14503" xr:uid="{00000000-0005-0000-0000-0000F4530000}"/>
    <cellStyle name="常规 2 4 6 2 2 3" xfId="18131" xr:uid="{00000000-0005-0000-0000-0000F5530000}"/>
    <cellStyle name="常规 2 4 6 2 2 4" xfId="10875" xr:uid="{00000000-0005-0000-0000-0000F6530000}"/>
    <cellStyle name="常规 2 4 6 2 3" xfId="5433" xr:uid="{00000000-0005-0000-0000-0000F7530000}"/>
    <cellStyle name="常规 2 4 6 2 3 2" xfId="19945" xr:uid="{00000000-0005-0000-0000-0000F8530000}"/>
    <cellStyle name="常规 2 4 6 2 3 3" xfId="12689" xr:uid="{00000000-0005-0000-0000-0000F9530000}"/>
    <cellStyle name="常规 2 4 6 2 4" xfId="16317" xr:uid="{00000000-0005-0000-0000-0000FA530000}"/>
    <cellStyle name="常规 2 4 6 2 5" xfId="9061" xr:uid="{00000000-0005-0000-0000-0000FB530000}"/>
    <cellStyle name="常规 2 4 6 3" xfId="2712" xr:uid="{00000000-0005-0000-0000-0000FC530000}"/>
    <cellStyle name="常规 2 4 6 3 2" xfId="6340" xr:uid="{00000000-0005-0000-0000-0000FD530000}"/>
    <cellStyle name="常规 2 4 6 3 2 2" xfId="20852" xr:uid="{00000000-0005-0000-0000-0000FE530000}"/>
    <cellStyle name="常规 2 4 6 3 2 3" xfId="13596" xr:uid="{00000000-0005-0000-0000-0000FF530000}"/>
    <cellStyle name="常规 2 4 6 3 3" xfId="17224" xr:uid="{00000000-0005-0000-0000-000000540000}"/>
    <cellStyle name="常规 2 4 6 3 4" xfId="9968" xr:uid="{00000000-0005-0000-0000-000001540000}"/>
    <cellStyle name="常规 2 4 6 4" xfId="4526" xr:uid="{00000000-0005-0000-0000-000002540000}"/>
    <cellStyle name="常规 2 4 6 4 2" xfId="19038" xr:uid="{00000000-0005-0000-0000-000003540000}"/>
    <cellStyle name="常规 2 4 6 4 3" xfId="11782" xr:uid="{00000000-0005-0000-0000-000004540000}"/>
    <cellStyle name="常规 2 4 6 5" xfId="15410" xr:uid="{00000000-0005-0000-0000-000005540000}"/>
    <cellStyle name="常规 2 4 6 6" xfId="8154" xr:uid="{00000000-0005-0000-0000-000006540000}"/>
    <cellStyle name="常规 2 4 7" xfId="982" xr:uid="{00000000-0005-0000-0000-000007540000}"/>
    <cellStyle name="常规 2 4 7 2" xfId="2796" xr:uid="{00000000-0005-0000-0000-000008540000}"/>
    <cellStyle name="常规 2 4 7 2 2" xfId="6424" xr:uid="{00000000-0005-0000-0000-000009540000}"/>
    <cellStyle name="常规 2 4 7 2 2 2" xfId="20936" xr:uid="{00000000-0005-0000-0000-00000A540000}"/>
    <cellStyle name="常规 2 4 7 2 2 3" xfId="13680" xr:uid="{00000000-0005-0000-0000-00000B540000}"/>
    <cellStyle name="常规 2 4 7 2 3" xfId="17308" xr:uid="{00000000-0005-0000-0000-00000C540000}"/>
    <cellStyle name="常规 2 4 7 2 4" xfId="10052" xr:uid="{00000000-0005-0000-0000-00000D540000}"/>
    <cellStyle name="常规 2 4 7 3" xfId="4610" xr:uid="{00000000-0005-0000-0000-00000E540000}"/>
    <cellStyle name="常规 2 4 7 3 2" xfId="19122" xr:uid="{00000000-0005-0000-0000-00000F540000}"/>
    <cellStyle name="常规 2 4 7 3 3" xfId="11866" xr:uid="{00000000-0005-0000-0000-000010540000}"/>
    <cellStyle name="常规 2 4 7 4" xfId="15494" xr:uid="{00000000-0005-0000-0000-000011540000}"/>
    <cellStyle name="常规 2 4 7 5" xfId="8238" xr:uid="{00000000-0005-0000-0000-000012540000}"/>
    <cellStyle name="常规 2 4 8" xfId="1889" xr:uid="{00000000-0005-0000-0000-000013540000}"/>
    <cellStyle name="常规 2 4 8 2" xfId="5517" xr:uid="{00000000-0005-0000-0000-000014540000}"/>
    <cellStyle name="常规 2 4 8 2 2" xfId="20029" xr:uid="{00000000-0005-0000-0000-000015540000}"/>
    <cellStyle name="常规 2 4 8 2 3" xfId="12773" xr:uid="{00000000-0005-0000-0000-000016540000}"/>
    <cellStyle name="常规 2 4 8 3" xfId="16401" xr:uid="{00000000-0005-0000-0000-000017540000}"/>
    <cellStyle name="常规 2 4 8 4" xfId="9145" xr:uid="{00000000-0005-0000-0000-000018540000}"/>
    <cellStyle name="常规 2 4 9" xfId="3703" xr:uid="{00000000-0005-0000-0000-000019540000}"/>
    <cellStyle name="常规 2 4 9 2" xfId="18215" xr:uid="{00000000-0005-0000-0000-00001A540000}"/>
    <cellStyle name="常规 2 4 9 3" xfId="10959" xr:uid="{00000000-0005-0000-0000-00001B540000}"/>
    <cellStyle name="常规 2 5" xfId="204" xr:uid="{00000000-0005-0000-0000-00001C540000}"/>
    <cellStyle name="常规 2 5 2" xfId="334" xr:uid="{00000000-0005-0000-0000-00001D540000}"/>
    <cellStyle name="常规 2 5 2 2" xfId="680" xr:uid="{00000000-0005-0000-0000-00001E540000}"/>
    <cellStyle name="常规 2 5 2 2 2" xfId="1588" xr:uid="{00000000-0005-0000-0000-00001F540000}"/>
    <cellStyle name="常规 2 5 2 2 2 2" xfId="3402" xr:uid="{00000000-0005-0000-0000-000020540000}"/>
    <cellStyle name="常规 2 5 2 2 2 2 2" xfId="7030" xr:uid="{00000000-0005-0000-0000-000021540000}"/>
    <cellStyle name="常规 2 5 2 2 2 2 2 2" xfId="21542" xr:uid="{00000000-0005-0000-0000-000022540000}"/>
    <cellStyle name="常规 2 5 2 2 2 2 2 3" xfId="14286" xr:uid="{00000000-0005-0000-0000-000023540000}"/>
    <cellStyle name="常规 2 5 2 2 2 2 3" xfId="17914" xr:uid="{00000000-0005-0000-0000-000024540000}"/>
    <cellStyle name="常规 2 5 2 2 2 2 4" xfId="10658" xr:uid="{00000000-0005-0000-0000-000025540000}"/>
    <cellStyle name="常规 2 5 2 2 2 3" xfId="5216" xr:uid="{00000000-0005-0000-0000-000026540000}"/>
    <cellStyle name="常规 2 5 2 2 2 3 2" xfId="19728" xr:uid="{00000000-0005-0000-0000-000027540000}"/>
    <cellStyle name="常规 2 5 2 2 2 3 3" xfId="12472" xr:uid="{00000000-0005-0000-0000-000028540000}"/>
    <cellStyle name="常规 2 5 2 2 2 4" xfId="16100" xr:uid="{00000000-0005-0000-0000-000029540000}"/>
    <cellStyle name="常规 2 5 2 2 2 5" xfId="8844" xr:uid="{00000000-0005-0000-0000-00002A540000}"/>
    <cellStyle name="常规 2 5 2 2 3" xfId="2495" xr:uid="{00000000-0005-0000-0000-00002B540000}"/>
    <cellStyle name="常规 2 5 2 2 3 2" xfId="6123" xr:uid="{00000000-0005-0000-0000-00002C540000}"/>
    <cellStyle name="常规 2 5 2 2 3 2 2" xfId="20635" xr:uid="{00000000-0005-0000-0000-00002D540000}"/>
    <cellStyle name="常规 2 5 2 2 3 2 3" xfId="13379" xr:uid="{00000000-0005-0000-0000-00002E540000}"/>
    <cellStyle name="常规 2 5 2 2 3 3" xfId="17007" xr:uid="{00000000-0005-0000-0000-00002F540000}"/>
    <cellStyle name="常规 2 5 2 2 3 4" xfId="9751" xr:uid="{00000000-0005-0000-0000-000030540000}"/>
    <cellStyle name="常规 2 5 2 2 4" xfId="4309" xr:uid="{00000000-0005-0000-0000-000031540000}"/>
    <cellStyle name="常规 2 5 2 2 4 2" xfId="18821" xr:uid="{00000000-0005-0000-0000-000032540000}"/>
    <cellStyle name="常规 2 5 2 2 4 3" xfId="11565" xr:uid="{00000000-0005-0000-0000-000033540000}"/>
    <cellStyle name="常规 2 5 2 2 5" xfId="15193" xr:uid="{00000000-0005-0000-0000-000034540000}"/>
    <cellStyle name="常规 2 5 2 2 6" xfId="7937" xr:uid="{00000000-0005-0000-0000-000035540000}"/>
    <cellStyle name="常规 2 5 2 3" xfId="1242" xr:uid="{00000000-0005-0000-0000-000036540000}"/>
    <cellStyle name="常规 2 5 2 3 2" xfId="3056" xr:uid="{00000000-0005-0000-0000-000037540000}"/>
    <cellStyle name="常规 2 5 2 3 2 2" xfId="6684" xr:uid="{00000000-0005-0000-0000-000038540000}"/>
    <cellStyle name="常规 2 5 2 3 2 2 2" xfId="21196" xr:uid="{00000000-0005-0000-0000-000039540000}"/>
    <cellStyle name="常规 2 5 2 3 2 2 3" xfId="13940" xr:uid="{00000000-0005-0000-0000-00003A540000}"/>
    <cellStyle name="常规 2 5 2 3 2 3" xfId="17568" xr:uid="{00000000-0005-0000-0000-00003B540000}"/>
    <cellStyle name="常规 2 5 2 3 2 4" xfId="10312" xr:uid="{00000000-0005-0000-0000-00003C540000}"/>
    <cellStyle name="常规 2 5 2 3 3" xfId="4870" xr:uid="{00000000-0005-0000-0000-00003D540000}"/>
    <cellStyle name="常规 2 5 2 3 3 2" xfId="19382" xr:uid="{00000000-0005-0000-0000-00003E540000}"/>
    <cellStyle name="常规 2 5 2 3 3 3" xfId="12126" xr:uid="{00000000-0005-0000-0000-00003F540000}"/>
    <cellStyle name="常规 2 5 2 3 4" xfId="15754" xr:uid="{00000000-0005-0000-0000-000040540000}"/>
    <cellStyle name="常规 2 5 2 3 5" xfId="8498" xr:uid="{00000000-0005-0000-0000-000041540000}"/>
    <cellStyle name="常规 2 5 2 4" xfId="2149" xr:uid="{00000000-0005-0000-0000-000042540000}"/>
    <cellStyle name="常规 2 5 2 4 2" xfId="5777" xr:uid="{00000000-0005-0000-0000-000043540000}"/>
    <cellStyle name="常规 2 5 2 4 2 2" xfId="20289" xr:uid="{00000000-0005-0000-0000-000044540000}"/>
    <cellStyle name="常规 2 5 2 4 2 3" xfId="13033" xr:uid="{00000000-0005-0000-0000-000045540000}"/>
    <cellStyle name="常规 2 5 2 4 3" xfId="16661" xr:uid="{00000000-0005-0000-0000-000046540000}"/>
    <cellStyle name="常规 2 5 2 4 4" xfId="9405" xr:uid="{00000000-0005-0000-0000-000047540000}"/>
    <cellStyle name="常规 2 5 2 5" xfId="3963" xr:uid="{00000000-0005-0000-0000-000048540000}"/>
    <cellStyle name="常规 2 5 2 5 2" xfId="18475" xr:uid="{00000000-0005-0000-0000-000049540000}"/>
    <cellStyle name="常规 2 5 2 5 3" xfId="11219" xr:uid="{00000000-0005-0000-0000-00004A540000}"/>
    <cellStyle name="常规 2 5 2 6" xfId="14847" xr:uid="{00000000-0005-0000-0000-00004B540000}"/>
    <cellStyle name="常规 2 5 2 7" xfId="7591" xr:uid="{00000000-0005-0000-0000-00004C540000}"/>
    <cellStyle name="常规 2 5 3" xfId="810" xr:uid="{00000000-0005-0000-0000-00004D540000}"/>
    <cellStyle name="常规 2 5 3 2" xfId="1718" xr:uid="{00000000-0005-0000-0000-00004E540000}"/>
    <cellStyle name="常规 2 5 3 2 2" xfId="3532" xr:uid="{00000000-0005-0000-0000-00004F540000}"/>
    <cellStyle name="常规 2 5 3 2 2 2" xfId="7160" xr:uid="{00000000-0005-0000-0000-000050540000}"/>
    <cellStyle name="常规 2 5 3 2 2 2 2" xfId="21672" xr:uid="{00000000-0005-0000-0000-000051540000}"/>
    <cellStyle name="常规 2 5 3 2 2 2 3" xfId="14416" xr:uid="{00000000-0005-0000-0000-000052540000}"/>
    <cellStyle name="常规 2 5 3 2 2 3" xfId="18044" xr:uid="{00000000-0005-0000-0000-000053540000}"/>
    <cellStyle name="常规 2 5 3 2 2 4" xfId="10788" xr:uid="{00000000-0005-0000-0000-000054540000}"/>
    <cellStyle name="常规 2 5 3 2 3" xfId="5346" xr:uid="{00000000-0005-0000-0000-000055540000}"/>
    <cellStyle name="常规 2 5 3 2 3 2" xfId="19858" xr:uid="{00000000-0005-0000-0000-000056540000}"/>
    <cellStyle name="常规 2 5 3 2 3 3" xfId="12602" xr:uid="{00000000-0005-0000-0000-000057540000}"/>
    <cellStyle name="常规 2 5 3 2 4" xfId="16230" xr:uid="{00000000-0005-0000-0000-000058540000}"/>
    <cellStyle name="常规 2 5 3 2 5" xfId="8974" xr:uid="{00000000-0005-0000-0000-000059540000}"/>
    <cellStyle name="常规 2 5 3 3" xfId="2625" xr:uid="{00000000-0005-0000-0000-00005A540000}"/>
    <cellStyle name="常规 2 5 3 3 2" xfId="6253" xr:uid="{00000000-0005-0000-0000-00005B540000}"/>
    <cellStyle name="常规 2 5 3 3 2 2" xfId="20765" xr:uid="{00000000-0005-0000-0000-00005C540000}"/>
    <cellStyle name="常规 2 5 3 3 2 3" xfId="13509" xr:uid="{00000000-0005-0000-0000-00005D540000}"/>
    <cellStyle name="常规 2 5 3 3 3" xfId="17137" xr:uid="{00000000-0005-0000-0000-00005E540000}"/>
    <cellStyle name="常规 2 5 3 3 4" xfId="9881" xr:uid="{00000000-0005-0000-0000-00005F540000}"/>
    <cellStyle name="常规 2 5 3 4" xfId="4439" xr:uid="{00000000-0005-0000-0000-000060540000}"/>
    <cellStyle name="常规 2 5 3 4 2" xfId="18951" xr:uid="{00000000-0005-0000-0000-000061540000}"/>
    <cellStyle name="常规 2 5 3 4 3" xfId="11695" xr:uid="{00000000-0005-0000-0000-000062540000}"/>
    <cellStyle name="常规 2 5 3 5" xfId="15323" xr:uid="{00000000-0005-0000-0000-000063540000}"/>
    <cellStyle name="常规 2 5 3 6" xfId="8067" xr:uid="{00000000-0005-0000-0000-000064540000}"/>
    <cellStyle name="常规 2 5 4" xfId="550" xr:uid="{00000000-0005-0000-0000-000065540000}"/>
    <cellStyle name="常规 2 5 4 2" xfId="1458" xr:uid="{00000000-0005-0000-0000-000066540000}"/>
    <cellStyle name="常规 2 5 4 2 2" xfId="3272" xr:uid="{00000000-0005-0000-0000-000067540000}"/>
    <cellStyle name="常规 2 5 4 2 2 2" xfId="6900" xr:uid="{00000000-0005-0000-0000-000068540000}"/>
    <cellStyle name="常规 2 5 4 2 2 2 2" xfId="21412" xr:uid="{00000000-0005-0000-0000-000069540000}"/>
    <cellStyle name="常规 2 5 4 2 2 2 3" xfId="14156" xr:uid="{00000000-0005-0000-0000-00006A540000}"/>
    <cellStyle name="常规 2 5 4 2 2 3" xfId="17784" xr:uid="{00000000-0005-0000-0000-00006B540000}"/>
    <cellStyle name="常规 2 5 4 2 2 4" xfId="10528" xr:uid="{00000000-0005-0000-0000-00006C540000}"/>
    <cellStyle name="常规 2 5 4 2 3" xfId="5086" xr:uid="{00000000-0005-0000-0000-00006D540000}"/>
    <cellStyle name="常规 2 5 4 2 3 2" xfId="19598" xr:uid="{00000000-0005-0000-0000-00006E540000}"/>
    <cellStyle name="常规 2 5 4 2 3 3" xfId="12342" xr:uid="{00000000-0005-0000-0000-00006F540000}"/>
    <cellStyle name="常规 2 5 4 2 4" xfId="15970" xr:uid="{00000000-0005-0000-0000-000070540000}"/>
    <cellStyle name="常规 2 5 4 2 5" xfId="8714" xr:uid="{00000000-0005-0000-0000-000071540000}"/>
    <cellStyle name="常规 2 5 4 3" xfId="2365" xr:uid="{00000000-0005-0000-0000-000072540000}"/>
    <cellStyle name="常规 2 5 4 3 2" xfId="5993" xr:uid="{00000000-0005-0000-0000-000073540000}"/>
    <cellStyle name="常规 2 5 4 3 2 2" xfId="20505" xr:uid="{00000000-0005-0000-0000-000074540000}"/>
    <cellStyle name="常规 2 5 4 3 2 3" xfId="13249" xr:uid="{00000000-0005-0000-0000-000075540000}"/>
    <cellStyle name="常规 2 5 4 3 3" xfId="16877" xr:uid="{00000000-0005-0000-0000-000076540000}"/>
    <cellStyle name="常规 2 5 4 3 4" xfId="9621" xr:uid="{00000000-0005-0000-0000-000077540000}"/>
    <cellStyle name="常规 2 5 4 4" xfId="4179" xr:uid="{00000000-0005-0000-0000-000078540000}"/>
    <cellStyle name="常规 2 5 4 4 2" xfId="18691" xr:uid="{00000000-0005-0000-0000-000079540000}"/>
    <cellStyle name="常规 2 5 4 4 3" xfId="11435" xr:uid="{00000000-0005-0000-0000-00007A540000}"/>
    <cellStyle name="常规 2 5 4 5" xfId="15063" xr:uid="{00000000-0005-0000-0000-00007B540000}"/>
    <cellStyle name="常规 2 5 4 6" xfId="7807" xr:uid="{00000000-0005-0000-0000-00007C540000}"/>
    <cellStyle name="常规 2 5 5" xfId="1112" xr:uid="{00000000-0005-0000-0000-00007D540000}"/>
    <cellStyle name="常规 2 5 5 2" xfId="2926" xr:uid="{00000000-0005-0000-0000-00007E540000}"/>
    <cellStyle name="常规 2 5 5 2 2" xfId="6554" xr:uid="{00000000-0005-0000-0000-00007F540000}"/>
    <cellStyle name="常规 2 5 5 2 2 2" xfId="21066" xr:uid="{00000000-0005-0000-0000-000080540000}"/>
    <cellStyle name="常规 2 5 5 2 2 3" xfId="13810" xr:uid="{00000000-0005-0000-0000-000081540000}"/>
    <cellStyle name="常规 2 5 5 2 3" xfId="17438" xr:uid="{00000000-0005-0000-0000-000082540000}"/>
    <cellStyle name="常规 2 5 5 2 4" xfId="10182" xr:uid="{00000000-0005-0000-0000-000083540000}"/>
    <cellStyle name="常规 2 5 5 3" xfId="4740" xr:uid="{00000000-0005-0000-0000-000084540000}"/>
    <cellStyle name="常规 2 5 5 3 2" xfId="19252" xr:uid="{00000000-0005-0000-0000-000085540000}"/>
    <cellStyle name="常规 2 5 5 3 3" xfId="11996" xr:uid="{00000000-0005-0000-0000-000086540000}"/>
    <cellStyle name="常规 2 5 5 4" xfId="15624" xr:uid="{00000000-0005-0000-0000-000087540000}"/>
    <cellStyle name="常规 2 5 5 5" xfId="8368" xr:uid="{00000000-0005-0000-0000-000088540000}"/>
    <cellStyle name="常规 2 5 6" xfId="2019" xr:uid="{00000000-0005-0000-0000-000089540000}"/>
    <cellStyle name="常规 2 5 6 2" xfId="5647" xr:uid="{00000000-0005-0000-0000-00008A540000}"/>
    <cellStyle name="常规 2 5 6 2 2" xfId="20159" xr:uid="{00000000-0005-0000-0000-00008B540000}"/>
    <cellStyle name="常规 2 5 6 2 3" xfId="12903" xr:uid="{00000000-0005-0000-0000-00008C540000}"/>
    <cellStyle name="常规 2 5 6 3" xfId="16531" xr:uid="{00000000-0005-0000-0000-00008D540000}"/>
    <cellStyle name="常规 2 5 6 4" xfId="9275" xr:uid="{00000000-0005-0000-0000-00008E540000}"/>
    <cellStyle name="常规 2 5 7" xfId="3833" xr:uid="{00000000-0005-0000-0000-00008F540000}"/>
    <cellStyle name="常规 2 5 7 2" xfId="18345" xr:uid="{00000000-0005-0000-0000-000090540000}"/>
    <cellStyle name="常规 2 5 7 3" xfId="11089" xr:uid="{00000000-0005-0000-0000-000091540000}"/>
    <cellStyle name="常规 2 5 8" xfId="14717" xr:uid="{00000000-0005-0000-0000-000092540000}"/>
    <cellStyle name="常规 2 5 9" xfId="7461" xr:uid="{00000000-0005-0000-0000-000093540000}"/>
    <cellStyle name="常规 2 6" xfId="118" xr:uid="{00000000-0005-0000-0000-000094540000}"/>
    <cellStyle name="常规 2 6 2" xfId="464" xr:uid="{00000000-0005-0000-0000-000095540000}"/>
    <cellStyle name="常规 2 6 2 2" xfId="1372" xr:uid="{00000000-0005-0000-0000-000096540000}"/>
    <cellStyle name="常规 2 6 2 2 2" xfId="3186" xr:uid="{00000000-0005-0000-0000-000097540000}"/>
    <cellStyle name="常规 2 6 2 2 2 2" xfId="6814" xr:uid="{00000000-0005-0000-0000-000098540000}"/>
    <cellStyle name="常规 2 6 2 2 2 2 2" xfId="21326" xr:uid="{00000000-0005-0000-0000-000099540000}"/>
    <cellStyle name="常规 2 6 2 2 2 2 3" xfId="14070" xr:uid="{00000000-0005-0000-0000-00009A540000}"/>
    <cellStyle name="常规 2 6 2 2 2 3" xfId="17698" xr:uid="{00000000-0005-0000-0000-00009B540000}"/>
    <cellStyle name="常规 2 6 2 2 2 4" xfId="10442" xr:uid="{00000000-0005-0000-0000-00009C540000}"/>
    <cellStyle name="常规 2 6 2 2 3" xfId="5000" xr:uid="{00000000-0005-0000-0000-00009D540000}"/>
    <cellStyle name="常规 2 6 2 2 3 2" xfId="19512" xr:uid="{00000000-0005-0000-0000-00009E540000}"/>
    <cellStyle name="常规 2 6 2 2 3 3" xfId="12256" xr:uid="{00000000-0005-0000-0000-00009F540000}"/>
    <cellStyle name="常规 2 6 2 2 4" xfId="15884" xr:uid="{00000000-0005-0000-0000-0000A0540000}"/>
    <cellStyle name="常规 2 6 2 2 5" xfId="8628" xr:uid="{00000000-0005-0000-0000-0000A1540000}"/>
    <cellStyle name="常规 2 6 2 3" xfId="2279" xr:uid="{00000000-0005-0000-0000-0000A2540000}"/>
    <cellStyle name="常规 2 6 2 3 2" xfId="5907" xr:uid="{00000000-0005-0000-0000-0000A3540000}"/>
    <cellStyle name="常规 2 6 2 3 2 2" xfId="20419" xr:uid="{00000000-0005-0000-0000-0000A4540000}"/>
    <cellStyle name="常规 2 6 2 3 2 3" xfId="13163" xr:uid="{00000000-0005-0000-0000-0000A5540000}"/>
    <cellStyle name="常规 2 6 2 3 3" xfId="16791" xr:uid="{00000000-0005-0000-0000-0000A6540000}"/>
    <cellStyle name="常规 2 6 2 3 4" xfId="9535" xr:uid="{00000000-0005-0000-0000-0000A7540000}"/>
    <cellStyle name="常规 2 6 2 4" xfId="4093" xr:uid="{00000000-0005-0000-0000-0000A8540000}"/>
    <cellStyle name="常规 2 6 2 4 2" xfId="18605" xr:uid="{00000000-0005-0000-0000-0000A9540000}"/>
    <cellStyle name="常规 2 6 2 4 3" xfId="11349" xr:uid="{00000000-0005-0000-0000-0000AA540000}"/>
    <cellStyle name="常规 2 6 2 5" xfId="14977" xr:uid="{00000000-0005-0000-0000-0000AB540000}"/>
    <cellStyle name="常规 2 6 2 6" xfId="7721" xr:uid="{00000000-0005-0000-0000-0000AC540000}"/>
    <cellStyle name="常规 2 6 3" xfId="1026" xr:uid="{00000000-0005-0000-0000-0000AD540000}"/>
    <cellStyle name="常规 2 6 3 2" xfId="2840" xr:uid="{00000000-0005-0000-0000-0000AE540000}"/>
    <cellStyle name="常规 2 6 3 2 2" xfId="6468" xr:uid="{00000000-0005-0000-0000-0000AF540000}"/>
    <cellStyle name="常规 2 6 3 2 2 2" xfId="20980" xr:uid="{00000000-0005-0000-0000-0000B0540000}"/>
    <cellStyle name="常规 2 6 3 2 2 3" xfId="13724" xr:uid="{00000000-0005-0000-0000-0000B1540000}"/>
    <cellStyle name="常规 2 6 3 2 3" xfId="17352" xr:uid="{00000000-0005-0000-0000-0000B2540000}"/>
    <cellStyle name="常规 2 6 3 2 4" xfId="10096" xr:uid="{00000000-0005-0000-0000-0000B3540000}"/>
    <cellStyle name="常规 2 6 3 3" xfId="4654" xr:uid="{00000000-0005-0000-0000-0000B4540000}"/>
    <cellStyle name="常规 2 6 3 3 2" xfId="19166" xr:uid="{00000000-0005-0000-0000-0000B5540000}"/>
    <cellStyle name="常规 2 6 3 3 3" xfId="11910" xr:uid="{00000000-0005-0000-0000-0000B6540000}"/>
    <cellStyle name="常规 2 6 3 4" xfId="15538" xr:uid="{00000000-0005-0000-0000-0000B7540000}"/>
    <cellStyle name="常规 2 6 3 5" xfId="8282" xr:uid="{00000000-0005-0000-0000-0000B8540000}"/>
    <cellStyle name="常规 2 6 4" xfId="1933" xr:uid="{00000000-0005-0000-0000-0000B9540000}"/>
    <cellStyle name="常规 2 6 4 2" xfId="5561" xr:uid="{00000000-0005-0000-0000-0000BA540000}"/>
    <cellStyle name="常规 2 6 4 2 2" xfId="20073" xr:uid="{00000000-0005-0000-0000-0000BB540000}"/>
    <cellStyle name="常规 2 6 4 2 3" xfId="12817" xr:uid="{00000000-0005-0000-0000-0000BC540000}"/>
    <cellStyle name="常规 2 6 4 3" xfId="16445" xr:uid="{00000000-0005-0000-0000-0000BD540000}"/>
    <cellStyle name="常规 2 6 4 4" xfId="9189" xr:uid="{00000000-0005-0000-0000-0000BE540000}"/>
    <cellStyle name="常规 2 6 5" xfId="3747" xr:uid="{00000000-0005-0000-0000-0000BF540000}"/>
    <cellStyle name="常规 2 6 5 2" xfId="18259" xr:uid="{00000000-0005-0000-0000-0000C0540000}"/>
    <cellStyle name="常规 2 6 5 3" xfId="11003" xr:uid="{00000000-0005-0000-0000-0000C1540000}"/>
    <cellStyle name="常规 2 6 6" xfId="14631" xr:uid="{00000000-0005-0000-0000-0000C2540000}"/>
    <cellStyle name="常规 2 6 7" xfId="7375" xr:uid="{00000000-0005-0000-0000-0000C3540000}"/>
    <cellStyle name="常规 2 7" xfId="248" xr:uid="{00000000-0005-0000-0000-0000C4540000}"/>
    <cellStyle name="常规 2 7 2" xfId="594" xr:uid="{00000000-0005-0000-0000-0000C5540000}"/>
    <cellStyle name="常规 2 7 2 2" xfId="1502" xr:uid="{00000000-0005-0000-0000-0000C6540000}"/>
    <cellStyle name="常规 2 7 2 2 2" xfId="3316" xr:uid="{00000000-0005-0000-0000-0000C7540000}"/>
    <cellStyle name="常规 2 7 2 2 2 2" xfId="6944" xr:uid="{00000000-0005-0000-0000-0000C8540000}"/>
    <cellStyle name="常规 2 7 2 2 2 2 2" xfId="21456" xr:uid="{00000000-0005-0000-0000-0000C9540000}"/>
    <cellStyle name="常规 2 7 2 2 2 2 3" xfId="14200" xr:uid="{00000000-0005-0000-0000-0000CA540000}"/>
    <cellStyle name="常规 2 7 2 2 2 3" xfId="17828" xr:uid="{00000000-0005-0000-0000-0000CB540000}"/>
    <cellStyle name="常规 2 7 2 2 2 4" xfId="10572" xr:uid="{00000000-0005-0000-0000-0000CC540000}"/>
    <cellStyle name="常规 2 7 2 2 3" xfId="5130" xr:uid="{00000000-0005-0000-0000-0000CD540000}"/>
    <cellStyle name="常规 2 7 2 2 3 2" xfId="19642" xr:uid="{00000000-0005-0000-0000-0000CE540000}"/>
    <cellStyle name="常规 2 7 2 2 3 3" xfId="12386" xr:uid="{00000000-0005-0000-0000-0000CF540000}"/>
    <cellStyle name="常规 2 7 2 2 4" xfId="16014" xr:uid="{00000000-0005-0000-0000-0000D0540000}"/>
    <cellStyle name="常规 2 7 2 2 5" xfId="8758" xr:uid="{00000000-0005-0000-0000-0000D1540000}"/>
    <cellStyle name="常规 2 7 2 3" xfId="2409" xr:uid="{00000000-0005-0000-0000-0000D2540000}"/>
    <cellStyle name="常规 2 7 2 3 2" xfId="6037" xr:uid="{00000000-0005-0000-0000-0000D3540000}"/>
    <cellStyle name="常规 2 7 2 3 2 2" xfId="20549" xr:uid="{00000000-0005-0000-0000-0000D4540000}"/>
    <cellStyle name="常规 2 7 2 3 2 3" xfId="13293" xr:uid="{00000000-0005-0000-0000-0000D5540000}"/>
    <cellStyle name="常规 2 7 2 3 3" xfId="16921" xr:uid="{00000000-0005-0000-0000-0000D6540000}"/>
    <cellStyle name="常规 2 7 2 3 4" xfId="9665" xr:uid="{00000000-0005-0000-0000-0000D7540000}"/>
    <cellStyle name="常规 2 7 2 4" xfId="4223" xr:uid="{00000000-0005-0000-0000-0000D8540000}"/>
    <cellStyle name="常规 2 7 2 4 2" xfId="18735" xr:uid="{00000000-0005-0000-0000-0000D9540000}"/>
    <cellStyle name="常规 2 7 2 4 3" xfId="11479" xr:uid="{00000000-0005-0000-0000-0000DA540000}"/>
    <cellStyle name="常规 2 7 2 5" xfId="15107" xr:uid="{00000000-0005-0000-0000-0000DB540000}"/>
    <cellStyle name="常规 2 7 2 6" xfId="7851" xr:uid="{00000000-0005-0000-0000-0000DC540000}"/>
    <cellStyle name="常规 2 7 3" xfId="1156" xr:uid="{00000000-0005-0000-0000-0000DD540000}"/>
    <cellStyle name="常规 2 7 3 2" xfId="2970" xr:uid="{00000000-0005-0000-0000-0000DE540000}"/>
    <cellStyle name="常规 2 7 3 2 2" xfId="6598" xr:uid="{00000000-0005-0000-0000-0000DF540000}"/>
    <cellStyle name="常规 2 7 3 2 2 2" xfId="21110" xr:uid="{00000000-0005-0000-0000-0000E0540000}"/>
    <cellStyle name="常规 2 7 3 2 2 3" xfId="13854" xr:uid="{00000000-0005-0000-0000-0000E1540000}"/>
    <cellStyle name="常规 2 7 3 2 3" xfId="17482" xr:uid="{00000000-0005-0000-0000-0000E2540000}"/>
    <cellStyle name="常规 2 7 3 2 4" xfId="10226" xr:uid="{00000000-0005-0000-0000-0000E3540000}"/>
    <cellStyle name="常规 2 7 3 3" xfId="4784" xr:uid="{00000000-0005-0000-0000-0000E4540000}"/>
    <cellStyle name="常规 2 7 3 3 2" xfId="19296" xr:uid="{00000000-0005-0000-0000-0000E5540000}"/>
    <cellStyle name="常规 2 7 3 3 3" xfId="12040" xr:uid="{00000000-0005-0000-0000-0000E6540000}"/>
    <cellStyle name="常规 2 7 3 4" xfId="15668" xr:uid="{00000000-0005-0000-0000-0000E7540000}"/>
    <cellStyle name="常规 2 7 3 5" xfId="8412" xr:uid="{00000000-0005-0000-0000-0000E8540000}"/>
    <cellStyle name="常规 2 7 4" xfId="2063" xr:uid="{00000000-0005-0000-0000-0000E9540000}"/>
    <cellStyle name="常规 2 7 4 2" xfId="5691" xr:uid="{00000000-0005-0000-0000-0000EA540000}"/>
    <cellStyle name="常规 2 7 4 2 2" xfId="20203" xr:uid="{00000000-0005-0000-0000-0000EB540000}"/>
    <cellStyle name="常规 2 7 4 2 3" xfId="12947" xr:uid="{00000000-0005-0000-0000-0000EC540000}"/>
    <cellStyle name="常规 2 7 4 3" xfId="16575" xr:uid="{00000000-0005-0000-0000-0000ED540000}"/>
    <cellStyle name="常规 2 7 4 4" xfId="9319" xr:uid="{00000000-0005-0000-0000-0000EE540000}"/>
    <cellStyle name="常规 2 7 5" xfId="3877" xr:uid="{00000000-0005-0000-0000-0000EF540000}"/>
    <cellStyle name="常规 2 7 5 2" xfId="18389" xr:uid="{00000000-0005-0000-0000-0000F0540000}"/>
    <cellStyle name="常规 2 7 5 3" xfId="11133" xr:uid="{00000000-0005-0000-0000-0000F1540000}"/>
    <cellStyle name="常规 2 7 6" xfId="14761" xr:uid="{00000000-0005-0000-0000-0000F2540000}"/>
    <cellStyle name="常规 2 7 7" xfId="7505" xr:uid="{00000000-0005-0000-0000-0000F3540000}"/>
    <cellStyle name="常规 2 8" xfId="724" xr:uid="{00000000-0005-0000-0000-0000F4540000}"/>
    <cellStyle name="常规 2 8 2" xfId="1632" xr:uid="{00000000-0005-0000-0000-0000F5540000}"/>
    <cellStyle name="常规 2 8 2 2" xfId="3446" xr:uid="{00000000-0005-0000-0000-0000F6540000}"/>
    <cellStyle name="常规 2 8 2 2 2" xfId="7074" xr:uid="{00000000-0005-0000-0000-0000F7540000}"/>
    <cellStyle name="常规 2 8 2 2 2 2" xfId="21586" xr:uid="{00000000-0005-0000-0000-0000F8540000}"/>
    <cellStyle name="常规 2 8 2 2 2 3" xfId="14330" xr:uid="{00000000-0005-0000-0000-0000F9540000}"/>
    <cellStyle name="常规 2 8 2 2 3" xfId="17958" xr:uid="{00000000-0005-0000-0000-0000FA540000}"/>
    <cellStyle name="常规 2 8 2 2 4" xfId="10702" xr:uid="{00000000-0005-0000-0000-0000FB540000}"/>
    <cellStyle name="常规 2 8 2 3" xfId="5260" xr:uid="{00000000-0005-0000-0000-0000FC540000}"/>
    <cellStyle name="常规 2 8 2 3 2" xfId="19772" xr:uid="{00000000-0005-0000-0000-0000FD540000}"/>
    <cellStyle name="常规 2 8 2 3 3" xfId="12516" xr:uid="{00000000-0005-0000-0000-0000FE540000}"/>
    <cellStyle name="常规 2 8 2 4" xfId="16144" xr:uid="{00000000-0005-0000-0000-0000FF540000}"/>
    <cellStyle name="常规 2 8 2 5" xfId="8888" xr:uid="{00000000-0005-0000-0000-000000550000}"/>
    <cellStyle name="常规 2 8 3" xfId="2539" xr:uid="{00000000-0005-0000-0000-000001550000}"/>
    <cellStyle name="常规 2 8 3 2" xfId="6167" xr:uid="{00000000-0005-0000-0000-000002550000}"/>
    <cellStyle name="常规 2 8 3 2 2" xfId="20679" xr:uid="{00000000-0005-0000-0000-000003550000}"/>
    <cellStyle name="常规 2 8 3 2 3" xfId="13423" xr:uid="{00000000-0005-0000-0000-000004550000}"/>
    <cellStyle name="常规 2 8 3 3" xfId="17051" xr:uid="{00000000-0005-0000-0000-000005550000}"/>
    <cellStyle name="常规 2 8 3 4" xfId="9795" xr:uid="{00000000-0005-0000-0000-000006550000}"/>
    <cellStyle name="常规 2 8 4" xfId="4353" xr:uid="{00000000-0005-0000-0000-000007550000}"/>
    <cellStyle name="常规 2 8 4 2" xfId="18865" xr:uid="{00000000-0005-0000-0000-000008550000}"/>
    <cellStyle name="常规 2 8 4 3" xfId="11609" xr:uid="{00000000-0005-0000-0000-000009550000}"/>
    <cellStyle name="常规 2 8 5" xfId="15237" xr:uid="{00000000-0005-0000-0000-00000A550000}"/>
    <cellStyle name="常规 2 8 6" xfId="7981" xr:uid="{00000000-0005-0000-0000-00000B550000}"/>
    <cellStyle name="常规 2 9" xfId="378" xr:uid="{00000000-0005-0000-0000-00000C550000}"/>
    <cellStyle name="常规 2 9 2" xfId="1286" xr:uid="{00000000-0005-0000-0000-00000D550000}"/>
    <cellStyle name="常规 2 9 2 2" xfId="3100" xr:uid="{00000000-0005-0000-0000-00000E550000}"/>
    <cellStyle name="常规 2 9 2 2 2" xfId="6728" xr:uid="{00000000-0005-0000-0000-00000F550000}"/>
    <cellStyle name="常规 2 9 2 2 2 2" xfId="21240" xr:uid="{00000000-0005-0000-0000-000010550000}"/>
    <cellStyle name="常规 2 9 2 2 2 3" xfId="13984" xr:uid="{00000000-0005-0000-0000-000011550000}"/>
    <cellStyle name="常规 2 9 2 2 3" xfId="17612" xr:uid="{00000000-0005-0000-0000-000012550000}"/>
    <cellStyle name="常规 2 9 2 2 4" xfId="10356" xr:uid="{00000000-0005-0000-0000-000013550000}"/>
    <cellStyle name="常规 2 9 2 3" xfId="4914" xr:uid="{00000000-0005-0000-0000-000014550000}"/>
    <cellStyle name="常规 2 9 2 3 2" xfId="19426" xr:uid="{00000000-0005-0000-0000-000015550000}"/>
    <cellStyle name="常规 2 9 2 3 3" xfId="12170" xr:uid="{00000000-0005-0000-0000-000016550000}"/>
    <cellStyle name="常规 2 9 2 4" xfId="15798" xr:uid="{00000000-0005-0000-0000-000017550000}"/>
    <cellStyle name="常规 2 9 2 5" xfId="8542" xr:uid="{00000000-0005-0000-0000-000018550000}"/>
    <cellStyle name="常规 2 9 3" xfId="2193" xr:uid="{00000000-0005-0000-0000-000019550000}"/>
    <cellStyle name="常规 2 9 3 2" xfId="5821" xr:uid="{00000000-0005-0000-0000-00001A550000}"/>
    <cellStyle name="常规 2 9 3 2 2" xfId="20333" xr:uid="{00000000-0005-0000-0000-00001B550000}"/>
    <cellStyle name="常规 2 9 3 2 3" xfId="13077" xr:uid="{00000000-0005-0000-0000-00001C550000}"/>
    <cellStyle name="常规 2 9 3 3" xfId="16705" xr:uid="{00000000-0005-0000-0000-00001D550000}"/>
    <cellStyle name="常规 2 9 3 4" xfId="9449" xr:uid="{00000000-0005-0000-0000-00001E550000}"/>
    <cellStyle name="常规 2 9 4" xfId="4007" xr:uid="{00000000-0005-0000-0000-00001F550000}"/>
    <cellStyle name="常规 2 9 4 2" xfId="18519" xr:uid="{00000000-0005-0000-0000-000020550000}"/>
    <cellStyle name="常规 2 9 4 3" xfId="11263" xr:uid="{00000000-0005-0000-0000-000021550000}"/>
    <cellStyle name="常规 2 9 5" xfId="14891" xr:uid="{00000000-0005-0000-0000-000022550000}"/>
    <cellStyle name="常规 2 9 6" xfId="7635" xr:uid="{00000000-0005-0000-0000-000023550000}"/>
    <cellStyle name="常规 3" xfId="30" xr:uid="{00000000-0005-0000-0000-000024550000}"/>
    <cellStyle name="超链接 2" xfId="25" xr:uid="{00000000-0005-0000-0000-000025550000}"/>
  </cellStyles>
  <dxfs count="21">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ont>
        <color rgb="FF0070C0"/>
      </font>
      <fill>
        <patternFill>
          <bgColor theme="3"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25078</xdr:colOff>
      <xdr:row>42</xdr:row>
      <xdr:rowOff>42159</xdr:rowOff>
    </xdr:from>
    <xdr:to>
      <xdr:col>21</xdr:col>
      <xdr:colOff>913283</xdr:colOff>
      <xdr:row>86</xdr:row>
      <xdr:rowOff>165374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rot="16200000">
          <a:off x="8049985" y="8148121"/>
          <a:ext cx="8012156" cy="7029028"/>
        </a:xfrm>
        <a:prstGeom prst="rect">
          <a:avLst/>
        </a:prstGeom>
      </xdr:spPr>
    </xdr:pic>
    <xdr:clientData/>
  </xdr:twoCellAnchor>
  <xdr:twoCellAnchor editAs="oneCell">
    <xdr:from>
      <xdr:col>1</xdr:col>
      <xdr:colOff>40481</xdr:colOff>
      <xdr:row>42</xdr:row>
      <xdr:rowOff>37959</xdr:rowOff>
    </xdr:from>
    <xdr:to>
      <xdr:col>8</xdr:col>
      <xdr:colOff>560296</xdr:colOff>
      <xdr:row>86</xdr:row>
      <xdr:rowOff>82623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rot="16200000">
          <a:off x="465755" y="7563259"/>
          <a:ext cx="7933605" cy="8111801"/>
        </a:xfrm>
        <a:prstGeom prst="rect">
          <a:avLst/>
        </a:prstGeom>
      </xdr:spPr>
    </xdr:pic>
    <xdr:clientData/>
  </xdr:twoCellAnchor>
  <xdr:twoCellAnchor editAs="oneCell">
    <xdr:from>
      <xdr:col>22</xdr:col>
      <xdr:colOff>50424</xdr:colOff>
      <xdr:row>42</xdr:row>
      <xdr:rowOff>50424</xdr:rowOff>
    </xdr:from>
    <xdr:to>
      <xdr:col>60</xdr:col>
      <xdr:colOff>627528</xdr:colOff>
      <xdr:row>62</xdr:row>
      <xdr:rowOff>72557</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65822" y="7855322"/>
          <a:ext cx="7530353" cy="360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6"/>
  <sheetViews>
    <sheetView zoomScale="85" zoomScaleNormal="85" workbookViewId="0">
      <selection sqref="A1:K8"/>
    </sheetView>
  </sheetViews>
  <sheetFormatPr defaultRowHeight="14.5"/>
  <sheetData>
    <row r="1" spans="1:11">
      <c r="A1" s="268" t="s">
        <v>1554</v>
      </c>
      <c r="B1" s="268"/>
      <c r="C1" s="268"/>
      <c r="D1" s="268"/>
      <c r="E1" s="268"/>
      <c r="F1" s="268"/>
      <c r="G1" s="268"/>
      <c r="H1" s="268"/>
      <c r="I1" s="268"/>
      <c r="J1" s="268"/>
      <c r="K1" s="268"/>
    </row>
    <row r="2" spans="1:11">
      <c r="A2" s="268"/>
      <c r="B2" s="268"/>
      <c r="C2" s="268"/>
      <c r="D2" s="268"/>
      <c r="E2" s="268"/>
      <c r="F2" s="268"/>
      <c r="G2" s="268"/>
      <c r="H2" s="268"/>
      <c r="I2" s="268"/>
      <c r="J2" s="268"/>
      <c r="K2" s="268"/>
    </row>
    <row r="3" spans="1:11">
      <c r="A3" s="268"/>
      <c r="B3" s="268"/>
      <c r="C3" s="268"/>
      <c r="D3" s="268"/>
      <c r="E3" s="268"/>
      <c r="F3" s="268"/>
      <c r="G3" s="268"/>
      <c r="H3" s="268"/>
      <c r="I3" s="268"/>
      <c r="J3" s="268"/>
      <c r="K3" s="268"/>
    </row>
    <row r="4" spans="1:11">
      <c r="A4" s="268"/>
      <c r="B4" s="268"/>
      <c r="C4" s="268"/>
      <c r="D4" s="268"/>
      <c r="E4" s="268"/>
      <c r="F4" s="268"/>
      <c r="G4" s="268"/>
      <c r="H4" s="268"/>
      <c r="I4" s="268"/>
      <c r="J4" s="268"/>
      <c r="K4" s="268"/>
    </row>
    <row r="5" spans="1:11">
      <c r="A5" s="268"/>
      <c r="B5" s="268"/>
      <c r="C5" s="268"/>
      <c r="D5" s="268"/>
      <c r="E5" s="268"/>
      <c r="F5" s="268"/>
      <c r="G5" s="268"/>
      <c r="H5" s="268"/>
      <c r="I5" s="268"/>
      <c r="J5" s="268"/>
      <c r="K5" s="268"/>
    </row>
    <row r="6" spans="1:11">
      <c r="A6" s="268"/>
      <c r="B6" s="268"/>
      <c r="C6" s="268"/>
      <c r="D6" s="268"/>
      <c r="E6" s="268"/>
      <c r="F6" s="268"/>
      <c r="G6" s="268"/>
      <c r="H6" s="268"/>
      <c r="I6" s="268"/>
      <c r="J6" s="268"/>
      <c r="K6" s="268"/>
    </row>
    <row r="7" spans="1:11">
      <c r="A7" s="268"/>
      <c r="B7" s="268"/>
      <c r="C7" s="268"/>
      <c r="D7" s="268"/>
      <c r="E7" s="268"/>
      <c r="F7" s="268"/>
      <c r="G7" s="268"/>
      <c r="H7" s="268"/>
      <c r="I7" s="268"/>
      <c r="J7" s="268"/>
      <c r="K7" s="268"/>
    </row>
    <row r="8" spans="1:11">
      <c r="A8" s="268"/>
      <c r="B8" s="268"/>
      <c r="C8" s="268"/>
      <c r="D8" s="268"/>
      <c r="E8" s="268"/>
      <c r="F8" s="268"/>
      <c r="G8" s="268"/>
      <c r="H8" s="268"/>
      <c r="I8" s="268"/>
      <c r="J8" s="268"/>
      <c r="K8" s="268"/>
    </row>
    <row r="9" spans="1:11">
      <c r="A9" s="269" t="s">
        <v>1573</v>
      </c>
      <c r="B9" s="269"/>
      <c r="C9" s="269"/>
      <c r="D9" s="269"/>
      <c r="E9" s="269"/>
      <c r="F9" s="269"/>
      <c r="G9" s="269"/>
      <c r="H9" s="269"/>
      <c r="I9" s="269"/>
      <c r="J9" s="269"/>
      <c r="K9" s="269"/>
    </row>
    <row r="10" spans="1:11" ht="14.25" customHeight="1">
      <c r="A10" s="270" t="s">
        <v>1574</v>
      </c>
      <c r="B10" s="270"/>
      <c r="C10" s="270"/>
      <c r="D10" s="270"/>
      <c r="E10" s="270"/>
      <c r="F10" s="270"/>
      <c r="G10" s="270"/>
      <c r="H10" s="270"/>
      <c r="I10" s="270"/>
      <c r="J10" s="270"/>
      <c r="K10" s="270"/>
    </row>
    <row r="11" spans="1:11">
      <c r="A11" s="271"/>
      <c r="B11" s="271"/>
      <c r="C11" s="271"/>
      <c r="D11" s="271"/>
      <c r="E11" s="271"/>
      <c r="F11" s="271"/>
      <c r="G11" s="271"/>
      <c r="H11" s="271"/>
      <c r="I11" s="271"/>
      <c r="J11" s="271"/>
      <c r="K11" s="271"/>
    </row>
    <row r="12" spans="1:11">
      <c r="A12" s="271"/>
      <c r="B12" s="271"/>
      <c r="C12" s="271"/>
      <c r="D12" s="271"/>
      <c r="E12" s="271"/>
      <c r="F12" s="271"/>
      <c r="G12" s="271"/>
      <c r="H12" s="271"/>
      <c r="I12" s="271"/>
      <c r="J12" s="271"/>
      <c r="K12" s="271"/>
    </row>
    <row r="13" spans="1:11">
      <c r="A13" s="271"/>
      <c r="B13" s="271"/>
      <c r="C13" s="271"/>
      <c r="D13" s="271"/>
      <c r="E13" s="271"/>
      <c r="F13" s="271"/>
      <c r="G13" s="271"/>
      <c r="H13" s="271"/>
      <c r="I13" s="271"/>
      <c r="J13" s="271"/>
      <c r="K13" s="271"/>
    </row>
    <row r="14" spans="1:11">
      <c r="A14" s="271"/>
      <c r="B14" s="271"/>
      <c r="C14" s="271"/>
      <c r="D14" s="271"/>
      <c r="E14" s="271"/>
      <c r="F14" s="271"/>
      <c r="G14" s="271"/>
      <c r="H14" s="271"/>
      <c r="I14" s="271"/>
      <c r="J14" s="271"/>
      <c r="K14" s="271"/>
    </row>
    <row r="15" spans="1:11">
      <c r="A15" s="271"/>
      <c r="B15" s="271"/>
      <c r="C15" s="271"/>
      <c r="D15" s="271"/>
      <c r="E15" s="271"/>
      <c r="F15" s="271"/>
      <c r="G15" s="271"/>
      <c r="H15" s="271"/>
      <c r="I15" s="271"/>
      <c r="J15" s="271"/>
      <c r="K15" s="271"/>
    </row>
    <row r="16" spans="1:11">
      <c r="A16" s="271"/>
      <c r="B16" s="271"/>
      <c r="C16" s="271"/>
      <c r="D16" s="271"/>
      <c r="E16" s="271"/>
      <c r="F16" s="271"/>
      <c r="G16" s="271"/>
      <c r="H16" s="271"/>
      <c r="I16" s="271"/>
      <c r="J16" s="271"/>
      <c r="K16" s="271"/>
    </row>
    <row r="17" spans="1:11">
      <c r="A17" s="271"/>
      <c r="B17" s="271"/>
      <c r="C17" s="271"/>
      <c r="D17" s="271"/>
      <c r="E17" s="271"/>
      <c r="F17" s="271"/>
      <c r="G17" s="271"/>
      <c r="H17" s="271"/>
      <c r="I17" s="271"/>
      <c r="J17" s="271"/>
      <c r="K17" s="271"/>
    </row>
    <row r="18" spans="1:11">
      <c r="A18" s="271"/>
      <c r="B18" s="271"/>
      <c r="C18" s="271"/>
      <c r="D18" s="271"/>
      <c r="E18" s="271"/>
      <c r="F18" s="271"/>
      <c r="G18" s="271"/>
      <c r="H18" s="271"/>
      <c r="I18" s="271"/>
      <c r="J18" s="271"/>
      <c r="K18" s="271"/>
    </row>
    <row r="19" spans="1:11">
      <c r="A19" s="271"/>
      <c r="B19" s="271"/>
      <c r="C19" s="271"/>
      <c r="D19" s="271"/>
      <c r="E19" s="271"/>
      <c r="F19" s="271"/>
      <c r="G19" s="271"/>
      <c r="H19" s="271"/>
      <c r="I19" s="271"/>
      <c r="J19" s="271"/>
      <c r="K19" s="271"/>
    </row>
    <row r="20" spans="1:11">
      <c r="A20" s="271"/>
      <c r="B20" s="271"/>
      <c r="C20" s="271"/>
      <c r="D20" s="271"/>
      <c r="E20" s="271"/>
      <c r="F20" s="271"/>
      <c r="G20" s="271"/>
      <c r="H20" s="271"/>
      <c r="I20" s="271"/>
      <c r="J20" s="271"/>
      <c r="K20" s="271"/>
    </row>
    <row r="21" spans="1:11">
      <c r="A21" s="271"/>
      <c r="B21" s="271"/>
      <c r="C21" s="271"/>
      <c r="D21" s="271"/>
      <c r="E21" s="271"/>
      <c r="F21" s="271"/>
      <c r="G21" s="271"/>
      <c r="H21" s="271"/>
      <c r="I21" s="271"/>
      <c r="J21" s="271"/>
      <c r="K21" s="271"/>
    </row>
    <row r="22" spans="1:11">
      <c r="A22" s="271"/>
      <c r="B22" s="271"/>
      <c r="C22" s="271"/>
      <c r="D22" s="271"/>
      <c r="E22" s="271"/>
      <c r="F22" s="271"/>
      <c r="G22" s="271"/>
      <c r="H22" s="271"/>
      <c r="I22" s="271"/>
      <c r="J22" s="271"/>
      <c r="K22" s="271"/>
    </row>
    <row r="23" spans="1:11">
      <c r="A23" s="271"/>
      <c r="B23" s="271"/>
      <c r="C23" s="271"/>
      <c r="D23" s="271"/>
      <c r="E23" s="271"/>
      <c r="F23" s="271"/>
      <c r="G23" s="271"/>
      <c r="H23" s="271"/>
      <c r="I23" s="271"/>
      <c r="J23" s="271"/>
      <c r="K23" s="271"/>
    </row>
    <row r="24" spans="1:11">
      <c r="A24" s="271"/>
      <c r="B24" s="271"/>
      <c r="C24" s="271"/>
      <c r="D24" s="271"/>
      <c r="E24" s="271"/>
      <c r="F24" s="271"/>
      <c r="G24" s="271"/>
      <c r="H24" s="271"/>
      <c r="I24" s="271"/>
      <c r="J24" s="271"/>
      <c r="K24" s="271"/>
    </row>
    <row r="25" spans="1:11">
      <c r="A25" s="271"/>
      <c r="B25" s="271"/>
      <c r="C25" s="271"/>
      <c r="D25" s="271"/>
      <c r="E25" s="271"/>
      <c r="F25" s="271"/>
      <c r="G25" s="271"/>
      <c r="H25" s="271"/>
      <c r="I25" s="271"/>
      <c r="J25" s="271"/>
      <c r="K25" s="271"/>
    </row>
    <row r="26" spans="1:11">
      <c r="A26" s="271"/>
      <c r="B26" s="271"/>
      <c r="C26" s="271"/>
      <c r="D26" s="271"/>
      <c r="E26" s="271"/>
      <c r="F26" s="271"/>
      <c r="G26" s="271"/>
      <c r="H26" s="271"/>
      <c r="I26" s="271"/>
      <c r="J26" s="271"/>
      <c r="K26" s="271"/>
    </row>
    <row r="27" spans="1:11">
      <c r="A27" s="271"/>
      <c r="B27" s="271"/>
      <c r="C27" s="271"/>
      <c r="D27" s="271"/>
      <c r="E27" s="271"/>
      <c r="F27" s="271"/>
      <c r="G27" s="271"/>
      <c r="H27" s="271"/>
      <c r="I27" s="271"/>
      <c r="J27" s="271"/>
      <c r="K27" s="271"/>
    </row>
    <row r="28" spans="1:11">
      <c r="A28" s="271"/>
      <c r="B28" s="271"/>
      <c r="C28" s="271"/>
      <c r="D28" s="271"/>
      <c r="E28" s="271"/>
      <c r="F28" s="271"/>
      <c r="G28" s="271"/>
      <c r="H28" s="271"/>
      <c r="I28" s="271"/>
      <c r="J28" s="271"/>
      <c r="K28" s="271"/>
    </row>
    <row r="29" spans="1:11">
      <c r="A29" s="271"/>
      <c r="B29" s="271"/>
      <c r="C29" s="271"/>
      <c r="D29" s="271"/>
      <c r="E29" s="271"/>
      <c r="F29" s="271"/>
      <c r="G29" s="271"/>
      <c r="H29" s="271"/>
      <c r="I29" s="271"/>
      <c r="J29" s="271"/>
      <c r="K29" s="271"/>
    </row>
    <row r="30" spans="1:11">
      <c r="A30" s="271"/>
      <c r="B30" s="271"/>
      <c r="C30" s="271"/>
      <c r="D30" s="271"/>
      <c r="E30" s="271"/>
      <c r="F30" s="271"/>
      <c r="G30" s="271"/>
      <c r="H30" s="271"/>
      <c r="I30" s="271"/>
      <c r="J30" s="271"/>
      <c r="K30" s="271"/>
    </row>
    <row r="31" spans="1:11">
      <c r="A31" s="271"/>
      <c r="B31" s="271"/>
      <c r="C31" s="271"/>
      <c r="D31" s="271"/>
      <c r="E31" s="271"/>
      <c r="F31" s="271"/>
      <c r="G31" s="271"/>
      <c r="H31" s="271"/>
      <c r="I31" s="271"/>
      <c r="J31" s="271"/>
      <c r="K31" s="271"/>
    </row>
    <row r="32" spans="1:11">
      <c r="A32" s="271"/>
      <c r="B32" s="271"/>
      <c r="C32" s="271"/>
      <c r="D32" s="271"/>
      <c r="E32" s="271"/>
      <c r="F32" s="271"/>
      <c r="G32" s="271"/>
      <c r="H32" s="271"/>
      <c r="I32" s="271"/>
      <c r="J32" s="271"/>
      <c r="K32" s="271"/>
    </row>
    <row r="33" spans="1:11">
      <c r="A33" s="271"/>
      <c r="B33" s="271"/>
      <c r="C33" s="271"/>
      <c r="D33" s="271"/>
      <c r="E33" s="271"/>
      <c r="F33" s="271"/>
      <c r="G33" s="271"/>
      <c r="H33" s="271"/>
      <c r="I33" s="271"/>
      <c r="J33" s="271"/>
      <c r="K33" s="271"/>
    </row>
    <row r="34" spans="1:11">
      <c r="A34" s="271"/>
      <c r="B34" s="271"/>
      <c r="C34" s="271"/>
      <c r="D34" s="271"/>
      <c r="E34" s="271"/>
      <c r="F34" s="271"/>
      <c r="G34" s="271"/>
      <c r="H34" s="271"/>
      <c r="I34" s="271"/>
      <c r="J34" s="271"/>
      <c r="K34" s="271"/>
    </row>
    <row r="35" spans="1:11">
      <c r="A35" s="271"/>
      <c r="B35" s="271"/>
      <c r="C35" s="271"/>
      <c r="D35" s="271"/>
      <c r="E35" s="271"/>
      <c r="F35" s="271"/>
      <c r="G35" s="271"/>
      <c r="H35" s="271"/>
      <c r="I35" s="271"/>
      <c r="J35" s="271"/>
      <c r="K35" s="271"/>
    </row>
    <row r="36" spans="1:11">
      <c r="A36" s="271"/>
      <c r="B36" s="271"/>
      <c r="C36" s="271"/>
      <c r="D36" s="271"/>
      <c r="E36" s="271"/>
      <c r="F36" s="271"/>
      <c r="G36" s="271"/>
      <c r="H36" s="271"/>
      <c r="I36" s="271"/>
      <c r="J36" s="271"/>
      <c r="K36" s="271"/>
    </row>
  </sheetData>
  <sheetProtection password="CA35" sheet="1" objects="1" scenarios="1"/>
  <mergeCells count="3">
    <mergeCell ref="A1:K8"/>
    <mergeCell ref="A9:K9"/>
    <mergeCell ref="A10:K3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FF00"/>
  </sheetPr>
  <dimension ref="B2:W752"/>
  <sheetViews>
    <sheetView topLeftCell="D1" zoomScale="70" zoomScaleNormal="70" workbookViewId="0">
      <pane ySplit="2" topLeftCell="A3" activePane="bottomLeft" state="frozen"/>
      <selection activeCell="D1" sqref="D1"/>
      <selection pane="bottomLeft" activeCell="P637" sqref="P637"/>
    </sheetView>
  </sheetViews>
  <sheetFormatPr defaultRowHeight="14.5"/>
  <cols>
    <col min="2" max="2" width="27.81640625" style="117" bestFit="1" customWidth="1"/>
    <col min="3" max="3" width="7.08984375" style="117" customWidth="1"/>
    <col min="4" max="4" width="7.6328125" style="117" bestFit="1" customWidth="1"/>
    <col min="5" max="5" width="6" bestFit="1" customWidth="1"/>
    <col min="6" max="6" width="6.6328125" style="117" bestFit="1" customWidth="1"/>
    <col min="9" max="11" width="9.08984375" style="117" customWidth="1"/>
    <col min="12" max="12" width="19.36328125" style="117" bestFit="1" customWidth="1"/>
    <col min="13" max="13" width="19.36328125" style="117" customWidth="1"/>
    <col min="14" max="14" width="9.08984375" customWidth="1"/>
    <col min="15" max="15" width="9.08984375" style="117" customWidth="1"/>
    <col min="16" max="16" width="23.7265625" customWidth="1"/>
    <col min="17" max="17" width="38" customWidth="1"/>
    <col min="18" max="18" width="15.26953125" customWidth="1"/>
    <col min="19" max="22" width="9.08984375" customWidth="1"/>
  </cols>
  <sheetData>
    <row r="2" spans="2:23">
      <c r="B2" s="117" t="s">
        <v>758</v>
      </c>
      <c r="C2" s="117" t="s">
        <v>762</v>
      </c>
      <c r="D2" s="117" t="s">
        <v>1409</v>
      </c>
      <c r="E2" t="s">
        <v>713</v>
      </c>
      <c r="F2" s="117" t="s">
        <v>1407</v>
      </c>
      <c r="G2" t="s">
        <v>757</v>
      </c>
      <c r="H2" t="s">
        <v>759</v>
      </c>
      <c r="I2" s="117" t="s">
        <v>1398</v>
      </c>
      <c r="J2" s="117" t="s">
        <v>1399</v>
      </c>
      <c r="L2" s="117" t="s">
        <v>1378</v>
      </c>
      <c r="M2" s="117" t="s">
        <v>1379</v>
      </c>
      <c r="N2" t="s">
        <v>1380</v>
      </c>
      <c r="O2" s="117" t="s">
        <v>1388</v>
      </c>
      <c r="P2" t="s">
        <v>1381</v>
      </c>
      <c r="Q2" t="s">
        <v>1387</v>
      </c>
      <c r="R2" t="s">
        <v>1389</v>
      </c>
      <c r="S2" t="s">
        <v>1390</v>
      </c>
      <c r="T2" t="s">
        <v>1391</v>
      </c>
      <c r="U2" t="s">
        <v>1408</v>
      </c>
      <c r="V2" t="s">
        <v>1426</v>
      </c>
      <c r="W2" t="s">
        <v>1438</v>
      </c>
    </row>
    <row r="3" spans="2:23">
      <c r="B3" s="117" t="str">
        <f t="array" ref="B3">IF(ROWS($3:3)&lt;=COUNTA('register map'!$L$5:$L$902),INDEX('register map'!$L$5:$L$902,SMALL(IF('register map'!$L$5:$L$902&lt;&gt;"",ROW('register map'!$L$5:$L$902)-MIN(ROW('register map'!$L$5:$L$902))+1),ROWS($3:3))),"")</f>
        <v>DEVICEID1</v>
      </c>
      <c r="C3" s="117">
        <f>IF(B3="PART_NUMBER",IF(COUNTIF($B$1:B2,"PART_NUMBER")=0,6,8),MATCH(B3,'register map'!L:L,0))</f>
        <v>5</v>
      </c>
      <c r="D3" s="117" t="str">
        <f>IF(ISBLANK(INDEX('register map'!C:C,'Logical Group Generator'!C3)),"No","Yes")</f>
        <v>Yes</v>
      </c>
      <c r="E3" s="117" t="str">
        <f>IF(ISBLANK(INDEX('register map'!A:A,C3)),IF(ISBLANK(INDEX('register map'!A:A,C3-1)),IF(ISBLANK(INDEX('register map'!A:A,C3-2)),IF(ISBLANK(INDEX('register map'!A:A,C3-3)),IF(ISBLANK(INDEX('register map'!A:A,C3-4)),IF(ISBLANK(INDEX('register map'!A:A,C3-5)),IF(ISBLANK(INDEX('register map'!A:A,C3-6)),IF(ISBLANK(INDEX('register map'!A:A,C3-7)),IF(ISBLANK(INDEX('register map'!A:A,C3-8)),"ERROR",INDEX('register map'!A:A,C3-8)),INDEX('register map'!A:A,C3-7)),INDEX('register map'!A:A,C3-6)),INDEX('register map'!A:A,C3-5)),INDEX('register map'!A:A,C3-4)),INDEX('register map'!A:A,C3-3)),INDEX('register map'!A:A,C3-2)),INDEX('register map'!A:A,C3-1)),INDEX('register map'!A:A,C3))</f>
        <v>0x5E</v>
      </c>
      <c r="F3" s="117" t="str">
        <f>IF(ISBLANK(INDEX('register map'!B:B,C3)),IF(ISBLANK(INDEX('register map'!B:B,C3-1)),IF(ISBLANK(INDEX('register map'!B:B,C3-2)),IF(ISBLANK(INDEX('register map'!B:B,C3-3)),IF(ISBLANK(INDEX('register map'!B:B,C3-4)),IF(ISBLANK(INDEX('register map'!B:B,C3-5)),IF(ISBLANK(INDEX('register map'!B:B,C3-6)),IF(ISBLANK(INDEX('register map'!B:B,C3-7)),IF(ISBLANK(INDEX('register map'!B:B,C3-8)),"ERROR",INDEX('register map'!B:B,C3-8)),INDEX('register map'!B:B,C3-7)),INDEX('register map'!B:B,C3-6)),INDEX('register map'!B:B,C3-5)),INDEX('register map'!B:B,C3-4)),INDEX('register map'!B:B,C3-3)),INDEX('register map'!B:B,C3-2)),INDEX('register map'!B:B,C3-1)),INDEX('register map'!B:B,C3))</f>
        <v>0x00</v>
      </c>
      <c r="G3" s="117" t="str">
        <f>CONCATENATE(IF(ISNUMBER(INDEX('register map'!D:D,C3)),7,""),IF(ISNUMBER(INDEX('register map'!E:E,C3)),6,""),IF(ISNUMBER(INDEX('register map'!F:F,C3)),5,""),IF(ISNUMBER(INDEX('register map'!G:G,C3)),4,""),IF(ISNUMBER(INDEX('register map'!H:H,C3)),3,""),IF(ISNUMBER(INDEX('register map'!I:I,C3)),2,""),IF(ISNUMBER(INDEX('register map'!J:J,C3)),1,""),IF(ISNUMBER(INDEX('register map'!K:K,C3)),0,""))</f>
        <v/>
      </c>
      <c r="H3" t="str">
        <f>RIGHT(INDEX('register map'!V:V,MATCH('Logical Group Generator'!B3,'register map'!L:L,0)),LEN(G3))</f>
        <v/>
      </c>
      <c r="I3" s="117" t="str">
        <f>CONCATENATE(IF(ISNUMBER(INDEX('register map'!K:K,C3)),0,""),IF(ISNUMBER(INDEX('register map'!J:J,C3)),1,""),IF(ISNUMBER(INDEX('register map'!I:I,C3)),2,""),IF(ISNUMBER(INDEX('register map'!H:H,C3)),3,""),IF(ISNUMBER(INDEX('register map'!G:G,C3)),4,""),IF(ISNUMBER(INDEX('register map'!F:F,C3)),5,""),IF(ISNUMBER(INDEX('register map'!E:E,C3)),6,""),IF(ISNUMBER(INDEX('register map'!D:D,C3)),7,""))</f>
        <v/>
      </c>
      <c r="J3" s="117" t="str">
        <f>MID(H3,20,1) &amp; MID(H3,19,1) &amp; MID(H3,18,1) &amp; MID(H3,17,1) &amp; MID(H3,16,1) &amp; MID(H3,15,1) &amp; MID(H3,14,1) &amp; MID(H3,13,1) &amp; MID(H3,12,1) &amp; MID(H3,11,1) &amp; MID(H3,10,1) &amp; MID(H3,9,1) &amp; MID(H3,8,1) &amp; MID(H3,7,1) &amp; MID(H3,6,1) &amp; MID(H3,5,1) &amp; MID(H3,4,1) &amp; MID(H3,3,1) &amp; MID(H3,2,1) &amp; MID(H3,1,1)</f>
        <v/>
      </c>
      <c r="K3" s="117" t="str">
        <f t="shared" ref="K3:K66" si="0">IF(D3="Yes",CONCATENATE(IF(F4=F3,J4,""),IF(F5=F3,J5,""),IF(F6=F3,J6,""),IF(F7=F3,J7,""),IF(F8=F3,J8,""),IF(F9=F3,J9,""),IF(F10=F3,J10,""),IF(F11=F3,J11,"")),"")</f>
        <v>00000000</v>
      </c>
      <c r="L3" s="117" t="str">
        <f>MID(K3,20,1) &amp; MID(K3,19,1) &amp; MID(K3,18,1) &amp; MID(K3,17,1) &amp; MID(K3,16,1) &amp; MID(K3,15,1) &amp; MID(K3,14,1) &amp; MID(K3,13,1) &amp; MID(K3,12,1) &amp; MID(K3,11,1) &amp; MID(K3,10,1) &amp; MID(K3,9,1) &amp; MID(K3,8,1) &amp; MID(K3,7,1) &amp; MID(K3,6,1) &amp; MID(K3,5,1) &amp; MID(K3,4,1) &amp; MID(K3,3,1) &amp; MID(K3,2,1) &amp; MID(K3,1,1)</f>
        <v>00000000</v>
      </c>
      <c r="M3" s="117" t="str">
        <f>IF(L3="","",BIN2HEX(L3,2))</f>
        <v>00</v>
      </c>
      <c r="N3" t="str">
        <f>IF(ISBLANK(INDEX('register map'!M:M,'Logical Group Generator'!C3)),"No","Yes")</f>
        <v>No</v>
      </c>
      <c r="O3" s="117" t="str">
        <f>IF(NOT(ISBLANK(INDEX('register map'!N:N,'Logical Group Generator'!C3))),"Yes","")</f>
        <v/>
      </c>
      <c r="P3" t="str">
        <f t="shared" ref="P3:P66" si="1">IF(D3="Yes",IF(OR(AND(F4=F3,N4="Yes"),AND(F5=F3,N5="Yes"),AND(F6=F3,N6="Yes"),AND(F7=F3,N7="Yes"),AND(F8=F3,N8="Yes"),AND(F9=F3,N9="Yes"),AND(F10=F3,N10="Yes"),AND(F11=F3,N11="Yes")),"Yes","No"),"")</f>
        <v>No</v>
      </c>
      <c r="Q3" t="str">
        <f t="shared" ref="Q3:Q66" si="2">IF(D3="Yes",IF(AND(IF(F4=F3,OR(N4="Yes",O4="Yes"),TRUE),IF(F5=F3,OR(N5="Yes",O5="Yes"),TRUE),IF(F6=F3,OR(N6="Yes",O6="Yes"),TRUE),IF(F7=F3,OR(N7="Yes",O7="Yes"),TRUE),IF(F8=F3,OR(N8="Yes",O8="Yes"),TRUE),IF(F9=F3,OR(N9="Yes",O9="Yes"),TRUE),IF(F10=F3,OR(N10="Yes",O10="Yes"),TRUE),IF(F11=F3,OR(N11="Yes",O11="Yes"),TRUE)),"Yes","No"),"")</f>
        <v>No</v>
      </c>
      <c r="R3" t="str">
        <f t="shared" ref="R3:R66" si="3">IF(D3="Yes",IF(AND(P3="Yes",Q3="No"),"Yes","No"),"")</f>
        <v>No</v>
      </c>
      <c r="S3" s="117" t="str">
        <f t="shared" ref="S3:S66" si="4">IF(D3="No",IF(AND(N3="No",NOT(O3="Yes"),INDEX(R:R,MATCH(F3,F:F,0))="Yes"),"Yes","No"),"")</f>
        <v/>
      </c>
      <c r="T3" t="b">
        <f t="shared" ref="T3:T66" si="5">IF(D3="Yes",LEN(L3)=8,"")</f>
        <v>1</v>
      </c>
      <c r="U3" t="b">
        <f>OR(P3="No",S3="Yes")</f>
        <v>1</v>
      </c>
      <c r="V3" t="b">
        <f>INDEX('register map'!P:P,C3)="yes"</f>
        <v>1</v>
      </c>
      <c r="W3" t="str">
        <f t="shared" ref="W3:W66" si="6">IF(AND(D3="Yes",P3="No",Q3="No",V3),"REGISTER",IF(AND(D3="No",S3="Yes",V3),"BIT","FALSE"))</f>
        <v>REGISTER</v>
      </c>
    </row>
    <row r="4" spans="2:23">
      <c r="B4" s="157" t="str">
        <f t="array" ref="B4">IF(ROWS($3:4)&lt;=COUNTA('register map'!$L$5:$L$902),INDEX('register map'!$L$5:$L$902,SMALL(IF('register map'!$L$5:$L$902&lt;&gt;"",ROW('register map'!$L$5:$L$902)-MIN(ROW('register map'!$L$5:$L$902))+1),ROWS($3:4))),"")</f>
        <v>PART_NUMBER</v>
      </c>
      <c r="C4" s="157">
        <f>IF(B4="PART_NUMBER",IF(COUNTIF($B$1:B3,"PART_NUMBER")=0,6,8),MATCH(B4,'register map'!L:L,0))</f>
        <v>6</v>
      </c>
      <c r="D4" s="117" t="str">
        <f>IF(ISBLANK(INDEX('register map'!C:C,'Logical Group Generator'!C4)),"No","Yes")</f>
        <v>No</v>
      </c>
      <c r="E4" s="117" t="str">
        <f>IF(ISBLANK(INDEX('register map'!A:A,C4)),IF(ISBLANK(INDEX('register map'!A:A,C4-1)),IF(ISBLANK(INDEX('register map'!A:A,C4-2)),IF(ISBLANK(INDEX('register map'!A:A,C4-3)),IF(ISBLANK(INDEX('register map'!A:A,C4-4)),IF(ISBLANK(INDEX('register map'!A:A,C4-5)),IF(ISBLANK(INDEX('register map'!A:A,C4-6)),IF(ISBLANK(INDEX('register map'!A:A,C4-7)),IF(ISBLANK(INDEX('register map'!A:A,C4-8)),"ERROR",INDEX('register map'!A:A,C4-8)),INDEX('register map'!A:A,C4-7)),INDEX('register map'!A:A,C4-6)),INDEX('register map'!A:A,C4-5)),INDEX('register map'!A:A,C4-4)),INDEX('register map'!A:A,C4-3)),INDEX('register map'!A:A,C4-2)),INDEX('register map'!A:A,C4-1)),INDEX('register map'!A:A,C4))</f>
        <v>0x5E</v>
      </c>
      <c r="F4" s="117" t="str">
        <f>IF(ISBLANK(INDEX('register map'!B:B,C4)),IF(ISBLANK(INDEX('register map'!B:B,C4-1)),IF(ISBLANK(INDEX('register map'!B:B,C4-2)),IF(ISBLANK(INDEX('register map'!B:B,C4-3)),IF(ISBLANK(INDEX('register map'!B:B,C4-4)),IF(ISBLANK(INDEX('register map'!B:B,C4-5)),IF(ISBLANK(INDEX('register map'!B:B,C4-6)),IF(ISBLANK(INDEX('register map'!B:B,C4-7)),IF(ISBLANK(INDEX('register map'!B:B,C4-8)),"ERROR",INDEX('register map'!B:B,C4-8)),INDEX('register map'!B:B,C4-7)),INDEX('register map'!B:B,C4-6)),INDEX('register map'!B:B,C4-5)),INDEX('register map'!B:B,C4-4)),INDEX('register map'!B:B,C4-3)),INDEX('register map'!B:B,C4-2)),INDEX('register map'!B:B,C4-1)),INDEX('register map'!B:B,C4))</f>
        <v>0x00</v>
      </c>
      <c r="G4" s="117" t="str">
        <f>CONCATENATE(IF(ISNUMBER(INDEX('register map'!D:D,C4)),7,""),IF(ISNUMBER(INDEX('register map'!E:E,C4)),6,""),IF(ISNUMBER(INDEX('register map'!F:F,C4)),5,""),IF(ISNUMBER(INDEX('register map'!G:G,C4)),4,""),IF(ISNUMBER(INDEX('register map'!H:H,C4)),3,""),IF(ISNUMBER(INDEX('register map'!I:I,C4)),2,""),IF(ISNUMBER(INDEX('register map'!J:J,C4)),1,""),IF(ISNUMBER(INDEX('register map'!K:K,C4)),0,""))</f>
        <v>76543210</v>
      </c>
      <c r="H4" s="117" t="str">
        <f>RIGHT(INDEX('register map'!V:V,MATCH('Logical Group Generator'!B4,'register map'!L:L,0)),LEN(G4))</f>
        <v>00000000</v>
      </c>
      <c r="I4" s="117" t="str">
        <f>CONCATENATE(IF(ISNUMBER(INDEX('register map'!K:K,C4)),0,""),IF(ISNUMBER(INDEX('register map'!J:J,C4)),1,""),IF(ISNUMBER(INDEX('register map'!I:I,C4)),2,""),IF(ISNUMBER(INDEX('register map'!H:H,C4)),3,""),IF(ISNUMBER(INDEX('register map'!G:G,C4)),4,""),IF(ISNUMBER(INDEX('register map'!F:F,C4)),5,""),IF(ISNUMBER(INDEX('register map'!E:E,C4)),6,""),IF(ISNUMBER(INDEX('register map'!D:D,C4)),7,""))</f>
        <v>01234567</v>
      </c>
      <c r="J4" s="117" t="str">
        <f t="shared" ref="J4:J67" si="7">MID(H4,20,1) &amp; MID(H4,19,1) &amp; MID(H4,18,1) &amp; MID(H4,17,1) &amp; MID(H4,16,1) &amp; MID(H4,15,1) &amp; MID(H4,14,1) &amp; MID(H4,13,1) &amp; MID(H4,12,1) &amp; MID(H4,11,1) &amp; MID(H4,10,1) &amp; MID(H4,9,1) &amp; MID(H4,8,1) &amp; MID(H4,7,1) &amp; MID(H4,6,1) &amp; MID(H4,5,1) &amp; MID(H4,4,1) &amp; MID(H4,3,1) &amp; MID(H4,2,1) &amp; MID(H4,1,1)</f>
        <v>00000000</v>
      </c>
      <c r="K4" s="117" t="str">
        <f t="shared" si="0"/>
        <v/>
      </c>
      <c r="L4" s="117" t="str">
        <f t="shared" ref="L4:L67" si="8">MID(K4,20,1) &amp; MID(K4,19,1) &amp; MID(K4,18,1) &amp; MID(K4,17,1) &amp; MID(K4,16,1) &amp; MID(K4,15,1) &amp; MID(K4,14,1) &amp; MID(K4,13,1) &amp; MID(K4,12,1) &amp; MID(K4,11,1) &amp; MID(K4,10,1) &amp; MID(K4,9,1) &amp; MID(K4,8,1) &amp; MID(K4,7,1) &amp; MID(K4,6,1) &amp; MID(K4,5,1) &amp; MID(K4,4,1) &amp; MID(K4,3,1) &amp; MID(K4,2,1) &amp; MID(K4,1,1)</f>
        <v/>
      </c>
      <c r="M4" s="117" t="str">
        <f>IF(L4="","",BIN2HEX(L4,2))</f>
        <v/>
      </c>
      <c r="N4" s="117" t="str">
        <f>IF(ISBLANK(INDEX('register map'!M:M,'Logical Group Generator'!C4)),"No","Yes")</f>
        <v>No</v>
      </c>
      <c r="O4" s="117" t="str">
        <f>IF(NOT(ISBLANK(INDEX('register map'!N:N,'Logical Group Generator'!C4))),"Yes","")</f>
        <v/>
      </c>
      <c r="P4" s="117" t="str">
        <f t="shared" si="1"/>
        <v/>
      </c>
      <c r="Q4" s="117" t="str">
        <f t="shared" si="2"/>
        <v/>
      </c>
      <c r="R4" s="117" t="str">
        <f t="shared" si="3"/>
        <v/>
      </c>
      <c r="S4" s="117" t="str">
        <f t="shared" si="4"/>
        <v>No</v>
      </c>
      <c r="T4" s="117" t="str">
        <f t="shared" si="5"/>
        <v/>
      </c>
      <c r="U4" s="117" t="b">
        <f t="shared" ref="U4:U67" si="9">OR(P4="No",S4="Yes")</f>
        <v>0</v>
      </c>
      <c r="V4" s="157" t="b">
        <f>INDEX('register map'!P:P,C4)="yes"</f>
        <v>1</v>
      </c>
      <c r="W4" s="157" t="str">
        <f t="shared" si="6"/>
        <v>FALSE</v>
      </c>
    </row>
    <row r="5" spans="2:23">
      <c r="B5" s="157" t="str">
        <f t="array" ref="B5">IF(ROWS($3:5)&lt;=COUNTA('register map'!$L$5:$L$902),INDEX('register map'!$L$5:$L$902,SMALL(IF('register map'!$L$5:$L$902&lt;&gt;"",ROW('register map'!$L$5:$L$902)-MIN(ROW('register map'!$L$5:$L$902))+1),ROWS($3:5))),"")</f>
        <v>DEVICEID2</v>
      </c>
      <c r="C5" s="157">
        <f>IF(B5="PART_NUMBER",IF(COUNTIF($B$1:B4,"PART_NUMBER")=0,6,8),MATCH(B5,'register map'!L:L,0))</f>
        <v>7</v>
      </c>
      <c r="D5" s="117" t="str">
        <f>IF(ISBLANK(INDEX('register map'!C:C,'Logical Group Generator'!C5)),"No","Yes")</f>
        <v>Yes</v>
      </c>
      <c r="E5" s="117" t="str">
        <f>IF(ISBLANK(INDEX('register map'!A:A,C5)),IF(ISBLANK(INDEX('register map'!A:A,C5-1)),IF(ISBLANK(INDEX('register map'!A:A,C5-2)),IF(ISBLANK(INDEX('register map'!A:A,C5-3)),IF(ISBLANK(INDEX('register map'!A:A,C5-4)),IF(ISBLANK(INDEX('register map'!A:A,C5-5)),IF(ISBLANK(INDEX('register map'!A:A,C5-6)),IF(ISBLANK(INDEX('register map'!A:A,C5-7)),IF(ISBLANK(INDEX('register map'!A:A,C5-8)),"ERROR",INDEX('register map'!A:A,C5-8)),INDEX('register map'!A:A,C5-7)),INDEX('register map'!A:A,C5-6)),INDEX('register map'!A:A,C5-5)),INDEX('register map'!A:A,C5-4)),INDEX('register map'!A:A,C5-3)),INDEX('register map'!A:A,C5-2)),INDEX('register map'!A:A,C5-1)),INDEX('register map'!A:A,C5))</f>
        <v>0x5E</v>
      </c>
      <c r="F5" s="117" t="str">
        <f>IF(ISBLANK(INDEX('register map'!B:B,C5)),IF(ISBLANK(INDEX('register map'!B:B,C5-1)),IF(ISBLANK(INDEX('register map'!B:B,C5-2)),IF(ISBLANK(INDEX('register map'!B:B,C5-3)),IF(ISBLANK(INDEX('register map'!B:B,C5-4)),IF(ISBLANK(INDEX('register map'!B:B,C5-5)),IF(ISBLANK(INDEX('register map'!B:B,C5-6)),IF(ISBLANK(INDEX('register map'!B:B,C5-7)),IF(ISBLANK(INDEX('register map'!B:B,C5-8)),"ERROR",INDEX('register map'!B:B,C5-8)),INDEX('register map'!B:B,C5-7)),INDEX('register map'!B:B,C5-6)),INDEX('register map'!B:B,C5-5)),INDEX('register map'!B:B,C5-4)),INDEX('register map'!B:B,C5-3)),INDEX('register map'!B:B,C5-2)),INDEX('register map'!B:B,C5-1)),INDEX('register map'!B:B,C5))</f>
        <v>0x01</v>
      </c>
      <c r="G5" s="117" t="str">
        <f>CONCATENATE(IF(ISNUMBER(INDEX('register map'!D:D,C5)),7,""),IF(ISNUMBER(INDEX('register map'!E:E,C5)),6,""),IF(ISNUMBER(INDEX('register map'!F:F,C5)),5,""),IF(ISNUMBER(INDEX('register map'!G:G,C5)),4,""),IF(ISNUMBER(INDEX('register map'!H:H,C5)),3,""),IF(ISNUMBER(INDEX('register map'!I:I,C5)),2,""),IF(ISNUMBER(INDEX('register map'!J:J,C5)),1,""),IF(ISNUMBER(INDEX('register map'!K:K,C5)),0,""))</f>
        <v/>
      </c>
      <c r="H5" s="117" t="str">
        <f>RIGHT(INDEX('register map'!V:V,MATCH('Logical Group Generator'!B5,'register map'!L:L,0)),LEN(G5))</f>
        <v/>
      </c>
      <c r="I5" s="117" t="str">
        <f>CONCATENATE(IF(ISNUMBER(INDEX('register map'!K:K,C5)),0,""),IF(ISNUMBER(INDEX('register map'!J:J,C5)),1,""),IF(ISNUMBER(INDEX('register map'!I:I,C5)),2,""),IF(ISNUMBER(INDEX('register map'!H:H,C5)),3,""),IF(ISNUMBER(INDEX('register map'!G:G,C5)),4,""),IF(ISNUMBER(INDEX('register map'!F:F,C5)),5,""),IF(ISNUMBER(INDEX('register map'!E:E,C5)),6,""),IF(ISNUMBER(INDEX('register map'!D:D,C5)),7,""))</f>
        <v/>
      </c>
      <c r="J5" s="117" t="str">
        <f t="shared" si="7"/>
        <v/>
      </c>
      <c r="K5" s="117" t="str">
        <f t="shared" si="0"/>
        <v>10000000</v>
      </c>
      <c r="L5" s="117" t="str">
        <f t="shared" si="8"/>
        <v>00000001</v>
      </c>
      <c r="M5" s="117" t="str">
        <f t="shared" ref="M5:M68" si="10">IF(L5="","",BIN2HEX(L5,2))</f>
        <v>01</v>
      </c>
      <c r="N5" s="117" t="str">
        <f>IF(ISBLANK(INDEX('register map'!M:M,'Logical Group Generator'!C5)),"No","Yes")</f>
        <v>No</v>
      </c>
      <c r="O5" s="117" t="str">
        <f>IF(NOT(ISBLANK(INDEX('register map'!N:N,'Logical Group Generator'!C5))),"Yes","")</f>
        <v/>
      </c>
      <c r="P5" s="117" t="str">
        <f t="shared" si="1"/>
        <v>No</v>
      </c>
      <c r="Q5" s="117" t="str">
        <f t="shared" si="2"/>
        <v>No</v>
      </c>
      <c r="R5" s="117" t="str">
        <f t="shared" si="3"/>
        <v>No</v>
      </c>
      <c r="S5" s="117" t="str">
        <f t="shared" si="4"/>
        <v/>
      </c>
      <c r="T5" s="117" t="b">
        <f t="shared" si="5"/>
        <v>1</v>
      </c>
      <c r="U5" s="117" t="b">
        <f t="shared" si="9"/>
        <v>1</v>
      </c>
      <c r="V5" s="157" t="b">
        <f>INDEX('register map'!P:P,C5)="yes"</f>
        <v>1</v>
      </c>
      <c r="W5" s="157" t="str">
        <f t="shared" si="6"/>
        <v>REGISTER</v>
      </c>
    </row>
    <row r="6" spans="2:23">
      <c r="B6" s="157" t="str">
        <f t="array" ref="B6">IF(ROWS($3:6)&lt;=COUNTA('register map'!$L$5:$L$902),INDEX('register map'!$L$5:$L$902,SMALL(IF('register map'!$L$5:$L$902&lt;&gt;"",ROW('register map'!$L$5:$L$902)-MIN(ROW('register map'!$L$5:$L$902))+1),ROWS($3:6))),"")</f>
        <v>PART_NUMBER</v>
      </c>
      <c r="C6" s="157">
        <f>IF(B6="PART_NUMBER",IF(COUNTIF($B$1:B5,"PART_NUMBER")=0,6,8),MATCH(B6,'register map'!L:L,0))</f>
        <v>8</v>
      </c>
      <c r="D6" s="117" t="str">
        <f>IF(ISBLANK(INDEX('register map'!C:C,'Logical Group Generator'!C6)),"No","Yes")</f>
        <v>No</v>
      </c>
      <c r="E6" s="117" t="str">
        <f>IF(ISBLANK(INDEX('register map'!A:A,C6)),IF(ISBLANK(INDEX('register map'!A:A,C6-1)),IF(ISBLANK(INDEX('register map'!A:A,C6-2)),IF(ISBLANK(INDEX('register map'!A:A,C6-3)),IF(ISBLANK(INDEX('register map'!A:A,C6-4)),IF(ISBLANK(INDEX('register map'!A:A,C6-5)),IF(ISBLANK(INDEX('register map'!A:A,C6-6)),IF(ISBLANK(INDEX('register map'!A:A,C6-7)),IF(ISBLANK(INDEX('register map'!A:A,C6-8)),"ERROR",INDEX('register map'!A:A,C6-8)),INDEX('register map'!A:A,C6-7)),INDEX('register map'!A:A,C6-6)),INDEX('register map'!A:A,C6-5)),INDEX('register map'!A:A,C6-4)),INDEX('register map'!A:A,C6-3)),INDEX('register map'!A:A,C6-2)),INDEX('register map'!A:A,C6-1)),INDEX('register map'!A:A,C6))</f>
        <v>0x5E</v>
      </c>
      <c r="F6" s="117" t="str">
        <f>IF(ISBLANK(INDEX('register map'!B:B,C6)),IF(ISBLANK(INDEX('register map'!B:B,C6-1)),IF(ISBLANK(INDEX('register map'!B:B,C6-2)),IF(ISBLANK(INDEX('register map'!B:B,C6-3)),IF(ISBLANK(INDEX('register map'!B:B,C6-4)),IF(ISBLANK(INDEX('register map'!B:B,C6-5)),IF(ISBLANK(INDEX('register map'!B:B,C6-6)),IF(ISBLANK(INDEX('register map'!B:B,C6-7)),IF(ISBLANK(INDEX('register map'!B:B,C6-8)),"ERROR",INDEX('register map'!B:B,C6-8)),INDEX('register map'!B:B,C6-7)),INDEX('register map'!B:B,C6-6)),INDEX('register map'!B:B,C6-5)),INDEX('register map'!B:B,C6-4)),INDEX('register map'!B:B,C6-3)),INDEX('register map'!B:B,C6-2)),INDEX('register map'!B:B,C6-1)),INDEX('register map'!B:B,C6))</f>
        <v>0x01</v>
      </c>
      <c r="G6" s="117" t="str">
        <f>CONCATENATE(IF(ISNUMBER(INDEX('register map'!D:D,C6)),7,""),IF(ISNUMBER(INDEX('register map'!E:E,C6)),6,""),IF(ISNUMBER(INDEX('register map'!F:F,C6)),5,""),IF(ISNUMBER(INDEX('register map'!G:G,C6)),4,""),IF(ISNUMBER(INDEX('register map'!H:H,C6)),3,""),IF(ISNUMBER(INDEX('register map'!I:I,C6)),2,""),IF(ISNUMBER(INDEX('register map'!J:J,C6)),1,""),IF(ISNUMBER(INDEX('register map'!K:K,C6)),0,""))</f>
        <v>3210</v>
      </c>
      <c r="H6" s="117" t="str">
        <f>RIGHT(INDEX('register map'!V:V,MATCH('Logical Group Generator'!B6,'register map'!L:L,0)+2),LEN(G6))</f>
        <v>0001</v>
      </c>
      <c r="I6" s="117" t="str">
        <f>CONCATENATE(IF(ISNUMBER(INDEX('register map'!K:K,C6)),0,""),IF(ISNUMBER(INDEX('register map'!J:J,C6)),1,""),IF(ISNUMBER(INDEX('register map'!I:I,C6)),2,""),IF(ISNUMBER(INDEX('register map'!H:H,C6)),3,""),IF(ISNUMBER(INDEX('register map'!G:G,C6)),4,""),IF(ISNUMBER(INDEX('register map'!F:F,C6)),5,""),IF(ISNUMBER(INDEX('register map'!E:E,C6)),6,""),IF(ISNUMBER(INDEX('register map'!D:D,C6)),7,""))</f>
        <v>0123</v>
      </c>
      <c r="J6" s="117" t="str">
        <f t="shared" si="7"/>
        <v>1000</v>
      </c>
      <c r="K6" s="117" t="str">
        <f t="shared" si="0"/>
        <v/>
      </c>
      <c r="L6" s="117" t="str">
        <f t="shared" si="8"/>
        <v/>
      </c>
      <c r="M6" s="117" t="str">
        <f t="shared" si="10"/>
        <v/>
      </c>
      <c r="N6" s="117" t="str">
        <f>IF(ISBLANK(INDEX('register map'!M:M,'Logical Group Generator'!C6)),"No","Yes")</f>
        <v>No</v>
      </c>
      <c r="O6" s="117" t="str">
        <f>IF(NOT(ISBLANK(INDEX('register map'!N:N,'Logical Group Generator'!C6))),"Yes","")</f>
        <v/>
      </c>
      <c r="P6" s="117" t="str">
        <f t="shared" si="1"/>
        <v/>
      </c>
      <c r="Q6" s="117" t="str">
        <f t="shared" si="2"/>
        <v/>
      </c>
      <c r="R6" s="117" t="str">
        <f t="shared" si="3"/>
        <v/>
      </c>
      <c r="S6" s="117" t="str">
        <f t="shared" si="4"/>
        <v>No</v>
      </c>
      <c r="T6" s="117" t="str">
        <f t="shared" si="5"/>
        <v/>
      </c>
      <c r="U6" s="117" t="b">
        <f t="shared" si="9"/>
        <v>0</v>
      </c>
      <c r="V6" s="157" t="b">
        <f>INDEX('register map'!P:P,C6)="yes"</f>
        <v>1</v>
      </c>
      <c r="W6" s="157" t="str">
        <f t="shared" si="6"/>
        <v>FALSE</v>
      </c>
    </row>
    <row r="7" spans="2:23">
      <c r="B7" s="157" t="str">
        <f t="array" ref="B7">IF(ROWS($3:7)&lt;=COUNTA('register map'!$L$5:$L$902),INDEX('register map'!$L$5:$L$902,SMALL(IF('register map'!$L$5:$L$902&lt;&gt;"",ROW('register map'!$L$5:$L$902)-MIN(ROW('register map'!$L$5:$L$902))+1),ROWS($3:7))),"")</f>
        <v>OTP_VERSION</v>
      </c>
      <c r="C7" s="157">
        <f>IF(B7="PART_NUMBER",IF(COUNTIF($B$1:B6,"PART_NUMBER")=0,6,8),MATCH(B7,'register map'!L:L,0))</f>
        <v>9</v>
      </c>
      <c r="D7" s="117" t="str">
        <f>IF(ISBLANK(INDEX('register map'!C:C,'Logical Group Generator'!C7)),"No","Yes")</f>
        <v>No</v>
      </c>
      <c r="E7" s="117" t="str">
        <f>IF(ISBLANK(INDEX('register map'!A:A,C7)),IF(ISBLANK(INDEX('register map'!A:A,C7-1)),IF(ISBLANK(INDEX('register map'!A:A,C7-2)),IF(ISBLANK(INDEX('register map'!A:A,C7-3)),IF(ISBLANK(INDEX('register map'!A:A,C7-4)),IF(ISBLANK(INDEX('register map'!A:A,C7-5)),IF(ISBLANK(INDEX('register map'!A:A,C7-6)),IF(ISBLANK(INDEX('register map'!A:A,C7-7)),IF(ISBLANK(INDEX('register map'!A:A,C7-8)),"ERROR",INDEX('register map'!A:A,C7-8)),INDEX('register map'!A:A,C7-7)),INDEX('register map'!A:A,C7-6)),INDEX('register map'!A:A,C7-5)),INDEX('register map'!A:A,C7-4)),INDEX('register map'!A:A,C7-3)),INDEX('register map'!A:A,C7-2)),INDEX('register map'!A:A,C7-1)),INDEX('register map'!A:A,C7))</f>
        <v>0x5E</v>
      </c>
      <c r="F7" s="117" t="str">
        <f>IF(ISBLANK(INDEX('register map'!B:B,C7)),IF(ISBLANK(INDEX('register map'!B:B,C7-1)),IF(ISBLANK(INDEX('register map'!B:B,C7-2)),IF(ISBLANK(INDEX('register map'!B:B,C7-3)),IF(ISBLANK(INDEX('register map'!B:B,C7-4)),IF(ISBLANK(INDEX('register map'!B:B,C7-5)),IF(ISBLANK(INDEX('register map'!B:B,C7-6)),IF(ISBLANK(INDEX('register map'!B:B,C7-7)),IF(ISBLANK(INDEX('register map'!B:B,C7-8)),"ERROR",INDEX('register map'!B:B,C7-8)),INDEX('register map'!B:B,C7-7)),INDEX('register map'!B:B,C7-6)),INDEX('register map'!B:B,C7-5)),INDEX('register map'!B:B,C7-4)),INDEX('register map'!B:B,C7-3)),INDEX('register map'!B:B,C7-2)),INDEX('register map'!B:B,C7-1)),INDEX('register map'!B:B,C7))</f>
        <v>0x01</v>
      </c>
      <c r="G7" s="117" t="str">
        <f>CONCATENATE(IF(ISNUMBER(INDEX('register map'!D:D,C7)),7,""),IF(ISNUMBER(INDEX('register map'!E:E,C7)),6,""),IF(ISNUMBER(INDEX('register map'!F:F,C7)),5,""),IF(ISNUMBER(INDEX('register map'!G:G,C7)),4,""),IF(ISNUMBER(INDEX('register map'!H:H,C7)),3,""),IF(ISNUMBER(INDEX('register map'!I:I,C7)),2,""),IF(ISNUMBER(INDEX('register map'!J:J,C7)),1,""),IF(ISNUMBER(INDEX('register map'!K:K,C7)),0,""))</f>
        <v>54</v>
      </c>
      <c r="H7" s="215" t="str">
        <f>RIGHT(INDEX('register map'!V:V,MATCH('Logical Group Generator'!B7,'register map'!L:L,0)),LEN(G7))</f>
        <v>00</v>
      </c>
      <c r="I7" s="117" t="str">
        <f>CONCATENATE(IF(ISNUMBER(INDEX('register map'!K:K,C7)),0,""),IF(ISNUMBER(INDEX('register map'!J:J,C7)),1,""),IF(ISNUMBER(INDEX('register map'!I:I,C7)),2,""),IF(ISNUMBER(INDEX('register map'!H:H,C7)),3,""),IF(ISNUMBER(INDEX('register map'!G:G,C7)),4,""),IF(ISNUMBER(INDEX('register map'!F:F,C7)),5,""),IF(ISNUMBER(INDEX('register map'!E:E,C7)),6,""),IF(ISNUMBER(INDEX('register map'!D:D,C7)),7,""))</f>
        <v>45</v>
      </c>
      <c r="J7" s="117" t="str">
        <f t="shared" si="7"/>
        <v>00</v>
      </c>
      <c r="K7" s="117" t="str">
        <f t="shared" si="0"/>
        <v/>
      </c>
      <c r="L7" s="117" t="str">
        <f t="shared" si="8"/>
        <v/>
      </c>
      <c r="M7" s="117" t="str">
        <f t="shared" si="10"/>
        <v/>
      </c>
      <c r="N7" s="117" t="str">
        <f>IF(ISBLANK(INDEX('register map'!M:M,'Logical Group Generator'!C7)),"No","Yes")</f>
        <v>No</v>
      </c>
      <c r="O7" s="117" t="str">
        <f>IF(NOT(ISBLANK(INDEX('register map'!N:N,'Logical Group Generator'!C7))),"Yes","")</f>
        <v/>
      </c>
      <c r="P7" s="117" t="str">
        <f t="shared" si="1"/>
        <v/>
      </c>
      <c r="Q7" s="117" t="str">
        <f t="shared" si="2"/>
        <v/>
      </c>
      <c r="R7" s="117" t="str">
        <f t="shared" si="3"/>
        <v/>
      </c>
      <c r="S7" s="117" t="str">
        <f t="shared" si="4"/>
        <v>No</v>
      </c>
      <c r="T7" s="117" t="str">
        <f t="shared" si="5"/>
        <v/>
      </c>
      <c r="U7" s="117" t="b">
        <f t="shared" si="9"/>
        <v>0</v>
      </c>
      <c r="V7" s="157" t="b">
        <f>INDEX('register map'!P:P,C7)="yes"</f>
        <v>1</v>
      </c>
      <c r="W7" s="157" t="str">
        <f t="shared" si="6"/>
        <v>FALSE</v>
      </c>
    </row>
    <row r="8" spans="2:23">
      <c r="B8" s="157" t="str">
        <f t="array" ref="B8">IF(ROWS($3:8)&lt;=COUNTA('register map'!$L$5:$L$902),INDEX('register map'!$L$5:$L$902,SMALL(IF('register map'!$L$5:$L$902&lt;&gt;"",ROW('register map'!$L$5:$L$902)-MIN(ROW('register map'!$L$5:$L$902))+1),ROWS($3:8))),"")</f>
        <v>REVID</v>
      </c>
      <c r="C8" s="157">
        <f>IF(B8="PART_NUMBER",IF(COUNTIF($B$1:B7,"PART_NUMBER")=0,6,8),MATCH(B8,'register map'!L:L,0))</f>
        <v>10</v>
      </c>
      <c r="D8" s="117" t="str">
        <f>IF(ISBLANK(INDEX('register map'!C:C,'Logical Group Generator'!C8)),"No","Yes")</f>
        <v>No</v>
      </c>
      <c r="E8" s="117" t="str">
        <f>IF(ISBLANK(INDEX('register map'!A:A,C8)),IF(ISBLANK(INDEX('register map'!A:A,C8-1)),IF(ISBLANK(INDEX('register map'!A:A,C8-2)),IF(ISBLANK(INDEX('register map'!A:A,C8-3)),IF(ISBLANK(INDEX('register map'!A:A,C8-4)),IF(ISBLANK(INDEX('register map'!A:A,C8-5)),IF(ISBLANK(INDEX('register map'!A:A,C8-6)),IF(ISBLANK(INDEX('register map'!A:A,C8-7)),IF(ISBLANK(INDEX('register map'!A:A,C8-8)),"ERROR",INDEX('register map'!A:A,C8-8)),INDEX('register map'!A:A,C8-7)),INDEX('register map'!A:A,C8-6)),INDEX('register map'!A:A,C8-5)),INDEX('register map'!A:A,C8-4)),INDEX('register map'!A:A,C8-3)),INDEX('register map'!A:A,C8-2)),INDEX('register map'!A:A,C8-1)),INDEX('register map'!A:A,C8))</f>
        <v>0x5E</v>
      </c>
      <c r="F8" s="117" t="str">
        <f>IF(ISBLANK(INDEX('register map'!B:B,C8)),IF(ISBLANK(INDEX('register map'!B:B,C8-1)),IF(ISBLANK(INDEX('register map'!B:B,C8-2)),IF(ISBLANK(INDEX('register map'!B:B,C8-3)),IF(ISBLANK(INDEX('register map'!B:B,C8-4)),IF(ISBLANK(INDEX('register map'!B:B,C8-5)),IF(ISBLANK(INDEX('register map'!B:B,C8-6)),IF(ISBLANK(INDEX('register map'!B:B,C8-7)),IF(ISBLANK(INDEX('register map'!B:B,C8-8)),"ERROR",INDEX('register map'!B:B,C8-8)),INDEX('register map'!B:B,C8-7)),INDEX('register map'!B:B,C8-6)),INDEX('register map'!B:B,C8-5)),INDEX('register map'!B:B,C8-4)),INDEX('register map'!B:B,C8-3)),INDEX('register map'!B:B,C8-2)),INDEX('register map'!B:B,C8-1)),INDEX('register map'!B:B,C8))</f>
        <v>0x01</v>
      </c>
      <c r="G8" s="117" t="str">
        <f>CONCATENATE(IF(ISNUMBER(INDEX('register map'!D:D,C8)),7,""),IF(ISNUMBER(INDEX('register map'!E:E,C8)),6,""),IF(ISNUMBER(INDEX('register map'!F:F,C8)),5,""),IF(ISNUMBER(INDEX('register map'!G:G,C8)),4,""),IF(ISNUMBER(INDEX('register map'!H:H,C8)),3,""),IF(ISNUMBER(INDEX('register map'!I:I,C8)),2,""),IF(ISNUMBER(INDEX('register map'!J:J,C8)),1,""),IF(ISNUMBER(INDEX('register map'!K:K,C8)),0,""))</f>
        <v>76</v>
      </c>
      <c r="H8" s="215" t="str">
        <f>RIGHT(INDEX('register map'!V:V,MATCH('Logical Group Generator'!B8,'register map'!L:L,0)),LEN(G8))</f>
        <v>00</v>
      </c>
      <c r="I8" s="117" t="str">
        <f>CONCATENATE(IF(ISNUMBER(INDEX('register map'!K:K,C8)),0,""),IF(ISNUMBER(INDEX('register map'!J:J,C8)),1,""),IF(ISNUMBER(INDEX('register map'!I:I,C8)),2,""),IF(ISNUMBER(INDEX('register map'!H:H,C8)),3,""),IF(ISNUMBER(INDEX('register map'!G:G,C8)),4,""),IF(ISNUMBER(INDEX('register map'!F:F,C8)),5,""),IF(ISNUMBER(INDEX('register map'!E:E,C8)),6,""),IF(ISNUMBER(INDEX('register map'!D:D,C8)),7,""))</f>
        <v>67</v>
      </c>
      <c r="J8" s="117" t="str">
        <f t="shared" si="7"/>
        <v>00</v>
      </c>
      <c r="K8" s="117" t="str">
        <f t="shared" si="0"/>
        <v/>
      </c>
      <c r="L8" s="117" t="str">
        <f t="shared" si="8"/>
        <v/>
      </c>
      <c r="M8" s="117" t="str">
        <f t="shared" si="10"/>
        <v/>
      </c>
      <c r="N8" s="117" t="str">
        <f>IF(ISBLANK(INDEX('register map'!M:M,'Logical Group Generator'!C8)),"No","Yes")</f>
        <v>No</v>
      </c>
      <c r="O8" s="117" t="str">
        <f>IF(NOT(ISBLANK(INDEX('register map'!N:N,'Logical Group Generator'!C8))),"Yes","")</f>
        <v/>
      </c>
      <c r="P8" s="117" t="str">
        <f t="shared" si="1"/>
        <v/>
      </c>
      <c r="Q8" s="117" t="str">
        <f t="shared" si="2"/>
        <v/>
      </c>
      <c r="R8" s="117" t="str">
        <f t="shared" si="3"/>
        <v/>
      </c>
      <c r="S8" s="117" t="str">
        <f t="shared" si="4"/>
        <v>No</v>
      </c>
      <c r="T8" s="117" t="str">
        <f t="shared" si="5"/>
        <v/>
      </c>
      <c r="U8" s="117" t="b">
        <f t="shared" si="9"/>
        <v>0</v>
      </c>
      <c r="V8" s="157" t="b">
        <f>INDEX('register map'!P:P,C8)="yes"</f>
        <v>1</v>
      </c>
      <c r="W8" s="157" t="str">
        <f t="shared" si="6"/>
        <v>FALSE</v>
      </c>
    </row>
    <row r="9" spans="2:23">
      <c r="B9" s="157" t="str">
        <f t="array" ref="B9">IF(ROWS($3:9)&lt;=COUNTA('register map'!$L$5:$L$902),INDEX('register map'!$L$5:$L$902,SMALL(IF('register map'!$L$5:$L$902&lt;&gt;"",ROW('register map'!$L$5:$L$902)-MIN(ROW('register map'!$L$5:$L$902))+1),ROWS($3:9))),"")</f>
        <v>IRQ</v>
      </c>
      <c r="C9" s="157">
        <f>IF(B9="PART_NUMBER",IF(COUNTIF($B$1:B8,"PART_NUMBER")=0,6,8),MATCH(B9,'register map'!L:L,0))</f>
        <v>11</v>
      </c>
      <c r="D9" s="117" t="str">
        <f>IF(ISBLANK(INDEX('register map'!C:C,'Logical Group Generator'!C9)),"No","Yes")</f>
        <v>Yes</v>
      </c>
      <c r="E9" s="117" t="str">
        <f>IF(ISBLANK(INDEX('register map'!A:A,C9)),IF(ISBLANK(INDEX('register map'!A:A,C9-1)),IF(ISBLANK(INDEX('register map'!A:A,C9-2)),IF(ISBLANK(INDEX('register map'!A:A,C9-3)),IF(ISBLANK(INDEX('register map'!A:A,C9-4)),IF(ISBLANK(INDEX('register map'!A:A,C9-5)),IF(ISBLANK(INDEX('register map'!A:A,C9-6)),IF(ISBLANK(INDEX('register map'!A:A,C9-7)),IF(ISBLANK(INDEX('register map'!A:A,C9-8)),"ERROR",INDEX('register map'!A:A,C9-8)),INDEX('register map'!A:A,C9-7)),INDEX('register map'!A:A,C9-6)),INDEX('register map'!A:A,C9-5)),INDEX('register map'!A:A,C9-4)),INDEX('register map'!A:A,C9-3)),INDEX('register map'!A:A,C9-2)),INDEX('register map'!A:A,C9-1)),INDEX('register map'!A:A,C9))</f>
        <v>0x5E</v>
      </c>
      <c r="F9" s="117" t="str">
        <f>IF(ISBLANK(INDEX('register map'!B:B,C9)),IF(ISBLANK(INDEX('register map'!B:B,C9-1)),IF(ISBLANK(INDEX('register map'!B:B,C9-2)),IF(ISBLANK(INDEX('register map'!B:B,C9-3)),IF(ISBLANK(INDEX('register map'!B:B,C9-4)),IF(ISBLANK(INDEX('register map'!B:B,C9-5)),IF(ISBLANK(INDEX('register map'!B:B,C9-6)),IF(ISBLANK(INDEX('register map'!B:B,C9-7)),IF(ISBLANK(INDEX('register map'!B:B,C9-8)),"ERROR",INDEX('register map'!B:B,C9-8)),INDEX('register map'!B:B,C9-7)),INDEX('register map'!B:B,C9-6)),INDEX('register map'!B:B,C9-5)),INDEX('register map'!B:B,C9-4)),INDEX('register map'!B:B,C9-3)),INDEX('register map'!B:B,C9-2)),INDEX('register map'!B:B,C9-1)),INDEX('register map'!B:B,C9))</f>
        <v>0x02</v>
      </c>
      <c r="G9" t="str">
        <f>CONCATENATE(IF(ISNUMBER(INDEX('register map'!D:D,C9)),7,""),IF(ISNUMBER(INDEX('register map'!E:E,C9)),6,""),IF(ISNUMBER(INDEX('register map'!F:F,C9)),5,""),IF(ISNUMBER(INDEX('register map'!G:G,C9)),4,""),IF(ISNUMBER(INDEX('register map'!H:H,C9)),3,""),IF(ISNUMBER(INDEX('register map'!I:I,C9)),2,""),IF(ISNUMBER(INDEX('register map'!J:J,C9)),1,""),IF(ISNUMBER(INDEX('register map'!K:K,C9)),0,""))</f>
        <v/>
      </c>
      <c r="H9" s="215" t="str">
        <f>RIGHT(INDEX('register map'!V:V,MATCH('Logical Group Generator'!B9,'register map'!L:L,0)),LEN(G9))</f>
        <v/>
      </c>
      <c r="I9" s="117" t="str">
        <f>CONCATENATE(IF(ISNUMBER(INDEX('register map'!K:K,C9)),0,""),IF(ISNUMBER(INDEX('register map'!J:J,C9)),1,""),IF(ISNUMBER(INDEX('register map'!I:I,C9)),2,""),IF(ISNUMBER(INDEX('register map'!H:H,C9)),3,""),IF(ISNUMBER(INDEX('register map'!G:G,C9)),4,""),IF(ISNUMBER(INDEX('register map'!F:F,C9)),5,""),IF(ISNUMBER(INDEX('register map'!E:E,C9)),6,""),IF(ISNUMBER(INDEX('register map'!D:D,C9)),7,""))</f>
        <v/>
      </c>
      <c r="J9" s="117" t="str">
        <f t="shared" si="7"/>
        <v/>
      </c>
      <c r="K9" s="117" t="str">
        <f t="shared" si="0"/>
        <v>000</v>
      </c>
      <c r="L9" s="117" t="str">
        <f t="shared" si="8"/>
        <v>000</v>
      </c>
      <c r="M9" s="117" t="str">
        <f t="shared" si="10"/>
        <v>00</v>
      </c>
      <c r="N9" s="117" t="str">
        <f>IF(ISBLANK(INDEX('register map'!M:M,'Logical Group Generator'!C9)),"No","Yes")</f>
        <v>No</v>
      </c>
      <c r="O9" s="117" t="str">
        <f>IF(NOT(ISBLANK(INDEX('register map'!N:N,'Logical Group Generator'!C9))),"Yes","")</f>
        <v/>
      </c>
      <c r="P9" s="117" t="str">
        <f t="shared" si="1"/>
        <v>No</v>
      </c>
      <c r="Q9" s="117" t="str">
        <f t="shared" si="2"/>
        <v>No</v>
      </c>
      <c r="R9" s="117" t="str">
        <f t="shared" si="3"/>
        <v>No</v>
      </c>
      <c r="S9" s="117" t="str">
        <f t="shared" si="4"/>
        <v/>
      </c>
      <c r="T9" s="117" t="b">
        <f t="shared" si="5"/>
        <v>0</v>
      </c>
      <c r="U9" s="117" t="b">
        <f t="shared" si="9"/>
        <v>1</v>
      </c>
      <c r="V9" s="157" t="b">
        <f>INDEX('register map'!P:P,C9)="yes"</f>
        <v>0</v>
      </c>
      <c r="W9" s="157" t="str">
        <f t="shared" si="6"/>
        <v>FALSE</v>
      </c>
    </row>
    <row r="10" spans="2:23">
      <c r="B10" s="157" t="str">
        <f t="array" ref="B10">IF(ROWS($3:10)&lt;=COUNTA('register map'!$L$5:$L$902),INDEX('register map'!$L$5:$L$902,SMALL(IF('register map'!$L$5:$L$902&lt;&gt;"",ROW('register map'!$L$5:$L$902)-MIN(ROW('register map'!$L$5:$L$902))+1),ROWS($3:10))),"")</f>
        <v>DIETEMP</v>
      </c>
      <c r="C10" s="157">
        <f>IF(B10="PART_NUMBER",IF(COUNTIF($B$1:B9,"PART_NUMBER")=0,6,8),MATCH(B10,'register map'!L:L,0))</f>
        <v>12</v>
      </c>
      <c r="D10" s="117" t="str">
        <f>IF(ISBLANK(INDEX('register map'!C:C,'Logical Group Generator'!C10)),"No","Yes")</f>
        <v>No</v>
      </c>
      <c r="E10" s="117" t="str">
        <f>IF(ISBLANK(INDEX('register map'!A:A,C10)),IF(ISBLANK(INDEX('register map'!A:A,C10-1)),IF(ISBLANK(INDEX('register map'!A:A,C10-2)),IF(ISBLANK(INDEX('register map'!A:A,C10-3)),IF(ISBLANK(INDEX('register map'!A:A,C10-4)),IF(ISBLANK(INDEX('register map'!A:A,C10-5)),IF(ISBLANK(INDEX('register map'!A:A,C10-6)),IF(ISBLANK(INDEX('register map'!A:A,C10-7)),IF(ISBLANK(INDEX('register map'!A:A,C10-8)),"ERROR",INDEX('register map'!A:A,C10-8)),INDEX('register map'!A:A,C10-7)),INDEX('register map'!A:A,C10-6)),INDEX('register map'!A:A,C10-5)),INDEX('register map'!A:A,C10-4)),INDEX('register map'!A:A,C10-3)),INDEX('register map'!A:A,C10-2)),INDEX('register map'!A:A,C10-1)),INDEX('register map'!A:A,C10))</f>
        <v>0x5E</v>
      </c>
      <c r="F10" s="117" t="str">
        <f>IF(ISBLANK(INDEX('register map'!B:B,C10)),IF(ISBLANK(INDEX('register map'!B:B,C10-1)),IF(ISBLANK(INDEX('register map'!B:B,C10-2)),IF(ISBLANK(INDEX('register map'!B:B,C10-3)),IF(ISBLANK(INDEX('register map'!B:B,C10-4)),IF(ISBLANK(INDEX('register map'!B:B,C10-5)),IF(ISBLANK(INDEX('register map'!B:B,C10-6)),IF(ISBLANK(INDEX('register map'!B:B,C10-7)),IF(ISBLANK(INDEX('register map'!B:B,C10-8)),"ERROR",INDEX('register map'!B:B,C10-8)),INDEX('register map'!B:B,C10-7)),INDEX('register map'!B:B,C10-6)),INDEX('register map'!B:B,C10-5)),INDEX('register map'!B:B,C10-4)),INDEX('register map'!B:B,C10-3)),INDEX('register map'!B:B,C10-2)),INDEX('register map'!B:B,C10-1)),INDEX('register map'!B:B,C10))</f>
        <v>0x02</v>
      </c>
      <c r="G10" s="117" t="str">
        <f>CONCATENATE(IF(ISNUMBER(INDEX('register map'!D:D,C10)),7,""),IF(ISNUMBER(INDEX('register map'!E:E,C10)),6,""),IF(ISNUMBER(INDEX('register map'!F:F,C10)),5,""),IF(ISNUMBER(INDEX('register map'!G:G,C10)),4,""),IF(ISNUMBER(INDEX('register map'!H:H,C10)),3,""),IF(ISNUMBER(INDEX('register map'!I:I,C10)),2,""),IF(ISNUMBER(INDEX('register map'!J:J,C10)),1,""),IF(ISNUMBER(INDEX('register map'!K:K,C10)),0,""))</f>
        <v>0</v>
      </c>
      <c r="H10" s="117" t="str">
        <f>RIGHT(INDEX('register map'!V:V,MATCH('Logical Group Generator'!B10,'register map'!L:L,0)),LEN(G10))</f>
        <v>0</v>
      </c>
      <c r="I10" s="117" t="str">
        <f>CONCATENATE(IF(ISNUMBER(INDEX('register map'!K:K,C10)),0,""),IF(ISNUMBER(INDEX('register map'!J:J,C10)),1,""),IF(ISNUMBER(INDEX('register map'!I:I,C10)),2,""),IF(ISNUMBER(INDEX('register map'!H:H,C10)),3,""),IF(ISNUMBER(INDEX('register map'!G:G,C10)),4,""),IF(ISNUMBER(INDEX('register map'!F:F,C10)),5,""),IF(ISNUMBER(INDEX('register map'!E:E,C10)),6,""),IF(ISNUMBER(INDEX('register map'!D:D,C10)),7,""))</f>
        <v>0</v>
      </c>
      <c r="J10" s="117" t="str">
        <f t="shared" si="7"/>
        <v>0</v>
      </c>
      <c r="K10" s="117" t="str">
        <f t="shared" si="0"/>
        <v/>
      </c>
      <c r="L10" s="117" t="str">
        <f t="shared" si="8"/>
        <v/>
      </c>
      <c r="M10" s="117" t="str">
        <f t="shared" si="10"/>
        <v/>
      </c>
      <c r="N10" s="117" t="str">
        <f>IF(ISBLANK(INDEX('register map'!M:M,'Logical Group Generator'!C10)),"No","Yes")</f>
        <v>No</v>
      </c>
      <c r="O10" s="117" t="str">
        <f>IF(NOT(ISBLANK(INDEX('register map'!N:N,'Logical Group Generator'!C10))),"Yes","")</f>
        <v/>
      </c>
      <c r="P10" s="117" t="str">
        <f t="shared" si="1"/>
        <v/>
      </c>
      <c r="Q10" s="117" t="str">
        <f t="shared" si="2"/>
        <v/>
      </c>
      <c r="R10" s="117" t="str">
        <f t="shared" si="3"/>
        <v/>
      </c>
      <c r="S10" s="117" t="str">
        <f t="shared" si="4"/>
        <v>No</v>
      </c>
      <c r="T10" s="117" t="str">
        <f t="shared" si="5"/>
        <v/>
      </c>
      <c r="U10" s="117" t="b">
        <f t="shared" si="9"/>
        <v>0</v>
      </c>
      <c r="V10" s="157" t="b">
        <f>INDEX('register map'!P:P,C10)="yes"</f>
        <v>0</v>
      </c>
      <c r="W10" s="157" t="str">
        <f t="shared" si="6"/>
        <v>FALSE</v>
      </c>
    </row>
    <row r="11" spans="2:23" s="117" customFormat="1">
      <c r="B11" s="157" t="str">
        <f t="array" ref="B11">IF(ROWS($3:11)&lt;=COUNTA('register map'!$L$5:$L$902),INDEX('register map'!$L$5:$L$902,SMALL(IF('register map'!$L$5:$L$902&lt;&gt;"",ROW('register map'!$L$5:$L$902)-MIN(ROW('register map'!$L$5:$L$902))+1),ROWS($3:11))),"")</f>
        <v>SHUTDN</v>
      </c>
      <c r="C11" s="157">
        <f>IF(B11="PART_NUMBER",IF(COUNTIF($B$1:B10,"PART_NUMBER")=0,6,8),MATCH(B11,'register map'!L:L,0))</f>
        <v>14</v>
      </c>
      <c r="D11" s="117" t="str">
        <f>IF(ISBLANK(INDEX('register map'!C:C,'Logical Group Generator'!C11)),"No","Yes")</f>
        <v>No</v>
      </c>
      <c r="E11" s="117" t="str">
        <f>IF(ISBLANK(INDEX('register map'!A:A,C11)),IF(ISBLANK(INDEX('register map'!A:A,C11-1)),IF(ISBLANK(INDEX('register map'!A:A,C11-2)),IF(ISBLANK(INDEX('register map'!A:A,C11-3)),IF(ISBLANK(INDEX('register map'!A:A,C11-4)),IF(ISBLANK(INDEX('register map'!A:A,C11-5)),IF(ISBLANK(INDEX('register map'!A:A,C11-6)),IF(ISBLANK(INDEX('register map'!A:A,C11-7)),IF(ISBLANK(INDEX('register map'!A:A,C11-8)),"ERROR",INDEX('register map'!A:A,C11-8)),INDEX('register map'!A:A,C11-7)),INDEX('register map'!A:A,C11-6)),INDEX('register map'!A:A,C11-5)),INDEX('register map'!A:A,C11-4)),INDEX('register map'!A:A,C11-3)),INDEX('register map'!A:A,C11-2)),INDEX('register map'!A:A,C11-1)),INDEX('register map'!A:A,C11))</f>
        <v>0x5E</v>
      </c>
      <c r="F11" s="117" t="str">
        <f>IF(ISBLANK(INDEX('register map'!B:B,C11)),IF(ISBLANK(INDEX('register map'!B:B,C11-1)),IF(ISBLANK(INDEX('register map'!B:B,C11-2)),IF(ISBLANK(INDEX('register map'!B:B,C11-3)),IF(ISBLANK(INDEX('register map'!B:B,C11-4)),IF(ISBLANK(INDEX('register map'!B:B,C11-5)),IF(ISBLANK(INDEX('register map'!B:B,C11-6)),IF(ISBLANK(INDEX('register map'!B:B,C11-7)),IF(ISBLANK(INDEX('register map'!B:B,C11-8)),"ERROR",INDEX('register map'!B:B,C11-8)),INDEX('register map'!B:B,C11-7)),INDEX('register map'!B:B,C11-6)),INDEX('register map'!B:B,C11-5)),INDEX('register map'!B:B,C11-4)),INDEX('register map'!B:B,C11-3)),INDEX('register map'!B:B,C11-2)),INDEX('register map'!B:B,C11-1)),INDEX('register map'!B:B,C11))</f>
        <v>0x02</v>
      </c>
      <c r="G11" s="117" t="str">
        <f>CONCATENATE(IF(ISNUMBER(INDEX('register map'!D:D,C11)),7,""),IF(ISNUMBER(INDEX('register map'!E:E,C11)),6,""),IF(ISNUMBER(INDEX('register map'!F:F,C11)),5,""),IF(ISNUMBER(INDEX('register map'!G:G,C11)),4,""),IF(ISNUMBER(INDEX('register map'!H:H,C11)),3,""),IF(ISNUMBER(INDEX('register map'!I:I,C11)),2,""),IF(ISNUMBER(INDEX('register map'!J:J,C11)),1,""),IF(ISNUMBER(INDEX('register map'!K:K,C11)),0,""))</f>
        <v>3</v>
      </c>
      <c r="H11" s="117" t="str">
        <f>RIGHT(INDEX('register map'!V:V,MATCH('Logical Group Generator'!B11,'register map'!L:L,0)),LEN(G11))</f>
        <v>0</v>
      </c>
      <c r="I11" s="117" t="str">
        <f>CONCATENATE(IF(ISNUMBER(INDEX('register map'!K:K,C11)),0,""),IF(ISNUMBER(INDEX('register map'!J:J,C11)),1,""),IF(ISNUMBER(INDEX('register map'!I:I,C11)),2,""),IF(ISNUMBER(INDEX('register map'!H:H,C11)),3,""),IF(ISNUMBER(INDEX('register map'!G:G,C11)),4,""),IF(ISNUMBER(INDEX('register map'!F:F,C11)),5,""),IF(ISNUMBER(INDEX('register map'!E:E,C11)),6,""),IF(ISNUMBER(INDEX('register map'!D:D,C11)),7,""))</f>
        <v>3</v>
      </c>
      <c r="J11" s="117" t="str">
        <f t="shared" si="7"/>
        <v>0</v>
      </c>
      <c r="K11" s="117" t="str">
        <f t="shared" si="0"/>
        <v/>
      </c>
      <c r="L11" s="117" t="str">
        <f t="shared" si="8"/>
        <v/>
      </c>
      <c r="M11" s="117" t="str">
        <f t="shared" si="10"/>
        <v/>
      </c>
      <c r="N11" s="117" t="str">
        <f>IF(ISBLANK(INDEX('register map'!M:M,'Logical Group Generator'!C11)),"No","Yes")</f>
        <v>No</v>
      </c>
      <c r="O11" s="117" t="str">
        <f>IF(NOT(ISBLANK(INDEX('register map'!N:N,'Logical Group Generator'!C11))),"Yes","")</f>
        <v/>
      </c>
      <c r="P11" s="117" t="str">
        <f t="shared" si="1"/>
        <v/>
      </c>
      <c r="Q11" s="117" t="str">
        <f t="shared" si="2"/>
        <v/>
      </c>
      <c r="R11" s="117" t="str">
        <f t="shared" si="3"/>
        <v/>
      </c>
      <c r="S11" s="117" t="str">
        <f t="shared" si="4"/>
        <v>No</v>
      </c>
      <c r="T11" s="117" t="str">
        <f t="shared" si="5"/>
        <v/>
      </c>
      <c r="U11" s="117" t="b">
        <f t="shared" si="9"/>
        <v>0</v>
      </c>
      <c r="V11" s="157" t="b">
        <f>INDEX('register map'!P:P,C11)="yes"</f>
        <v>0</v>
      </c>
      <c r="W11" s="157" t="str">
        <f t="shared" si="6"/>
        <v>FALSE</v>
      </c>
    </row>
    <row r="12" spans="2:23">
      <c r="B12" s="157" t="str">
        <f t="array" ref="B12">IF(ROWS($3:12)&lt;=COUNTA('register map'!$L$5:$L$902),INDEX('register map'!$L$5:$L$902,SMALL(IF('register map'!$L$5:$L$902&lt;&gt;"",ROW('register map'!$L$5:$L$902)-MIN(ROW('register map'!$L$5:$L$902))+1),ROWS($3:12))),"")</f>
        <v>FAULT</v>
      </c>
      <c r="C12" s="157">
        <f>IF(B12="PART_NUMBER",IF(COUNTIF($B$1:B11,"PART_NUMBER")=0,6,8),MATCH(B12,'register map'!L:L,0))</f>
        <v>16</v>
      </c>
      <c r="D12" s="117" t="str">
        <f>IF(ISBLANK(INDEX('register map'!C:C,'Logical Group Generator'!C12)),"No","Yes")</f>
        <v>No</v>
      </c>
      <c r="E12" s="117" t="str">
        <f>IF(ISBLANK(INDEX('register map'!A:A,C12)),IF(ISBLANK(INDEX('register map'!A:A,C12-1)),IF(ISBLANK(INDEX('register map'!A:A,C12-2)),IF(ISBLANK(INDEX('register map'!A:A,C12-3)),IF(ISBLANK(INDEX('register map'!A:A,C12-4)),IF(ISBLANK(INDEX('register map'!A:A,C12-5)),IF(ISBLANK(INDEX('register map'!A:A,C12-6)),IF(ISBLANK(INDEX('register map'!A:A,C12-7)),IF(ISBLANK(INDEX('register map'!A:A,C12-8)),"ERROR",INDEX('register map'!A:A,C12-8)),INDEX('register map'!A:A,C12-7)),INDEX('register map'!A:A,C12-6)),INDEX('register map'!A:A,C12-5)),INDEX('register map'!A:A,C12-4)),INDEX('register map'!A:A,C12-3)),INDEX('register map'!A:A,C12-2)),INDEX('register map'!A:A,C12-1)),INDEX('register map'!A:A,C12))</f>
        <v>0x5E</v>
      </c>
      <c r="F12" s="117" t="str">
        <f>IF(ISBLANK(INDEX('register map'!B:B,C12)),IF(ISBLANK(INDEX('register map'!B:B,C12-1)),IF(ISBLANK(INDEX('register map'!B:B,C12-2)),IF(ISBLANK(INDEX('register map'!B:B,C12-3)),IF(ISBLANK(INDEX('register map'!B:B,C12-4)),IF(ISBLANK(INDEX('register map'!B:B,C12-5)),IF(ISBLANK(INDEX('register map'!B:B,C12-6)),IF(ISBLANK(INDEX('register map'!B:B,C12-7)),IF(ISBLANK(INDEX('register map'!B:B,C12-8)),"ERROR",INDEX('register map'!B:B,C12-8)),INDEX('register map'!B:B,C12-7)),INDEX('register map'!B:B,C12-6)),INDEX('register map'!B:B,C12-5)),INDEX('register map'!B:B,C12-4)),INDEX('register map'!B:B,C12-3)),INDEX('register map'!B:B,C12-2)),INDEX('register map'!B:B,C12-1)),INDEX('register map'!B:B,C12))</f>
        <v>0x02</v>
      </c>
      <c r="G12" s="117" t="str">
        <f>CONCATENATE(IF(ISNUMBER(INDEX('register map'!D:D,C12)),7,""),IF(ISNUMBER(INDEX('register map'!E:E,C12)),6,""),IF(ISNUMBER(INDEX('register map'!F:F,C12)),5,""),IF(ISNUMBER(INDEX('register map'!G:G,C12)),4,""),IF(ISNUMBER(INDEX('register map'!H:H,C12)),3,""),IF(ISNUMBER(INDEX('register map'!I:I,C12)),2,""),IF(ISNUMBER(INDEX('register map'!J:J,C12)),1,""),IF(ISNUMBER(INDEX('register map'!K:K,C12)),0,""))</f>
        <v>7</v>
      </c>
      <c r="H12" s="117" t="str">
        <f>RIGHT(INDEX('register map'!V:V,MATCH('Logical Group Generator'!B12,'register map'!L:L,0)),LEN(G12))</f>
        <v>0</v>
      </c>
      <c r="I12" s="117" t="str">
        <f>CONCATENATE(IF(ISNUMBER(INDEX('register map'!K:K,C12)),0,""),IF(ISNUMBER(INDEX('register map'!J:J,C12)),1,""),IF(ISNUMBER(INDEX('register map'!I:I,C12)),2,""),IF(ISNUMBER(INDEX('register map'!H:H,C12)),3,""),IF(ISNUMBER(INDEX('register map'!G:G,C12)),4,""),IF(ISNUMBER(INDEX('register map'!F:F,C12)),5,""),IF(ISNUMBER(INDEX('register map'!E:E,C12)),6,""),IF(ISNUMBER(INDEX('register map'!D:D,C12)),7,""))</f>
        <v>7</v>
      </c>
      <c r="J12" s="117" t="str">
        <f t="shared" si="7"/>
        <v>0</v>
      </c>
      <c r="K12" s="117" t="str">
        <f t="shared" si="0"/>
        <v/>
      </c>
      <c r="L12" s="117" t="str">
        <f t="shared" si="8"/>
        <v/>
      </c>
      <c r="M12" s="117" t="str">
        <f t="shared" si="10"/>
        <v/>
      </c>
      <c r="N12" s="117" t="str">
        <f>IF(ISBLANK(INDEX('register map'!M:M,'Logical Group Generator'!C12)),"No","Yes")</f>
        <v>No</v>
      </c>
      <c r="O12" s="117" t="str">
        <f>IF(NOT(ISBLANK(INDEX('register map'!N:N,'Logical Group Generator'!C12))),"Yes","")</f>
        <v/>
      </c>
      <c r="P12" s="117" t="str">
        <f t="shared" si="1"/>
        <v/>
      </c>
      <c r="Q12" s="117" t="str">
        <f t="shared" si="2"/>
        <v/>
      </c>
      <c r="R12" s="117" t="str">
        <f t="shared" si="3"/>
        <v/>
      </c>
      <c r="S12" s="117" t="str">
        <f t="shared" si="4"/>
        <v>No</v>
      </c>
      <c r="T12" s="117" t="str">
        <f t="shared" si="5"/>
        <v/>
      </c>
      <c r="U12" s="117" t="b">
        <f t="shared" si="9"/>
        <v>0</v>
      </c>
      <c r="V12" s="157" t="b">
        <f>INDEX('register map'!P:P,C12)="yes"</f>
        <v>0</v>
      </c>
      <c r="W12" s="157" t="str">
        <f t="shared" si="6"/>
        <v>FALSE</v>
      </c>
    </row>
    <row r="13" spans="2:23">
      <c r="B13" s="157" t="str">
        <f t="array" ref="B13">IF(ROWS($3:13)&lt;=COUNTA('register map'!$L$5:$L$902),INDEX('register map'!$L$5:$L$902,SMALL(IF('register map'!$L$5:$L$902&lt;&gt;"",ROW('register map'!$L$5:$L$902)-MIN(ROW('register map'!$L$5:$L$902))+1),ROWS($3:13))),"")</f>
        <v>IRQ_MASK</v>
      </c>
      <c r="C13" s="157">
        <f>IF(B13="PART_NUMBER",IF(COUNTIF($B$1:B12,"PART_NUMBER")=0,6,8),MATCH(B13,'register map'!L:L,0))</f>
        <v>17</v>
      </c>
      <c r="D13" s="117" t="str">
        <f>IF(ISBLANK(INDEX('register map'!C:C,'Logical Group Generator'!C13)),"No","Yes")</f>
        <v>Yes</v>
      </c>
      <c r="E13" s="117" t="str">
        <f>IF(ISBLANK(INDEX('register map'!A:A,C13)),IF(ISBLANK(INDEX('register map'!A:A,C13-1)),IF(ISBLANK(INDEX('register map'!A:A,C13-2)),IF(ISBLANK(INDEX('register map'!A:A,C13-3)),IF(ISBLANK(INDEX('register map'!A:A,C13-4)),IF(ISBLANK(INDEX('register map'!A:A,C13-5)),IF(ISBLANK(INDEX('register map'!A:A,C13-6)),IF(ISBLANK(INDEX('register map'!A:A,C13-7)),IF(ISBLANK(INDEX('register map'!A:A,C13-8)),"ERROR",INDEX('register map'!A:A,C13-8)),INDEX('register map'!A:A,C13-7)),INDEX('register map'!A:A,C13-6)),INDEX('register map'!A:A,C13-5)),INDEX('register map'!A:A,C13-4)),INDEX('register map'!A:A,C13-3)),INDEX('register map'!A:A,C13-2)),INDEX('register map'!A:A,C13-1)),INDEX('register map'!A:A,C13))</f>
        <v>0x5E</v>
      </c>
      <c r="F13" s="117" t="str">
        <f>IF(ISBLANK(INDEX('register map'!B:B,C13)),IF(ISBLANK(INDEX('register map'!B:B,C13-1)),IF(ISBLANK(INDEX('register map'!B:B,C13-2)),IF(ISBLANK(INDEX('register map'!B:B,C13-3)),IF(ISBLANK(INDEX('register map'!B:B,C13-4)),IF(ISBLANK(INDEX('register map'!B:B,C13-5)),IF(ISBLANK(INDEX('register map'!B:B,C13-6)),IF(ISBLANK(INDEX('register map'!B:B,C13-7)),IF(ISBLANK(INDEX('register map'!B:B,C13-8)),"ERROR",INDEX('register map'!B:B,C13-8)),INDEX('register map'!B:B,C13-7)),INDEX('register map'!B:B,C13-6)),INDEX('register map'!B:B,C13-5)),INDEX('register map'!B:B,C13-4)),INDEX('register map'!B:B,C13-3)),INDEX('register map'!B:B,C13-2)),INDEX('register map'!B:B,C13-1)),INDEX('register map'!B:B,C13))</f>
        <v>0x03</v>
      </c>
      <c r="G13" s="117" t="str">
        <f>CONCATENATE(IF(ISNUMBER(INDEX('register map'!D:D,C13)),7,""),IF(ISNUMBER(INDEX('register map'!E:E,C13)),6,""),IF(ISNUMBER(INDEX('register map'!F:F,C13)),5,""),IF(ISNUMBER(INDEX('register map'!G:G,C13)),4,""),IF(ISNUMBER(INDEX('register map'!H:H,C13)),3,""),IF(ISNUMBER(INDEX('register map'!I:I,C13)),2,""),IF(ISNUMBER(INDEX('register map'!J:J,C13)),1,""),IF(ISNUMBER(INDEX('register map'!K:K,C13)),0,""))</f>
        <v/>
      </c>
      <c r="H13" s="117" t="str">
        <f>RIGHT(INDEX('register map'!V:V,MATCH('Logical Group Generator'!B13,'register map'!L:L,0)),LEN(G13))</f>
        <v/>
      </c>
      <c r="I13" s="117" t="str">
        <f>CONCATENATE(IF(ISNUMBER(INDEX('register map'!K:K,C13)),0,""),IF(ISNUMBER(INDEX('register map'!J:J,C13)),1,""),IF(ISNUMBER(INDEX('register map'!I:I,C13)),2,""),IF(ISNUMBER(INDEX('register map'!H:H,C13)),3,""),IF(ISNUMBER(INDEX('register map'!G:G,C13)),4,""),IF(ISNUMBER(INDEX('register map'!F:F,C13)),5,""),IF(ISNUMBER(INDEX('register map'!E:E,C13)),6,""),IF(ISNUMBER(INDEX('register map'!D:D,C13)),7,""))</f>
        <v/>
      </c>
      <c r="J13" s="117" t="str">
        <f t="shared" si="7"/>
        <v/>
      </c>
      <c r="K13" s="117" t="str">
        <f t="shared" si="0"/>
        <v>111</v>
      </c>
      <c r="L13" s="117" t="str">
        <f t="shared" si="8"/>
        <v>111</v>
      </c>
      <c r="M13" s="117" t="str">
        <f t="shared" si="10"/>
        <v>07</v>
      </c>
      <c r="N13" s="117" t="str">
        <f>IF(ISBLANK(INDEX('register map'!M:M,'Logical Group Generator'!C13)),"No","Yes")</f>
        <v>No</v>
      </c>
      <c r="O13" s="117" t="str">
        <f>IF(NOT(ISBLANK(INDEX('register map'!N:N,'Logical Group Generator'!C13))),"Yes","")</f>
        <v/>
      </c>
      <c r="P13" s="117" t="str">
        <f t="shared" si="1"/>
        <v>No</v>
      </c>
      <c r="Q13" s="117" t="str">
        <f t="shared" si="2"/>
        <v>No</v>
      </c>
      <c r="R13" s="117" t="str">
        <f t="shared" si="3"/>
        <v>No</v>
      </c>
      <c r="S13" s="117" t="str">
        <f t="shared" si="4"/>
        <v/>
      </c>
      <c r="T13" s="117" t="b">
        <f t="shared" si="5"/>
        <v>0</v>
      </c>
      <c r="U13" s="117" t="b">
        <f t="shared" si="9"/>
        <v>1</v>
      </c>
      <c r="V13" s="157" t="b">
        <f>INDEX('register map'!P:P,C13)="yes"</f>
        <v>0</v>
      </c>
      <c r="W13" s="157" t="str">
        <f t="shared" si="6"/>
        <v>FALSE</v>
      </c>
    </row>
    <row r="14" spans="2:23">
      <c r="B14" s="157" t="str">
        <f t="array" ref="B14">IF(ROWS($3:14)&lt;=COUNTA('register map'!$L$5:$L$902),INDEX('register map'!$L$5:$L$902,SMALL(IF('register map'!$L$5:$L$902&lt;&gt;"",ROW('register map'!$L$5:$L$902)-MIN(ROW('register map'!$L$5:$L$902))+1),ROWS($3:14))),"")</f>
        <v>MDIETEMP</v>
      </c>
      <c r="C14" s="157">
        <f>IF(B14="PART_NUMBER",IF(COUNTIF($B$1:B13,"PART_NUMBER")=0,6,8),MATCH(B14,'register map'!L:L,0))</f>
        <v>18</v>
      </c>
      <c r="D14" s="117" t="str">
        <f>IF(ISBLANK(INDEX('register map'!C:C,'Logical Group Generator'!C14)),"No","Yes")</f>
        <v>No</v>
      </c>
      <c r="E14" s="117" t="str">
        <f>IF(ISBLANK(INDEX('register map'!A:A,C14)),IF(ISBLANK(INDEX('register map'!A:A,C14-1)),IF(ISBLANK(INDEX('register map'!A:A,C14-2)),IF(ISBLANK(INDEX('register map'!A:A,C14-3)),IF(ISBLANK(INDEX('register map'!A:A,C14-4)),IF(ISBLANK(INDEX('register map'!A:A,C14-5)),IF(ISBLANK(INDEX('register map'!A:A,C14-6)),IF(ISBLANK(INDEX('register map'!A:A,C14-7)),IF(ISBLANK(INDEX('register map'!A:A,C14-8)),"ERROR",INDEX('register map'!A:A,C14-8)),INDEX('register map'!A:A,C14-7)),INDEX('register map'!A:A,C14-6)),INDEX('register map'!A:A,C14-5)),INDEX('register map'!A:A,C14-4)),INDEX('register map'!A:A,C14-3)),INDEX('register map'!A:A,C14-2)),INDEX('register map'!A:A,C14-1)),INDEX('register map'!A:A,C14))</f>
        <v>0x5E</v>
      </c>
      <c r="F14" s="117" t="str">
        <f>IF(ISBLANK(INDEX('register map'!B:B,C14)),IF(ISBLANK(INDEX('register map'!B:B,C14-1)),IF(ISBLANK(INDEX('register map'!B:B,C14-2)),IF(ISBLANK(INDEX('register map'!B:B,C14-3)),IF(ISBLANK(INDEX('register map'!B:B,C14-4)),IF(ISBLANK(INDEX('register map'!B:B,C14-5)),IF(ISBLANK(INDEX('register map'!B:B,C14-6)),IF(ISBLANK(INDEX('register map'!B:B,C14-7)),IF(ISBLANK(INDEX('register map'!B:B,C14-8)),"ERROR",INDEX('register map'!B:B,C14-8)),INDEX('register map'!B:B,C14-7)),INDEX('register map'!B:B,C14-6)),INDEX('register map'!B:B,C14-5)),INDEX('register map'!B:B,C14-4)),INDEX('register map'!B:B,C14-3)),INDEX('register map'!B:B,C14-2)),INDEX('register map'!B:B,C14-1)),INDEX('register map'!B:B,C14))</f>
        <v>0x03</v>
      </c>
      <c r="G14" s="117" t="str">
        <f>CONCATENATE(IF(ISNUMBER(INDEX('register map'!D:D,C14)),7,""),IF(ISNUMBER(INDEX('register map'!E:E,C14)),6,""),IF(ISNUMBER(INDEX('register map'!F:F,C14)),5,""),IF(ISNUMBER(INDEX('register map'!G:G,C14)),4,""),IF(ISNUMBER(INDEX('register map'!H:H,C14)),3,""),IF(ISNUMBER(INDEX('register map'!I:I,C14)),2,""),IF(ISNUMBER(INDEX('register map'!J:J,C14)),1,""),IF(ISNUMBER(INDEX('register map'!K:K,C14)),0,""))</f>
        <v>0</v>
      </c>
      <c r="H14" s="117" t="str">
        <f>RIGHT(INDEX('register map'!V:V,MATCH('Logical Group Generator'!B14,'register map'!L:L,0)),LEN(G14))</f>
        <v>1</v>
      </c>
      <c r="I14" s="117" t="str">
        <f>CONCATENATE(IF(ISNUMBER(INDEX('register map'!K:K,C14)),0,""),IF(ISNUMBER(INDEX('register map'!J:J,C14)),1,""),IF(ISNUMBER(INDEX('register map'!I:I,C14)),2,""),IF(ISNUMBER(INDEX('register map'!H:H,C14)),3,""),IF(ISNUMBER(INDEX('register map'!G:G,C14)),4,""),IF(ISNUMBER(INDEX('register map'!F:F,C14)),5,""),IF(ISNUMBER(INDEX('register map'!E:E,C14)),6,""),IF(ISNUMBER(INDEX('register map'!D:D,C14)),7,""))</f>
        <v>0</v>
      </c>
      <c r="J14" s="117" t="str">
        <f t="shared" si="7"/>
        <v>1</v>
      </c>
      <c r="K14" s="117" t="str">
        <f t="shared" si="0"/>
        <v/>
      </c>
      <c r="L14" s="117" t="str">
        <f t="shared" si="8"/>
        <v/>
      </c>
      <c r="M14" s="117" t="str">
        <f t="shared" si="10"/>
        <v/>
      </c>
      <c r="N14" s="117" t="str">
        <f>IF(ISBLANK(INDEX('register map'!M:M,'Logical Group Generator'!C14)),"No","Yes")</f>
        <v>No</v>
      </c>
      <c r="O14" s="117" t="str">
        <f>IF(NOT(ISBLANK(INDEX('register map'!N:N,'Logical Group Generator'!C14))),"Yes","")</f>
        <v/>
      </c>
      <c r="P14" s="117" t="str">
        <f t="shared" si="1"/>
        <v/>
      </c>
      <c r="Q14" s="117" t="str">
        <f t="shared" si="2"/>
        <v/>
      </c>
      <c r="R14" s="117" t="str">
        <f t="shared" si="3"/>
        <v/>
      </c>
      <c r="S14" s="117" t="str">
        <f t="shared" si="4"/>
        <v>No</v>
      </c>
      <c r="T14" s="117" t="str">
        <f t="shared" si="5"/>
        <v/>
      </c>
      <c r="U14" s="117" t="b">
        <f t="shared" si="9"/>
        <v>0</v>
      </c>
      <c r="V14" s="157" t="b">
        <f>INDEX('register map'!P:P,C14)="yes"</f>
        <v>0</v>
      </c>
      <c r="W14" s="157" t="str">
        <f t="shared" si="6"/>
        <v>FALSE</v>
      </c>
    </row>
    <row r="15" spans="2:23">
      <c r="B15" s="157" t="str">
        <f t="array" ref="B15">IF(ROWS($3:15)&lt;=COUNTA('register map'!$L$5:$L$902),INDEX('register map'!$L$5:$L$902,SMALL(IF('register map'!$L$5:$L$902&lt;&gt;"",ROW('register map'!$L$5:$L$902)-MIN(ROW('register map'!$L$5:$L$902))+1),ROWS($3:15))),"")</f>
        <v>MSHUTDN</v>
      </c>
      <c r="C15" s="157">
        <f>IF(B15="PART_NUMBER",IF(COUNTIF($B$1:B14,"PART_NUMBER")=0,6,8),MATCH(B15,'register map'!L:L,0))</f>
        <v>20</v>
      </c>
      <c r="D15" s="117" t="str">
        <f>IF(ISBLANK(INDEX('register map'!C:C,'Logical Group Generator'!C15)),"No","Yes")</f>
        <v>No</v>
      </c>
      <c r="E15" s="117" t="str">
        <f>IF(ISBLANK(INDEX('register map'!A:A,C15)),IF(ISBLANK(INDEX('register map'!A:A,C15-1)),IF(ISBLANK(INDEX('register map'!A:A,C15-2)),IF(ISBLANK(INDEX('register map'!A:A,C15-3)),IF(ISBLANK(INDEX('register map'!A:A,C15-4)),IF(ISBLANK(INDEX('register map'!A:A,C15-5)),IF(ISBLANK(INDEX('register map'!A:A,C15-6)),IF(ISBLANK(INDEX('register map'!A:A,C15-7)),IF(ISBLANK(INDEX('register map'!A:A,C15-8)),"ERROR",INDEX('register map'!A:A,C15-8)),INDEX('register map'!A:A,C15-7)),INDEX('register map'!A:A,C15-6)),INDEX('register map'!A:A,C15-5)),INDEX('register map'!A:A,C15-4)),INDEX('register map'!A:A,C15-3)),INDEX('register map'!A:A,C15-2)),INDEX('register map'!A:A,C15-1)),INDEX('register map'!A:A,C15))</f>
        <v>0x5E</v>
      </c>
      <c r="F15" s="117" t="str">
        <f>IF(ISBLANK(INDEX('register map'!B:B,C15)),IF(ISBLANK(INDEX('register map'!B:B,C15-1)),IF(ISBLANK(INDEX('register map'!B:B,C15-2)),IF(ISBLANK(INDEX('register map'!B:B,C15-3)),IF(ISBLANK(INDEX('register map'!B:B,C15-4)),IF(ISBLANK(INDEX('register map'!B:B,C15-5)),IF(ISBLANK(INDEX('register map'!B:B,C15-6)),IF(ISBLANK(INDEX('register map'!B:B,C15-7)),IF(ISBLANK(INDEX('register map'!B:B,C15-8)),"ERROR",INDEX('register map'!B:B,C15-8)),INDEX('register map'!B:B,C15-7)),INDEX('register map'!B:B,C15-6)),INDEX('register map'!B:B,C15-5)),INDEX('register map'!B:B,C15-4)),INDEX('register map'!B:B,C15-3)),INDEX('register map'!B:B,C15-2)),INDEX('register map'!B:B,C15-1)),INDEX('register map'!B:B,C15))</f>
        <v>0x03</v>
      </c>
      <c r="G15" s="117" t="str">
        <f>CONCATENATE(IF(ISNUMBER(INDEX('register map'!D:D,C15)),7,""),IF(ISNUMBER(INDEX('register map'!E:E,C15)),6,""),IF(ISNUMBER(INDEX('register map'!F:F,C15)),5,""),IF(ISNUMBER(INDEX('register map'!G:G,C15)),4,""),IF(ISNUMBER(INDEX('register map'!H:H,C15)),3,""),IF(ISNUMBER(INDEX('register map'!I:I,C15)),2,""),IF(ISNUMBER(INDEX('register map'!J:J,C15)),1,""),IF(ISNUMBER(INDEX('register map'!K:K,C15)),0,""))</f>
        <v>3</v>
      </c>
      <c r="H15" s="117" t="str">
        <f>RIGHT(INDEX('register map'!V:V,MATCH('Logical Group Generator'!B15,'register map'!L:L,0)),LEN(G15))</f>
        <v>1</v>
      </c>
      <c r="I15" s="117" t="str">
        <f>CONCATENATE(IF(ISNUMBER(INDEX('register map'!K:K,C15)),0,""),IF(ISNUMBER(INDEX('register map'!J:J,C15)),1,""),IF(ISNUMBER(INDEX('register map'!I:I,C15)),2,""),IF(ISNUMBER(INDEX('register map'!H:H,C15)),3,""),IF(ISNUMBER(INDEX('register map'!G:G,C15)),4,""),IF(ISNUMBER(INDEX('register map'!F:F,C15)),5,""),IF(ISNUMBER(INDEX('register map'!E:E,C15)),6,""),IF(ISNUMBER(INDEX('register map'!D:D,C15)),7,""))</f>
        <v>3</v>
      </c>
      <c r="J15" s="117" t="str">
        <f t="shared" si="7"/>
        <v>1</v>
      </c>
      <c r="K15" s="117" t="str">
        <f t="shared" si="0"/>
        <v/>
      </c>
      <c r="L15" s="117" t="str">
        <f t="shared" si="8"/>
        <v/>
      </c>
      <c r="M15" s="117" t="str">
        <f t="shared" si="10"/>
        <v/>
      </c>
      <c r="N15" s="117" t="str">
        <f>IF(ISBLANK(INDEX('register map'!M:M,'Logical Group Generator'!C15)),"No","Yes")</f>
        <v>No</v>
      </c>
      <c r="O15" s="117" t="str">
        <f>IF(NOT(ISBLANK(INDEX('register map'!N:N,'Logical Group Generator'!C15))),"Yes","")</f>
        <v/>
      </c>
      <c r="P15" s="117" t="str">
        <f t="shared" si="1"/>
        <v/>
      </c>
      <c r="Q15" s="117" t="str">
        <f t="shared" si="2"/>
        <v/>
      </c>
      <c r="R15" s="117" t="str">
        <f t="shared" si="3"/>
        <v/>
      </c>
      <c r="S15" s="117" t="str">
        <f t="shared" si="4"/>
        <v>No</v>
      </c>
      <c r="T15" s="117" t="str">
        <f t="shared" si="5"/>
        <v/>
      </c>
      <c r="U15" s="117" t="b">
        <f t="shared" si="9"/>
        <v>0</v>
      </c>
      <c r="V15" s="157" t="b">
        <f>INDEX('register map'!P:P,C15)="yes"</f>
        <v>0</v>
      </c>
      <c r="W15" s="157" t="str">
        <f t="shared" si="6"/>
        <v>FALSE</v>
      </c>
    </row>
    <row r="16" spans="2:23">
      <c r="B16" s="157" t="str">
        <f t="array" ref="B16">IF(ROWS($3:16)&lt;=COUNTA('register map'!$L$5:$L$902),INDEX('register map'!$L$5:$L$902,SMALL(IF('register map'!$L$5:$L$902&lt;&gt;"",ROW('register map'!$L$5:$L$902)-MIN(ROW('register map'!$L$5:$L$902))+1),ROWS($3:16))),"")</f>
        <v>MFAULT</v>
      </c>
      <c r="C16" s="157">
        <f>IF(B16="PART_NUMBER",IF(COUNTIF($B$1:B15,"PART_NUMBER")=0,6,8),MATCH(B16,'register map'!L:L,0))</f>
        <v>22</v>
      </c>
      <c r="D16" s="117" t="str">
        <f>IF(ISBLANK(INDEX('register map'!C:C,'Logical Group Generator'!C16)),"No","Yes")</f>
        <v>No</v>
      </c>
      <c r="E16" s="117" t="str">
        <f>IF(ISBLANK(INDEX('register map'!A:A,C16)),IF(ISBLANK(INDEX('register map'!A:A,C16-1)),IF(ISBLANK(INDEX('register map'!A:A,C16-2)),IF(ISBLANK(INDEX('register map'!A:A,C16-3)),IF(ISBLANK(INDEX('register map'!A:A,C16-4)),IF(ISBLANK(INDEX('register map'!A:A,C16-5)),IF(ISBLANK(INDEX('register map'!A:A,C16-6)),IF(ISBLANK(INDEX('register map'!A:A,C16-7)),IF(ISBLANK(INDEX('register map'!A:A,C16-8)),"ERROR",INDEX('register map'!A:A,C16-8)),INDEX('register map'!A:A,C16-7)),INDEX('register map'!A:A,C16-6)),INDEX('register map'!A:A,C16-5)),INDEX('register map'!A:A,C16-4)),INDEX('register map'!A:A,C16-3)),INDEX('register map'!A:A,C16-2)),INDEX('register map'!A:A,C16-1)),INDEX('register map'!A:A,C16))</f>
        <v>0x5E</v>
      </c>
      <c r="F16" s="117" t="str">
        <f>IF(ISBLANK(INDEX('register map'!B:B,C16)),IF(ISBLANK(INDEX('register map'!B:B,C16-1)),IF(ISBLANK(INDEX('register map'!B:B,C16-2)),IF(ISBLANK(INDEX('register map'!B:B,C16-3)),IF(ISBLANK(INDEX('register map'!B:B,C16-4)),IF(ISBLANK(INDEX('register map'!B:B,C16-5)),IF(ISBLANK(INDEX('register map'!B:B,C16-6)),IF(ISBLANK(INDEX('register map'!B:B,C16-7)),IF(ISBLANK(INDEX('register map'!B:B,C16-8)),"ERROR",INDEX('register map'!B:B,C16-8)),INDEX('register map'!B:B,C16-7)),INDEX('register map'!B:B,C16-6)),INDEX('register map'!B:B,C16-5)),INDEX('register map'!B:B,C16-4)),INDEX('register map'!B:B,C16-3)),INDEX('register map'!B:B,C16-2)),INDEX('register map'!B:B,C16-1)),INDEX('register map'!B:B,C16))</f>
        <v>0x03</v>
      </c>
      <c r="G16" s="117" t="str">
        <f>CONCATENATE(IF(ISNUMBER(INDEX('register map'!D:D,C16)),7,""),IF(ISNUMBER(INDEX('register map'!E:E,C16)),6,""),IF(ISNUMBER(INDEX('register map'!F:F,C16)),5,""),IF(ISNUMBER(INDEX('register map'!G:G,C16)),4,""),IF(ISNUMBER(INDEX('register map'!H:H,C16)),3,""),IF(ISNUMBER(INDEX('register map'!I:I,C16)),2,""),IF(ISNUMBER(INDEX('register map'!J:J,C16)),1,""),IF(ISNUMBER(INDEX('register map'!K:K,C16)),0,""))</f>
        <v>7</v>
      </c>
      <c r="H16" s="117" t="str">
        <f>RIGHT(INDEX('register map'!V:V,MATCH('Logical Group Generator'!B16,'register map'!L:L,0)),LEN(G16))</f>
        <v>1</v>
      </c>
      <c r="I16" s="117" t="str">
        <f>CONCATENATE(IF(ISNUMBER(INDEX('register map'!K:K,C16)),0,""),IF(ISNUMBER(INDEX('register map'!J:J,C16)),1,""),IF(ISNUMBER(INDEX('register map'!I:I,C16)),2,""),IF(ISNUMBER(INDEX('register map'!H:H,C16)),3,""),IF(ISNUMBER(INDEX('register map'!G:G,C16)),4,""),IF(ISNUMBER(INDEX('register map'!F:F,C16)),5,""),IF(ISNUMBER(INDEX('register map'!E:E,C16)),6,""),IF(ISNUMBER(INDEX('register map'!D:D,C16)),7,""))</f>
        <v>7</v>
      </c>
      <c r="J16" s="117" t="str">
        <f t="shared" si="7"/>
        <v>1</v>
      </c>
      <c r="K16" s="117" t="str">
        <f t="shared" si="0"/>
        <v/>
      </c>
      <c r="L16" s="117" t="str">
        <f t="shared" si="8"/>
        <v/>
      </c>
      <c r="M16" s="117" t="str">
        <f t="shared" si="10"/>
        <v/>
      </c>
      <c r="N16" s="117" t="str">
        <f>IF(ISBLANK(INDEX('register map'!M:M,'Logical Group Generator'!C16)),"No","Yes")</f>
        <v>No</v>
      </c>
      <c r="O16" s="117" t="str">
        <f>IF(NOT(ISBLANK(INDEX('register map'!N:N,'Logical Group Generator'!C16))),"Yes","")</f>
        <v/>
      </c>
      <c r="P16" s="117" t="str">
        <f t="shared" si="1"/>
        <v/>
      </c>
      <c r="Q16" s="117" t="str">
        <f t="shared" si="2"/>
        <v/>
      </c>
      <c r="R16" s="117" t="str">
        <f t="shared" si="3"/>
        <v/>
      </c>
      <c r="S16" s="117" t="str">
        <f t="shared" si="4"/>
        <v>No</v>
      </c>
      <c r="T16" s="117" t="str">
        <f t="shared" si="5"/>
        <v/>
      </c>
      <c r="U16" s="117" t="b">
        <f t="shared" si="9"/>
        <v>0</v>
      </c>
      <c r="V16" s="157" t="b">
        <f>INDEX('register map'!P:P,C16)="yes"</f>
        <v>0</v>
      </c>
      <c r="W16" s="157" t="str">
        <f t="shared" si="6"/>
        <v>FALSE</v>
      </c>
    </row>
    <row r="17" spans="2:23">
      <c r="B17" s="157" t="str">
        <f t="array" ref="B17">IF(ROWS($3:17)&lt;=COUNTA('register map'!$L$5:$L$902),INDEX('register map'!$L$5:$L$902,SMALL(IF('register map'!$L$5:$L$902&lt;&gt;"",ROW('register map'!$L$5:$L$902)-MIN(ROW('register map'!$L$5:$L$902))+1),ROWS($3:17))),"")</f>
        <v>PMICSTAT</v>
      </c>
      <c r="C17" s="157">
        <f>IF(B17="PART_NUMBER",IF(COUNTIF($B$1:B16,"PART_NUMBER")=0,6,8),MATCH(B17,'register map'!L:L,0))</f>
        <v>23</v>
      </c>
      <c r="D17" s="117" t="str">
        <f>IF(ISBLANK(INDEX('register map'!C:C,'Logical Group Generator'!C17)),"No","Yes")</f>
        <v>Yes</v>
      </c>
      <c r="E17" s="117" t="str">
        <f>IF(ISBLANK(INDEX('register map'!A:A,C17)),IF(ISBLANK(INDEX('register map'!A:A,C17-1)),IF(ISBLANK(INDEX('register map'!A:A,C17-2)),IF(ISBLANK(INDEX('register map'!A:A,C17-3)),IF(ISBLANK(INDEX('register map'!A:A,C17-4)),IF(ISBLANK(INDEX('register map'!A:A,C17-5)),IF(ISBLANK(INDEX('register map'!A:A,C17-6)),IF(ISBLANK(INDEX('register map'!A:A,C17-7)),IF(ISBLANK(INDEX('register map'!A:A,C17-8)),"ERROR",INDEX('register map'!A:A,C17-8)),INDEX('register map'!A:A,C17-7)),INDEX('register map'!A:A,C17-6)),INDEX('register map'!A:A,C17-5)),INDEX('register map'!A:A,C17-4)),INDEX('register map'!A:A,C17-3)),INDEX('register map'!A:A,C17-2)),INDEX('register map'!A:A,C17-1)),INDEX('register map'!A:A,C17))</f>
        <v>0x5E</v>
      </c>
      <c r="F17" s="117" t="str">
        <f>IF(ISBLANK(INDEX('register map'!B:B,C17)),IF(ISBLANK(INDEX('register map'!B:B,C17-1)),IF(ISBLANK(INDEX('register map'!B:B,C17-2)),IF(ISBLANK(INDEX('register map'!B:B,C17-3)),IF(ISBLANK(INDEX('register map'!B:B,C17-4)),IF(ISBLANK(INDEX('register map'!B:B,C17-5)),IF(ISBLANK(INDEX('register map'!B:B,C17-6)),IF(ISBLANK(INDEX('register map'!B:B,C17-7)),IF(ISBLANK(INDEX('register map'!B:B,C17-8)),"ERROR",INDEX('register map'!B:B,C17-8)),INDEX('register map'!B:B,C17-7)),INDEX('register map'!B:B,C17-6)),INDEX('register map'!B:B,C17-5)),INDEX('register map'!B:B,C17-4)),INDEX('register map'!B:B,C17-3)),INDEX('register map'!B:B,C17-2)),INDEX('register map'!B:B,C17-1)),INDEX('register map'!B:B,C17))</f>
        <v>0x04</v>
      </c>
      <c r="G17" s="117" t="str">
        <f>CONCATENATE(IF(ISNUMBER(INDEX('register map'!D:D,C17)),7,""),IF(ISNUMBER(INDEX('register map'!E:E,C17)),6,""),IF(ISNUMBER(INDEX('register map'!F:F,C17)),5,""),IF(ISNUMBER(INDEX('register map'!G:G,C17)),4,""),IF(ISNUMBER(INDEX('register map'!H:H,C17)),3,""),IF(ISNUMBER(INDEX('register map'!I:I,C17)),2,""),IF(ISNUMBER(INDEX('register map'!J:J,C17)),1,""),IF(ISNUMBER(INDEX('register map'!K:K,C17)),0,""))</f>
        <v/>
      </c>
      <c r="H17" s="117" t="str">
        <f>RIGHT(INDEX('register map'!V:V,MATCH('Logical Group Generator'!B17,'register map'!L:L,0)),LEN(G17))</f>
        <v/>
      </c>
      <c r="I17" s="117" t="str">
        <f>CONCATENATE(IF(ISNUMBER(INDEX('register map'!K:K,C17)),0,""),IF(ISNUMBER(INDEX('register map'!J:J,C17)),1,""),IF(ISNUMBER(INDEX('register map'!I:I,C17)),2,""),IF(ISNUMBER(INDEX('register map'!H:H,C17)),3,""),IF(ISNUMBER(INDEX('register map'!G:G,C17)),4,""),IF(ISNUMBER(INDEX('register map'!F:F,C17)),5,""),IF(ISNUMBER(INDEX('register map'!E:E,C17)),6,""),IF(ISNUMBER(INDEX('register map'!D:D,C17)),7,""))</f>
        <v/>
      </c>
      <c r="J17" s="117" t="str">
        <f t="shared" si="7"/>
        <v/>
      </c>
      <c r="K17" s="117" t="str">
        <f t="shared" si="0"/>
        <v>0</v>
      </c>
      <c r="L17" s="117" t="str">
        <f t="shared" si="8"/>
        <v>0</v>
      </c>
      <c r="M17" s="117" t="str">
        <f t="shared" si="10"/>
        <v>00</v>
      </c>
      <c r="N17" s="117" t="str">
        <f>IF(ISBLANK(INDEX('register map'!M:M,'Logical Group Generator'!C17)),"No","Yes")</f>
        <v>No</v>
      </c>
      <c r="O17" s="117" t="str">
        <f>IF(NOT(ISBLANK(INDEX('register map'!N:N,'Logical Group Generator'!C17))),"Yes","")</f>
        <v/>
      </c>
      <c r="P17" s="117" t="str">
        <f t="shared" si="1"/>
        <v>No</v>
      </c>
      <c r="Q17" s="117" t="str">
        <f t="shared" si="2"/>
        <v>No</v>
      </c>
      <c r="R17" s="117" t="str">
        <f t="shared" si="3"/>
        <v>No</v>
      </c>
      <c r="S17" s="117" t="str">
        <f t="shared" si="4"/>
        <v/>
      </c>
      <c r="T17" s="117" t="b">
        <f t="shared" si="5"/>
        <v>0</v>
      </c>
      <c r="U17" s="117" t="b">
        <f t="shared" si="9"/>
        <v>1</v>
      </c>
      <c r="V17" s="157" t="b">
        <f>INDEX('register map'!P:P,C17)="yes"</f>
        <v>0</v>
      </c>
      <c r="W17" s="157" t="str">
        <f t="shared" si="6"/>
        <v>FALSE</v>
      </c>
    </row>
    <row r="18" spans="2:23">
      <c r="B18" s="157" t="str">
        <f t="array" ref="B18">IF(ROWS($3:18)&lt;=COUNTA('register map'!$L$5:$L$902),INDEX('register map'!$L$5:$L$902,SMALL(IF('register map'!$L$5:$L$902&lt;&gt;"",ROW('register map'!$L$5:$L$902)-MIN(ROW('register map'!$L$5:$L$902))+1),ROWS($3:18))),"")</f>
        <v>SDIETEMP</v>
      </c>
      <c r="C18" s="157">
        <f>IF(B18="PART_NUMBER",IF(COUNTIF($B$1:B17,"PART_NUMBER")=0,6,8),MATCH(B18,'register map'!L:L,0))</f>
        <v>24</v>
      </c>
      <c r="D18" s="117" t="str">
        <f>IF(ISBLANK(INDEX('register map'!C:C,'Logical Group Generator'!C18)),"No","Yes")</f>
        <v>No</v>
      </c>
      <c r="E18" s="117" t="str">
        <f>IF(ISBLANK(INDEX('register map'!A:A,C18)),IF(ISBLANK(INDEX('register map'!A:A,C18-1)),IF(ISBLANK(INDEX('register map'!A:A,C18-2)),IF(ISBLANK(INDEX('register map'!A:A,C18-3)),IF(ISBLANK(INDEX('register map'!A:A,C18-4)),IF(ISBLANK(INDEX('register map'!A:A,C18-5)),IF(ISBLANK(INDEX('register map'!A:A,C18-6)),IF(ISBLANK(INDEX('register map'!A:A,C18-7)),IF(ISBLANK(INDEX('register map'!A:A,C18-8)),"ERROR",INDEX('register map'!A:A,C18-8)),INDEX('register map'!A:A,C18-7)),INDEX('register map'!A:A,C18-6)),INDEX('register map'!A:A,C18-5)),INDEX('register map'!A:A,C18-4)),INDEX('register map'!A:A,C18-3)),INDEX('register map'!A:A,C18-2)),INDEX('register map'!A:A,C18-1)),INDEX('register map'!A:A,C18))</f>
        <v>0x5E</v>
      </c>
      <c r="F18" s="117" t="str">
        <f>IF(ISBLANK(INDEX('register map'!B:B,C18)),IF(ISBLANK(INDEX('register map'!B:B,C18-1)),IF(ISBLANK(INDEX('register map'!B:B,C18-2)),IF(ISBLANK(INDEX('register map'!B:B,C18-3)),IF(ISBLANK(INDEX('register map'!B:B,C18-4)),IF(ISBLANK(INDEX('register map'!B:B,C18-5)),IF(ISBLANK(INDEX('register map'!B:B,C18-6)),IF(ISBLANK(INDEX('register map'!B:B,C18-7)),IF(ISBLANK(INDEX('register map'!B:B,C18-8)),"ERROR",INDEX('register map'!B:B,C18-8)),INDEX('register map'!B:B,C18-7)),INDEX('register map'!B:B,C18-6)),INDEX('register map'!B:B,C18-5)),INDEX('register map'!B:B,C18-4)),INDEX('register map'!B:B,C18-3)),INDEX('register map'!B:B,C18-2)),INDEX('register map'!B:B,C18-1)),INDEX('register map'!B:B,C18))</f>
        <v>0x04</v>
      </c>
      <c r="G18" s="117" t="str">
        <f>CONCATENATE(IF(ISNUMBER(INDEX('register map'!D:D,C18)),7,""),IF(ISNUMBER(INDEX('register map'!E:E,C18)),6,""),IF(ISNUMBER(INDEX('register map'!F:F,C18)),5,""),IF(ISNUMBER(INDEX('register map'!G:G,C18)),4,""),IF(ISNUMBER(INDEX('register map'!H:H,C18)),3,""),IF(ISNUMBER(INDEX('register map'!I:I,C18)),2,""),IF(ISNUMBER(INDEX('register map'!J:J,C18)),1,""),IF(ISNUMBER(INDEX('register map'!K:K,C18)),0,""))</f>
        <v>0</v>
      </c>
      <c r="H18" s="117" t="str">
        <f>RIGHT(INDEX('register map'!V:V,MATCH('Logical Group Generator'!B18,'register map'!L:L,0)),LEN(G18))</f>
        <v>0</v>
      </c>
      <c r="I18" s="117" t="str">
        <f>CONCATENATE(IF(ISNUMBER(INDEX('register map'!K:K,C18)),0,""),IF(ISNUMBER(INDEX('register map'!J:J,C18)),1,""),IF(ISNUMBER(INDEX('register map'!I:I,C18)),2,""),IF(ISNUMBER(INDEX('register map'!H:H,C18)),3,""),IF(ISNUMBER(INDEX('register map'!G:G,C18)),4,""),IF(ISNUMBER(INDEX('register map'!F:F,C18)),5,""),IF(ISNUMBER(INDEX('register map'!E:E,C18)),6,""),IF(ISNUMBER(INDEX('register map'!D:D,C18)),7,""))</f>
        <v>0</v>
      </c>
      <c r="J18" s="117" t="str">
        <f t="shared" si="7"/>
        <v>0</v>
      </c>
      <c r="K18" s="117" t="str">
        <f t="shared" si="0"/>
        <v/>
      </c>
      <c r="L18" s="117" t="str">
        <f t="shared" si="8"/>
        <v/>
      </c>
      <c r="M18" s="117" t="str">
        <f t="shared" si="10"/>
        <v/>
      </c>
      <c r="N18" s="117" t="str">
        <f>IF(ISBLANK(INDEX('register map'!M:M,'Logical Group Generator'!C18)),"No","Yes")</f>
        <v>No</v>
      </c>
      <c r="O18" s="117" t="str">
        <f>IF(NOT(ISBLANK(INDEX('register map'!N:N,'Logical Group Generator'!C18))),"Yes","")</f>
        <v/>
      </c>
      <c r="P18" s="117" t="str">
        <f t="shared" si="1"/>
        <v/>
      </c>
      <c r="Q18" s="117" t="str">
        <f t="shared" si="2"/>
        <v/>
      </c>
      <c r="R18" s="117" t="str">
        <f t="shared" si="3"/>
        <v/>
      </c>
      <c r="S18" s="117" t="str">
        <f t="shared" si="4"/>
        <v>No</v>
      </c>
      <c r="T18" s="117" t="str">
        <f t="shared" si="5"/>
        <v/>
      </c>
      <c r="U18" s="117" t="b">
        <f t="shared" si="9"/>
        <v>0</v>
      </c>
      <c r="V18" s="157" t="b">
        <f>INDEX('register map'!P:P,C18)="yes"</f>
        <v>0</v>
      </c>
      <c r="W18" s="157" t="str">
        <f t="shared" si="6"/>
        <v>FALSE</v>
      </c>
    </row>
    <row r="19" spans="2:23">
      <c r="B19" s="157" t="str">
        <f t="array" ref="B19">IF(ROWS($3:19)&lt;=COUNTA('register map'!$L$5:$L$902),INDEX('register map'!$L$5:$L$902,SMALL(IF('register map'!$L$5:$L$902&lt;&gt;"",ROW('register map'!$L$5:$L$902)-MIN(ROW('register map'!$L$5:$L$902))+1),ROWS($3:19))),"")</f>
        <v>SHUTDNSRC</v>
      </c>
      <c r="C19" s="157">
        <f>IF(B19="PART_NUMBER",IF(COUNTIF($B$1:B18,"PART_NUMBER")=0,6,8),MATCH(B19,'register map'!L:L,0))</f>
        <v>26</v>
      </c>
      <c r="D19" s="117" t="str">
        <f>IF(ISBLANK(INDEX('register map'!C:C,'Logical Group Generator'!C19)),"No","Yes")</f>
        <v>Yes</v>
      </c>
      <c r="E19" s="117" t="str">
        <f>IF(ISBLANK(INDEX('register map'!A:A,C19)),IF(ISBLANK(INDEX('register map'!A:A,C19-1)),IF(ISBLANK(INDEX('register map'!A:A,C19-2)),IF(ISBLANK(INDEX('register map'!A:A,C19-3)),IF(ISBLANK(INDEX('register map'!A:A,C19-4)),IF(ISBLANK(INDEX('register map'!A:A,C19-5)),IF(ISBLANK(INDEX('register map'!A:A,C19-6)),IF(ISBLANK(INDEX('register map'!A:A,C19-7)),IF(ISBLANK(INDEX('register map'!A:A,C19-8)),"ERROR",INDEX('register map'!A:A,C19-8)),INDEX('register map'!A:A,C19-7)),INDEX('register map'!A:A,C19-6)),INDEX('register map'!A:A,C19-5)),INDEX('register map'!A:A,C19-4)),INDEX('register map'!A:A,C19-3)),INDEX('register map'!A:A,C19-2)),INDEX('register map'!A:A,C19-1)),INDEX('register map'!A:A,C19))</f>
        <v>0x5E</v>
      </c>
      <c r="F19" s="117" t="str">
        <f>IF(ISBLANK(INDEX('register map'!B:B,C19)),IF(ISBLANK(INDEX('register map'!B:B,C19-1)),IF(ISBLANK(INDEX('register map'!B:B,C19-2)),IF(ISBLANK(INDEX('register map'!B:B,C19-3)),IF(ISBLANK(INDEX('register map'!B:B,C19-4)),IF(ISBLANK(INDEX('register map'!B:B,C19-5)),IF(ISBLANK(INDEX('register map'!B:B,C19-6)),IF(ISBLANK(INDEX('register map'!B:B,C19-7)),IF(ISBLANK(INDEX('register map'!B:B,C19-8)),"ERROR",INDEX('register map'!B:B,C19-8)),INDEX('register map'!B:B,C19-7)),INDEX('register map'!B:B,C19-6)),INDEX('register map'!B:B,C19-5)),INDEX('register map'!B:B,C19-4)),INDEX('register map'!B:B,C19-3)),INDEX('register map'!B:B,C19-2)),INDEX('register map'!B:B,C19-1)),INDEX('register map'!B:B,C19))</f>
        <v>0x05</v>
      </c>
      <c r="G19" s="117" t="str">
        <f>CONCATENATE(IF(ISNUMBER(INDEX('register map'!D:D,C19)),7,""),IF(ISNUMBER(INDEX('register map'!E:E,C19)),6,""),IF(ISNUMBER(INDEX('register map'!F:F,C19)),5,""),IF(ISNUMBER(INDEX('register map'!G:G,C19)),4,""),IF(ISNUMBER(INDEX('register map'!H:H,C19)),3,""),IF(ISNUMBER(INDEX('register map'!I:I,C19)),2,""),IF(ISNUMBER(INDEX('register map'!J:J,C19)),1,""),IF(ISNUMBER(INDEX('register map'!K:K,C19)),0,""))</f>
        <v/>
      </c>
      <c r="H19" s="117" t="str">
        <f>RIGHT(INDEX('register map'!V:V,MATCH('Logical Group Generator'!B19,'register map'!L:L,0)),LEN(G19))</f>
        <v/>
      </c>
      <c r="I19" s="117" t="str">
        <f>CONCATENATE(IF(ISNUMBER(INDEX('register map'!K:K,C19)),0,""),IF(ISNUMBER(INDEX('register map'!J:J,C19)),1,""),IF(ISNUMBER(INDEX('register map'!I:I,C19)),2,""),IF(ISNUMBER(INDEX('register map'!H:H,C19)),3,""),IF(ISNUMBER(INDEX('register map'!G:G,C19)),4,""),IF(ISNUMBER(INDEX('register map'!F:F,C19)),5,""),IF(ISNUMBER(INDEX('register map'!E:E,C19)),6,""),IF(ISNUMBER(INDEX('register map'!D:D,C19)),7,""))</f>
        <v/>
      </c>
      <c r="J19" s="117" t="str">
        <f t="shared" si="7"/>
        <v/>
      </c>
      <c r="K19" s="117" t="str">
        <f t="shared" si="0"/>
        <v>0000</v>
      </c>
      <c r="L19" s="117" t="str">
        <f t="shared" si="8"/>
        <v>0000</v>
      </c>
      <c r="M19" s="117" t="str">
        <f t="shared" si="10"/>
        <v>00</v>
      </c>
      <c r="N19" s="117" t="str">
        <f>IF(ISBLANK(INDEX('register map'!M:M,'Logical Group Generator'!C19)),"No","Yes")</f>
        <v>No</v>
      </c>
      <c r="O19" s="117" t="str">
        <f>IF(NOT(ISBLANK(INDEX('register map'!N:N,'Logical Group Generator'!C19))),"Yes","")</f>
        <v/>
      </c>
      <c r="P19" s="117" t="str">
        <f t="shared" si="1"/>
        <v>No</v>
      </c>
      <c r="Q19" s="117" t="str">
        <f t="shared" si="2"/>
        <v>No</v>
      </c>
      <c r="R19" s="117" t="str">
        <f t="shared" si="3"/>
        <v>No</v>
      </c>
      <c r="S19" s="117" t="str">
        <f t="shared" si="4"/>
        <v/>
      </c>
      <c r="T19" s="117" t="b">
        <f t="shared" si="5"/>
        <v>0</v>
      </c>
      <c r="U19" s="117" t="b">
        <f t="shared" si="9"/>
        <v>1</v>
      </c>
      <c r="V19" s="157" t="b">
        <f>INDEX('register map'!P:P,C19)="yes"</f>
        <v>0</v>
      </c>
      <c r="W19" s="157" t="str">
        <f t="shared" si="6"/>
        <v>FALSE</v>
      </c>
    </row>
    <row r="20" spans="2:23">
      <c r="B20" s="157" t="str">
        <f t="array" ref="B20">IF(ROWS($3:20)&lt;=COUNTA('register map'!$L$5:$L$902),INDEX('register map'!$L$5:$L$902,SMALL(IF('register map'!$L$5:$L$902&lt;&gt;"",ROW('register map'!$L$5:$L$902)-MIN(ROW('register map'!$L$5:$L$902))+1),ROWS($3:20))),"")</f>
        <v>CRITTEMP</v>
      </c>
      <c r="C20" s="157">
        <f>IF(B20="PART_NUMBER",IF(COUNTIF($B$1:B19,"PART_NUMBER")=0,6,8),MATCH(B20,'register map'!L:L,0))</f>
        <v>27</v>
      </c>
      <c r="D20" s="117" t="str">
        <f>IF(ISBLANK(INDEX('register map'!C:C,'Logical Group Generator'!C20)),"No","Yes")</f>
        <v>No</v>
      </c>
      <c r="E20" s="117" t="str">
        <f>IF(ISBLANK(INDEX('register map'!A:A,C20)),IF(ISBLANK(INDEX('register map'!A:A,C20-1)),IF(ISBLANK(INDEX('register map'!A:A,C20-2)),IF(ISBLANK(INDEX('register map'!A:A,C20-3)),IF(ISBLANK(INDEX('register map'!A:A,C20-4)),IF(ISBLANK(INDEX('register map'!A:A,C20-5)),IF(ISBLANK(INDEX('register map'!A:A,C20-6)),IF(ISBLANK(INDEX('register map'!A:A,C20-7)),IF(ISBLANK(INDEX('register map'!A:A,C20-8)),"ERROR",INDEX('register map'!A:A,C20-8)),INDEX('register map'!A:A,C20-7)),INDEX('register map'!A:A,C20-6)),INDEX('register map'!A:A,C20-5)),INDEX('register map'!A:A,C20-4)),INDEX('register map'!A:A,C20-3)),INDEX('register map'!A:A,C20-2)),INDEX('register map'!A:A,C20-1)),INDEX('register map'!A:A,C20))</f>
        <v>0x5E</v>
      </c>
      <c r="F20" s="117" t="str">
        <f>IF(ISBLANK(INDEX('register map'!B:B,C20)),IF(ISBLANK(INDEX('register map'!B:B,C20-1)),IF(ISBLANK(INDEX('register map'!B:B,C20-2)),IF(ISBLANK(INDEX('register map'!B:B,C20-3)),IF(ISBLANK(INDEX('register map'!B:B,C20-4)),IF(ISBLANK(INDEX('register map'!B:B,C20-5)),IF(ISBLANK(INDEX('register map'!B:B,C20-6)),IF(ISBLANK(INDEX('register map'!B:B,C20-7)),IF(ISBLANK(INDEX('register map'!B:B,C20-8)),"ERROR",INDEX('register map'!B:B,C20-8)),INDEX('register map'!B:B,C20-7)),INDEX('register map'!B:B,C20-6)),INDEX('register map'!B:B,C20-5)),INDEX('register map'!B:B,C20-4)),INDEX('register map'!B:B,C20-3)),INDEX('register map'!B:B,C20-2)),INDEX('register map'!B:B,C20-1)),INDEX('register map'!B:B,C20))</f>
        <v>0x05</v>
      </c>
      <c r="G20" s="117" t="str">
        <f>CONCATENATE(IF(ISNUMBER(INDEX('register map'!D:D,C20)),7,""),IF(ISNUMBER(INDEX('register map'!E:E,C20)),6,""),IF(ISNUMBER(INDEX('register map'!F:F,C20)),5,""),IF(ISNUMBER(INDEX('register map'!G:G,C20)),4,""),IF(ISNUMBER(INDEX('register map'!H:H,C20)),3,""),IF(ISNUMBER(INDEX('register map'!I:I,C20)),2,""),IF(ISNUMBER(INDEX('register map'!J:J,C20)),1,""),IF(ISNUMBER(INDEX('register map'!K:K,C20)),0,""))</f>
        <v>0</v>
      </c>
      <c r="H20" s="117" t="str">
        <f>RIGHT(INDEX('register map'!V:V,MATCH('Logical Group Generator'!B20,'register map'!L:L,0)),LEN(G20))</f>
        <v>0</v>
      </c>
      <c r="I20" s="117" t="str">
        <f>CONCATENATE(IF(ISNUMBER(INDEX('register map'!K:K,C20)),0,""),IF(ISNUMBER(INDEX('register map'!J:J,C20)),1,""),IF(ISNUMBER(INDEX('register map'!I:I,C20)),2,""),IF(ISNUMBER(INDEX('register map'!H:H,C20)),3,""),IF(ISNUMBER(INDEX('register map'!G:G,C20)),4,""),IF(ISNUMBER(INDEX('register map'!F:F,C20)),5,""),IF(ISNUMBER(INDEX('register map'!E:E,C20)),6,""),IF(ISNUMBER(INDEX('register map'!D:D,C20)),7,""))</f>
        <v>0</v>
      </c>
      <c r="J20" s="117" t="str">
        <f t="shared" si="7"/>
        <v>0</v>
      </c>
      <c r="K20" s="117" t="str">
        <f t="shared" si="0"/>
        <v/>
      </c>
      <c r="L20" s="117" t="str">
        <f t="shared" si="8"/>
        <v/>
      </c>
      <c r="M20" s="117" t="str">
        <f t="shared" si="10"/>
        <v/>
      </c>
      <c r="N20" s="117" t="str">
        <f>IF(ISBLANK(INDEX('register map'!M:M,'Logical Group Generator'!C20)),"No","Yes")</f>
        <v>No</v>
      </c>
      <c r="O20" s="117" t="str">
        <f>IF(NOT(ISBLANK(INDEX('register map'!N:N,'Logical Group Generator'!C20))),"Yes","")</f>
        <v/>
      </c>
      <c r="P20" s="117" t="str">
        <f t="shared" si="1"/>
        <v/>
      </c>
      <c r="Q20" s="117" t="str">
        <f t="shared" si="2"/>
        <v/>
      </c>
      <c r="R20" s="117" t="str">
        <f t="shared" si="3"/>
        <v/>
      </c>
      <c r="S20" s="117" t="str">
        <f t="shared" si="4"/>
        <v>No</v>
      </c>
      <c r="T20" s="117" t="str">
        <f t="shared" si="5"/>
        <v/>
      </c>
      <c r="U20" s="117" t="b">
        <f t="shared" si="9"/>
        <v>0</v>
      </c>
      <c r="V20" s="157" t="b">
        <f>INDEX('register map'!P:P,C20)="yes"</f>
        <v>0</v>
      </c>
      <c r="W20" s="157" t="str">
        <f t="shared" si="6"/>
        <v>FALSE</v>
      </c>
    </row>
    <row r="21" spans="2:23">
      <c r="B21" s="157" t="str">
        <f t="array" ref="B21">IF(ROWS($3:21)&lt;=COUNTA('register map'!$L$5:$L$902),INDEX('register map'!$L$5:$L$902,SMALL(IF('register map'!$L$5:$L$902&lt;&gt;"",ROW('register map'!$L$5:$L$902)-MIN(ROW('register map'!$L$5:$L$902))+1),ROWS($3:21))),"")</f>
        <v>OCP</v>
      </c>
      <c r="C21" s="157">
        <f>IF(B21="PART_NUMBER",IF(COUNTIF($B$1:B20,"PART_NUMBER")=0,6,8),MATCH(B21,'register map'!L:L,0))</f>
        <v>28</v>
      </c>
      <c r="D21" s="117" t="str">
        <f>IF(ISBLANK(INDEX('register map'!C:C,'Logical Group Generator'!C21)),"No","Yes")</f>
        <v>No</v>
      </c>
      <c r="E21" s="117" t="str">
        <f>IF(ISBLANK(INDEX('register map'!A:A,C21)),IF(ISBLANK(INDEX('register map'!A:A,C21-1)),IF(ISBLANK(INDEX('register map'!A:A,C21-2)),IF(ISBLANK(INDEX('register map'!A:A,C21-3)),IF(ISBLANK(INDEX('register map'!A:A,C21-4)),IF(ISBLANK(INDEX('register map'!A:A,C21-5)),IF(ISBLANK(INDEX('register map'!A:A,C21-6)),IF(ISBLANK(INDEX('register map'!A:A,C21-7)),IF(ISBLANK(INDEX('register map'!A:A,C21-8)),"ERROR",INDEX('register map'!A:A,C21-8)),INDEX('register map'!A:A,C21-7)),INDEX('register map'!A:A,C21-6)),INDEX('register map'!A:A,C21-5)),INDEX('register map'!A:A,C21-4)),INDEX('register map'!A:A,C21-3)),INDEX('register map'!A:A,C21-2)),INDEX('register map'!A:A,C21-1)),INDEX('register map'!A:A,C21))</f>
        <v>0x5E</v>
      </c>
      <c r="F21" s="117" t="str">
        <f>IF(ISBLANK(INDEX('register map'!B:B,C21)),IF(ISBLANK(INDEX('register map'!B:B,C21-1)),IF(ISBLANK(INDEX('register map'!B:B,C21-2)),IF(ISBLANK(INDEX('register map'!B:B,C21-3)),IF(ISBLANK(INDEX('register map'!B:B,C21-4)),IF(ISBLANK(INDEX('register map'!B:B,C21-5)),IF(ISBLANK(INDEX('register map'!B:B,C21-6)),IF(ISBLANK(INDEX('register map'!B:B,C21-7)),IF(ISBLANK(INDEX('register map'!B:B,C21-8)),"ERROR",INDEX('register map'!B:B,C21-8)),INDEX('register map'!B:B,C21-7)),INDEX('register map'!B:B,C21-6)),INDEX('register map'!B:B,C21-5)),INDEX('register map'!B:B,C21-4)),INDEX('register map'!B:B,C21-3)),INDEX('register map'!B:B,C21-2)),INDEX('register map'!B:B,C21-1)),INDEX('register map'!B:B,C21))</f>
        <v>0x05</v>
      </c>
      <c r="G21" s="117" t="str">
        <f>CONCATENATE(IF(ISNUMBER(INDEX('register map'!D:D,C21)),7,""),IF(ISNUMBER(INDEX('register map'!E:E,C21)),6,""),IF(ISNUMBER(INDEX('register map'!F:F,C21)),5,""),IF(ISNUMBER(INDEX('register map'!G:G,C21)),4,""),IF(ISNUMBER(INDEX('register map'!H:H,C21)),3,""),IF(ISNUMBER(INDEX('register map'!I:I,C21)),2,""),IF(ISNUMBER(INDEX('register map'!J:J,C21)),1,""),IF(ISNUMBER(INDEX('register map'!K:K,C21)),0,""))</f>
        <v>1</v>
      </c>
      <c r="H21" s="117" t="str">
        <f>RIGHT(INDEX('register map'!V:V,MATCH('Logical Group Generator'!B21,'register map'!L:L,0)),LEN(G21))</f>
        <v>0</v>
      </c>
      <c r="I21" s="117" t="str">
        <f>CONCATENATE(IF(ISNUMBER(INDEX('register map'!K:K,C21)),0,""),IF(ISNUMBER(INDEX('register map'!J:J,C21)),1,""),IF(ISNUMBER(INDEX('register map'!I:I,C21)),2,""),IF(ISNUMBER(INDEX('register map'!H:H,C21)),3,""),IF(ISNUMBER(INDEX('register map'!G:G,C21)),4,""),IF(ISNUMBER(INDEX('register map'!F:F,C21)),5,""),IF(ISNUMBER(INDEX('register map'!E:E,C21)),6,""),IF(ISNUMBER(INDEX('register map'!D:D,C21)),7,""))</f>
        <v>1</v>
      </c>
      <c r="J21" s="117" t="str">
        <f t="shared" si="7"/>
        <v>0</v>
      </c>
      <c r="K21" s="117" t="str">
        <f t="shared" si="0"/>
        <v/>
      </c>
      <c r="L21" s="117" t="str">
        <f t="shared" si="8"/>
        <v/>
      </c>
      <c r="M21" s="117" t="str">
        <f t="shared" si="10"/>
        <v/>
      </c>
      <c r="N21" s="117" t="str">
        <f>IF(ISBLANK(INDEX('register map'!M:M,'Logical Group Generator'!C21)),"No","Yes")</f>
        <v>No</v>
      </c>
      <c r="O21" s="117" t="str">
        <f>IF(NOT(ISBLANK(INDEX('register map'!N:N,'Logical Group Generator'!C21))),"Yes","")</f>
        <v/>
      </c>
      <c r="P21" s="117" t="str">
        <f t="shared" si="1"/>
        <v/>
      </c>
      <c r="Q21" s="117" t="str">
        <f t="shared" si="2"/>
        <v/>
      </c>
      <c r="R21" s="117" t="str">
        <f t="shared" si="3"/>
        <v/>
      </c>
      <c r="S21" s="117" t="str">
        <f t="shared" si="4"/>
        <v>No</v>
      </c>
      <c r="T21" s="117" t="str">
        <f t="shared" si="5"/>
        <v/>
      </c>
      <c r="U21" s="117" t="b">
        <f t="shared" si="9"/>
        <v>0</v>
      </c>
      <c r="V21" s="157" t="b">
        <f>INDEX('register map'!P:P,C21)="yes"</f>
        <v>0</v>
      </c>
      <c r="W21" s="157" t="str">
        <f t="shared" si="6"/>
        <v>FALSE</v>
      </c>
    </row>
    <row r="22" spans="2:23">
      <c r="B22" s="157" t="str">
        <f t="array" ref="B22">IF(ROWS($3:22)&lt;=COUNTA('register map'!$L$5:$L$902),INDEX('register map'!$L$5:$L$902,SMALL(IF('register map'!$L$5:$L$902&lt;&gt;"",ROW('register map'!$L$5:$L$902)-MIN(ROW('register map'!$L$5:$L$902))+1),ROWS($3:22))),"")</f>
        <v>UVLO</v>
      </c>
      <c r="C22" s="157">
        <f>IF(B22="PART_NUMBER",IF(COUNTIF($B$1:B21,"PART_NUMBER")=0,6,8),MATCH(B22,'register map'!L:L,0))</f>
        <v>29</v>
      </c>
      <c r="D22" s="117" t="str">
        <f>IF(ISBLANK(INDEX('register map'!C:C,'Logical Group Generator'!C22)),"No","Yes")</f>
        <v>No</v>
      </c>
      <c r="E22" s="117" t="str">
        <f>IF(ISBLANK(INDEX('register map'!A:A,C22)),IF(ISBLANK(INDEX('register map'!A:A,C22-1)),IF(ISBLANK(INDEX('register map'!A:A,C22-2)),IF(ISBLANK(INDEX('register map'!A:A,C22-3)),IF(ISBLANK(INDEX('register map'!A:A,C22-4)),IF(ISBLANK(INDEX('register map'!A:A,C22-5)),IF(ISBLANK(INDEX('register map'!A:A,C22-6)),IF(ISBLANK(INDEX('register map'!A:A,C22-7)),IF(ISBLANK(INDEX('register map'!A:A,C22-8)),"ERROR",INDEX('register map'!A:A,C22-8)),INDEX('register map'!A:A,C22-7)),INDEX('register map'!A:A,C22-6)),INDEX('register map'!A:A,C22-5)),INDEX('register map'!A:A,C22-4)),INDEX('register map'!A:A,C22-3)),INDEX('register map'!A:A,C22-2)),INDEX('register map'!A:A,C22-1)),INDEX('register map'!A:A,C22))</f>
        <v>0x5E</v>
      </c>
      <c r="F22" s="117" t="str">
        <f>IF(ISBLANK(INDEX('register map'!B:B,C22)),IF(ISBLANK(INDEX('register map'!B:B,C22-1)),IF(ISBLANK(INDEX('register map'!B:B,C22-2)),IF(ISBLANK(INDEX('register map'!B:B,C22-3)),IF(ISBLANK(INDEX('register map'!B:B,C22-4)),IF(ISBLANK(INDEX('register map'!B:B,C22-5)),IF(ISBLANK(INDEX('register map'!B:B,C22-6)),IF(ISBLANK(INDEX('register map'!B:B,C22-7)),IF(ISBLANK(INDEX('register map'!B:B,C22-8)),"ERROR",INDEX('register map'!B:B,C22-8)),INDEX('register map'!B:B,C22-7)),INDEX('register map'!B:B,C22-6)),INDEX('register map'!B:B,C22-5)),INDEX('register map'!B:B,C22-4)),INDEX('register map'!B:B,C22-3)),INDEX('register map'!B:B,C22-2)),INDEX('register map'!B:B,C22-1)),INDEX('register map'!B:B,C22))</f>
        <v>0x05</v>
      </c>
      <c r="G22" s="117" t="str">
        <f>CONCATENATE(IF(ISNUMBER(INDEX('register map'!D:D,C22)),7,""),IF(ISNUMBER(INDEX('register map'!E:E,C22)),6,""),IF(ISNUMBER(INDEX('register map'!F:F,C22)),5,""),IF(ISNUMBER(INDEX('register map'!G:G,C22)),4,""),IF(ISNUMBER(INDEX('register map'!H:H,C22)),3,""),IF(ISNUMBER(INDEX('register map'!I:I,C22)),2,""),IF(ISNUMBER(INDEX('register map'!J:J,C22)),1,""),IF(ISNUMBER(INDEX('register map'!K:K,C22)),0,""))</f>
        <v>2</v>
      </c>
      <c r="H22" s="117" t="str">
        <f>RIGHT(INDEX('register map'!V:V,MATCH('Logical Group Generator'!B22,'register map'!L:L,0)),LEN(G22))</f>
        <v>0</v>
      </c>
      <c r="I22" s="117" t="str">
        <f>CONCATENATE(IF(ISNUMBER(INDEX('register map'!K:K,C22)),0,""),IF(ISNUMBER(INDEX('register map'!J:J,C22)),1,""),IF(ISNUMBER(INDEX('register map'!I:I,C22)),2,""),IF(ISNUMBER(INDEX('register map'!H:H,C22)),3,""),IF(ISNUMBER(INDEX('register map'!G:G,C22)),4,""),IF(ISNUMBER(INDEX('register map'!F:F,C22)),5,""),IF(ISNUMBER(INDEX('register map'!E:E,C22)),6,""),IF(ISNUMBER(INDEX('register map'!D:D,C22)),7,""))</f>
        <v>2</v>
      </c>
      <c r="J22" s="117" t="str">
        <f t="shared" si="7"/>
        <v>0</v>
      </c>
      <c r="K22" s="117" t="str">
        <f t="shared" si="0"/>
        <v/>
      </c>
      <c r="L22" s="117" t="str">
        <f t="shared" si="8"/>
        <v/>
      </c>
      <c r="M22" s="117" t="str">
        <f t="shared" si="10"/>
        <v/>
      </c>
      <c r="N22" s="117" t="str">
        <f>IF(ISBLANK(INDEX('register map'!M:M,'Logical Group Generator'!C22)),"No","Yes")</f>
        <v>No</v>
      </c>
      <c r="O22" s="117" t="str">
        <f>IF(NOT(ISBLANK(INDEX('register map'!N:N,'Logical Group Generator'!C22))),"Yes","")</f>
        <v/>
      </c>
      <c r="P22" s="117" t="str">
        <f t="shared" si="1"/>
        <v/>
      </c>
      <c r="Q22" s="117" t="str">
        <f t="shared" si="2"/>
        <v/>
      </c>
      <c r="R22" s="117" t="str">
        <f t="shared" si="3"/>
        <v/>
      </c>
      <c r="S22" s="117" t="str">
        <f t="shared" si="4"/>
        <v>No</v>
      </c>
      <c r="T22" s="117" t="str">
        <f t="shared" si="5"/>
        <v/>
      </c>
      <c r="U22" s="117" t="b">
        <f t="shared" si="9"/>
        <v>0</v>
      </c>
      <c r="V22" s="157" t="b">
        <f>INDEX('register map'!P:P,C22)="yes"</f>
        <v>0</v>
      </c>
      <c r="W22" s="157" t="str">
        <f t="shared" si="6"/>
        <v>FALSE</v>
      </c>
    </row>
    <row r="23" spans="2:23">
      <c r="B23" s="157" t="str">
        <f t="array" ref="B23">IF(ROWS($3:23)&lt;=COUNTA('register map'!$L$5:$L$902),INDEX('register map'!$L$5:$L$902,SMALL(IF('register map'!$L$5:$L$902&lt;&gt;"",ROW('register map'!$L$5:$L$902)-MIN(ROW('register map'!$L$5:$L$902))+1),ROWS($3:23))),"")</f>
        <v>COLDOFF</v>
      </c>
      <c r="C23" s="157">
        <f>IF(B23="PART_NUMBER",IF(COUNTIF($B$1:B22,"PART_NUMBER")=0,6,8),MATCH(B23,'register map'!L:L,0))</f>
        <v>30</v>
      </c>
      <c r="D23" s="117" t="str">
        <f>IF(ISBLANK(INDEX('register map'!C:C,'Logical Group Generator'!C23)),"No","Yes")</f>
        <v>No</v>
      </c>
      <c r="E23" s="117" t="str">
        <f>IF(ISBLANK(INDEX('register map'!A:A,C23)),IF(ISBLANK(INDEX('register map'!A:A,C23-1)),IF(ISBLANK(INDEX('register map'!A:A,C23-2)),IF(ISBLANK(INDEX('register map'!A:A,C23-3)),IF(ISBLANK(INDEX('register map'!A:A,C23-4)),IF(ISBLANK(INDEX('register map'!A:A,C23-5)),IF(ISBLANK(INDEX('register map'!A:A,C23-6)),IF(ISBLANK(INDEX('register map'!A:A,C23-7)),IF(ISBLANK(INDEX('register map'!A:A,C23-8)),"ERROR",INDEX('register map'!A:A,C23-8)),INDEX('register map'!A:A,C23-7)),INDEX('register map'!A:A,C23-6)),INDEX('register map'!A:A,C23-5)),INDEX('register map'!A:A,C23-4)),INDEX('register map'!A:A,C23-3)),INDEX('register map'!A:A,C23-2)),INDEX('register map'!A:A,C23-1)),INDEX('register map'!A:A,C23))</f>
        <v>0x5E</v>
      </c>
      <c r="F23" s="117" t="str">
        <f>IF(ISBLANK(INDEX('register map'!B:B,C23)),IF(ISBLANK(INDEX('register map'!B:B,C23-1)),IF(ISBLANK(INDEX('register map'!B:B,C23-2)),IF(ISBLANK(INDEX('register map'!B:B,C23-3)),IF(ISBLANK(INDEX('register map'!B:B,C23-4)),IF(ISBLANK(INDEX('register map'!B:B,C23-5)),IF(ISBLANK(INDEX('register map'!B:B,C23-6)),IF(ISBLANK(INDEX('register map'!B:B,C23-7)),IF(ISBLANK(INDEX('register map'!B:B,C23-8)),"ERROR",INDEX('register map'!B:B,C23-8)),INDEX('register map'!B:B,C23-7)),INDEX('register map'!B:B,C23-6)),INDEX('register map'!B:B,C23-5)),INDEX('register map'!B:B,C23-4)),INDEX('register map'!B:B,C23-3)),INDEX('register map'!B:B,C23-2)),INDEX('register map'!B:B,C23-1)),INDEX('register map'!B:B,C23))</f>
        <v>0x05</v>
      </c>
      <c r="G23" s="117" t="str">
        <f>CONCATENATE(IF(ISNUMBER(INDEX('register map'!D:D,C23)),7,""),IF(ISNUMBER(INDEX('register map'!E:E,C23)),6,""),IF(ISNUMBER(INDEX('register map'!F:F,C23)),5,""),IF(ISNUMBER(INDEX('register map'!G:G,C23)),4,""),IF(ISNUMBER(INDEX('register map'!H:H,C23)),3,""),IF(ISNUMBER(INDEX('register map'!I:I,C23)),2,""),IF(ISNUMBER(INDEX('register map'!J:J,C23)),1,""),IF(ISNUMBER(INDEX('register map'!K:K,C23)),0,""))</f>
        <v>3</v>
      </c>
      <c r="H23" s="117" t="str">
        <f>RIGHT(INDEX('register map'!V:V,MATCH('Logical Group Generator'!B23,'register map'!L:L,0)),LEN(G23))</f>
        <v>0</v>
      </c>
      <c r="I23" s="117" t="str">
        <f>CONCATENATE(IF(ISNUMBER(INDEX('register map'!K:K,C23)),0,""),IF(ISNUMBER(INDEX('register map'!J:J,C23)),1,""),IF(ISNUMBER(INDEX('register map'!I:I,C23)),2,""),IF(ISNUMBER(INDEX('register map'!H:H,C23)),3,""),IF(ISNUMBER(INDEX('register map'!G:G,C23)),4,""),IF(ISNUMBER(INDEX('register map'!F:F,C23)),5,""),IF(ISNUMBER(INDEX('register map'!E:E,C23)),6,""),IF(ISNUMBER(INDEX('register map'!D:D,C23)),7,""))</f>
        <v>3</v>
      </c>
      <c r="J23" s="117" t="str">
        <f t="shared" si="7"/>
        <v>0</v>
      </c>
      <c r="K23" s="117" t="str">
        <f t="shared" si="0"/>
        <v/>
      </c>
      <c r="L23" s="117" t="str">
        <f t="shared" si="8"/>
        <v/>
      </c>
      <c r="M23" s="117" t="str">
        <f t="shared" si="10"/>
        <v/>
      </c>
      <c r="N23" s="117" t="str">
        <f>IF(ISBLANK(INDEX('register map'!M:M,'Logical Group Generator'!C23)),"No","Yes")</f>
        <v>No</v>
      </c>
      <c r="O23" s="117" t="str">
        <f>IF(NOT(ISBLANK(INDEX('register map'!N:N,'Logical Group Generator'!C23))),"Yes","")</f>
        <v/>
      </c>
      <c r="P23" s="117" t="str">
        <f t="shared" si="1"/>
        <v/>
      </c>
      <c r="Q23" s="117" t="str">
        <f t="shared" si="2"/>
        <v/>
      </c>
      <c r="R23" s="117" t="str">
        <f t="shared" si="3"/>
        <v/>
      </c>
      <c r="S23" s="117" t="str">
        <f t="shared" si="4"/>
        <v>No</v>
      </c>
      <c r="T23" s="117" t="str">
        <f t="shared" si="5"/>
        <v/>
      </c>
      <c r="U23" s="117" t="b">
        <f t="shared" si="9"/>
        <v>0</v>
      </c>
      <c r="V23" s="157" t="b">
        <f>INDEX('register map'!P:P,C23)="yes"</f>
        <v>0</v>
      </c>
      <c r="W23" s="157" t="str">
        <f t="shared" si="6"/>
        <v>FALSE</v>
      </c>
    </row>
    <row r="24" spans="2:23">
      <c r="B24" s="157" t="str">
        <f t="array" ref="B24">IF(ROWS($3:24)&lt;=COUNTA('register map'!$L$5:$L$902),INDEX('register map'!$L$5:$L$902,SMALL(IF('register map'!$L$5:$L$902&lt;&gt;"",ROW('register map'!$L$5:$L$902)-MIN(ROW('register map'!$L$5:$L$902))+1),ROWS($3:24))),"")</f>
        <v>BUCK1CTRL</v>
      </c>
      <c r="C24" s="157">
        <f>IF(B24="PART_NUMBER",IF(COUNTIF($B$1:B23,"PART_NUMBER")=0,6,8),MATCH(B24,'register map'!L:L,0))</f>
        <v>32</v>
      </c>
      <c r="D24" s="117" t="str">
        <f>IF(ISBLANK(INDEX('register map'!C:C,'Logical Group Generator'!C24)),"No","Yes")</f>
        <v>Yes</v>
      </c>
      <c r="E24" s="117" t="str">
        <f>IF(ISBLANK(INDEX('register map'!A:A,C24)),IF(ISBLANK(INDEX('register map'!A:A,C24-1)),IF(ISBLANK(INDEX('register map'!A:A,C24-2)),IF(ISBLANK(INDEX('register map'!A:A,C24-3)),IF(ISBLANK(INDEX('register map'!A:A,C24-4)),IF(ISBLANK(INDEX('register map'!A:A,C24-5)),IF(ISBLANK(INDEX('register map'!A:A,C24-6)),IF(ISBLANK(INDEX('register map'!A:A,C24-7)),IF(ISBLANK(INDEX('register map'!A:A,C24-8)),"ERROR",INDEX('register map'!A:A,C24-8)),INDEX('register map'!A:A,C24-7)),INDEX('register map'!A:A,C24-6)),INDEX('register map'!A:A,C24-5)),INDEX('register map'!A:A,C24-4)),INDEX('register map'!A:A,C24-3)),INDEX('register map'!A:A,C24-2)),INDEX('register map'!A:A,C24-1)),INDEX('register map'!A:A,C24))</f>
        <v>0x5E</v>
      </c>
      <c r="F24" s="117" t="str">
        <f>IF(ISBLANK(INDEX('register map'!B:B,C24)),IF(ISBLANK(INDEX('register map'!B:B,C24-1)),IF(ISBLANK(INDEX('register map'!B:B,C24-2)),IF(ISBLANK(INDEX('register map'!B:B,C24-3)),IF(ISBLANK(INDEX('register map'!B:B,C24-4)),IF(ISBLANK(INDEX('register map'!B:B,C24-5)),IF(ISBLANK(INDEX('register map'!B:B,C24-6)),IF(ISBLANK(INDEX('register map'!B:B,C24-7)),IF(ISBLANK(INDEX('register map'!B:B,C24-8)),"ERROR",INDEX('register map'!B:B,C24-8)),INDEX('register map'!B:B,C24-7)),INDEX('register map'!B:B,C24-6)),INDEX('register map'!B:B,C24-5)),INDEX('register map'!B:B,C24-4)),INDEX('register map'!B:B,C24-3)),INDEX('register map'!B:B,C24-2)),INDEX('register map'!B:B,C24-1)),INDEX('register map'!B:B,C24))</f>
        <v>0x20</v>
      </c>
      <c r="G24" s="117" t="str">
        <f>CONCATENATE(IF(ISNUMBER(INDEX('register map'!D:D,C24)),7,""),IF(ISNUMBER(INDEX('register map'!E:E,C24)),6,""),IF(ISNUMBER(INDEX('register map'!F:F,C24)),5,""),IF(ISNUMBER(INDEX('register map'!G:G,C24)),4,""),IF(ISNUMBER(INDEX('register map'!H:H,C24)),3,""),IF(ISNUMBER(INDEX('register map'!I:I,C24)),2,""),IF(ISNUMBER(INDEX('register map'!J:J,C24)),1,""),IF(ISNUMBER(INDEX('register map'!K:K,C24)),0,""))</f>
        <v/>
      </c>
      <c r="H24" s="117" t="str">
        <f>RIGHT(INDEX('register map'!V:V,MATCH('Logical Group Generator'!B24,'register map'!L:L,0)),LEN(G24))</f>
        <v/>
      </c>
      <c r="I24" s="117" t="str">
        <f>CONCATENATE(IF(ISNUMBER(INDEX('register map'!K:K,C24)),0,""),IF(ISNUMBER(INDEX('register map'!J:J,C24)),1,""),IF(ISNUMBER(INDEX('register map'!I:I,C24)),2,""),IF(ISNUMBER(INDEX('register map'!H:H,C24)),3,""),IF(ISNUMBER(INDEX('register map'!G:G,C24)),4,""),IF(ISNUMBER(INDEX('register map'!F:F,C24)),5,""),IF(ISNUMBER(INDEX('register map'!E:E,C24)),6,""),IF(ISNUMBER(INDEX('register map'!D:D,C24)),7,""))</f>
        <v/>
      </c>
      <c r="J24" s="117" t="str">
        <f t="shared" si="7"/>
        <v/>
      </c>
      <c r="K24" s="117" t="str">
        <f t="shared" si="0"/>
        <v>00001110</v>
      </c>
      <c r="L24" s="117" t="str">
        <f t="shared" si="8"/>
        <v>01110000</v>
      </c>
      <c r="M24" s="117" t="str">
        <f t="shared" si="10"/>
        <v>70</v>
      </c>
      <c r="N24" s="117" t="str">
        <f>IF(ISBLANK(INDEX('register map'!M:M,'Logical Group Generator'!C24)),"No","Yes")</f>
        <v>No</v>
      </c>
      <c r="O24" s="117" t="str">
        <f>IF(NOT(ISBLANK(INDEX('register map'!N:N,'Logical Group Generator'!C24))),"Yes","")</f>
        <v/>
      </c>
      <c r="P24" s="117" t="str">
        <f t="shared" si="1"/>
        <v>No</v>
      </c>
      <c r="Q24" s="117" t="str">
        <f t="shared" si="2"/>
        <v>No</v>
      </c>
      <c r="R24" s="117" t="str">
        <f t="shared" si="3"/>
        <v>No</v>
      </c>
      <c r="S24" s="117" t="str">
        <f t="shared" si="4"/>
        <v/>
      </c>
      <c r="T24" s="117" t="b">
        <f t="shared" si="5"/>
        <v>1</v>
      </c>
      <c r="U24" s="117" t="b">
        <f t="shared" si="9"/>
        <v>1</v>
      </c>
      <c r="V24" s="157" t="b">
        <f>INDEX('register map'!P:P,C24)="yes"</f>
        <v>1</v>
      </c>
      <c r="W24" s="157" t="str">
        <f t="shared" si="6"/>
        <v>REGISTER</v>
      </c>
    </row>
    <row r="25" spans="2:23">
      <c r="B25" s="157" t="str">
        <f t="array" ref="B25">IF(ROWS($3:25)&lt;=COUNTA('register map'!$L$5:$L$902),INDEX('register map'!$L$5:$L$902,SMALL(IF('register map'!$L$5:$L$902&lt;&gt;"",ROW('register map'!$L$5:$L$902)-MIN(ROW('register map'!$L$5:$L$902))+1),ROWS($3:25))),"")</f>
        <v>BUCK1_DECAY</v>
      </c>
      <c r="C25" s="157">
        <f>IF(B25="PART_NUMBER",IF(COUNTIF($B$1:B24,"PART_NUMBER")=0,6,8),MATCH(B25,'register map'!L:L,0))</f>
        <v>33</v>
      </c>
      <c r="D25" s="117" t="str">
        <f>IF(ISBLANK(INDEX('register map'!C:C,'Logical Group Generator'!C25)),"No","Yes")</f>
        <v>No</v>
      </c>
      <c r="E25" s="117" t="str">
        <f>IF(ISBLANK(INDEX('register map'!A:A,C25)),IF(ISBLANK(INDEX('register map'!A:A,C25-1)),IF(ISBLANK(INDEX('register map'!A:A,C25-2)),IF(ISBLANK(INDEX('register map'!A:A,C25-3)),IF(ISBLANK(INDEX('register map'!A:A,C25-4)),IF(ISBLANK(INDEX('register map'!A:A,C25-5)),IF(ISBLANK(INDEX('register map'!A:A,C25-6)),IF(ISBLANK(INDEX('register map'!A:A,C25-7)),IF(ISBLANK(INDEX('register map'!A:A,C25-8)),"ERROR",INDEX('register map'!A:A,C25-8)),INDEX('register map'!A:A,C25-7)),INDEX('register map'!A:A,C25-6)),INDEX('register map'!A:A,C25-5)),INDEX('register map'!A:A,C25-4)),INDEX('register map'!A:A,C25-3)),INDEX('register map'!A:A,C25-2)),INDEX('register map'!A:A,C25-1)),INDEX('register map'!A:A,C25))</f>
        <v>0x5E</v>
      </c>
      <c r="F25" s="117" t="str">
        <f>IF(ISBLANK(INDEX('register map'!B:B,C25)),IF(ISBLANK(INDEX('register map'!B:B,C25-1)),IF(ISBLANK(INDEX('register map'!B:B,C25-2)),IF(ISBLANK(INDEX('register map'!B:B,C25-3)),IF(ISBLANK(INDEX('register map'!B:B,C25-4)),IF(ISBLANK(INDEX('register map'!B:B,C25-5)),IF(ISBLANK(INDEX('register map'!B:B,C25-6)),IF(ISBLANK(INDEX('register map'!B:B,C25-7)),IF(ISBLANK(INDEX('register map'!B:B,C25-8)),"ERROR",INDEX('register map'!B:B,C25-8)),INDEX('register map'!B:B,C25-7)),INDEX('register map'!B:B,C25-6)),INDEX('register map'!B:B,C25-5)),INDEX('register map'!B:B,C25-4)),INDEX('register map'!B:B,C25-3)),INDEX('register map'!B:B,C25-2)),INDEX('register map'!B:B,C25-1)),INDEX('register map'!B:B,C25))</f>
        <v>0x20</v>
      </c>
      <c r="G25" s="117" t="str">
        <f>CONCATENATE(IF(ISNUMBER(INDEX('register map'!D:D,C25)),7,""),IF(ISNUMBER(INDEX('register map'!E:E,C25)),6,""),IF(ISNUMBER(INDEX('register map'!F:F,C25)),5,""),IF(ISNUMBER(INDEX('register map'!G:G,C25)),4,""),IF(ISNUMBER(INDEX('register map'!H:H,C25)),3,""),IF(ISNUMBER(INDEX('register map'!I:I,C25)),2,""),IF(ISNUMBER(INDEX('register map'!J:J,C25)),1,""),IF(ISNUMBER(INDEX('register map'!K:K,C25)),0,""))</f>
        <v>0</v>
      </c>
      <c r="H25" s="117" t="str">
        <f>RIGHT(INDEX('register map'!V:V,MATCH('Logical Group Generator'!B25,'register map'!L:L,0)),LEN(G25))</f>
        <v>0</v>
      </c>
      <c r="I25" s="117" t="str">
        <f>CONCATENATE(IF(ISNUMBER(INDEX('register map'!K:K,C25)),0,""),IF(ISNUMBER(INDEX('register map'!J:J,C25)),1,""),IF(ISNUMBER(INDEX('register map'!I:I,C25)),2,""),IF(ISNUMBER(INDEX('register map'!H:H,C25)),3,""),IF(ISNUMBER(INDEX('register map'!G:G,C25)),4,""),IF(ISNUMBER(INDEX('register map'!F:F,C25)),5,""),IF(ISNUMBER(INDEX('register map'!E:E,C25)),6,""),IF(ISNUMBER(INDEX('register map'!D:D,C25)),7,""))</f>
        <v>0</v>
      </c>
      <c r="J25" s="117" t="str">
        <f t="shared" si="7"/>
        <v>0</v>
      </c>
      <c r="K25" s="117" t="str">
        <f t="shared" si="0"/>
        <v/>
      </c>
      <c r="L25" s="117" t="str">
        <f t="shared" si="8"/>
        <v/>
      </c>
      <c r="M25" s="117" t="str">
        <f t="shared" si="10"/>
        <v/>
      </c>
      <c r="N25" s="117" t="str">
        <f>IF(ISBLANK(INDEX('register map'!M:M,'Logical Group Generator'!C25)),"No","Yes")</f>
        <v>No</v>
      </c>
      <c r="O25" s="117" t="str">
        <f>IF(NOT(ISBLANK(INDEX('register map'!N:N,'Logical Group Generator'!C25))),"Yes","")</f>
        <v/>
      </c>
      <c r="P25" s="117" t="str">
        <f t="shared" si="1"/>
        <v/>
      </c>
      <c r="Q25" s="117" t="str">
        <f t="shared" si="2"/>
        <v/>
      </c>
      <c r="R25" s="117" t="str">
        <f t="shared" si="3"/>
        <v/>
      </c>
      <c r="S25" s="117" t="str">
        <f t="shared" si="4"/>
        <v>No</v>
      </c>
      <c r="T25" s="117" t="str">
        <f t="shared" si="5"/>
        <v/>
      </c>
      <c r="U25" s="117" t="b">
        <f t="shared" si="9"/>
        <v>0</v>
      </c>
      <c r="V25" s="157" t="b">
        <f>INDEX('register map'!P:P,C25)="yes"</f>
        <v>1</v>
      </c>
      <c r="W25" s="157" t="str">
        <f t="shared" si="6"/>
        <v>FALSE</v>
      </c>
    </row>
    <row r="26" spans="2:23">
      <c r="B26" s="157" t="str">
        <f t="array" ref="B26">IF(ROWS($3:26)&lt;=COUNTA('register map'!$L$5:$L$902),INDEX('register map'!$L$5:$L$902,SMALL(IF('register map'!$L$5:$L$902&lt;&gt;"",ROW('register map'!$L$5:$L$902)-MIN(ROW('register map'!$L$5:$L$902))+1),ROWS($3:26))),"")</f>
        <v>BUCK1_VID</v>
      </c>
      <c r="C26" s="157">
        <f>IF(B26="PART_NUMBER",IF(COUNTIF($B$1:B25,"PART_NUMBER")=0,6,8),MATCH(B26,'register map'!L:L,0))</f>
        <v>34</v>
      </c>
      <c r="D26" s="117" t="str">
        <f>IF(ISBLANK(INDEX('register map'!C:C,'Logical Group Generator'!C26)),"No","Yes")</f>
        <v>No</v>
      </c>
      <c r="E26" s="117" t="str">
        <f>IF(ISBLANK(INDEX('register map'!A:A,C26)),IF(ISBLANK(INDEX('register map'!A:A,C26-1)),IF(ISBLANK(INDEX('register map'!A:A,C26-2)),IF(ISBLANK(INDEX('register map'!A:A,C26-3)),IF(ISBLANK(INDEX('register map'!A:A,C26-4)),IF(ISBLANK(INDEX('register map'!A:A,C26-5)),IF(ISBLANK(INDEX('register map'!A:A,C26-6)),IF(ISBLANK(INDEX('register map'!A:A,C26-7)),IF(ISBLANK(INDEX('register map'!A:A,C26-8)),"ERROR",INDEX('register map'!A:A,C26-8)),INDEX('register map'!A:A,C26-7)),INDEX('register map'!A:A,C26-6)),INDEX('register map'!A:A,C26-5)),INDEX('register map'!A:A,C26-4)),INDEX('register map'!A:A,C26-3)),INDEX('register map'!A:A,C26-2)),INDEX('register map'!A:A,C26-1)),INDEX('register map'!A:A,C26))</f>
        <v>0x5E</v>
      </c>
      <c r="F26" s="117" t="str">
        <f>IF(ISBLANK(INDEX('register map'!B:B,C26)),IF(ISBLANK(INDEX('register map'!B:B,C26-1)),IF(ISBLANK(INDEX('register map'!B:B,C26-2)),IF(ISBLANK(INDEX('register map'!B:B,C26-3)),IF(ISBLANK(INDEX('register map'!B:B,C26-4)),IF(ISBLANK(INDEX('register map'!B:B,C26-5)),IF(ISBLANK(INDEX('register map'!B:B,C26-6)),IF(ISBLANK(INDEX('register map'!B:B,C26-7)),IF(ISBLANK(INDEX('register map'!B:B,C26-8)),"ERROR",INDEX('register map'!B:B,C26-8)),INDEX('register map'!B:B,C26-7)),INDEX('register map'!B:B,C26-6)),INDEX('register map'!B:B,C26-5)),INDEX('register map'!B:B,C26-4)),INDEX('register map'!B:B,C26-3)),INDEX('register map'!B:B,C26-2)),INDEX('register map'!B:B,C26-1)),INDEX('register map'!B:B,C26))</f>
        <v>0x20</v>
      </c>
      <c r="G26" s="117" t="str">
        <f>CONCATENATE(IF(ISNUMBER(INDEX('register map'!D:D,C26)),7,""),IF(ISNUMBER(INDEX('register map'!E:E,C26)),6,""),IF(ISNUMBER(INDEX('register map'!F:F,C26)),5,""),IF(ISNUMBER(INDEX('register map'!G:G,C26)),4,""),IF(ISNUMBER(INDEX('register map'!H:H,C26)),3,""),IF(ISNUMBER(INDEX('register map'!I:I,C26)),2,""),IF(ISNUMBER(INDEX('register map'!J:J,C26)),1,""),IF(ISNUMBER(INDEX('register map'!K:K,C26)),0,""))</f>
        <v>7654321</v>
      </c>
      <c r="H26" s="117" t="str">
        <f>RIGHT(INDEX('register map'!V:V,MATCH('Logical Group Generator'!B26,'register map'!L:L,0)),LEN(G26))</f>
        <v>0111000</v>
      </c>
      <c r="I26" s="117" t="str">
        <f>CONCATENATE(IF(ISNUMBER(INDEX('register map'!K:K,C26)),0,""),IF(ISNUMBER(INDEX('register map'!J:J,C26)),1,""),IF(ISNUMBER(INDEX('register map'!I:I,C26)),2,""),IF(ISNUMBER(INDEX('register map'!H:H,C26)),3,""),IF(ISNUMBER(INDEX('register map'!G:G,C26)),4,""),IF(ISNUMBER(INDEX('register map'!F:F,C26)),5,""),IF(ISNUMBER(INDEX('register map'!E:E,C26)),6,""),IF(ISNUMBER(INDEX('register map'!D:D,C26)),7,""))</f>
        <v>1234567</v>
      </c>
      <c r="J26" s="117" t="str">
        <f t="shared" si="7"/>
        <v>0001110</v>
      </c>
      <c r="K26" s="117" t="str">
        <f t="shared" si="0"/>
        <v/>
      </c>
      <c r="L26" s="117" t="str">
        <f t="shared" si="8"/>
        <v/>
      </c>
      <c r="M26" s="117" t="str">
        <f t="shared" si="10"/>
        <v/>
      </c>
      <c r="N26" s="117" t="str">
        <f>IF(ISBLANK(INDEX('register map'!M:M,'Logical Group Generator'!C26)),"No","Yes")</f>
        <v>No</v>
      </c>
      <c r="O26" s="117" t="str">
        <f>IF(NOT(ISBLANK(INDEX('register map'!N:N,'Logical Group Generator'!C26))),"Yes","")</f>
        <v/>
      </c>
      <c r="P26" s="117" t="str">
        <f t="shared" si="1"/>
        <v/>
      </c>
      <c r="Q26" s="117" t="str">
        <f t="shared" si="2"/>
        <v/>
      </c>
      <c r="R26" s="117" t="str">
        <f t="shared" si="3"/>
        <v/>
      </c>
      <c r="S26" s="117" t="str">
        <f t="shared" si="4"/>
        <v>No</v>
      </c>
      <c r="T26" s="117" t="str">
        <f t="shared" si="5"/>
        <v/>
      </c>
      <c r="U26" s="117" t="b">
        <f t="shared" si="9"/>
        <v>0</v>
      </c>
      <c r="V26" s="157" t="b">
        <f>INDEX('register map'!P:P,C26)="yes"</f>
        <v>1</v>
      </c>
      <c r="W26" s="157" t="str">
        <f t="shared" si="6"/>
        <v>FALSE</v>
      </c>
    </row>
    <row r="27" spans="2:23">
      <c r="B27" s="157" t="str">
        <f t="array" ref="B27">IF(ROWS($3:27)&lt;=COUNTA('register map'!$L$5:$L$902),INDEX('register map'!$L$5:$L$902,SMALL(IF('register map'!$L$5:$L$902&lt;&gt;"",ROW('register map'!$L$5:$L$902)-MIN(ROW('register map'!$L$5:$L$902))+1),ROWS($3:27))),"")</f>
        <v>BUCK2CTRL</v>
      </c>
      <c r="C27" s="157">
        <f>IF(B27="PART_NUMBER",IF(COUNTIF($B$1:B26,"PART_NUMBER")=0,6,8),MATCH(B27,'register map'!L:L,0))</f>
        <v>35</v>
      </c>
      <c r="D27" s="117" t="str">
        <f>IF(ISBLANK(INDEX('register map'!C:C,'Logical Group Generator'!C27)),"No","Yes")</f>
        <v>Yes</v>
      </c>
      <c r="E27" s="117" t="str">
        <f>IF(ISBLANK(INDEX('register map'!A:A,C27)),IF(ISBLANK(INDEX('register map'!A:A,C27-1)),IF(ISBLANK(INDEX('register map'!A:A,C27-2)),IF(ISBLANK(INDEX('register map'!A:A,C27-3)),IF(ISBLANK(INDEX('register map'!A:A,C27-4)),IF(ISBLANK(INDEX('register map'!A:A,C27-5)),IF(ISBLANK(INDEX('register map'!A:A,C27-6)),IF(ISBLANK(INDEX('register map'!A:A,C27-7)),IF(ISBLANK(INDEX('register map'!A:A,C27-8)),"ERROR",INDEX('register map'!A:A,C27-8)),INDEX('register map'!A:A,C27-7)),INDEX('register map'!A:A,C27-6)),INDEX('register map'!A:A,C27-5)),INDEX('register map'!A:A,C27-4)),INDEX('register map'!A:A,C27-3)),INDEX('register map'!A:A,C27-2)),INDEX('register map'!A:A,C27-1)),INDEX('register map'!A:A,C27))</f>
        <v>0x5E</v>
      </c>
      <c r="F27" s="117" t="str">
        <f>IF(ISBLANK(INDEX('register map'!B:B,C27)),IF(ISBLANK(INDEX('register map'!B:B,C27-1)),IF(ISBLANK(INDEX('register map'!B:B,C27-2)),IF(ISBLANK(INDEX('register map'!B:B,C27-3)),IF(ISBLANK(INDEX('register map'!B:B,C27-4)),IF(ISBLANK(INDEX('register map'!B:B,C27-5)),IF(ISBLANK(INDEX('register map'!B:B,C27-6)),IF(ISBLANK(INDEX('register map'!B:B,C27-7)),IF(ISBLANK(INDEX('register map'!B:B,C27-8)),"ERROR",INDEX('register map'!B:B,C27-8)),INDEX('register map'!B:B,C27-7)),INDEX('register map'!B:B,C27-6)),INDEX('register map'!B:B,C27-5)),INDEX('register map'!B:B,C27-4)),INDEX('register map'!B:B,C27-3)),INDEX('register map'!B:B,C27-2)),INDEX('register map'!B:B,C27-1)),INDEX('register map'!B:B,C27))</f>
        <v>0x21</v>
      </c>
      <c r="G27" s="117" t="str">
        <f>CONCATENATE(IF(ISNUMBER(INDEX('register map'!D:D,C27)),7,""),IF(ISNUMBER(INDEX('register map'!E:E,C27)),6,""),IF(ISNUMBER(INDEX('register map'!F:F,C27)),5,""),IF(ISNUMBER(INDEX('register map'!G:G,C27)),4,""),IF(ISNUMBER(INDEX('register map'!H:H,C27)),3,""),IF(ISNUMBER(INDEX('register map'!I:I,C27)),2,""),IF(ISNUMBER(INDEX('register map'!J:J,C27)),1,""),IF(ISNUMBER(INDEX('register map'!K:K,C27)),0,""))</f>
        <v/>
      </c>
      <c r="H27" s="117" t="str">
        <f>RIGHT(INDEX('register map'!V:V,MATCH('Logical Group Generator'!B27,'register map'!L:L,0)),LEN(G27))</f>
        <v/>
      </c>
      <c r="I27" s="117" t="str">
        <f>CONCATENATE(IF(ISNUMBER(INDEX('register map'!K:K,C27)),0,""),IF(ISNUMBER(INDEX('register map'!J:J,C27)),1,""),IF(ISNUMBER(INDEX('register map'!I:I,C27)),2,""),IF(ISNUMBER(INDEX('register map'!H:H,C27)),3,""),IF(ISNUMBER(INDEX('register map'!G:G,C27)),4,""),IF(ISNUMBER(INDEX('register map'!F:F,C27)),5,""),IF(ISNUMBER(INDEX('register map'!E:E,C27)),6,""),IF(ISNUMBER(INDEX('register map'!D:D,C27)),7,""))</f>
        <v/>
      </c>
      <c r="J27" s="117" t="str">
        <f t="shared" si="7"/>
        <v/>
      </c>
      <c r="K27" s="117" t="str">
        <f t="shared" si="0"/>
        <v>00011110</v>
      </c>
      <c r="L27" s="117" t="str">
        <f t="shared" si="8"/>
        <v>01111000</v>
      </c>
      <c r="M27" s="117" t="str">
        <f t="shared" si="10"/>
        <v>78</v>
      </c>
      <c r="N27" s="117" t="str">
        <f>IF(ISBLANK(INDEX('register map'!M:M,'Logical Group Generator'!C27)),"No","Yes")</f>
        <v>No</v>
      </c>
      <c r="O27" s="117" t="str">
        <f>IF(NOT(ISBLANK(INDEX('register map'!N:N,'Logical Group Generator'!C27))),"Yes","")</f>
        <v/>
      </c>
      <c r="P27" s="117" t="str">
        <f t="shared" si="1"/>
        <v>No</v>
      </c>
      <c r="Q27" s="117" t="str">
        <f t="shared" si="2"/>
        <v>No</v>
      </c>
      <c r="R27" s="117" t="str">
        <f t="shared" si="3"/>
        <v>No</v>
      </c>
      <c r="S27" s="117" t="str">
        <f t="shared" si="4"/>
        <v/>
      </c>
      <c r="T27" s="117" t="b">
        <f t="shared" si="5"/>
        <v>1</v>
      </c>
      <c r="U27" s="117" t="b">
        <f t="shared" si="9"/>
        <v>1</v>
      </c>
      <c r="V27" s="157" t="b">
        <f>INDEX('register map'!P:P,C27)="yes"</f>
        <v>1</v>
      </c>
      <c r="W27" s="157" t="str">
        <f t="shared" si="6"/>
        <v>REGISTER</v>
      </c>
    </row>
    <row r="28" spans="2:23">
      <c r="B28" s="157" t="str">
        <f t="array" ref="B28">IF(ROWS($3:28)&lt;=COUNTA('register map'!$L$5:$L$902),INDEX('register map'!$L$5:$L$902,SMALL(IF('register map'!$L$5:$L$902&lt;&gt;"",ROW('register map'!$L$5:$L$902)-MIN(ROW('register map'!$L$5:$L$902))+1),ROWS($3:28))),"")</f>
        <v>BUCK2_DECAY</v>
      </c>
      <c r="C28" s="157">
        <f>IF(B28="PART_NUMBER",IF(COUNTIF($B$1:B27,"PART_NUMBER")=0,6,8),MATCH(B28,'register map'!L:L,0))</f>
        <v>36</v>
      </c>
      <c r="D28" s="117" t="str">
        <f>IF(ISBLANK(INDEX('register map'!C:C,'Logical Group Generator'!C28)),"No","Yes")</f>
        <v>No</v>
      </c>
      <c r="E28" s="117" t="str">
        <f>IF(ISBLANK(INDEX('register map'!A:A,C28)),IF(ISBLANK(INDEX('register map'!A:A,C28-1)),IF(ISBLANK(INDEX('register map'!A:A,C28-2)),IF(ISBLANK(INDEX('register map'!A:A,C28-3)),IF(ISBLANK(INDEX('register map'!A:A,C28-4)),IF(ISBLANK(INDEX('register map'!A:A,C28-5)),IF(ISBLANK(INDEX('register map'!A:A,C28-6)),IF(ISBLANK(INDEX('register map'!A:A,C28-7)),IF(ISBLANK(INDEX('register map'!A:A,C28-8)),"ERROR",INDEX('register map'!A:A,C28-8)),INDEX('register map'!A:A,C28-7)),INDEX('register map'!A:A,C28-6)),INDEX('register map'!A:A,C28-5)),INDEX('register map'!A:A,C28-4)),INDEX('register map'!A:A,C28-3)),INDEX('register map'!A:A,C28-2)),INDEX('register map'!A:A,C28-1)),INDEX('register map'!A:A,C28))</f>
        <v>0x5E</v>
      </c>
      <c r="F28" s="117" t="str">
        <f>IF(ISBLANK(INDEX('register map'!B:B,C28)),IF(ISBLANK(INDEX('register map'!B:B,C28-1)),IF(ISBLANK(INDEX('register map'!B:B,C28-2)),IF(ISBLANK(INDEX('register map'!B:B,C28-3)),IF(ISBLANK(INDEX('register map'!B:B,C28-4)),IF(ISBLANK(INDEX('register map'!B:B,C28-5)),IF(ISBLANK(INDEX('register map'!B:B,C28-6)),IF(ISBLANK(INDEX('register map'!B:B,C28-7)),IF(ISBLANK(INDEX('register map'!B:B,C28-8)),"ERROR",INDEX('register map'!B:B,C28-8)),INDEX('register map'!B:B,C28-7)),INDEX('register map'!B:B,C28-6)),INDEX('register map'!B:B,C28-5)),INDEX('register map'!B:B,C28-4)),INDEX('register map'!B:B,C28-3)),INDEX('register map'!B:B,C28-2)),INDEX('register map'!B:B,C28-1)),INDEX('register map'!B:B,C28))</f>
        <v>0x21</v>
      </c>
      <c r="G28" s="117" t="str">
        <f>CONCATENATE(IF(ISNUMBER(INDEX('register map'!D:D,C28)),7,""),IF(ISNUMBER(INDEX('register map'!E:E,C28)),6,""),IF(ISNUMBER(INDEX('register map'!F:F,C28)),5,""),IF(ISNUMBER(INDEX('register map'!G:G,C28)),4,""),IF(ISNUMBER(INDEX('register map'!H:H,C28)),3,""),IF(ISNUMBER(INDEX('register map'!I:I,C28)),2,""),IF(ISNUMBER(INDEX('register map'!J:J,C28)),1,""),IF(ISNUMBER(INDEX('register map'!K:K,C28)),0,""))</f>
        <v>0</v>
      </c>
      <c r="H28" s="117" t="str">
        <f>RIGHT(INDEX('register map'!V:V,MATCH('Logical Group Generator'!B28,'register map'!L:L,0)),LEN(G28))</f>
        <v>0</v>
      </c>
      <c r="I28" s="117" t="str">
        <f>CONCATENATE(IF(ISNUMBER(INDEX('register map'!K:K,C28)),0,""),IF(ISNUMBER(INDEX('register map'!J:J,C28)),1,""),IF(ISNUMBER(INDEX('register map'!I:I,C28)),2,""),IF(ISNUMBER(INDEX('register map'!H:H,C28)),3,""),IF(ISNUMBER(INDEX('register map'!G:G,C28)),4,""),IF(ISNUMBER(INDEX('register map'!F:F,C28)),5,""),IF(ISNUMBER(INDEX('register map'!E:E,C28)),6,""),IF(ISNUMBER(INDEX('register map'!D:D,C28)),7,""))</f>
        <v>0</v>
      </c>
      <c r="J28" s="117" t="str">
        <f t="shared" si="7"/>
        <v>0</v>
      </c>
      <c r="K28" s="117" t="str">
        <f t="shared" si="0"/>
        <v/>
      </c>
      <c r="L28" s="117" t="str">
        <f t="shared" si="8"/>
        <v/>
      </c>
      <c r="M28" s="117" t="str">
        <f t="shared" si="10"/>
        <v/>
      </c>
      <c r="N28" s="117" t="str">
        <f>IF(ISBLANK(INDEX('register map'!M:M,'Logical Group Generator'!C28)),"No","Yes")</f>
        <v>No</v>
      </c>
      <c r="O28" s="117" t="str">
        <f>IF(NOT(ISBLANK(INDEX('register map'!N:N,'Logical Group Generator'!C28))),"Yes","")</f>
        <v/>
      </c>
      <c r="P28" s="117" t="str">
        <f t="shared" si="1"/>
        <v/>
      </c>
      <c r="Q28" s="117" t="str">
        <f t="shared" si="2"/>
        <v/>
      </c>
      <c r="R28" s="117" t="str">
        <f t="shared" si="3"/>
        <v/>
      </c>
      <c r="S28" s="117" t="str">
        <f t="shared" si="4"/>
        <v>No</v>
      </c>
      <c r="T28" s="117" t="str">
        <f t="shared" si="5"/>
        <v/>
      </c>
      <c r="U28" s="117" t="b">
        <f t="shared" si="9"/>
        <v>0</v>
      </c>
      <c r="V28" s="157" t="b">
        <f>INDEX('register map'!P:P,C28)="yes"</f>
        <v>1</v>
      </c>
      <c r="W28" s="157" t="str">
        <f t="shared" si="6"/>
        <v>FALSE</v>
      </c>
    </row>
    <row r="29" spans="2:23">
      <c r="B29" s="157" t="str">
        <f t="array" ref="B29">IF(ROWS($3:29)&lt;=COUNTA('register map'!$L$5:$L$902),INDEX('register map'!$L$5:$L$902,SMALL(IF('register map'!$L$5:$L$902&lt;&gt;"",ROW('register map'!$L$5:$L$902)-MIN(ROW('register map'!$L$5:$L$902))+1),ROWS($3:29))),"")</f>
        <v>BUCK2_VID</v>
      </c>
      <c r="C29" s="157">
        <f>IF(B29="PART_NUMBER",IF(COUNTIF($B$1:B28,"PART_NUMBER")=0,6,8),MATCH(B29,'register map'!L:L,0))</f>
        <v>37</v>
      </c>
      <c r="D29" s="117" t="str">
        <f>IF(ISBLANK(INDEX('register map'!C:C,'Logical Group Generator'!C29)),"No","Yes")</f>
        <v>No</v>
      </c>
      <c r="E29" s="117" t="str">
        <f>IF(ISBLANK(INDEX('register map'!A:A,C29)),IF(ISBLANK(INDEX('register map'!A:A,C29-1)),IF(ISBLANK(INDEX('register map'!A:A,C29-2)),IF(ISBLANK(INDEX('register map'!A:A,C29-3)),IF(ISBLANK(INDEX('register map'!A:A,C29-4)),IF(ISBLANK(INDEX('register map'!A:A,C29-5)),IF(ISBLANK(INDEX('register map'!A:A,C29-6)),IF(ISBLANK(INDEX('register map'!A:A,C29-7)),IF(ISBLANK(INDEX('register map'!A:A,C29-8)),"ERROR",INDEX('register map'!A:A,C29-8)),INDEX('register map'!A:A,C29-7)),INDEX('register map'!A:A,C29-6)),INDEX('register map'!A:A,C29-5)),INDEX('register map'!A:A,C29-4)),INDEX('register map'!A:A,C29-3)),INDEX('register map'!A:A,C29-2)),INDEX('register map'!A:A,C29-1)),INDEX('register map'!A:A,C29))</f>
        <v>0x5E</v>
      </c>
      <c r="F29" s="117" t="str">
        <f>IF(ISBLANK(INDEX('register map'!B:B,C29)),IF(ISBLANK(INDEX('register map'!B:B,C29-1)),IF(ISBLANK(INDEX('register map'!B:B,C29-2)),IF(ISBLANK(INDEX('register map'!B:B,C29-3)),IF(ISBLANK(INDEX('register map'!B:B,C29-4)),IF(ISBLANK(INDEX('register map'!B:B,C29-5)),IF(ISBLANK(INDEX('register map'!B:B,C29-6)),IF(ISBLANK(INDEX('register map'!B:B,C29-7)),IF(ISBLANK(INDEX('register map'!B:B,C29-8)),"ERROR",INDEX('register map'!B:B,C29-8)),INDEX('register map'!B:B,C29-7)),INDEX('register map'!B:B,C29-6)),INDEX('register map'!B:B,C29-5)),INDEX('register map'!B:B,C29-4)),INDEX('register map'!B:B,C29-3)),INDEX('register map'!B:B,C29-2)),INDEX('register map'!B:B,C29-1)),INDEX('register map'!B:B,C29))</f>
        <v>0x21</v>
      </c>
      <c r="G29" s="117" t="str">
        <f>CONCATENATE(IF(ISNUMBER(INDEX('register map'!D:D,C29)),7,""),IF(ISNUMBER(INDEX('register map'!E:E,C29)),6,""),IF(ISNUMBER(INDEX('register map'!F:F,C29)),5,""),IF(ISNUMBER(INDEX('register map'!G:G,C29)),4,""),IF(ISNUMBER(INDEX('register map'!H:H,C29)),3,""),IF(ISNUMBER(INDEX('register map'!I:I,C29)),2,""),IF(ISNUMBER(INDEX('register map'!J:J,C29)),1,""),IF(ISNUMBER(INDEX('register map'!K:K,C29)),0,""))</f>
        <v>7654321</v>
      </c>
      <c r="H29" s="117" t="str">
        <f>RIGHT(INDEX('register map'!V:V,MATCH('Logical Group Generator'!B29,'register map'!L:L,0)),LEN(G29))</f>
        <v>0111100</v>
      </c>
      <c r="I29" s="117" t="str">
        <f>CONCATENATE(IF(ISNUMBER(INDEX('register map'!K:K,C29)),0,""),IF(ISNUMBER(INDEX('register map'!J:J,C29)),1,""),IF(ISNUMBER(INDEX('register map'!I:I,C29)),2,""),IF(ISNUMBER(INDEX('register map'!H:H,C29)),3,""),IF(ISNUMBER(INDEX('register map'!G:G,C29)),4,""),IF(ISNUMBER(INDEX('register map'!F:F,C29)),5,""),IF(ISNUMBER(INDEX('register map'!E:E,C29)),6,""),IF(ISNUMBER(INDEX('register map'!D:D,C29)),7,""))</f>
        <v>1234567</v>
      </c>
      <c r="J29" s="117" t="str">
        <f t="shared" si="7"/>
        <v>0011110</v>
      </c>
      <c r="K29" s="117" t="str">
        <f t="shared" si="0"/>
        <v/>
      </c>
      <c r="L29" s="117" t="str">
        <f t="shared" si="8"/>
        <v/>
      </c>
      <c r="M29" s="117" t="str">
        <f t="shared" si="10"/>
        <v/>
      </c>
      <c r="N29" s="117" t="str">
        <f>IF(ISBLANK(INDEX('register map'!M:M,'Logical Group Generator'!C29)),"No","Yes")</f>
        <v>No</v>
      </c>
      <c r="O29" s="117" t="str">
        <f>IF(NOT(ISBLANK(INDEX('register map'!N:N,'Logical Group Generator'!C29))),"Yes","")</f>
        <v/>
      </c>
      <c r="P29" s="117" t="str">
        <f t="shared" si="1"/>
        <v/>
      </c>
      <c r="Q29" s="117" t="str">
        <f t="shared" si="2"/>
        <v/>
      </c>
      <c r="R29" s="117" t="str">
        <f t="shared" si="3"/>
        <v/>
      </c>
      <c r="S29" s="117" t="str">
        <f t="shared" si="4"/>
        <v>No</v>
      </c>
      <c r="T29" s="117" t="str">
        <f t="shared" si="5"/>
        <v/>
      </c>
      <c r="U29" s="117" t="b">
        <f t="shared" si="9"/>
        <v>0</v>
      </c>
      <c r="V29" s="157" t="b">
        <f>INDEX('register map'!P:P,C29)="yes"</f>
        <v>1</v>
      </c>
      <c r="W29" s="157" t="str">
        <f t="shared" si="6"/>
        <v>FALSE</v>
      </c>
    </row>
    <row r="30" spans="2:23">
      <c r="B30" s="157" t="str">
        <f t="array" ref="B30">IF(ROWS($3:30)&lt;=COUNTA('register map'!$L$5:$L$902),INDEX('register map'!$L$5:$L$902,SMALL(IF('register map'!$L$5:$L$902&lt;&gt;"",ROW('register map'!$L$5:$L$902)-MIN(ROW('register map'!$L$5:$L$902))+1),ROWS($3:30))),"")</f>
        <v>BUCK3DECAY</v>
      </c>
      <c r="C30" s="157">
        <f>IF(B30="PART_NUMBER",IF(COUNTIF($B$1:B29,"PART_NUMBER")=0,6,8),MATCH(B30,'register map'!L:L,0))</f>
        <v>38</v>
      </c>
      <c r="D30" s="117" t="str">
        <f>IF(ISBLANK(INDEX('register map'!C:C,'Logical Group Generator'!C30)),"No","Yes")</f>
        <v>Yes</v>
      </c>
      <c r="E30" s="117" t="str">
        <f>IF(ISBLANK(INDEX('register map'!A:A,C30)),IF(ISBLANK(INDEX('register map'!A:A,C30-1)),IF(ISBLANK(INDEX('register map'!A:A,C30-2)),IF(ISBLANK(INDEX('register map'!A:A,C30-3)),IF(ISBLANK(INDEX('register map'!A:A,C30-4)),IF(ISBLANK(INDEX('register map'!A:A,C30-5)),IF(ISBLANK(INDEX('register map'!A:A,C30-6)),IF(ISBLANK(INDEX('register map'!A:A,C30-7)),IF(ISBLANK(INDEX('register map'!A:A,C30-8)),"ERROR",INDEX('register map'!A:A,C30-8)),INDEX('register map'!A:A,C30-7)),INDEX('register map'!A:A,C30-6)),INDEX('register map'!A:A,C30-5)),INDEX('register map'!A:A,C30-4)),INDEX('register map'!A:A,C30-3)),INDEX('register map'!A:A,C30-2)),INDEX('register map'!A:A,C30-1)),INDEX('register map'!A:A,C30))</f>
        <v>0x5E</v>
      </c>
      <c r="F30" s="117" t="str">
        <f>IF(ISBLANK(INDEX('register map'!B:B,C30)),IF(ISBLANK(INDEX('register map'!B:B,C30-1)),IF(ISBLANK(INDEX('register map'!B:B,C30-2)),IF(ISBLANK(INDEX('register map'!B:B,C30-3)),IF(ISBLANK(INDEX('register map'!B:B,C30-4)),IF(ISBLANK(INDEX('register map'!B:B,C30-5)),IF(ISBLANK(INDEX('register map'!B:B,C30-6)),IF(ISBLANK(INDEX('register map'!B:B,C30-7)),IF(ISBLANK(INDEX('register map'!B:B,C30-8)),"ERROR",INDEX('register map'!B:B,C30-8)),INDEX('register map'!B:B,C30-7)),INDEX('register map'!B:B,C30-6)),INDEX('register map'!B:B,C30-5)),INDEX('register map'!B:B,C30-4)),INDEX('register map'!B:B,C30-3)),INDEX('register map'!B:B,C30-2)),INDEX('register map'!B:B,C30-1)),INDEX('register map'!B:B,C30))</f>
        <v>0x22</v>
      </c>
      <c r="G30" s="117" t="str">
        <f>CONCATENATE(IF(ISNUMBER(INDEX('register map'!D:D,C30)),7,""),IF(ISNUMBER(INDEX('register map'!E:E,C30)),6,""),IF(ISNUMBER(INDEX('register map'!F:F,C30)),5,""),IF(ISNUMBER(INDEX('register map'!G:G,C30)),4,""),IF(ISNUMBER(INDEX('register map'!H:H,C30)),3,""),IF(ISNUMBER(INDEX('register map'!I:I,C30)),2,""),IF(ISNUMBER(INDEX('register map'!J:J,C30)),1,""),IF(ISNUMBER(INDEX('register map'!K:K,C30)),0,""))</f>
        <v/>
      </c>
      <c r="H30" s="117" t="str">
        <f>RIGHT(INDEX('register map'!V:V,MATCH('Logical Group Generator'!B30,'register map'!L:L,0)),LEN(G30))</f>
        <v/>
      </c>
      <c r="I30" s="117" t="str">
        <f>CONCATENATE(IF(ISNUMBER(INDEX('register map'!K:K,C30)),0,""),IF(ISNUMBER(INDEX('register map'!J:J,C30)),1,""),IF(ISNUMBER(INDEX('register map'!I:I,C30)),2,""),IF(ISNUMBER(INDEX('register map'!H:H,C30)),3,""),IF(ISNUMBER(INDEX('register map'!G:G,C30)),4,""),IF(ISNUMBER(INDEX('register map'!F:F,C30)),5,""),IF(ISNUMBER(INDEX('register map'!E:E,C30)),6,""),IF(ISNUMBER(INDEX('register map'!D:D,C30)),7,""))</f>
        <v/>
      </c>
      <c r="J30" s="117" t="str">
        <f t="shared" si="7"/>
        <v/>
      </c>
      <c r="K30" s="117" t="str">
        <f t="shared" si="0"/>
        <v>00010111</v>
      </c>
      <c r="L30" s="117" t="str">
        <f t="shared" si="8"/>
        <v>11101000</v>
      </c>
      <c r="M30" s="117" t="str">
        <f t="shared" si="10"/>
        <v>E8</v>
      </c>
      <c r="N30" s="117" t="str">
        <f>IF(ISBLANK(INDEX('register map'!M:M,'Logical Group Generator'!C30)),"No","Yes")</f>
        <v>No</v>
      </c>
      <c r="O30" s="117" t="str">
        <f>IF(NOT(ISBLANK(INDEX('register map'!N:N,'Logical Group Generator'!C30))),"Yes","")</f>
        <v/>
      </c>
      <c r="P30" s="117" t="str">
        <f t="shared" si="1"/>
        <v>No</v>
      </c>
      <c r="Q30" s="117" t="str">
        <f t="shared" si="2"/>
        <v>No</v>
      </c>
      <c r="R30" s="117" t="str">
        <f t="shared" si="3"/>
        <v>No</v>
      </c>
      <c r="S30" s="117" t="str">
        <f t="shared" si="4"/>
        <v/>
      </c>
      <c r="T30" s="117" t="b">
        <f t="shared" si="5"/>
        <v>1</v>
      </c>
      <c r="U30" s="117" t="b">
        <f t="shared" si="9"/>
        <v>1</v>
      </c>
      <c r="V30" s="157" t="b">
        <f>INDEX('register map'!P:P,C30)="yes"</f>
        <v>1</v>
      </c>
      <c r="W30" s="157" t="str">
        <f t="shared" si="6"/>
        <v>REGISTER</v>
      </c>
    </row>
    <row r="31" spans="2:23">
      <c r="B31" s="157" t="str">
        <f t="array" ref="B31">IF(ROWS($3:31)&lt;=COUNTA('register map'!$L$5:$L$902),INDEX('register map'!$L$5:$L$902,SMALL(IF('register map'!$L$5:$L$902&lt;&gt;"",ROW('register map'!$L$5:$L$902)-MIN(ROW('register map'!$L$5:$L$902))+1),ROWS($3:31))),"")</f>
        <v>BUCK3_DECAY</v>
      </c>
      <c r="C31" s="157">
        <f>IF(B31="PART_NUMBER",IF(COUNTIF($B$1:B30,"PART_NUMBER")=0,6,8),MATCH(B31,'register map'!L:L,0))</f>
        <v>39</v>
      </c>
      <c r="D31" s="117" t="str">
        <f>IF(ISBLANK(INDEX('register map'!C:C,'Logical Group Generator'!C31)),"No","Yes")</f>
        <v>No</v>
      </c>
      <c r="E31" s="117" t="str">
        <f>IF(ISBLANK(INDEX('register map'!A:A,C31)),IF(ISBLANK(INDEX('register map'!A:A,C31-1)),IF(ISBLANK(INDEX('register map'!A:A,C31-2)),IF(ISBLANK(INDEX('register map'!A:A,C31-3)),IF(ISBLANK(INDEX('register map'!A:A,C31-4)),IF(ISBLANK(INDEX('register map'!A:A,C31-5)),IF(ISBLANK(INDEX('register map'!A:A,C31-6)),IF(ISBLANK(INDEX('register map'!A:A,C31-7)),IF(ISBLANK(INDEX('register map'!A:A,C31-8)),"ERROR",INDEX('register map'!A:A,C31-8)),INDEX('register map'!A:A,C31-7)),INDEX('register map'!A:A,C31-6)),INDEX('register map'!A:A,C31-5)),INDEX('register map'!A:A,C31-4)),INDEX('register map'!A:A,C31-3)),INDEX('register map'!A:A,C31-2)),INDEX('register map'!A:A,C31-1)),INDEX('register map'!A:A,C31))</f>
        <v>0x5E</v>
      </c>
      <c r="F31" s="117" t="str">
        <f>IF(ISBLANK(INDEX('register map'!B:B,C31)),IF(ISBLANK(INDEX('register map'!B:B,C31-1)),IF(ISBLANK(INDEX('register map'!B:B,C31-2)),IF(ISBLANK(INDEX('register map'!B:B,C31-3)),IF(ISBLANK(INDEX('register map'!B:B,C31-4)),IF(ISBLANK(INDEX('register map'!B:B,C31-5)),IF(ISBLANK(INDEX('register map'!B:B,C31-6)),IF(ISBLANK(INDEX('register map'!B:B,C31-7)),IF(ISBLANK(INDEX('register map'!B:B,C31-8)),"ERROR",INDEX('register map'!B:B,C31-8)),INDEX('register map'!B:B,C31-7)),INDEX('register map'!B:B,C31-6)),INDEX('register map'!B:B,C31-5)),INDEX('register map'!B:B,C31-4)),INDEX('register map'!B:B,C31-3)),INDEX('register map'!B:B,C31-2)),INDEX('register map'!B:B,C31-1)),INDEX('register map'!B:B,C31))</f>
        <v>0x22</v>
      </c>
      <c r="G31" s="117" t="str">
        <f>CONCATENATE(IF(ISNUMBER(INDEX('register map'!D:D,C31)),7,""),IF(ISNUMBER(INDEX('register map'!E:E,C31)),6,""),IF(ISNUMBER(INDEX('register map'!F:F,C31)),5,""),IF(ISNUMBER(INDEX('register map'!G:G,C31)),4,""),IF(ISNUMBER(INDEX('register map'!H:H,C31)),3,""),IF(ISNUMBER(INDEX('register map'!I:I,C31)),2,""),IF(ISNUMBER(INDEX('register map'!J:J,C31)),1,""),IF(ISNUMBER(INDEX('register map'!K:K,C31)),0,""))</f>
        <v>0</v>
      </c>
      <c r="H31" s="117" t="str">
        <f>RIGHT(INDEX('register map'!V:V,MATCH('Logical Group Generator'!B31,'register map'!L:L,0)),LEN(G31))</f>
        <v>0</v>
      </c>
      <c r="I31" s="117" t="str">
        <f>CONCATENATE(IF(ISNUMBER(INDEX('register map'!K:K,C31)),0,""),IF(ISNUMBER(INDEX('register map'!J:J,C31)),1,""),IF(ISNUMBER(INDEX('register map'!I:I,C31)),2,""),IF(ISNUMBER(INDEX('register map'!H:H,C31)),3,""),IF(ISNUMBER(INDEX('register map'!G:G,C31)),4,""),IF(ISNUMBER(INDEX('register map'!F:F,C31)),5,""),IF(ISNUMBER(INDEX('register map'!E:E,C31)),6,""),IF(ISNUMBER(INDEX('register map'!D:D,C31)),7,""))</f>
        <v>0</v>
      </c>
      <c r="J31" s="117" t="str">
        <f t="shared" si="7"/>
        <v>0</v>
      </c>
      <c r="K31" s="117" t="str">
        <f t="shared" si="0"/>
        <v/>
      </c>
      <c r="L31" s="117" t="str">
        <f t="shared" si="8"/>
        <v/>
      </c>
      <c r="M31" s="117" t="str">
        <f t="shared" si="10"/>
        <v/>
      </c>
      <c r="N31" s="117" t="str">
        <f>IF(ISBLANK(INDEX('register map'!M:M,'Logical Group Generator'!C31)),"No","Yes")</f>
        <v>No</v>
      </c>
      <c r="O31" s="117" t="str">
        <f>IF(NOT(ISBLANK(INDEX('register map'!N:N,'Logical Group Generator'!C31))),"Yes","")</f>
        <v/>
      </c>
      <c r="P31" s="117" t="str">
        <f t="shared" si="1"/>
        <v/>
      </c>
      <c r="Q31" s="117" t="str">
        <f t="shared" si="2"/>
        <v/>
      </c>
      <c r="R31" s="117" t="str">
        <f t="shared" si="3"/>
        <v/>
      </c>
      <c r="S31" s="117" t="str">
        <f t="shared" si="4"/>
        <v>No</v>
      </c>
      <c r="T31" s="117" t="str">
        <f t="shared" si="5"/>
        <v/>
      </c>
      <c r="U31" s="117" t="b">
        <f t="shared" si="9"/>
        <v>0</v>
      </c>
      <c r="V31" s="157" t="b">
        <f>INDEX('register map'!P:P,C31)="yes"</f>
        <v>1</v>
      </c>
      <c r="W31" s="157" t="str">
        <f t="shared" si="6"/>
        <v>FALSE</v>
      </c>
    </row>
    <row r="32" spans="2:23">
      <c r="B32" s="157" t="str">
        <f t="array" ref="B32">IF(ROWS($3:32)&lt;=COUNTA('register map'!$L$5:$L$902),INDEX('register map'!$L$5:$L$902,SMALL(IF('register map'!$L$5:$L$902&lt;&gt;"",ROW('register map'!$L$5:$L$902)-MIN(ROW('register map'!$L$5:$L$902))+1),ROWS($3:32))),"")</f>
        <v>SPARE_5E_22_7654321</v>
      </c>
      <c r="C32" s="157">
        <f>IF(B32="PART_NUMBER",IF(COUNTIF($B$1:B31,"PART_NUMBER")=0,6,8),MATCH(B32,'register map'!L:L,0))</f>
        <v>40</v>
      </c>
      <c r="D32" s="117" t="str">
        <f>IF(ISBLANK(INDEX('register map'!C:C,'Logical Group Generator'!C32)),"No","Yes")</f>
        <v>No</v>
      </c>
      <c r="E32" s="117" t="str">
        <f>IF(ISBLANK(INDEX('register map'!A:A,C32)),IF(ISBLANK(INDEX('register map'!A:A,C32-1)),IF(ISBLANK(INDEX('register map'!A:A,C32-2)),IF(ISBLANK(INDEX('register map'!A:A,C32-3)),IF(ISBLANK(INDEX('register map'!A:A,C32-4)),IF(ISBLANK(INDEX('register map'!A:A,C32-5)),IF(ISBLANK(INDEX('register map'!A:A,C32-6)),IF(ISBLANK(INDEX('register map'!A:A,C32-7)),IF(ISBLANK(INDEX('register map'!A:A,C32-8)),"ERROR",INDEX('register map'!A:A,C32-8)),INDEX('register map'!A:A,C32-7)),INDEX('register map'!A:A,C32-6)),INDEX('register map'!A:A,C32-5)),INDEX('register map'!A:A,C32-4)),INDEX('register map'!A:A,C32-3)),INDEX('register map'!A:A,C32-2)),INDEX('register map'!A:A,C32-1)),INDEX('register map'!A:A,C32))</f>
        <v>0x5E</v>
      </c>
      <c r="F32" s="117" t="str">
        <f>IF(ISBLANK(INDEX('register map'!B:B,C32)),IF(ISBLANK(INDEX('register map'!B:B,C32-1)),IF(ISBLANK(INDEX('register map'!B:B,C32-2)),IF(ISBLANK(INDEX('register map'!B:B,C32-3)),IF(ISBLANK(INDEX('register map'!B:B,C32-4)),IF(ISBLANK(INDEX('register map'!B:B,C32-5)),IF(ISBLANK(INDEX('register map'!B:B,C32-6)),IF(ISBLANK(INDEX('register map'!B:B,C32-7)),IF(ISBLANK(INDEX('register map'!B:B,C32-8)),"ERROR",INDEX('register map'!B:B,C32-8)),INDEX('register map'!B:B,C32-7)),INDEX('register map'!B:B,C32-6)),INDEX('register map'!B:B,C32-5)),INDEX('register map'!B:B,C32-4)),INDEX('register map'!B:B,C32-3)),INDEX('register map'!B:B,C32-2)),INDEX('register map'!B:B,C32-1)),INDEX('register map'!B:B,C32))</f>
        <v>0x22</v>
      </c>
      <c r="G32" s="117" t="str">
        <f>CONCATENATE(IF(ISNUMBER(INDEX('register map'!D:D,C32)),7,""),IF(ISNUMBER(INDEX('register map'!E:E,C32)),6,""),IF(ISNUMBER(INDEX('register map'!F:F,C32)),5,""),IF(ISNUMBER(INDEX('register map'!G:G,C32)),4,""),IF(ISNUMBER(INDEX('register map'!H:H,C32)),3,""),IF(ISNUMBER(INDEX('register map'!I:I,C32)),2,""),IF(ISNUMBER(INDEX('register map'!J:J,C32)),1,""),IF(ISNUMBER(INDEX('register map'!K:K,C32)),0,""))</f>
        <v>7654321</v>
      </c>
      <c r="H32" s="117" t="str">
        <f>RIGHT(INDEX('register map'!V:V,MATCH('Logical Group Generator'!B32,'register map'!L:L,0)),LEN(G32))</f>
        <v>1110100</v>
      </c>
      <c r="I32" s="117" t="str">
        <f>CONCATENATE(IF(ISNUMBER(INDEX('register map'!K:K,C32)),0,""),IF(ISNUMBER(INDEX('register map'!J:J,C32)),1,""),IF(ISNUMBER(INDEX('register map'!I:I,C32)),2,""),IF(ISNUMBER(INDEX('register map'!H:H,C32)),3,""),IF(ISNUMBER(INDEX('register map'!G:G,C32)),4,""),IF(ISNUMBER(INDEX('register map'!F:F,C32)),5,""),IF(ISNUMBER(INDEX('register map'!E:E,C32)),6,""),IF(ISNUMBER(INDEX('register map'!D:D,C32)),7,""))</f>
        <v>1234567</v>
      </c>
      <c r="J32" s="117" t="str">
        <f t="shared" si="7"/>
        <v>0010111</v>
      </c>
      <c r="K32" s="117" t="str">
        <f t="shared" si="0"/>
        <v/>
      </c>
      <c r="L32" s="117" t="str">
        <f t="shared" si="8"/>
        <v/>
      </c>
      <c r="M32" s="117" t="str">
        <f t="shared" si="10"/>
        <v/>
      </c>
      <c r="N32" s="117" t="str">
        <f>IF(ISBLANK(INDEX('register map'!M:M,'Logical Group Generator'!C32)),"No","Yes")</f>
        <v>No</v>
      </c>
      <c r="O32" s="117" t="str">
        <f>IF(NOT(ISBLANK(INDEX('register map'!N:N,'Logical Group Generator'!C32))),"Yes","")</f>
        <v/>
      </c>
      <c r="P32" s="117" t="str">
        <f t="shared" si="1"/>
        <v/>
      </c>
      <c r="Q32" s="117" t="str">
        <f t="shared" si="2"/>
        <v/>
      </c>
      <c r="R32" s="117" t="str">
        <f t="shared" si="3"/>
        <v/>
      </c>
      <c r="S32" s="117" t="str">
        <f t="shared" si="4"/>
        <v>No</v>
      </c>
      <c r="T32" s="117" t="str">
        <f t="shared" si="5"/>
        <v/>
      </c>
      <c r="U32" s="117" t="b">
        <f t="shared" si="9"/>
        <v>0</v>
      </c>
      <c r="V32" s="157" t="b">
        <f>INDEX('register map'!P:P,C32)="yes"</f>
        <v>1</v>
      </c>
      <c r="W32" s="157" t="str">
        <f t="shared" si="6"/>
        <v>FALSE</v>
      </c>
    </row>
    <row r="33" spans="2:23">
      <c r="B33" s="157" t="str">
        <f t="array" ref="B33">IF(ROWS($3:33)&lt;=COUNTA('register map'!$L$5:$L$902),INDEX('register map'!$L$5:$L$902,SMALL(IF('register map'!$L$5:$L$902&lt;&gt;"",ROW('register map'!$L$5:$L$902)-MIN(ROW('register map'!$L$5:$L$902))+1),ROWS($3:33))),"")</f>
        <v>BUCK3VID</v>
      </c>
      <c r="C33" s="157">
        <f>IF(B33="PART_NUMBER",IF(COUNTIF($B$1:B32,"PART_NUMBER")=0,6,8),MATCH(B33,'register map'!L:L,0))</f>
        <v>41</v>
      </c>
      <c r="D33" s="117" t="str">
        <f>IF(ISBLANK(INDEX('register map'!C:C,'Logical Group Generator'!C33)),"No","Yes")</f>
        <v>Yes</v>
      </c>
      <c r="E33" s="117" t="str">
        <f>IF(ISBLANK(INDEX('register map'!A:A,C33)),IF(ISBLANK(INDEX('register map'!A:A,C33-1)),IF(ISBLANK(INDEX('register map'!A:A,C33-2)),IF(ISBLANK(INDEX('register map'!A:A,C33-3)),IF(ISBLANK(INDEX('register map'!A:A,C33-4)),IF(ISBLANK(INDEX('register map'!A:A,C33-5)),IF(ISBLANK(INDEX('register map'!A:A,C33-6)),IF(ISBLANK(INDEX('register map'!A:A,C33-7)),IF(ISBLANK(INDEX('register map'!A:A,C33-8)),"ERROR",INDEX('register map'!A:A,C33-8)),INDEX('register map'!A:A,C33-7)),INDEX('register map'!A:A,C33-6)),INDEX('register map'!A:A,C33-5)),INDEX('register map'!A:A,C33-4)),INDEX('register map'!A:A,C33-3)),INDEX('register map'!A:A,C33-2)),INDEX('register map'!A:A,C33-1)),INDEX('register map'!A:A,C33))</f>
        <v>0x5E</v>
      </c>
      <c r="F33" s="117" t="str">
        <f>IF(ISBLANK(INDEX('register map'!B:B,C33)),IF(ISBLANK(INDEX('register map'!B:B,C33-1)),IF(ISBLANK(INDEX('register map'!B:B,C33-2)),IF(ISBLANK(INDEX('register map'!B:B,C33-3)),IF(ISBLANK(INDEX('register map'!B:B,C33-4)),IF(ISBLANK(INDEX('register map'!B:B,C33-5)),IF(ISBLANK(INDEX('register map'!B:B,C33-6)),IF(ISBLANK(INDEX('register map'!B:B,C33-7)),IF(ISBLANK(INDEX('register map'!B:B,C33-8)),"ERROR",INDEX('register map'!B:B,C33-8)),INDEX('register map'!B:B,C33-7)),INDEX('register map'!B:B,C33-6)),INDEX('register map'!B:B,C33-5)),INDEX('register map'!B:B,C33-4)),INDEX('register map'!B:B,C33-3)),INDEX('register map'!B:B,C33-2)),INDEX('register map'!B:B,C33-1)),INDEX('register map'!B:B,C33))</f>
        <v>0x23</v>
      </c>
      <c r="G33" s="117" t="str">
        <f>CONCATENATE(IF(ISNUMBER(INDEX('register map'!D:D,C33)),7,""),IF(ISNUMBER(INDEX('register map'!E:E,C33)),6,""),IF(ISNUMBER(INDEX('register map'!F:F,C33)),5,""),IF(ISNUMBER(INDEX('register map'!G:G,C33)),4,""),IF(ISNUMBER(INDEX('register map'!H:H,C33)),3,""),IF(ISNUMBER(INDEX('register map'!I:I,C33)),2,""),IF(ISNUMBER(INDEX('register map'!J:J,C33)),1,""),IF(ISNUMBER(INDEX('register map'!K:K,C33)),0,""))</f>
        <v/>
      </c>
      <c r="H33" s="117" t="str">
        <f>RIGHT(INDEX('register map'!V:V,MATCH('Logical Group Generator'!B33,'register map'!L:L,0)),LEN(G33))</f>
        <v/>
      </c>
      <c r="I33" s="117" t="str">
        <f>CONCATENATE(IF(ISNUMBER(INDEX('register map'!K:K,C33)),0,""),IF(ISNUMBER(INDEX('register map'!J:J,C33)),1,""),IF(ISNUMBER(INDEX('register map'!I:I,C33)),2,""),IF(ISNUMBER(INDEX('register map'!H:H,C33)),3,""),IF(ISNUMBER(INDEX('register map'!G:G,C33)),4,""),IF(ISNUMBER(INDEX('register map'!F:F,C33)),5,""),IF(ISNUMBER(INDEX('register map'!E:E,C33)),6,""),IF(ISNUMBER(INDEX('register map'!D:D,C33)),7,""))</f>
        <v/>
      </c>
      <c r="J33" s="117" t="str">
        <f t="shared" si="7"/>
        <v/>
      </c>
      <c r="K33" s="117" t="str">
        <f t="shared" si="0"/>
        <v>00010111</v>
      </c>
      <c r="L33" s="117" t="str">
        <f t="shared" si="8"/>
        <v>11101000</v>
      </c>
      <c r="M33" s="117" t="str">
        <f t="shared" si="10"/>
        <v>E8</v>
      </c>
      <c r="N33" s="117" t="str">
        <f>IF(ISBLANK(INDEX('register map'!M:M,'Logical Group Generator'!C33)),"No","Yes")</f>
        <v>No</v>
      </c>
      <c r="O33" s="117" t="str">
        <f>IF(NOT(ISBLANK(INDEX('register map'!N:N,'Logical Group Generator'!C33))),"Yes","")</f>
        <v/>
      </c>
      <c r="P33" s="117" t="str">
        <f t="shared" si="1"/>
        <v>No</v>
      </c>
      <c r="Q33" s="117" t="str">
        <f t="shared" si="2"/>
        <v>No</v>
      </c>
      <c r="R33" s="117" t="str">
        <f t="shared" si="3"/>
        <v>No</v>
      </c>
      <c r="S33" s="117" t="str">
        <f t="shared" si="4"/>
        <v/>
      </c>
      <c r="T33" s="117" t="b">
        <f t="shared" si="5"/>
        <v>1</v>
      </c>
      <c r="U33" s="117" t="b">
        <f t="shared" si="9"/>
        <v>1</v>
      </c>
      <c r="V33" s="157" t="b">
        <f>INDEX('register map'!P:P,C33)="yes"</f>
        <v>1</v>
      </c>
      <c r="W33" s="157" t="str">
        <f t="shared" si="6"/>
        <v>REGISTER</v>
      </c>
    </row>
    <row r="34" spans="2:23">
      <c r="B34" s="157" t="str">
        <f t="array" ref="B34">IF(ROWS($3:34)&lt;=COUNTA('register map'!$L$5:$L$902),INDEX('register map'!$L$5:$L$902,SMALL(IF('register map'!$L$5:$L$902&lt;&gt;"",ROW('register map'!$L$5:$L$902)-MIN(ROW('register map'!$L$5:$L$902))+1),ROWS($3:34))),"")</f>
        <v>OTP_RSVD_5E_23_0</v>
      </c>
      <c r="C34" s="157">
        <f>IF(B34="PART_NUMBER",IF(COUNTIF($B$1:B33,"PART_NUMBER")=0,6,8),MATCH(B34,'register map'!L:L,0))</f>
        <v>42</v>
      </c>
      <c r="D34" s="117" t="str">
        <f>IF(ISBLANK(INDEX('register map'!C:C,'Logical Group Generator'!C34)),"No","Yes")</f>
        <v>No</v>
      </c>
      <c r="E34" s="117" t="str">
        <f>IF(ISBLANK(INDEX('register map'!A:A,C34)),IF(ISBLANK(INDEX('register map'!A:A,C34-1)),IF(ISBLANK(INDEX('register map'!A:A,C34-2)),IF(ISBLANK(INDEX('register map'!A:A,C34-3)),IF(ISBLANK(INDEX('register map'!A:A,C34-4)),IF(ISBLANK(INDEX('register map'!A:A,C34-5)),IF(ISBLANK(INDEX('register map'!A:A,C34-6)),IF(ISBLANK(INDEX('register map'!A:A,C34-7)),IF(ISBLANK(INDEX('register map'!A:A,C34-8)),"ERROR",INDEX('register map'!A:A,C34-8)),INDEX('register map'!A:A,C34-7)),INDEX('register map'!A:A,C34-6)),INDEX('register map'!A:A,C34-5)),INDEX('register map'!A:A,C34-4)),INDEX('register map'!A:A,C34-3)),INDEX('register map'!A:A,C34-2)),INDEX('register map'!A:A,C34-1)),INDEX('register map'!A:A,C34))</f>
        <v>0x5E</v>
      </c>
      <c r="F34" s="117" t="str">
        <f>IF(ISBLANK(INDEX('register map'!B:B,C34)),IF(ISBLANK(INDEX('register map'!B:B,C34-1)),IF(ISBLANK(INDEX('register map'!B:B,C34-2)),IF(ISBLANK(INDEX('register map'!B:B,C34-3)),IF(ISBLANK(INDEX('register map'!B:B,C34-4)),IF(ISBLANK(INDEX('register map'!B:B,C34-5)),IF(ISBLANK(INDEX('register map'!B:B,C34-6)),IF(ISBLANK(INDEX('register map'!B:B,C34-7)),IF(ISBLANK(INDEX('register map'!B:B,C34-8)),"ERROR",INDEX('register map'!B:B,C34-8)),INDEX('register map'!B:B,C34-7)),INDEX('register map'!B:B,C34-6)),INDEX('register map'!B:B,C34-5)),INDEX('register map'!B:B,C34-4)),INDEX('register map'!B:B,C34-3)),INDEX('register map'!B:B,C34-2)),INDEX('register map'!B:B,C34-1)),INDEX('register map'!B:B,C34))</f>
        <v>0x23</v>
      </c>
      <c r="G34" s="117" t="str">
        <f>CONCATENATE(IF(ISNUMBER(INDEX('register map'!D:D,C34)),7,""),IF(ISNUMBER(INDEX('register map'!E:E,C34)),6,""),IF(ISNUMBER(INDEX('register map'!F:F,C34)),5,""),IF(ISNUMBER(INDEX('register map'!G:G,C34)),4,""),IF(ISNUMBER(INDEX('register map'!H:H,C34)),3,""),IF(ISNUMBER(INDEX('register map'!I:I,C34)),2,""),IF(ISNUMBER(INDEX('register map'!J:J,C34)),1,""),IF(ISNUMBER(INDEX('register map'!K:K,C34)),0,""))</f>
        <v>0</v>
      </c>
      <c r="H34" s="117" t="str">
        <f>RIGHT(INDEX('register map'!V:V,MATCH('Logical Group Generator'!B34,'register map'!L:L,0)),LEN(G34))</f>
        <v>0</v>
      </c>
      <c r="I34" s="117" t="str">
        <f>CONCATENATE(IF(ISNUMBER(INDEX('register map'!K:K,C34)),0,""),IF(ISNUMBER(INDEX('register map'!J:J,C34)),1,""),IF(ISNUMBER(INDEX('register map'!I:I,C34)),2,""),IF(ISNUMBER(INDEX('register map'!H:H,C34)),3,""),IF(ISNUMBER(INDEX('register map'!G:G,C34)),4,""),IF(ISNUMBER(INDEX('register map'!F:F,C34)),5,""),IF(ISNUMBER(INDEX('register map'!E:E,C34)),6,""),IF(ISNUMBER(INDEX('register map'!D:D,C34)),7,""))</f>
        <v>0</v>
      </c>
      <c r="J34" s="117" t="str">
        <f t="shared" si="7"/>
        <v>0</v>
      </c>
      <c r="K34" s="117" t="str">
        <f t="shared" si="0"/>
        <v/>
      </c>
      <c r="L34" s="117" t="str">
        <f t="shared" si="8"/>
        <v/>
      </c>
      <c r="M34" s="117" t="str">
        <f t="shared" si="10"/>
        <v/>
      </c>
      <c r="N34" s="117" t="str">
        <f>IF(ISBLANK(INDEX('register map'!M:M,'Logical Group Generator'!C34)),"No","Yes")</f>
        <v>No</v>
      </c>
      <c r="O34" s="117" t="str">
        <f>IF(NOT(ISBLANK(INDEX('register map'!N:N,'Logical Group Generator'!C34))),"Yes","")</f>
        <v/>
      </c>
      <c r="P34" s="117" t="str">
        <f t="shared" si="1"/>
        <v/>
      </c>
      <c r="Q34" s="117" t="str">
        <f t="shared" si="2"/>
        <v/>
      </c>
      <c r="R34" s="117" t="str">
        <f t="shared" si="3"/>
        <v/>
      </c>
      <c r="S34" s="117" t="str">
        <f t="shared" si="4"/>
        <v>No</v>
      </c>
      <c r="T34" s="117" t="str">
        <f t="shared" si="5"/>
        <v/>
      </c>
      <c r="U34" s="117" t="b">
        <f t="shared" si="9"/>
        <v>0</v>
      </c>
      <c r="V34" s="157" t="b">
        <f>INDEX('register map'!P:P,C34)="yes"</f>
        <v>1</v>
      </c>
      <c r="W34" s="157" t="str">
        <f t="shared" si="6"/>
        <v>FALSE</v>
      </c>
    </row>
    <row r="35" spans="2:23">
      <c r="B35" s="157" t="str">
        <f t="array" ref="B35">IF(ROWS($3:35)&lt;=COUNTA('register map'!$L$5:$L$902),INDEX('register map'!$L$5:$L$902,SMALL(IF('register map'!$L$5:$L$902&lt;&gt;"",ROW('register map'!$L$5:$L$902)-MIN(ROW('register map'!$L$5:$L$902))+1),ROWS($3:35))),"")</f>
        <v>BUCK3_VID</v>
      </c>
      <c r="C35" s="157">
        <f>IF(B35="PART_NUMBER",IF(COUNTIF($B$1:B34,"PART_NUMBER")=0,6,8),MATCH(B35,'register map'!L:L,0))</f>
        <v>43</v>
      </c>
      <c r="D35" s="117" t="str">
        <f>IF(ISBLANK(INDEX('register map'!C:C,'Logical Group Generator'!C35)),"No","Yes")</f>
        <v>No</v>
      </c>
      <c r="E35" s="117" t="str">
        <f>IF(ISBLANK(INDEX('register map'!A:A,C35)),IF(ISBLANK(INDEX('register map'!A:A,C35-1)),IF(ISBLANK(INDEX('register map'!A:A,C35-2)),IF(ISBLANK(INDEX('register map'!A:A,C35-3)),IF(ISBLANK(INDEX('register map'!A:A,C35-4)),IF(ISBLANK(INDEX('register map'!A:A,C35-5)),IF(ISBLANK(INDEX('register map'!A:A,C35-6)),IF(ISBLANK(INDEX('register map'!A:A,C35-7)),IF(ISBLANK(INDEX('register map'!A:A,C35-8)),"ERROR",INDEX('register map'!A:A,C35-8)),INDEX('register map'!A:A,C35-7)),INDEX('register map'!A:A,C35-6)),INDEX('register map'!A:A,C35-5)),INDEX('register map'!A:A,C35-4)),INDEX('register map'!A:A,C35-3)),INDEX('register map'!A:A,C35-2)),INDEX('register map'!A:A,C35-1)),INDEX('register map'!A:A,C35))</f>
        <v>0x5E</v>
      </c>
      <c r="F35" s="117" t="str">
        <f>IF(ISBLANK(INDEX('register map'!B:B,C35)),IF(ISBLANK(INDEX('register map'!B:B,C35-1)),IF(ISBLANK(INDEX('register map'!B:B,C35-2)),IF(ISBLANK(INDEX('register map'!B:B,C35-3)),IF(ISBLANK(INDEX('register map'!B:B,C35-4)),IF(ISBLANK(INDEX('register map'!B:B,C35-5)),IF(ISBLANK(INDEX('register map'!B:B,C35-6)),IF(ISBLANK(INDEX('register map'!B:B,C35-7)),IF(ISBLANK(INDEX('register map'!B:B,C35-8)),"ERROR",INDEX('register map'!B:B,C35-8)),INDEX('register map'!B:B,C35-7)),INDEX('register map'!B:B,C35-6)),INDEX('register map'!B:B,C35-5)),INDEX('register map'!B:B,C35-4)),INDEX('register map'!B:B,C35-3)),INDEX('register map'!B:B,C35-2)),INDEX('register map'!B:B,C35-1)),INDEX('register map'!B:B,C35))</f>
        <v>0x23</v>
      </c>
      <c r="G35" s="117" t="str">
        <f>CONCATENATE(IF(ISNUMBER(INDEX('register map'!D:D,C35)),7,""),IF(ISNUMBER(INDEX('register map'!E:E,C35)),6,""),IF(ISNUMBER(INDEX('register map'!F:F,C35)),5,""),IF(ISNUMBER(INDEX('register map'!G:G,C35)),4,""),IF(ISNUMBER(INDEX('register map'!H:H,C35)),3,""),IF(ISNUMBER(INDEX('register map'!I:I,C35)),2,""),IF(ISNUMBER(INDEX('register map'!J:J,C35)),1,""),IF(ISNUMBER(INDEX('register map'!K:K,C35)),0,""))</f>
        <v>7654321</v>
      </c>
      <c r="H35" s="117" t="str">
        <f>RIGHT(INDEX('register map'!V:V,MATCH('Logical Group Generator'!B35,'register map'!L:L,0)),LEN(G35))</f>
        <v>1110100</v>
      </c>
      <c r="I35" s="117" t="str">
        <f>CONCATENATE(IF(ISNUMBER(INDEX('register map'!K:K,C35)),0,""),IF(ISNUMBER(INDEX('register map'!J:J,C35)),1,""),IF(ISNUMBER(INDEX('register map'!I:I,C35)),2,""),IF(ISNUMBER(INDEX('register map'!H:H,C35)),3,""),IF(ISNUMBER(INDEX('register map'!G:G,C35)),4,""),IF(ISNUMBER(INDEX('register map'!F:F,C35)),5,""),IF(ISNUMBER(INDEX('register map'!E:E,C35)),6,""),IF(ISNUMBER(INDEX('register map'!D:D,C35)),7,""))</f>
        <v>1234567</v>
      </c>
      <c r="J35" s="117" t="str">
        <f t="shared" si="7"/>
        <v>0010111</v>
      </c>
      <c r="K35" s="117" t="str">
        <f t="shared" si="0"/>
        <v/>
      </c>
      <c r="L35" s="117" t="str">
        <f t="shared" si="8"/>
        <v/>
      </c>
      <c r="M35" s="117" t="str">
        <f t="shared" si="10"/>
        <v/>
      </c>
      <c r="N35" s="117" t="str">
        <f>IF(ISBLANK(INDEX('register map'!M:M,'Logical Group Generator'!C35)),"No","Yes")</f>
        <v>No</v>
      </c>
      <c r="O35" s="117" t="str">
        <f>IF(NOT(ISBLANK(INDEX('register map'!N:N,'Logical Group Generator'!C35))),"Yes","")</f>
        <v/>
      </c>
      <c r="P35" s="117" t="str">
        <f t="shared" si="1"/>
        <v/>
      </c>
      <c r="Q35" s="117" t="str">
        <f t="shared" si="2"/>
        <v/>
      </c>
      <c r="R35" s="117" t="str">
        <f t="shared" si="3"/>
        <v/>
      </c>
      <c r="S35" s="117" t="str">
        <f t="shared" si="4"/>
        <v>No</v>
      </c>
      <c r="T35" s="117" t="str">
        <f t="shared" si="5"/>
        <v/>
      </c>
      <c r="U35" s="117" t="b">
        <f t="shared" si="9"/>
        <v>0</v>
      </c>
      <c r="V35" s="157" t="b">
        <f>INDEX('register map'!P:P,C35)="yes"</f>
        <v>1</v>
      </c>
      <c r="W35" s="157" t="str">
        <f t="shared" si="6"/>
        <v>FALSE</v>
      </c>
    </row>
    <row r="36" spans="2:23">
      <c r="B36" s="157" t="str">
        <f t="array" ref="B36">IF(ROWS($3:36)&lt;=COUNTA('register map'!$L$5:$L$902),INDEX('register map'!$L$5:$L$902,SMALL(IF('register map'!$L$5:$L$902&lt;&gt;"",ROW('register map'!$L$5:$L$902)-MIN(ROW('register map'!$L$5:$L$902))+1),ROWS($3:36))),"")</f>
        <v>BUCK3SLPCTRL</v>
      </c>
      <c r="C36" s="157">
        <f>IF(B36="PART_NUMBER",IF(COUNTIF($B$1:B35,"PART_NUMBER")=0,6,8),MATCH(B36,'register map'!L:L,0))</f>
        <v>44</v>
      </c>
      <c r="D36" s="117" t="str">
        <f>IF(ISBLANK(INDEX('register map'!C:C,'Logical Group Generator'!C36)),"No","Yes")</f>
        <v>Yes</v>
      </c>
      <c r="E36" s="117" t="str">
        <f>IF(ISBLANK(INDEX('register map'!A:A,C36)),IF(ISBLANK(INDEX('register map'!A:A,C36-1)),IF(ISBLANK(INDEX('register map'!A:A,C36-2)),IF(ISBLANK(INDEX('register map'!A:A,C36-3)),IF(ISBLANK(INDEX('register map'!A:A,C36-4)),IF(ISBLANK(INDEX('register map'!A:A,C36-5)),IF(ISBLANK(INDEX('register map'!A:A,C36-6)),IF(ISBLANK(INDEX('register map'!A:A,C36-7)),IF(ISBLANK(INDEX('register map'!A:A,C36-8)),"ERROR",INDEX('register map'!A:A,C36-8)),INDEX('register map'!A:A,C36-7)),INDEX('register map'!A:A,C36-6)),INDEX('register map'!A:A,C36-5)),INDEX('register map'!A:A,C36-4)),INDEX('register map'!A:A,C36-3)),INDEX('register map'!A:A,C36-2)),INDEX('register map'!A:A,C36-1)),INDEX('register map'!A:A,C36))</f>
        <v>0x5E</v>
      </c>
      <c r="F36" s="117" t="str">
        <f>IF(ISBLANK(INDEX('register map'!B:B,C36)),IF(ISBLANK(INDEX('register map'!B:B,C36-1)),IF(ISBLANK(INDEX('register map'!B:B,C36-2)),IF(ISBLANK(INDEX('register map'!B:B,C36-3)),IF(ISBLANK(INDEX('register map'!B:B,C36-4)),IF(ISBLANK(INDEX('register map'!B:B,C36-5)),IF(ISBLANK(INDEX('register map'!B:B,C36-6)),IF(ISBLANK(INDEX('register map'!B:B,C36-7)),IF(ISBLANK(INDEX('register map'!B:B,C36-8)),"ERROR",INDEX('register map'!B:B,C36-8)),INDEX('register map'!B:B,C36-7)),INDEX('register map'!B:B,C36-6)),INDEX('register map'!B:B,C36-5)),INDEX('register map'!B:B,C36-4)),INDEX('register map'!B:B,C36-3)),INDEX('register map'!B:B,C36-2)),INDEX('register map'!B:B,C36-1)),INDEX('register map'!B:B,C36))</f>
        <v>0x24</v>
      </c>
      <c r="G36" s="117" t="str">
        <f>CONCATENATE(IF(ISNUMBER(INDEX('register map'!D:D,C36)),7,""),IF(ISNUMBER(INDEX('register map'!E:E,C36)),6,""),IF(ISNUMBER(INDEX('register map'!F:F,C36)),5,""),IF(ISNUMBER(INDEX('register map'!G:G,C36)),4,""),IF(ISNUMBER(INDEX('register map'!H:H,C36)),3,""),IF(ISNUMBER(INDEX('register map'!I:I,C36)),2,""),IF(ISNUMBER(INDEX('register map'!J:J,C36)),1,""),IF(ISNUMBER(INDEX('register map'!K:K,C36)),0,""))</f>
        <v/>
      </c>
      <c r="H36" s="117" t="str">
        <f>RIGHT(INDEX('register map'!V:V,MATCH('Logical Group Generator'!B36,'register map'!L:L,0)),LEN(G36))</f>
        <v/>
      </c>
      <c r="I36" s="117" t="str">
        <f>CONCATENATE(IF(ISNUMBER(INDEX('register map'!K:K,C36)),0,""),IF(ISNUMBER(INDEX('register map'!J:J,C36)),1,""),IF(ISNUMBER(INDEX('register map'!I:I,C36)),2,""),IF(ISNUMBER(INDEX('register map'!H:H,C36)),3,""),IF(ISNUMBER(INDEX('register map'!G:G,C36)),4,""),IF(ISNUMBER(INDEX('register map'!F:F,C36)),5,""),IF(ISNUMBER(INDEX('register map'!E:E,C36)),6,""),IF(ISNUMBER(INDEX('register map'!D:D,C36)),7,""))</f>
        <v/>
      </c>
      <c r="J36" s="117" t="str">
        <f t="shared" si="7"/>
        <v/>
      </c>
      <c r="K36" s="117" t="str">
        <f t="shared" si="0"/>
        <v>00010111</v>
      </c>
      <c r="L36" s="117" t="str">
        <f t="shared" si="8"/>
        <v>11101000</v>
      </c>
      <c r="M36" s="117" t="str">
        <f t="shared" si="10"/>
        <v>E8</v>
      </c>
      <c r="N36" s="117" t="str">
        <f>IF(ISBLANK(INDEX('register map'!M:M,'Logical Group Generator'!C36)),"No","Yes")</f>
        <v>No</v>
      </c>
      <c r="O36" s="117" t="str">
        <f>IF(NOT(ISBLANK(INDEX('register map'!N:N,'Logical Group Generator'!C36))),"Yes","")</f>
        <v/>
      </c>
      <c r="P36" s="117" t="str">
        <f t="shared" si="1"/>
        <v>No</v>
      </c>
      <c r="Q36" s="117" t="str">
        <f t="shared" si="2"/>
        <v>No</v>
      </c>
      <c r="R36" s="117" t="str">
        <f t="shared" si="3"/>
        <v>No</v>
      </c>
      <c r="S36" s="117" t="str">
        <f t="shared" si="4"/>
        <v/>
      </c>
      <c r="T36" s="117" t="b">
        <f t="shared" si="5"/>
        <v>1</v>
      </c>
      <c r="U36" s="117" t="b">
        <f t="shared" si="9"/>
        <v>1</v>
      </c>
      <c r="V36" s="157" t="b">
        <f>INDEX('register map'!P:P,C36)="yes"</f>
        <v>1</v>
      </c>
      <c r="W36" s="157" t="str">
        <f t="shared" si="6"/>
        <v>REGISTER</v>
      </c>
    </row>
    <row r="37" spans="2:23">
      <c r="B37" s="157" t="str">
        <f t="array" ref="B37">IF(ROWS($3:37)&lt;=COUNTA('register map'!$L$5:$L$902),INDEX('register map'!$L$5:$L$902,SMALL(IF('register map'!$L$5:$L$902&lt;&gt;"",ROW('register map'!$L$5:$L$902)-MIN(ROW('register map'!$L$5:$L$902))+1),ROWS($3:37))),"")</f>
        <v>BUCK3_SLP_EN</v>
      </c>
      <c r="C37" s="157">
        <f>IF(B37="PART_NUMBER",IF(COUNTIF($B$1:B36,"PART_NUMBER")=0,6,8),MATCH(B37,'register map'!L:L,0))</f>
        <v>45</v>
      </c>
      <c r="D37" s="117" t="str">
        <f>IF(ISBLANK(INDEX('register map'!C:C,'Logical Group Generator'!C37)),"No","Yes")</f>
        <v>No</v>
      </c>
      <c r="E37" s="117" t="str">
        <f>IF(ISBLANK(INDEX('register map'!A:A,C37)),IF(ISBLANK(INDEX('register map'!A:A,C37-1)),IF(ISBLANK(INDEX('register map'!A:A,C37-2)),IF(ISBLANK(INDEX('register map'!A:A,C37-3)),IF(ISBLANK(INDEX('register map'!A:A,C37-4)),IF(ISBLANK(INDEX('register map'!A:A,C37-5)),IF(ISBLANK(INDEX('register map'!A:A,C37-6)),IF(ISBLANK(INDEX('register map'!A:A,C37-7)),IF(ISBLANK(INDEX('register map'!A:A,C37-8)),"ERROR",INDEX('register map'!A:A,C37-8)),INDEX('register map'!A:A,C37-7)),INDEX('register map'!A:A,C37-6)),INDEX('register map'!A:A,C37-5)),INDEX('register map'!A:A,C37-4)),INDEX('register map'!A:A,C37-3)),INDEX('register map'!A:A,C37-2)),INDEX('register map'!A:A,C37-1)),INDEX('register map'!A:A,C37))</f>
        <v>0x5E</v>
      </c>
      <c r="F37" s="117" t="str">
        <f>IF(ISBLANK(INDEX('register map'!B:B,C37)),IF(ISBLANK(INDEX('register map'!B:B,C37-1)),IF(ISBLANK(INDEX('register map'!B:B,C37-2)),IF(ISBLANK(INDEX('register map'!B:B,C37-3)),IF(ISBLANK(INDEX('register map'!B:B,C37-4)),IF(ISBLANK(INDEX('register map'!B:B,C37-5)),IF(ISBLANK(INDEX('register map'!B:B,C37-6)),IF(ISBLANK(INDEX('register map'!B:B,C37-7)),IF(ISBLANK(INDEX('register map'!B:B,C37-8)),"ERROR",INDEX('register map'!B:B,C37-8)),INDEX('register map'!B:B,C37-7)),INDEX('register map'!B:B,C37-6)),INDEX('register map'!B:B,C37-5)),INDEX('register map'!B:B,C37-4)),INDEX('register map'!B:B,C37-3)),INDEX('register map'!B:B,C37-2)),INDEX('register map'!B:B,C37-1)),INDEX('register map'!B:B,C37))</f>
        <v>0x24</v>
      </c>
      <c r="G37" s="117" t="str">
        <f>CONCATENATE(IF(ISNUMBER(INDEX('register map'!D:D,C37)),7,""),IF(ISNUMBER(INDEX('register map'!E:E,C37)),6,""),IF(ISNUMBER(INDEX('register map'!F:F,C37)),5,""),IF(ISNUMBER(INDEX('register map'!G:G,C37)),4,""),IF(ISNUMBER(INDEX('register map'!H:H,C37)),3,""),IF(ISNUMBER(INDEX('register map'!I:I,C37)),2,""),IF(ISNUMBER(INDEX('register map'!J:J,C37)),1,""),IF(ISNUMBER(INDEX('register map'!K:K,C37)),0,""))</f>
        <v>0</v>
      </c>
      <c r="H37" s="117" t="str">
        <f>RIGHT(INDEX('register map'!V:V,MATCH('Logical Group Generator'!B37,'register map'!L:L,0)),LEN(G37))</f>
        <v>0</v>
      </c>
      <c r="I37" s="117" t="str">
        <f>CONCATENATE(IF(ISNUMBER(INDEX('register map'!K:K,C37)),0,""),IF(ISNUMBER(INDEX('register map'!J:J,C37)),1,""),IF(ISNUMBER(INDEX('register map'!I:I,C37)),2,""),IF(ISNUMBER(INDEX('register map'!H:H,C37)),3,""),IF(ISNUMBER(INDEX('register map'!G:G,C37)),4,""),IF(ISNUMBER(INDEX('register map'!F:F,C37)),5,""),IF(ISNUMBER(INDEX('register map'!E:E,C37)),6,""),IF(ISNUMBER(INDEX('register map'!D:D,C37)),7,""))</f>
        <v>0</v>
      </c>
      <c r="J37" s="117" t="str">
        <f t="shared" si="7"/>
        <v>0</v>
      </c>
      <c r="K37" s="117" t="str">
        <f t="shared" si="0"/>
        <v/>
      </c>
      <c r="L37" s="117" t="str">
        <f t="shared" si="8"/>
        <v/>
      </c>
      <c r="M37" s="117" t="str">
        <f t="shared" si="10"/>
        <v/>
      </c>
      <c r="N37" s="117" t="str">
        <f>IF(ISBLANK(INDEX('register map'!M:M,'Logical Group Generator'!C37)),"No","Yes")</f>
        <v>No</v>
      </c>
      <c r="O37" s="117" t="str">
        <f>IF(NOT(ISBLANK(INDEX('register map'!N:N,'Logical Group Generator'!C37))),"Yes","")</f>
        <v/>
      </c>
      <c r="P37" s="117" t="str">
        <f t="shared" si="1"/>
        <v/>
      </c>
      <c r="Q37" s="117" t="str">
        <f t="shared" si="2"/>
        <v/>
      </c>
      <c r="R37" s="117" t="str">
        <f t="shared" si="3"/>
        <v/>
      </c>
      <c r="S37" s="117" t="str">
        <f t="shared" si="4"/>
        <v>No</v>
      </c>
      <c r="T37" s="117" t="str">
        <f t="shared" si="5"/>
        <v/>
      </c>
      <c r="U37" s="117" t="b">
        <f t="shared" si="9"/>
        <v>0</v>
      </c>
      <c r="V37" s="157" t="b">
        <f>INDEX('register map'!P:P,C37)="yes"</f>
        <v>1</v>
      </c>
      <c r="W37" s="157" t="str">
        <f t="shared" si="6"/>
        <v>FALSE</v>
      </c>
    </row>
    <row r="38" spans="2:23">
      <c r="B38" s="157" t="str">
        <f t="array" ref="B38">IF(ROWS($3:38)&lt;=COUNTA('register map'!$L$5:$L$902),INDEX('register map'!$L$5:$L$902,SMALL(IF('register map'!$L$5:$L$902&lt;&gt;"",ROW('register map'!$L$5:$L$902)-MIN(ROW('register map'!$L$5:$L$902))+1),ROWS($3:38))),"")</f>
        <v>BUCK3_SLP_VID</v>
      </c>
      <c r="C38" s="157">
        <f>IF(B38="PART_NUMBER",IF(COUNTIF($B$1:B37,"PART_NUMBER")=0,6,8),MATCH(B38,'register map'!L:L,0))</f>
        <v>46</v>
      </c>
      <c r="D38" s="117" t="str">
        <f>IF(ISBLANK(INDEX('register map'!C:C,'Logical Group Generator'!C38)),"No","Yes")</f>
        <v>No</v>
      </c>
      <c r="E38" s="117" t="str">
        <f>IF(ISBLANK(INDEX('register map'!A:A,C38)),IF(ISBLANK(INDEX('register map'!A:A,C38-1)),IF(ISBLANK(INDEX('register map'!A:A,C38-2)),IF(ISBLANK(INDEX('register map'!A:A,C38-3)),IF(ISBLANK(INDEX('register map'!A:A,C38-4)),IF(ISBLANK(INDEX('register map'!A:A,C38-5)),IF(ISBLANK(INDEX('register map'!A:A,C38-6)),IF(ISBLANK(INDEX('register map'!A:A,C38-7)),IF(ISBLANK(INDEX('register map'!A:A,C38-8)),"ERROR",INDEX('register map'!A:A,C38-8)),INDEX('register map'!A:A,C38-7)),INDEX('register map'!A:A,C38-6)),INDEX('register map'!A:A,C38-5)),INDEX('register map'!A:A,C38-4)),INDEX('register map'!A:A,C38-3)),INDEX('register map'!A:A,C38-2)),INDEX('register map'!A:A,C38-1)),INDEX('register map'!A:A,C38))</f>
        <v>0x5E</v>
      </c>
      <c r="F38" s="117" t="str">
        <f>IF(ISBLANK(INDEX('register map'!B:B,C38)),IF(ISBLANK(INDEX('register map'!B:B,C38-1)),IF(ISBLANK(INDEX('register map'!B:B,C38-2)),IF(ISBLANK(INDEX('register map'!B:B,C38-3)),IF(ISBLANK(INDEX('register map'!B:B,C38-4)),IF(ISBLANK(INDEX('register map'!B:B,C38-5)),IF(ISBLANK(INDEX('register map'!B:B,C38-6)),IF(ISBLANK(INDEX('register map'!B:B,C38-7)),IF(ISBLANK(INDEX('register map'!B:B,C38-8)),"ERROR",INDEX('register map'!B:B,C38-8)),INDEX('register map'!B:B,C38-7)),INDEX('register map'!B:B,C38-6)),INDEX('register map'!B:B,C38-5)),INDEX('register map'!B:B,C38-4)),INDEX('register map'!B:B,C38-3)),INDEX('register map'!B:B,C38-2)),INDEX('register map'!B:B,C38-1)),INDEX('register map'!B:B,C38))</f>
        <v>0x24</v>
      </c>
      <c r="G38" s="117" t="str">
        <f>CONCATENATE(IF(ISNUMBER(INDEX('register map'!D:D,C38)),7,""),IF(ISNUMBER(INDEX('register map'!E:E,C38)),6,""),IF(ISNUMBER(INDEX('register map'!F:F,C38)),5,""),IF(ISNUMBER(INDEX('register map'!G:G,C38)),4,""),IF(ISNUMBER(INDEX('register map'!H:H,C38)),3,""),IF(ISNUMBER(INDEX('register map'!I:I,C38)),2,""),IF(ISNUMBER(INDEX('register map'!J:J,C38)),1,""),IF(ISNUMBER(INDEX('register map'!K:K,C38)),0,""))</f>
        <v>7654321</v>
      </c>
      <c r="H38" s="117" t="str">
        <f>RIGHT(INDEX('register map'!V:V,MATCH('Logical Group Generator'!B38,'register map'!L:L,0)),LEN(G38))</f>
        <v>1110100</v>
      </c>
      <c r="I38" s="117" t="str">
        <f>CONCATENATE(IF(ISNUMBER(INDEX('register map'!K:K,C38)),0,""),IF(ISNUMBER(INDEX('register map'!J:J,C38)),1,""),IF(ISNUMBER(INDEX('register map'!I:I,C38)),2,""),IF(ISNUMBER(INDEX('register map'!H:H,C38)),3,""),IF(ISNUMBER(INDEX('register map'!G:G,C38)),4,""),IF(ISNUMBER(INDEX('register map'!F:F,C38)),5,""),IF(ISNUMBER(INDEX('register map'!E:E,C38)),6,""),IF(ISNUMBER(INDEX('register map'!D:D,C38)),7,""))</f>
        <v>1234567</v>
      </c>
      <c r="J38" s="117" t="str">
        <f t="shared" si="7"/>
        <v>0010111</v>
      </c>
      <c r="K38" s="117" t="str">
        <f t="shared" si="0"/>
        <v/>
      </c>
      <c r="L38" s="117" t="str">
        <f t="shared" si="8"/>
        <v/>
      </c>
      <c r="M38" s="117" t="str">
        <f t="shared" si="10"/>
        <v/>
      </c>
      <c r="N38" s="117" t="str">
        <f>IF(ISBLANK(INDEX('register map'!M:M,'Logical Group Generator'!C38)),"No","Yes")</f>
        <v>No</v>
      </c>
      <c r="O38" s="117" t="str">
        <f>IF(NOT(ISBLANK(INDEX('register map'!N:N,'Logical Group Generator'!C38))),"Yes","")</f>
        <v/>
      </c>
      <c r="P38" s="117" t="str">
        <f t="shared" si="1"/>
        <v/>
      </c>
      <c r="Q38" s="117" t="str">
        <f t="shared" si="2"/>
        <v/>
      </c>
      <c r="R38" s="117" t="str">
        <f t="shared" si="3"/>
        <v/>
      </c>
      <c r="S38" s="117" t="str">
        <f t="shared" si="4"/>
        <v>No</v>
      </c>
      <c r="T38" s="117" t="str">
        <f t="shared" si="5"/>
        <v/>
      </c>
      <c r="U38" s="117" t="b">
        <f t="shared" si="9"/>
        <v>0</v>
      </c>
      <c r="V38" s="157" t="b">
        <f>INDEX('register map'!P:P,C38)="yes"</f>
        <v>1</v>
      </c>
      <c r="W38" s="157" t="str">
        <f t="shared" si="6"/>
        <v>FALSE</v>
      </c>
    </row>
    <row r="39" spans="2:23">
      <c r="B39" s="157" t="str">
        <f t="array" ref="B39">IF(ROWS($3:39)&lt;=COUNTA('register map'!$L$5:$L$902),INDEX('register map'!$L$5:$L$902,SMALL(IF('register map'!$L$5:$L$902&lt;&gt;"",ROW('register map'!$L$5:$L$902)-MIN(ROW('register map'!$L$5:$L$902))+1),ROWS($3:39))),"")</f>
        <v>BUCK4CTRL</v>
      </c>
      <c r="C39" s="157">
        <f>IF(B39="PART_NUMBER",IF(COUNTIF($B$1:B38,"PART_NUMBER")=0,6,8),MATCH(B39,'register map'!L:L,0))</f>
        <v>47</v>
      </c>
      <c r="D39" s="117" t="str">
        <f>IF(ISBLANK(INDEX('register map'!C:C,'Logical Group Generator'!C39)),"No","Yes")</f>
        <v>Yes</v>
      </c>
      <c r="E39" s="117" t="str">
        <f>IF(ISBLANK(INDEX('register map'!A:A,C39)),IF(ISBLANK(INDEX('register map'!A:A,C39-1)),IF(ISBLANK(INDEX('register map'!A:A,C39-2)),IF(ISBLANK(INDEX('register map'!A:A,C39-3)),IF(ISBLANK(INDEX('register map'!A:A,C39-4)),IF(ISBLANK(INDEX('register map'!A:A,C39-5)),IF(ISBLANK(INDEX('register map'!A:A,C39-6)),IF(ISBLANK(INDEX('register map'!A:A,C39-7)),IF(ISBLANK(INDEX('register map'!A:A,C39-8)),"ERROR",INDEX('register map'!A:A,C39-8)),INDEX('register map'!A:A,C39-7)),INDEX('register map'!A:A,C39-6)),INDEX('register map'!A:A,C39-5)),INDEX('register map'!A:A,C39-4)),INDEX('register map'!A:A,C39-3)),INDEX('register map'!A:A,C39-2)),INDEX('register map'!A:A,C39-1)),INDEX('register map'!A:A,C39))</f>
        <v>0x5E</v>
      </c>
      <c r="F39" s="117" t="str">
        <f>IF(ISBLANK(INDEX('register map'!B:B,C39)),IF(ISBLANK(INDEX('register map'!B:B,C39-1)),IF(ISBLANK(INDEX('register map'!B:B,C39-2)),IF(ISBLANK(INDEX('register map'!B:B,C39-3)),IF(ISBLANK(INDEX('register map'!B:B,C39-4)),IF(ISBLANK(INDEX('register map'!B:B,C39-5)),IF(ISBLANK(INDEX('register map'!B:B,C39-6)),IF(ISBLANK(INDEX('register map'!B:B,C39-7)),IF(ISBLANK(INDEX('register map'!B:B,C39-8)),"ERROR",INDEX('register map'!B:B,C39-8)),INDEX('register map'!B:B,C39-7)),INDEX('register map'!B:B,C39-6)),INDEX('register map'!B:B,C39-5)),INDEX('register map'!B:B,C39-4)),INDEX('register map'!B:B,C39-3)),INDEX('register map'!B:B,C39-2)),INDEX('register map'!B:B,C39-1)),INDEX('register map'!B:B,C39))</f>
        <v>0x25</v>
      </c>
      <c r="G39" s="117" t="str">
        <f>CONCATENATE(IF(ISNUMBER(INDEX('register map'!D:D,C39)),7,""),IF(ISNUMBER(INDEX('register map'!E:E,C39)),6,""),IF(ISNUMBER(INDEX('register map'!F:F,C39)),5,""),IF(ISNUMBER(INDEX('register map'!G:G,C39)),4,""),IF(ISNUMBER(INDEX('register map'!H:H,C39)),3,""),IF(ISNUMBER(INDEX('register map'!I:I,C39)),2,""),IF(ISNUMBER(INDEX('register map'!J:J,C39)),1,""),IF(ISNUMBER(INDEX('register map'!K:K,C39)),0,""))</f>
        <v/>
      </c>
      <c r="H39" s="117" t="str">
        <f>RIGHT(INDEX('register map'!V:V,MATCH('Logical Group Generator'!B39,'register map'!L:L,0)),LEN(G39))</f>
        <v/>
      </c>
      <c r="I39" s="117" t="str">
        <f>CONCATENATE(IF(ISNUMBER(INDEX('register map'!K:K,C39)),0,""),IF(ISNUMBER(INDEX('register map'!J:J,C39)),1,""),IF(ISNUMBER(INDEX('register map'!I:I,C39)),2,""),IF(ISNUMBER(INDEX('register map'!H:H,C39)),3,""),IF(ISNUMBER(INDEX('register map'!G:G,C39)),4,""),IF(ISNUMBER(INDEX('register map'!F:F,C39)),5,""),IF(ISNUMBER(INDEX('register map'!E:E,C39)),6,""),IF(ISNUMBER(INDEX('register map'!D:D,C39)),7,""))</f>
        <v/>
      </c>
      <c r="J39" s="117" t="str">
        <f t="shared" si="7"/>
        <v/>
      </c>
      <c r="K39" s="117" t="str">
        <f t="shared" si="0"/>
        <v>11110000</v>
      </c>
      <c r="L39" s="117" t="str">
        <f t="shared" si="8"/>
        <v>00001111</v>
      </c>
      <c r="M39" s="117" t="str">
        <f t="shared" si="10"/>
        <v>0F</v>
      </c>
      <c r="N39" s="117" t="str">
        <f>IF(ISBLANK(INDEX('register map'!M:M,'Logical Group Generator'!C39)),"No","Yes")</f>
        <v>No</v>
      </c>
      <c r="O39" s="117" t="str">
        <f>IF(NOT(ISBLANK(INDEX('register map'!N:N,'Logical Group Generator'!C39))),"Yes","")</f>
        <v/>
      </c>
      <c r="P39" s="117" t="str">
        <f t="shared" si="1"/>
        <v>No</v>
      </c>
      <c r="Q39" s="117" t="str">
        <f t="shared" si="2"/>
        <v>No</v>
      </c>
      <c r="R39" s="117" t="str">
        <f t="shared" si="3"/>
        <v>No</v>
      </c>
      <c r="S39" s="117" t="str">
        <f t="shared" si="4"/>
        <v/>
      </c>
      <c r="T39" s="117" t="b">
        <f t="shared" si="5"/>
        <v>1</v>
      </c>
      <c r="U39" s="117" t="b">
        <f t="shared" si="9"/>
        <v>1</v>
      </c>
      <c r="V39" s="157" t="b">
        <f>INDEX('register map'!P:P,C39)="yes"</f>
        <v>1</v>
      </c>
      <c r="W39" s="157" t="str">
        <f t="shared" si="6"/>
        <v>REGISTER</v>
      </c>
    </row>
    <row r="40" spans="2:23">
      <c r="B40" s="157" t="str">
        <f t="array" ref="B40">IF(ROWS($3:40)&lt;=COUNTA('register map'!$L$5:$L$902),INDEX('register map'!$L$5:$L$902,SMALL(IF('register map'!$L$5:$L$902&lt;&gt;"",ROW('register map'!$L$5:$L$902)-MIN(ROW('register map'!$L$5:$L$902))+1),ROWS($3:40))),"")</f>
        <v>BUCK4_DIS</v>
      </c>
      <c r="C40" s="157">
        <f>IF(B40="PART_NUMBER",IF(COUNTIF($B$1:B39,"PART_NUMBER")=0,6,8),MATCH(B40,'register map'!L:L,0))</f>
        <v>48</v>
      </c>
      <c r="D40" s="117" t="str">
        <f>IF(ISBLANK(INDEX('register map'!C:C,'Logical Group Generator'!C40)),"No","Yes")</f>
        <v>No</v>
      </c>
      <c r="E40" s="117" t="str">
        <f>IF(ISBLANK(INDEX('register map'!A:A,C40)),IF(ISBLANK(INDEX('register map'!A:A,C40-1)),IF(ISBLANK(INDEX('register map'!A:A,C40-2)),IF(ISBLANK(INDEX('register map'!A:A,C40-3)),IF(ISBLANK(INDEX('register map'!A:A,C40-4)),IF(ISBLANK(INDEX('register map'!A:A,C40-5)),IF(ISBLANK(INDEX('register map'!A:A,C40-6)),IF(ISBLANK(INDEX('register map'!A:A,C40-7)),IF(ISBLANK(INDEX('register map'!A:A,C40-8)),"ERROR",INDEX('register map'!A:A,C40-8)),INDEX('register map'!A:A,C40-7)),INDEX('register map'!A:A,C40-6)),INDEX('register map'!A:A,C40-5)),INDEX('register map'!A:A,C40-4)),INDEX('register map'!A:A,C40-3)),INDEX('register map'!A:A,C40-2)),INDEX('register map'!A:A,C40-1)),INDEX('register map'!A:A,C40))</f>
        <v>0x5E</v>
      </c>
      <c r="F40" s="117" t="str">
        <f>IF(ISBLANK(INDEX('register map'!B:B,C40)),IF(ISBLANK(INDEX('register map'!B:B,C40-1)),IF(ISBLANK(INDEX('register map'!B:B,C40-2)),IF(ISBLANK(INDEX('register map'!B:B,C40-3)),IF(ISBLANK(INDEX('register map'!B:B,C40-4)),IF(ISBLANK(INDEX('register map'!B:B,C40-5)),IF(ISBLANK(INDEX('register map'!B:B,C40-6)),IF(ISBLANK(INDEX('register map'!B:B,C40-7)),IF(ISBLANK(INDEX('register map'!B:B,C40-8)),"ERROR",INDEX('register map'!B:B,C40-8)),INDEX('register map'!B:B,C40-7)),INDEX('register map'!B:B,C40-6)),INDEX('register map'!B:B,C40-5)),INDEX('register map'!B:B,C40-4)),INDEX('register map'!B:B,C40-3)),INDEX('register map'!B:B,C40-2)),INDEX('register map'!B:B,C40-1)),INDEX('register map'!B:B,C40))</f>
        <v>0x25</v>
      </c>
      <c r="G40" s="117" t="str">
        <f>CONCATENATE(IF(ISNUMBER(INDEX('register map'!D:D,C40)),7,""),IF(ISNUMBER(INDEX('register map'!E:E,C40)),6,""),IF(ISNUMBER(INDEX('register map'!F:F,C40)),5,""),IF(ISNUMBER(INDEX('register map'!G:G,C40)),4,""),IF(ISNUMBER(INDEX('register map'!H:H,C40)),3,""),IF(ISNUMBER(INDEX('register map'!I:I,C40)),2,""),IF(ISNUMBER(INDEX('register map'!J:J,C40)),1,""),IF(ISNUMBER(INDEX('register map'!K:K,C40)),0,""))</f>
        <v>0</v>
      </c>
      <c r="H40" s="117" t="str">
        <f>RIGHT(INDEX('register map'!V:V,MATCH('Logical Group Generator'!B40,'register map'!L:L,0)),LEN(G40))</f>
        <v>1</v>
      </c>
      <c r="I40" s="117" t="str">
        <f>CONCATENATE(IF(ISNUMBER(INDEX('register map'!K:K,C40)),0,""),IF(ISNUMBER(INDEX('register map'!J:J,C40)),1,""),IF(ISNUMBER(INDEX('register map'!I:I,C40)),2,""),IF(ISNUMBER(INDEX('register map'!H:H,C40)),3,""),IF(ISNUMBER(INDEX('register map'!G:G,C40)),4,""),IF(ISNUMBER(INDEX('register map'!F:F,C40)),5,""),IF(ISNUMBER(INDEX('register map'!E:E,C40)),6,""),IF(ISNUMBER(INDEX('register map'!D:D,C40)),7,""))</f>
        <v>0</v>
      </c>
      <c r="J40" s="117" t="str">
        <f t="shared" si="7"/>
        <v>1</v>
      </c>
      <c r="K40" s="117" t="str">
        <f t="shared" si="0"/>
        <v/>
      </c>
      <c r="L40" s="117" t="str">
        <f t="shared" si="8"/>
        <v/>
      </c>
      <c r="M40" s="117" t="str">
        <f t="shared" si="10"/>
        <v/>
      </c>
      <c r="N40" s="117" t="str">
        <f>IF(ISBLANK(INDEX('register map'!M:M,'Logical Group Generator'!C40)),"No","Yes")</f>
        <v>No</v>
      </c>
      <c r="O40" s="117" t="str">
        <f>IF(NOT(ISBLANK(INDEX('register map'!N:N,'Logical Group Generator'!C40))),"Yes","")</f>
        <v/>
      </c>
      <c r="P40" s="117" t="str">
        <f t="shared" si="1"/>
        <v/>
      </c>
      <c r="Q40" s="117" t="str">
        <f t="shared" si="2"/>
        <v/>
      </c>
      <c r="R40" s="117" t="str">
        <f t="shared" si="3"/>
        <v/>
      </c>
      <c r="S40" s="117" t="str">
        <f t="shared" si="4"/>
        <v>No</v>
      </c>
      <c r="T40" s="117" t="str">
        <f t="shared" si="5"/>
        <v/>
      </c>
      <c r="U40" s="117" t="b">
        <f t="shared" si="9"/>
        <v>0</v>
      </c>
      <c r="V40" s="157" t="b">
        <f>INDEX('register map'!P:P,C40)="yes"</f>
        <v>1</v>
      </c>
      <c r="W40" s="157" t="str">
        <f t="shared" si="6"/>
        <v>FALSE</v>
      </c>
    </row>
    <row r="41" spans="2:23">
      <c r="B41" s="157" t="str">
        <f t="array" ref="B41">IF(ROWS($3:41)&lt;=COUNTA('register map'!$L$5:$L$902),INDEX('register map'!$L$5:$L$902,SMALL(IF('register map'!$L$5:$L$902&lt;&gt;"",ROW('register map'!$L$5:$L$902)-MIN(ROW('register map'!$L$5:$L$902))+1),ROWS($3:41))),"")</f>
        <v>BUCK4_MODE</v>
      </c>
      <c r="C41" s="157">
        <f>IF(B41="PART_NUMBER",IF(COUNTIF($B$1:B40,"PART_NUMBER")=0,6,8),MATCH(B41,'register map'!L:L,0))</f>
        <v>49</v>
      </c>
      <c r="D41" s="117" t="str">
        <f>IF(ISBLANK(INDEX('register map'!C:C,'Logical Group Generator'!C41)),"No","Yes")</f>
        <v>No</v>
      </c>
      <c r="E41" s="117" t="str">
        <f>IF(ISBLANK(INDEX('register map'!A:A,C41)),IF(ISBLANK(INDEX('register map'!A:A,C41-1)),IF(ISBLANK(INDEX('register map'!A:A,C41-2)),IF(ISBLANK(INDEX('register map'!A:A,C41-3)),IF(ISBLANK(INDEX('register map'!A:A,C41-4)),IF(ISBLANK(INDEX('register map'!A:A,C41-5)),IF(ISBLANK(INDEX('register map'!A:A,C41-6)),IF(ISBLANK(INDEX('register map'!A:A,C41-7)),IF(ISBLANK(INDEX('register map'!A:A,C41-8)),"ERROR",INDEX('register map'!A:A,C41-8)),INDEX('register map'!A:A,C41-7)),INDEX('register map'!A:A,C41-6)),INDEX('register map'!A:A,C41-5)),INDEX('register map'!A:A,C41-4)),INDEX('register map'!A:A,C41-3)),INDEX('register map'!A:A,C41-2)),INDEX('register map'!A:A,C41-1)),INDEX('register map'!A:A,C41))</f>
        <v>0x5E</v>
      </c>
      <c r="F41" s="117" t="str">
        <f>IF(ISBLANK(INDEX('register map'!B:B,C41)),IF(ISBLANK(INDEX('register map'!B:B,C41-1)),IF(ISBLANK(INDEX('register map'!B:B,C41-2)),IF(ISBLANK(INDEX('register map'!B:B,C41-3)),IF(ISBLANK(INDEX('register map'!B:B,C41-4)),IF(ISBLANK(INDEX('register map'!B:B,C41-5)),IF(ISBLANK(INDEX('register map'!B:B,C41-6)),IF(ISBLANK(INDEX('register map'!B:B,C41-7)),IF(ISBLANK(INDEX('register map'!B:B,C41-8)),"ERROR",INDEX('register map'!B:B,C41-8)),INDEX('register map'!B:B,C41-7)),INDEX('register map'!B:B,C41-6)),INDEX('register map'!B:B,C41-5)),INDEX('register map'!B:B,C41-4)),INDEX('register map'!B:B,C41-3)),INDEX('register map'!B:B,C41-2)),INDEX('register map'!B:B,C41-1)),INDEX('register map'!B:B,C41))</f>
        <v>0x25</v>
      </c>
      <c r="G41" s="117" t="str">
        <f>CONCATENATE(IF(ISNUMBER(INDEX('register map'!D:D,C41)),7,""),IF(ISNUMBER(INDEX('register map'!E:E,C41)),6,""),IF(ISNUMBER(INDEX('register map'!F:F,C41)),5,""),IF(ISNUMBER(INDEX('register map'!G:G,C41)),4,""),IF(ISNUMBER(INDEX('register map'!H:H,C41)),3,""),IF(ISNUMBER(INDEX('register map'!I:I,C41)),2,""),IF(ISNUMBER(INDEX('register map'!J:J,C41)),1,""),IF(ISNUMBER(INDEX('register map'!K:K,C41)),0,""))</f>
        <v>1</v>
      </c>
      <c r="H41" s="117" t="str">
        <f>RIGHT(INDEX('register map'!V:V,MATCH('Logical Group Generator'!B41,'register map'!L:L,0)),LEN(G41))</f>
        <v>1</v>
      </c>
      <c r="I41" s="117" t="str">
        <f>CONCATENATE(IF(ISNUMBER(INDEX('register map'!K:K,C41)),0,""),IF(ISNUMBER(INDEX('register map'!J:J,C41)),1,""),IF(ISNUMBER(INDEX('register map'!I:I,C41)),2,""),IF(ISNUMBER(INDEX('register map'!H:H,C41)),3,""),IF(ISNUMBER(INDEX('register map'!G:G,C41)),4,""),IF(ISNUMBER(INDEX('register map'!F:F,C41)),5,""),IF(ISNUMBER(INDEX('register map'!E:E,C41)),6,""),IF(ISNUMBER(INDEX('register map'!D:D,C41)),7,""))</f>
        <v>1</v>
      </c>
      <c r="J41" s="117" t="str">
        <f t="shared" si="7"/>
        <v>1</v>
      </c>
      <c r="K41" s="117" t="str">
        <f t="shared" si="0"/>
        <v/>
      </c>
      <c r="L41" s="117" t="str">
        <f t="shared" si="8"/>
        <v/>
      </c>
      <c r="M41" s="117" t="str">
        <f t="shared" si="10"/>
        <v/>
      </c>
      <c r="N41" s="117" t="str">
        <f>IF(ISBLANK(INDEX('register map'!M:M,'Logical Group Generator'!C41)),"No","Yes")</f>
        <v>No</v>
      </c>
      <c r="O41" s="117" t="str">
        <f>IF(NOT(ISBLANK(INDEX('register map'!N:N,'Logical Group Generator'!C41))),"Yes","")</f>
        <v/>
      </c>
      <c r="P41" s="117" t="str">
        <f t="shared" si="1"/>
        <v/>
      </c>
      <c r="Q41" s="117" t="str">
        <f t="shared" si="2"/>
        <v/>
      </c>
      <c r="R41" s="117" t="str">
        <f t="shared" si="3"/>
        <v/>
      </c>
      <c r="S41" s="117" t="str">
        <f t="shared" si="4"/>
        <v>No</v>
      </c>
      <c r="T41" s="117" t="str">
        <f t="shared" si="5"/>
        <v/>
      </c>
      <c r="U41" s="117" t="b">
        <f t="shared" si="9"/>
        <v>0</v>
      </c>
      <c r="V41" s="157" t="b">
        <f>INDEX('register map'!P:P,C41)="yes"</f>
        <v>1</v>
      </c>
      <c r="W41" s="157" t="str">
        <f t="shared" si="6"/>
        <v>FALSE</v>
      </c>
    </row>
    <row r="42" spans="2:23">
      <c r="B42" s="157" t="str">
        <f t="array" ref="B42">IF(ROWS($3:42)&lt;=COUNTA('register map'!$L$5:$L$902),INDEX('register map'!$L$5:$L$902,SMALL(IF('register map'!$L$5:$L$902&lt;&gt;"",ROW('register map'!$L$5:$L$902)-MIN(ROW('register map'!$L$5:$L$902))+1),ROWS($3:42))),"")</f>
        <v>OTP_RSVD_5E_25_32</v>
      </c>
      <c r="C42" s="157">
        <f>IF(B42="PART_NUMBER",IF(COUNTIF($B$1:B41,"PART_NUMBER")=0,6,8),MATCH(B42,'register map'!L:L,0))</f>
        <v>50</v>
      </c>
      <c r="D42" s="117" t="str">
        <f>IF(ISBLANK(INDEX('register map'!C:C,'Logical Group Generator'!C42)),"No","Yes")</f>
        <v>No</v>
      </c>
      <c r="E42" s="117" t="str">
        <f>IF(ISBLANK(INDEX('register map'!A:A,C42)),IF(ISBLANK(INDEX('register map'!A:A,C42-1)),IF(ISBLANK(INDEX('register map'!A:A,C42-2)),IF(ISBLANK(INDEX('register map'!A:A,C42-3)),IF(ISBLANK(INDEX('register map'!A:A,C42-4)),IF(ISBLANK(INDEX('register map'!A:A,C42-5)),IF(ISBLANK(INDEX('register map'!A:A,C42-6)),IF(ISBLANK(INDEX('register map'!A:A,C42-7)),IF(ISBLANK(INDEX('register map'!A:A,C42-8)),"ERROR",INDEX('register map'!A:A,C42-8)),INDEX('register map'!A:A,C42-7)),INDEX('register map'!A:A,C42-6)),INDEX('register map'!A:A,C42-5)),INDEX('register map'!A:A,C42-4)),INDEX('register map'!A:A,C42-3)),INDEX('register map'!A:A,C42-2)),INDEX('register map'!A:A,C42-1)),INDEX('register map'!A:A,C42))</f>
        <v>0x5E</v>
      </c>
      <c r="F42" s="117" t="str">
        <f>IF(ISBLANK(INDEX('register map'!B:B,C42)),IF(ISBLANK(INDEX('register map'!B:B,C42-1)),IF(ISBLANK(INDEX('register map'!B:B,C42-2)),IF(ISBLANK(INDEX('register map'!B:B,C42-3)),IF(ISBLANK(INDEX('register map'!B:B,C42-4)),IF(ISBLANK(INDEX('register map'!B:B,C42-5)),IF(ISBLANK(INDEX('register map'!B:B,C42-6)),IF(ISBLANK(INDEX('register map'!B:B,C42-7)),IF(ISBLANK(INDEX('register map'!B:B,C42-8)),"ERROR",INDEX('register map'!B:B,C42-8)),INDEX('register map'!B:B,C42-7)),INDEX('register map'!B:B,C42-6)),INDEX('register map'!B:B,C42-5)),INDEX('register map'!B:B,C42-4)),INDEX('register map'!B:B,C42-3)),INDEX('register map'!B:B,C42-2)),INDEX('register map'!B:B,C42-1)),INDEX('register map'!B:B,C42))</f>
        <v>0x25</v>
      </c>
      <c r="G42" s="117" t="str">
        <f>CONCATENATE(IF(ISNUMBER(INDEX('register map'!D:D,C42)),7,""),IF(ISNUMBER(INDEX('register map'!E:E,C42)),6,""),IF(ISNUMBER(INDEX('register map'!F:F,C42)),5,""),IF(ISNUMBER(INDEX('register map'!G:G,C42)),4,""),IF(ISNUMBER(INDEX('register map'!H:H,C42)),3,""),IF(ISNUMBER(INDEX('register map'!I:I,C42)),2,""),IF(ISNUMBER(INDEX('register map'!J:J,C42)),1,""),IF(ISNUMBER(INDEX('register map'!K:K,C42)),0,""))</f>
        <v>32</v>
      </c>
      <c r="H42" s="117" t="str">
        <f>RIGHT(INDEX('register map'!V:V,MATCH('Logical Group Generator'!B42,'register map'!L:L,0)),LEN(G42))</f>
        <v>11</v>
      </c>
      <c r="I42" s="117" t="str">
        <f>CONCATENATE(IF(ISNUMBER(INDEX('register map'!K:K,C42)),0,""),IF(ISNUMBER(INDEX('register map'!J:J,C42)),1,""),IF(ISNUMBER(INDEX('register map'!I:I,C42)),2,""),IF(ISNUMBER(INDEX('register map'!H:H,C42)),3,""),IF(ISNUMBER(INDEX('register map'!G:G,C42)),4,""),IF(ISNUMBER(INDEX('register map'!F:F,C42)),5,""),IF(ISNUMBER(INDEX('register map'!E:E,C42)),6,""),IF(ISNUMBER(INDEX('register map'!D:D,C42)),7,""))</f>
        <v>23</v>
      </c>
      <c r="J42" s="117" t="str">
        <f t="shared" si="7"/>
        <v>11</v>
      </c>
      <c r="K42" s="117" t="str">
        <f t="shared" si="0"/>
        <v/>
      </c>
      <c r="L42" s="117" t="str">
        <f t="shared" si="8"/>
        <v/>
      </c>
      <c r="M42" s="117" t="str">
        <f t="shared" si="10"/>
        <v/>
      </c>
      <c r="N42" s="117" t="str">
        <f>IF(ISBLANK(INDEX('register map'!M:M,'Logical Group Generator'!C42)),"No","Yes")</f>
        <v>No</v>
      </c>
      <c r="O42" s="117" t="str">
        <f>IF(NOT(ISBLANK(INDEX('register map'!N:N,'Logical Group Generator'!C42))),"Yes","")</f>
        <v/>
      </c>
      <c r="P42" s="117" t="str">
        <f t="shared" si="1"/>
        <v/>
      </c>
      <c r="Q42" s="117" t="str">
        <f t="shared" si="2"/>
        <v/>
      </c>
      <c r="R42" s="117" t="str">
        <f t="shared" si="3"/>
        <v/>
      </c>
      <c r="S42" s="117" t="str">
        <f t="shared" si="4"/>
        <v>No</v>
      </c>
      <c r="T42" s="117" t="str">
        <f t="shared" si="5"/>
        <v/>
      </c>
      <c r="U42" s="117" t="b">
        <f t="shared" si="9"/>
        <v>0</v>
      </c>
      <c r="V42" s="157" t="b">
        <f>INDEX('register map'!P:P,C42)="yes"</f>
        <v>1</v>
      </c>
      <c r="W42" s="157" t="str">
        <f t="shared" si="6"/>
        <v>FALSE</v>
      </c>
    </row>
    <row r="43" spans="2:23">
      <c r="B43" s="157" t="str">
        <f t="array" ref="B43">IF(ROWS($3:43)&lt;=COUNTA('register map'!$L$5:$L$902),INDEX('register map'!$L$5:$L$902,SMALL(IF('register map'!$L$5:$L$902&lt;&gt;"",ROW('register map'!$L$5:$L$902)-MIN(ROW('register map'!$L$5:$L$902))+1),ROWS($3:43))),"")</f>
        <v>BUCK4_SLP_EN</v>
      </c>
      <c r="C43" s="157">
        <f>IF(B43="PART_NUMBER",IF(COUNTIF($B$1:B42,"PART_NUMBER")=0,6,8),MATCH(B43,'register map'!L:L,0))</f>
        <v>51</v>
      </c>
      <c r="D43" s="117" t="str">
        <f>IF(ISBLANK(INDEX('register map'!C:C,'Logical Group Generator'!C43)),"No","Yes")</f>
        <v>No</v>
      </c>
      <c r="E43" s="117" t="str">
        <f>IF(ISBLANK(INDEX('register map'!A:A,C43)),IF(ISBLANK(INDEX('register map'!A:A,C43-1)),IF(ISBLANK(INDEX('register map'!A:A,C43-2)),IF(ISBLANK(INDEX('register map'!A:A,C43-3)),IF(ISBLANK(INDEX('register map'!A:A,C43-4)),IF(ISBLANK(INDEX('register map'!A:A,C43-5)),IF(ISBLANK(INDEX('register map'!A:A,C43-6)),IF(ISBLANK(INDEX('register map'!A:A,C43-7)),IF(ISBLANK(INDEX('register map'!A:A,C43-8)),"ERROR",INDEX('register map'!A:A,C43-8)),INDEX('register map'!A:A,C43-7)),INDEX('register map'!A:A,C43-6)),INDEX('register map'!A:A,C43-5)),INDEX('register map'!A:A,C43-4)),INDEX('register map'!A:A,C43-3)),INDEX('register map'!A:A,C43-2)),INDEX('register map'!A:A,C43-1)),INDEX('register map'!A:A,C43))</f>
        <v>0x5E</v>
      </c>
      <c r="F43" s="117" t="str">
        <f>IF(ISBLANK(INDEX('register map'!B:B,C43)),IF(ISBLANK(INDEX('register map'!B:B,C43-1)),IF(ISBLANK(INDEX('register map'!B:B,C43-2)),IF(ISBLANK(INDEX('register map'!B:B,C43-3)),IF(ISBLANK(INDEX('register map'!B:B,C43-4)),IF(ISBLANK(INDEX('register map'!B:B,C43-5)),IF(ISBLANK(INDEX('register map'!B:B,C43-6)),IF(ISBLANK(INDEX('register map'!B:B,C43-7)),IF(ISBLANK(INDEX('register map'!B:B,C43-8)),"ERROR",INDEX('register map'!B:B,C43-8)),INDEX('register map'!B:B,C43-7)),INDEX('register map'!B:B,C43-6)),INDEX('register map'!B:B,C43-5)),INDEX('register map'!B:B,C43-4)),INDEX('register map'!B:B,C43-3)),INDEX('register map'!B:B,C43-2)),INDEX('register map'!B:B,C43-1)),INDEX('register map'!B:B,C43))</f>
        <v>0x25</v>
      </c>
      <c r="G43" s="117" t="str">
        <f>CONCATENATE(IF(ISNUMBER(INDEX('register map'!D:D,C43)),7,""),IF(ISNUMBER(INDEX('register map'!E:E,C43)),6,""),IF(ISNUMBER(INDEX('register map'!F:F,C43)),5,""),IF(ISNUMBER(INDEX('register map'!G:G,C43)),4,""),IF(ISNUMBER(INDEX('register map'!H:H,C43)),3,""),IF(ISNUMBER(INDEX('register map'!I:I,C43)),2,""),IF(ISNUMBER(INDEX('register map'!J:J,C43)),1,""),IF(ISNUMBER(INDEX('register map'!K:K,C43)),0,""))</f>
        <v>54</v>
      </c>
      <c r="H43" s="117" t="str">
        <f>RIGHT(INDEX('register map'!V:V,MATCH('Logical Group Generator'!B43,'register map'!L:L,0)),LEN(G43))</f>
        <v>00</v>
      </c>
      <c r="I43" s="117" t="str">
        <f>CONCATENATE(IF(ISNUMBER(INDEX('register map'!K:K,C43)),0,""),IF(ISNUMBER(INDEX('register map'!J:J,C43)),1,""),IF(ISNUMBER(INDEX('register map'!I:I,C43)),2,""),IF(ISNUMBER(INDEX('register map'!H:H,C43)),3,""),IF(ISNUMBER(INDEX('register map'!G:G,C43)),4,""),IF(ISNUMBER(INDEX('register map'!F:F,C43)),5,""),IF(ISNUMBER(INDEX('register map'!E:E,C43)),6,""),IF(ISNUMBER(INDEX('register map'!D:D,C43)),7,""))</f>
        <v>45</v>
      </c>
      <c r="J43" s="117" t="str">
        <f t="shared" si="7"/>
        <v>00</v>
      </c>
      <c r="K43" s="117" t="str">
        <f t="shared" si="0"/>
        <v/>
      </c>
      <c r="L43" s="117" t="str">
        <f t="shared" si="8"/>
        <v/>
      </c>
      <c r="M43" s="117" t="str">
        <f t="shared" si="10"/>
        <v/>
      </c>
      <c r="N43" s="117" t="str">
        <f>IF(ISBLANK(INDEX('register map'!M:M,'Logical Group Generator'!C43)),"No","Yes")</f>
        <v>No</v>
      </c>
      <c r="O43" s="117" t="str">
        <f>IF(NOT(ISBLANK(INDEX('register map'!N:N,'Logical Group Generator'!C43))),"Yes","")</f>
        <v/>
      </c>
      <c r="P43" s="117" t="str">
        <f t="shared" si="1"/>
        <v/>
      </c>
      <c r="Q43" s="117" t="str">
        <f t="shared" si="2"/>
        <v/>
      </c>
      <c r="R43" s="117" t="str">
        <f t="shared" si="3"/>
        <v/>
      </c>
      <c r="S43" s="117" t="str">
        <f t="shared" si="4"/>
        <v>No</v>
      </c>
      <c r="T43" s="117" t="str">
        <f t="shared" si="5"/>
        <v/>
      </c>
      <c r="U43" s="117" t="b">
        <f t="shared" si="9"/>
        <v>0</v>
      </c>
      <c r="V43" s="157" t="b">
        <f>INDEX('register map'!P:P,C43)="yes"</f>
        <v>1</v>
      </c>
      <c r="W43" s="157" t="str">
        <f t="shared" si="6"/>
        <v>FALSE</v>
      </c>
    </row>
    <row r="44" spans="2:23">
      <c r="B44" s="157" t="str">
        <f t="array" ref="B44">IF(ROWS($3:44)&lt;=COUNTA('register map'!$L$5:$L$902),INDEX('register map'!$L$5:$L$902,SMALL(IF('register map'!$L$5:$L$902&lt;&gt;"",ROW('register map'!$L$5:$L$902)-MIN(ROW('register map'!$L$5:$L$902))+1),ROWS($3:44))),"")</f>
        <v>OTP_RSVD_5E_25_76</v>
      </c>
      <c r="C44" s="157">
        <f>IF(B44="PART_NUMBER",IF(COUNTIF($B$1:B43,"PART_NUMBER")=0,6,8),MATCH(B44,'register map'!L:L,0))</f>
        <v>52</v>
      </c>
      <c r="D44" s="117" t="str">
        <f>IF(ISBLANK(INDEX('register map'!C:C,'Logical Group Generator'!C44)),"No","Yes")</f>
        <v>No</v>
      </c>
      <c r="E44" s="117" t="str">
        <f>IF(ISBLANK(INDEX('register map'!A:A,C44)),IF(ISBLANK(INDEX('register map'!A:A,C44-1)),IF(ISBLANK(INDEX('register map'!A:A,C44-2)),IF(ISBLANK(INDEX('register map'!A:A,C44-3)),IF(ISBLANK(INDEX('register map'!A:A,C44-4)),IF(ISBLANK(INDEX('register map'!A:A,C44-5)),IF(ISBLANK(INDEX('register map'!A:A,C44-6)),IF(ISBLANK(INDEX('register map'!A:A,C44-7)),IF(ISBLANK(INDEX('register map'!A:A,C44-8)),"ERROR",INDEX('register map'!A:A,C44-8)),INDEX('register map'!A:A,C44-7)),INDEX('register map'!A:A,C44-6)),INDEX('register map'!A:A,C44-5)),INDEX('register map'!A:A,C44-4)),INDEX('register map'!A:A,C44-3)),INDEX('register map'!A:A,C44-2)),INDEX('register map'!A:A,C44-1)),INDEX('register map'!A:A,C44))</f>
        <v>0x5E</v>
      </c>
      <c r="F44" s="117" t="str">
        <f>IF(ISBLANK(INDEX('register map'!B:B,C44)),IF(ISBLANK(INDEX('register map'!B:B,C44-1)),IF(ISBLANK(INDEX('register map'!B:B,C44-2)),IF(ISBLANK(INDEX('register map'!B:B,C44-3)),IF(ISBLANK(INDEX('register map'!B:B,C44-4)),IF(ISBLANK(INDEX('register map'!B:B,C44-5)),IF(ISBLANK(INDEX('register map'!B:B,C44-6)),IF(ISBLANK(INDEX('register map'!B:B,C44-7)),IF(ISBLANK(INDEX('register map'!B:B,C44-8)),"ERROR",INDEX('register map'!B:B,C44-8)),INDEX('register map'!B:B,C44-7)),INDEX('register map'!B:B,C44-6)),INDEX('register map'!B:B,C44-5)),INDEX('register map'!B:B,C44-4)),INDEX('register map'!B:B,C44-3)),INDEX('register map'!B:B,C44-2)),INDEX('register map'!B:B,C44-1)),INDEX('register map'!B:B,C44))</f>
        <v>0x25</v>
      </c>
      <c r="G44" s="117" t="str">
        <f>CONCATENATE(IF(ISNUMBER(INDEX('register map'!D:D,C44)),7,""),IF(ISNUMBER(INDEX('register map'!E:E,C44)),6,""),IF(ISNUMBER(INDEX('register map'!F:F,C44)),5,""),IF(ISNUMBER(INDEX('register map'!G:G,C44)),4,""),IF(ISNUMBER(INDEX('register map'!H:H,C44)),3,""),IF(ISNUMBER(INDEX('register map'!I:I,C44)),2,""),IF(ISNUMBER(INDEX('register map'!J:J,C44)),1,""),IF(ISNUMBER(INDEX('register map'!K:K,C44)),0,""))</f>
        <v>76</v>
      </c>
      <c r="H44" s="117" t="str">
        <f>RIGHT(INDEX('register map'!V:V,MATCH('Logical Group Generator'!B44,'register map'!L:L,0)),LEN(G44))</f>
        <v>00</v>
      </c>
      <c r="I44" s="117" t="str">
        <f>CONCATENATE(IF(ISNUMBER(INDEX('register map'!K:K,C44)),0,""),IF(ISNUMBER(INDEX('register map'!J:J,C44)),1,""),IF(ISNUMBER(INDEX('register map'!I:I,C44)),2,""),IF(ISNUMBER(INDEX('register map'!H:H,C44)),3,""),IF(ISNUMBER(INDEX('register map'!G:G,C44)),4,""),IF(ISNUMBER(INDEX('register map'!F:F,C44)),5,""),IF(ISNUMBER(INDEX('register map'!E:E,C44)),6,""),IF(ISNUMBER(INDEX('register map'!D:D,C44)),7,""))</f>
        <v>67</v>
      </c>
      <c r="J44" s="117" t="str">
        <f t="shared" si="7"/>
        <v>00</v>
      </c>
      <c r="K44" s="117" t="str">
        <f t="shared" si="0"/>
        <v/>
      </c>
      <c r="L44" s="117" t="str">
        <f t="shared" si="8"/>
        <v/>
      </c>
      <c r="M44" s="117" t="str">
        <f t="shared" si="10"/>
        <v/>
      </c>
      <c r="N44" s="117" t="str">
        <f>IF(ISBLANK(INDEX('register map'!M:M,'Logical Group Generator'!C44)),"No","Yes")</f>
        <v>No</v>
      </c>
      <c r="O44" s="117" t="str">
        <f>IF(NOT(ISBLANK(INDEX('register map'!N:N,'Logical Group Generator'!C44))),"Yes","")</f>
        <v/>
      </c>
      <c r="P44" s="117" t="str">
        <f t="shared" si="1"/>
        <v/>
      </c>
      <c r="Q44" s="117" t="str">
        <f t="shared" si="2"/>
        <v/>
      </c>
      <c r="R44" s="117" t="str">
        <f t="shared" si="3"/>
        <v/>
      </c>
      <c r="S44" s="117" t="str">
        <f t="shared" si="4"/>
        <v>No</v>
      </c>
      <c r="T44" s="117" t="str">
        <f t="shared" si="5"/>
        <v/>
      </c>
      <c r="U44" s="117" t="b">
        <f t="shared" si="9"/>
        <v>0</v>
      </c>
      <c r="V44" s="157" t="b">
        <f>INDEX('register map'!P:P,C44)="yes"</f>
        <v>0</v>
      </c>
      <c r="W44" s="157" t="str">
        <f t="shared" si="6"/>
        <v>FALSE</v>
      </c>
    </row>
    <row r="45" spans="2:23">
      <c r="B45" s="157" t="str">
        <f t="array" ref="B45">IF(ROWS($3:45)&lt;=COUNTA('register map'!$L$5:$L$902),INDEX('register map'!$L$5:$L$902,SMALL(IF('register map'!$L$5:$L$902&lt;&gt;"",ROW('register map'!$L$5:$L$902)-MIN(ROW('register map'!$L$5:$L$902))+1),ROWS($3:45))),"")</f>
        <v>BUCK5CTRL</v>
      </c>
      <c r="C45" s="157">
        <f>IF(B45="PART_NUMBER",IF(COUNTIF($B$1:B44,"PART_NUMBER")=0,6,8),MATCH(B45,'register map'!L:L,0))</f>
        <v>53</v>
      </c>
      <c r="D45" s="117" t="str">
        <f>IF(ISBLANK(INDEX('register map'!C:C,'Logical Group Generator'!C45)),"No","Yes")</f>
        <v>Yes</v>
      </c>
      <c r="E45" s="117" t="str">
        <f>IF(ISBLANK(INDEX('register map'!A:A,C45)),IF(ISBLANK(INDEX('register map'!A:A,C45-1)),IF(ISBLANK(INDEX('register map'!A:A,C45-2)),IF(ISBLANK(INDEX('register map'!A:A,C45-3)),IF(ISBLANK(INDEX('register map'!A:A,C45-4)),IF(ISBLANK(INDEX('register map'!A:A,C45-5)),IF(ISBLANK(INDEX('register map'!A:A,C45-6)),IF(ISBLANK(INDEX('register map'!A:A,C45-7)),IF(ISBLANK(INDEX('register map'!A:A,C45-8)),"ERROR",INDEX('register map'!A:A,C45-8)),INDEX('register map'!A:A,C45-7)),INDEX('register map'!A:A,C45-6)),INDEX('register map'!A:A,C45-5)),INDEX('register map'!A:A,C45-4)),INDEX('register map'!A:A,C45-3)),INDEX('register map'!A:A,C45-2)),INDEX('register map'!A:A,C45-1)),INDEX('register map'!A:A,C45))</f>
        <v>0x5E</v>
      </c>
      <c r="F45" s="117" t="str">
        <f>IF(ISBLANK(INDEX('register map'!B:B,C45)),IF(ISBLANK(INDEX('register map'!B:B,C45-1)),IF(ISBLANK(INDEX('register map'!B:B,C45-2)),IF(ISBLANK(INDEX('register map'!B:B,C45-3)),IF(ISBLANK(INDEX('register map'!B:B,C45-4)),IF(ISBLANK(INDEX('register map'!B:B,C45-5)),IF(ISBLANK(INDEX('register map'!B:B,C45-6)),IF(ISBLANK(INDEX('register map'!B:B,C45-7)),IF(ISBLANK(INDEX('register map'!B:B,C45-8)),"ERROR",INDEX('register map'!B:B,C45-8)),INDEX('register map'!B:B,C45-7)),INDEX('register map'!B:B,C45-6)),INDEX('register map'!B:B,C45-5)),INDEX('register map'!B:B,C45-4)),INDEX('register map'!B:B,C45-3)),INDEX('register map'!B:B,C45-2)),INDEX('register map'!B:B,C45-1)),INDEX('register map'!B:B,C45))</f>
        <v>0x26</v>
      </c>
      <c r="G45" s="117" t="str">
        <f>CONCATENATE(IF(ISNUMBER(INDEX('register map'!D:D,C45)),7,""),IF(ISNUMBER(INDEX('register map'!E:E,C45)),6,""),IF(ISNUMBER(INDEX('register map'!F:F,C45)),5,""),IF(ISNUMBER(INDEX('register map'!G:G,C45)),4,""),IF(ISNUMBER(INDEX('register map'!H:H,C45)),3,""),IF(ISNUMBER(INDEX('register map'!I:I,C45)),2,""),IF(ISNUMBER(INDEX('register map'!J:J,C45)),1,""),IF(ISNUMBER(INDEX('register map'!K:K,C45)),0,""))</f>
        <v/>
      </c>
      <c r="H45" s="117" t="str">
        <f>RIGHT(INDEX('register map'!V:V,MATCH('Logical Group Generator'!B45,'register map'!L:L,0)),LEN(G45))</f>
        <v/>
      </c>
      <c r="I45" s="117" t="str">
        <f>CONCATENATE(IF(ISNUMBER(INDEX('register map'!K:K,C45)),0,""),IF(ISNUMBER(INDEX('register map'!J:J,C45)),1,""),IF(ISNUMBER(INDEX('register map'!I:I,C45)),2,""),IF(ISNUMBER(INDEX('register map'!H:H,C45)),3,""),IF(ISNUMBER(INDEX('register map'!G:G,C45)),4,""),IF(ISNUMBER(INDEX('register map'!F:F,C45)),5,""),IF(ISNUMBER(INDEX('register map'!E:E,C45)),6,""),IF(ISNUMBER(INDEX('register map'!D:D,C45)),7,""))</f>
        <v/>
      </c>
      <c r="J45" s="117" t="str">
        <f t="shared" si="7"/>
        <v/>
      </c>
      <c r="K45" s="117" t="str">
        <f t="shared" si="0"/>
        <v>01110000</v>
      </c>
      <c r="L45" s="117" t="str">
        <f t="shared" si="8"/>
        <v>00001110</v>
      </c>
      <c r="M45" s="117" t="str">
        <f t="shared" si="10"/>
        <v>0E</v>
      </c>
      <c r="N45" s="117" t="str">
        <f>IF(ISBLANK(INDEX('register map'!M:M,'Logical Group Generator'!C45)),"No","Yes")</f>
        <v>No</v>
      </c>
      <c r="O45" s="117" t="str">
        <f>IF(NOT(ISBLANK(INDEX('register map'!N:N,'Logical Group Generator'!C45))),"Yes","")</f>
        <v/>
      </c>
      <c r="P45" s="117" t="str">
        <f t="shared" si="1"/>
        <v>No</v>
      </c>
      <c r="Q45" s="117" t="str">
        <f t="shared" si="2"/>
        <v>No</v>
      </c>
      <c r="R45" s="117" t="str">
        <f t="shared" si="3"/>
        <v>No</v>
      </c>
      <c r="S45" s="117" t="str">
        <f t="shared" si="4"/>
        <v/>
      </c>
      <c r="T45" s="117" t="b">
        <f t="shared" si="5"/>
        <v>1</v>
      </c>
      <c r="U45" s="117" t="b">
        <f t="shared" si="9"/>
        <v>1</v>
      </c>
      <c r="V45" s="157" t="b">
        <f>INDEX('register map'!P:P,C45)="yes"</f>
        <v>1</v>
      </c>
      <c r="W45" s="157" t="str">
        <f t="shared" si="6"/>
        <v>REGISTER</v>
      </c>
    </row>
    <row r="46" spans="2:23">
      <c r="B46" s="157" t="str">
        <f t="array" ref="B46">IF(ROWS($3:46)&lt;=COUNTA('register map'!$L$5:$L$902),INDEX('register map'!$L$5:$L$902,SMALL(IF('register map'!$L$5:$L$902&lt;&gt;"",ROW('register map'!$L$5:$L$902)-MIN(ROW('register map'!$L$5:$L$902))+1),ROWS($3:46))),"")</f>
        <v>BUCK5_DIS</v>
      </c>
      <c r="C46" s="157">
        <f>IF(B46="PART_NUMBER",IF(COUNTIF($B$1:B45,"PART_NUMBER")=0,6,8),MATCH(B46,'register map'!L:L,0))</f>
        <v>54</v>
      </c>
      <c r="D46" s="117" t="str">
        <f>IF(ISBLANK(INDEX('register map'!C:C,'Logical Group Generator'!C46)),"No","Yes")</f>
        <v>No</v>
      </c>
      <c r="E46" s="117" t="str">
        <f>IF(ISBLANK(INDEX('register map'!A:A,C46)),IF(ISBLANK(INDEX('register map'!A:A,C46-1)),IF(ISBLANK(INDEX('register map'!A:A,C46-2)),IF(ISBLANK(INDEX('register map'!A:A,C46-3)),IF(ISBLANK(INDEX('register map'!A:A,C46-4)),IF(ISBLANK(INDEX('register map'!A:A,C46-5)),IF(ISBLANK(INDEX('register map'!A:A,C46-6)),IF(ISBLANK(INDEX('register map'!A:A,C46-7)),IF(ISBLANK(INDEX('register map'!A:A,C46-8)),"ERROR",INDEX('register map'!A:A,C46-8)),INDEX('register map'!A:A,C46-7)),INDEX('register map'!A:A,C46-6)),INDEX('register map'!A:A,C46-5)),INDEX('register map'!A:A,C46-4)),INDEX('register map'!A:A,C46-3)),INDEX('register map'!A:A,C46-2)),INDEX('register map'!A:A,C46-1)),INDEX('register map'!A:A,C46))</f>
        <v>0x5E</v>
      </c>
      <c r="F46" s="117" t="str">
        <f>IF(ISBLANK(INDEX('register map'!B:B,C46)),IF(ISBLANK(INDEX('register map'!B:B,C46-1)),IF(ISBLANK(INDEX('register map'!B:B,C46-2)),IF(ISBLANK(INDEX('register map'!B:B,C46-3)),IF(ISBLANK(INDEX('register map'!B:B,C46-4)),IF(ISBLANK(INDEX('register map'!B:B,C46-5)),IF(ISBLANK(INDEX('register map'!B:B,C46-6)),IF(ISBLANK(INDEX('register map'!B:B,C46-7)),IF(ISBLANK(INDEX('register map'!B:B,C46-8)),"ERROR",INDEX('register map'!B:B,C46-8)),INDEX('register map'!B:B,C46-7)),INDEX('register map'!B:B,C46-6)),INDEX('register map'!B:B,C46-5)),INDEX('register map'!B:B,C46-4)),INDEX('register map'!B:B,C46-3)),INDEX('register map'!B:B,C46-2)),INDEX('register map'!B:B,C46-1)),INDEX('register map'!B:B,C46))</f>
        <v>0x26</v>
      </c>
      <c r="G46" s="117" t="str">
        <f>CONCATENATE(IF(ISNUMBER(INDEX('register map'!D:D,C46)),7,""),IF(ISNUMBER(INDEX('register map'!E:E,C46)),6,""),IF(ISNUMBER(INDEX('register map'!F:F,C46)),5,""),IF(ISNUMBER(INDEX('register map'!G:G,C46)),4,""),IF(ISNUMBER(INDEX('register map'!H:H,C46)),3,""),IF(ISNUMBER(INDEX('register map'!I:I,C46)),2,""),IF(ISNUMBER(INDEX('register map'!J:J,C46)),1,""),IF(ISNUMBER(INDEX('register map'!K:K,C46)),0,""))</f>
        <v>0</v>
      </c>
      <c r="H46" s="117" t="str">
        <f>RIGHT(INDEX('register map'!V:V,MATCH('Logical Group Generator'!B46,'register map'!L:L,0)),LEN(G46))</f>
        <v>0</v>
      </c>
      <c r="I46" s="117" t="str">
        <f>CONCATENATE(IF(ISNUMBER(INDEX('register map'!K:K,C46)),0,""),IF(ISNUMBER(INDEX('register map'!J:J,C46)),1,""),IF(ISNUMBER(INDEX('register map'!I:I,C46)),2,""),IF(ISNUMBER(INDEX('register map'!H:H,C46)),3,""),IF(ISNUMBER(INDEX('register map'!G:G,C46)),4,""),IF(ISNUMBER(INDEX('register map'!F:F,C46)),5,""),IF(ISNUMBER(INDEX('register map'!E:E,C46)),6,""),IF(ISNUMBER(INDEX('register map'!D:D,C46)),7,""))</f>
        <v>0</v>
      </c>
      <c r="J46" s="117" t="str">
        <f t="shared" si="7"/>
        <v>0</v>
      </c>
      <c r="K46" s="117" t="str">
        <f t="shared" si="0"/>
        <v/>
      </c>
      <c r="L46" s="117" t="str">
        <f t="shared" si="8"/>
        <v/>
      </c>
      <c r="M46" s="117" t="str">
        <f t="shared" si="10"/>
        <v/>
      </c>
      <c r="N46" s="117" t="str">
        <f>IF(ISBLANK(INDEX('register map'!M:M,'Logical Group Generator'!C46)),"No","Yes")</f>
        <v>No</v>
      </c>
      <c r="O46" s="117" t="str">
        <f>IF(NOT(ISBLANK(INDEX('register map'!N:N,'Logical Group Generator'!C46))),"Yes","")</f>
        <v/>
      </c>
      <c r="P46" s="117" t="str">
        <f t="shared" si="1"/>
        <v/>
      </c>
      <c r="Q46" s="117" t="str">
        <f t="shared" si="2"/>
        <v/>
      </c>
      <c r="R46" s="117" t="str">
        <f t="shared" si="3"/>
        <v/>
      </c>
      <c r="S46" s="117" t="str">
        <f t="shared" si="4"/>
        <v>No</v>
      </c>
      <c r="T46" s="117" t="str">
        <f t="shared" si="5"/>
        <v/>
      </c>
      <c r="U46" s="117" t="b">
        <f t="shared" si="9"/>
        <v>0</v>
      </c>
      <c r="V46" s="157" t="b">
        <f>INDEX('register map'!P:P,C46)="yes"</f>
        <v>1</v>
      </c>
      <c r="W46" s="157" t="str">
        <f t="shared" si="6"/>
        <v>FALSE</v>
      </c>
    </row>
    <row r="47" spans="2:23">
      <c r="B47" s="157" t="str">
        <f t="array" ref="B47">IF(ROWS($3:47)&lt;=COUNTA('register map'!$L$5:$L$902),INDEX('register map'!$L$5:$L$902,SMALL(IF('register map'!$L$5:$L$902&lt;&gt;"",ROW('register map'!$L$5:$L$902)-MIN(ROW('register map'!$L$5:$L$902))+1),ROWS($3:47))),"")</f>
        <v>BUCK5_MODE</v>
      </c>
      <c r="C47" s="157">
        <f>IF(B47="PART_NUMBER",IF(COUNTIF($B$1:B46,"PART_NUMBER")=0,6,8),MATCH(B47,'register map'!L:L,0))</f>
        <v>55</v>
      </c>
      <c r="D47" s="117" t="str">
        <f>IF(ISBLANK(INDEX('register map'!C:C,'Logical Group Generator'!C47)),"No","Yes")</f>
        <v>No</v>
      </c>
      <c r="E47" s="117" t="str">
        <f>IF(ISBLANK(INDEX('register map'!A:A,C47)),IF(ISBLANK(INDEX('register map'!A:A,C47-1)),IF(ISBLANK(INDEX('register map'!A:A,C47-2)),IF(ISBLANK(INDEX('register map'!A:A,C47-3)),IF(ISBLANK(INDEX('register map'!A:A,C47-4)),IF(ISBLANK(INDEX('register map'!A:A,C47-5)),IF(ISBLANK(INDEX('register map'!A:A,C47-6)),IF(ISBLANK(INDEX('register map'!A:A,C47-7)),IF(ISBLANK(INDEX('register map'!A:A,C47-8)),"ERROR",INDEX('register map'!A:A,C47-8)),INDEX('register map'!A:A,C47-7)),INDEX('register map'!A:A,C47-6)),INDEX('register map'!A:A,C47-5)),INDEX('register map'!A:A,C47-4)),INDEX('register map'!A:A,C47-3)),INDEX('register map'!A:A,C47-2)),INDEX('register map'!A:A,C47-1)),INDEX('register map'!A:A,C47))</f>
        <v>0x5E</v>
      </c>
      <c r="F47" s="117" t="str">
        <f>IF(ISBLANK(INDEX('register map'!B:B,C47)),IF(ISBLANK(INDEX('register map'!B:B,C47-1)),IF(ISBLANK(INDEX('register map'!B:B,C47-2)),IF(ISBLANK(INDEX('register map'!B:B,C47-3)),IF(ISBLANK(INDEX('register map'!B:B,C47-4)),IF(ISBLANK(INDEX('register map'!B:B,C47-5)),IF(ISBLANK(INDEX('register map'!B:B,C47-6)),IF(ISBLANK(INDEX('register map'!B:B,C47-7)),IF(ISBLANK(INDEX('register map'!B:B,C47-8)),"ERROR",INDEX('register map'!B:B,C47-8)),INDEX('register map'!B:B,C47-7)),INDEX('register map'!B:B,C47-6)),INDEX('register map'!B:B,C47-5)),INDEX('register map'!B:B,C47-4)),INDEX('register map'!B:B,C47-3)),INDEX('register map'!B:B,C47-2)),INDEX('register map'!B:B,C47-1)),INDEX('register map'!B:B,C47))</f>
        <v>0x26</v>
      </c>
      <c r="G47" s="117" t="str">
        <f>CONCATENATE(IF(ISNUMBER(INDEX('register map'!D:D,C47)),7,""),IF(ISNUMBER(INDEX('register map'!E:E,C47)),6,""),IF(ISNUMBER(INDEX('register map'!F:F,C47)),5,""),IF(ISNUMBER(INDEX('register map'!G:G,C47)),4,""),IF(ISNUMBER(INDEX('register map'!H:H,C47)),3,""),IF(ISNUMBER(INDEX('register map'!I:I,C47)),2,""),IF(ISNUMBER(INDEX('register map'!J:J,C47)),1,""),IF(ISNUMBER(INDEX('register map'!K:K,C47)),0,""))</f>
        <v>1</v>
      </c>
      <c r="H47" s="117" t="str">
        <f>RIGHT(INDEX('register map'!V:V,MATCH('Logical Group Generator'!B47,'register map'!L:L,0)),LEN(G47))</f>
        <v>1</v>
      </c>
      <c r="I47" s="117" t="str">
        <f>CONCATENATE(IF(ISNUMBER(INDEX('register map'!K:K,C47)),0,""),IF(ISNUMBER(INDEX('register map'!J:J,C47)),1,""),IF(ISNUMBER(INDEX('register map'!I:I,C47)),2,""),IF(ISNUMBER(INDEX('register map'!H:H,C47)),3,""),IF(ISNUMBER(INDEX('register map'!G:G,C47)),4,""),IF(ISNUMBER(INDEX('register map'!F:F,C47)),5,""),IF(ISNUMBER(INDEX('register map'!E:E,C47)),6,""),IF(ISNUMBER(INDEX('register map'!D:D,C47)),7,""))</f>
        <v>1</v>
      </c>
      <c r="J47" s="117" t="str">
        <f t="shared" si="7"/>
        <v>1</v>
      </c>
      <c r="K47" s="117" t="str">
        <f t="shared" si="0"/>
        <v/>
      </c>
      <c r="L47" s="117" t="str">
        <f t="shared" si="8"/>
        <v/>
      </c>
      <c r="M47" s="117" t="str">
        <f t="shared" si="10"/>
        <v/>
      </c>
      <c r="N47" s="117" t="str">
        <f>IF(ISBLANK(INDEX('register map'!M:M,'Logical Group Generator'!C47)),"No","Yes")</f>
        <v>No</v>
      </c>
      <c r="O47" s="117" t="str">
        <f>IF(NOT(ISBLANK(INDEX('register map'!N:N,'Logical Group Generator'!C47))),"Yes","")</f>
        <v/>
      </c>
      <c r="P47" s="117" t="str">
        <f t="shared" si="1"/>
        <v/>
      </c>
      <c r="Q47" s="117" t="str">
        <f t="shared" si="2"/>
        <v/>
      </c>
      <c r="R47" s="117" t="str">
        <f t="shared" si="3"/>
        <v/>
      </c>
      <c r="S47" s="117" t="str">
        <f t="shared" si="4"/>
        <v>No</v>
      </c>
      <c r="T47" s="117" t="str">
        <f t="shared" si="5"/>
        <v/>
      </c>
      <c r="U47" s="117" t="b">
        <f t="shared" si="9"/>
        <v>0</v>
      </c>
      <c r="V47" s="157" t="b">
        <f>INDEX('register map'!P:P,C47)="yes"</f>
        <v>1</v>
      </c>
      <c r="W47" s="157" t="str">
        <f t="shared" si="6"/>
        <v>FALSE</v>
      </c>
    </row>
    <row r="48" spans="2:23">
      <c r="B48" s="157" t="str">
        <f t="array" ref="B48">IF(ROWS($3:48)&lt;=COUNTA('register map'!$L$5:$L$902),INDEX('register map'!$L$5:$L$902,SMALL(IF('register map'!$L$5:$L$902&lt;&gt;"",ROW('register map'!$L$5:$L$902)-MIN(ROW('register map'!$L$5:$L$902))+1),ROWS($3:48))),"")</f>
        <v>OTP_RSVD_5E_26_32</v>
      </c>
      <c r="C48" s="157">
        <f>IF(B48="PART_NUMBER",IF(COUNTIF($B$1:B47,"PART_NUMBER")=0,6,8),MATCH(B48,'register map'!L:L,0))</f>
        <v>56</v>
      </c>
      <c r="D48" s="117" t="str">
        <f>IF(ISBLANK(INDEX('register map'!C:C,'Logical Group Generator'!C48)),"No","Yes")</f>
        <v>No</v>
      </c>
      <c r="E48" s="117" t="str">
        <f>IF(ISBLANK(INDEX('register map'!A:A,C48)),IF(ISBLANK(INDEX('register map'!A:A,C48-1)),IF(ISBLANK(INDEX('register map'!A:A,C48-2)),IF(ISBLANK(INDEX('register map'!A:A,C48-3)),IF(ISBLANK(INDEX('register map'!A:A,C48-4)),IF(ISBLANK(INDEX('register map'!A:A,C48-5)),IF(ISBLANK(INDEX('register map'!A:A,C48-6)),IF(ISBLANK(INDEX('register map'!A:A,C48-7)),IF(ISBLANK(INDEX('register map'!A:A,C48-8)),"ERROR",INDEX('register map'!A:A,C48-8)),INDEX('register map'!A:A,C48-7)),INDEX('register map'!A:A,C48-6)),INDEX('register map'!A:A,C48-5)),INDEX('register map'!A:A,C48-4)),INDEX('register map'!A:A,C48-3)),INDEX('register map'!A:A,C48-2)),INDEX('register map'!A:A,C48-1)),INDEX('register map'!A:A,C48))</f>
        <v>0x5E</v>
      </c>
      <c r="F48" s="117" t="str">
        <f>IF(ISBLANK(INDEX('register map'!B:B,C48)),IF(ISBLANK(INDEX('register map'!B:B,C48-1)),IF(ISBLANK(INDEX('register map'!B:B,C48-2)),IF(ISBLANK(INDEX('register map'!B:B,C48-3)),IF(ISBLANK(INDEX('register map'!B:B,C48-4)),IF(ISBLANK(INDEX('register map'!B:B,C48-5)),IF(ISBLANK(INDEX('register map'!B:B,C48-6)),IF(ISBLANK(INDEX('register map'!B:B,C48-7)),IF(ISBLANK(INDEX('register map'!B:B,C48-8)),"ERROR",INDEX('register map'!B:B,C48-8)),INDEX('register map'!B:B,C48-7)),INDEX('register map'!B:B,C48-6)),INDEX('register map'!B:B,C48-5)),INDEX('register map'!B:B,C48-4)),INDEX('register map'!B:B,C48-3)),INDEX('register map'!B:B,C48-2)),INDEX('register map'!B:B,C48-1)),INDEX('register map'!B:B,C48))</f>
        <v>0x26</v>
      </c>
      <c r="G48" s="117" t="str">
        <f>CONCATENATE(IF(ISNUMBER(INDEX('register map'!D:D,C48)),7,""),IF(ISNUMBER(INDEX('register map'!E:E,C48)),6,""),IF(ISNUMBER(INDEX('register map'!F:F,C48)),5,""),IF(ISNUMBER(INDEX('register map'!G:G,C48)),4,""),IF(ISNUMBER(INDEX('register map'!H:H,C48)),3,""),IF(ISNUMBER(INDEX('register map'!I:I,C48)),2,""),IF(ISNUMBER(INDEX('register map'!J:J,C48)),1,""),IF(ISNUMBER(INDEX('register map'!K:K,C48)),0,""))</f>
        <v>32</v>
      </c>
      <c r="H48" s="117" t="str">
        <f>RIGHT(INDEX('register map'!V:V,MATCH('Logical Group Generator'!B48,'register map'!L:L,0)),LEN(G48))</f>
        <v>11</v>
      </c>
      <c r="I48" s="117" t="str">
        <f>CONCATENATE(IF(ISNUMBER(INDEX('register map'!K:K,C48)),0,""),IF(ISNUMBER(INDEX('register map'!J:J,C48)),1,""),IF(ISNUMBER(INDEX('register map'!I:I,C48)),2,""),IF(ISNUMBER(INDEX('register map'!H:H,C48)),3,""),IF(ISNUMBER(INDEX('register map'!G:G,C48)),4,""),IF(ISNUMBER(INDEX('register map'!F:F,C48)),5,""),IF(ISNUMBER(INDEX('register map'!E:E,C48)),6,""),IF(ISNUMBER(INDEX('register map'!D:D,C48)),7,""))</f>
        <v>23</v>
      </c>
      <c r="J48" s="117" t="str">
        <f t="shared" si="7"/>
        <v>11</v>
      </c>
      <c r="K48" s="117" t="str">
        <f t="shared" si="0"/>
        <v/>
      </c>
      <c r="L48" s="117" t="str">
        <f t="shared" si="8"/>
        <v/>
      </c>
      <c r="M48" s="117" t="str">
        <f t="shared" si="10"/>
        <v/>
      </c>
      <c r="N48" s="117" t="str">
        <f>IF(ISBLANK(INDEX('register map'!M:M,'Logical Group Generator'!C48)),"No","Yes")</f>
        <v>No</v>
      </c>
      <c r="O48" s="117" t="str">
        <f>IF(NOT(ISBLANK(INDEX('register map'!N:N,'Logical Group Generator'!C48))),"Yes","")</f>
        <v/>
      </c>
      <c r="P48" s="117" t="str">
        <f t="shared" si="1"/>
        <v/>
      </c>
      <c r="Q48" s="117" t="str">
        <f t="shared" si="2"/>
        <v/>
      </c>
      <c r="R48" s="117" t="str">
        <f t="shared" si="3"/>
        <v/>
      </c>
      <c r="S48" s="117" t="str">
        <f t="shared" si="4"/>
        <v>No</v>
      </c>
      <c r="T48" s="117" t="str">
        <f t="shared" si="5"/>
        <v/>
      </c>
      <c r="U48" s="117" t="b">
        <f t="shared" si="9"/>
        <v>0</v>
      </c>
      <c r="V48" s="157" t="b">
        <f>INDEX('register map'!P:P,C48)="yes"</f>
        <v>1</v>
      </c>
      <c r="W48" s="157" t="str">
        <f t="shared" si="6"/>
        <v>FALSE</v>
      </c>
    </row>
    <row r="49" spans="2:23">
      <c r="B49" s="157" t="str">
        <f t="array" ref="B49">IF(ROWS($3:49)&lt;=COUNTA('register map'!$L$5:$L$902),INDEX('register map'!$L$5:$L$902,SMALL(IF('register map'!$L$5:$L$902&lt;&gt;"",ROW('register map'!$L$5:$L$902)-MIN(ROW('register map'!$L$5:$L$902))+1),ROWS($3:49))),"")</f>
        <v>BUCK5_SLP_EN</v>
      </c>
      <c r="C49" s="157">
        <f>IF(B49="PART_NUMBER",IF(COUNTIF($B$1:B48,"PART_NUMBER")=0,6,8),MATCH(B49,'register map'!L:L,0))</f>
        <v>57</v>
      </c>
      <c r="D49" s="117" t="str">
        <f>IF(ISBLANK(INDEX('register map'!C:C,'Logical Group Generator'!C49)),"No","Yes")</f>
        <v>No</v>
      </c>
      <c r="E49" s="117" t="str">
        <f>IF(ISBLANK(INDEX('register map'!A:A,C49)),IF(ISBLANK(INDEX('register map'!A:A,C49-1)),IF(ISBLANK(INDEX('register map'!A:A,C49-2)),IF(ISBLANK(INDEX('register map'!A:A,C49-3)),IF(ISBLANK(INDEX('register map'!A:A,C49-4)),IF(ISBLANK(INDEX('register map'!A:A,C49-5)),IF(ISBLANK(INDEX('register map'!A:A,C49-6)),IF(ISBLANK(INDEX('register map'!A:A,C49-7)),IF(ISBLANK(INDEX('register map'!A:A,C49-8)),"ERROR",INDEX('register map'!A:A,C49-8)),INDEX('register map'!A:A,C49-7)),INDEX('register map'!A:A,C49-6)),INDEX('register map'!A:A,C49-5)),INDEX('register map'!A:A,C49-4)),INDEX('register map'!A:A,C49-3)),INDEX('register map'!A:A,C49-2)),INDEX('register map'!A:A,C49-1)),INDEX('register map'!A:A,C49))</f>
        <v>0x5E</v>
      </c>
      <c r="F49" s="117" t="str">
        <f>IF(ISBLANK(INDEX('register map'!B:B,C49)),IF(ISBLANK(INDEX('register map'!B:B,C49-1)),IF(ISBLANK(INDEX('register map'!B:B,C49-2)),IF(ISBLANK(INDEX('register map'!B:B,C49-3)),IF(ISBLANK(INDEX('register map'!B:B,C49-4)),IF(ISBLANK(INDEX('register map'!B:B,C49-5)),IF(ISBLANK(INDEX('register map'!B:B,C49-6)),IF(ISBLANK(INDEX('register map'!B:B,C49-7)),IF(ISBLANK(INDEX('register map'!B:B,C49-8)),"ERROR",INDEX('register map'!B:B,C49-8)),INDEX('register map'!B:B,C49-7)),INDEX('register map'!B:B,C49-6)),INDEX('register map'!B:B,C49-5)),INDEX('register map'!B:B,C49-4)),INDEX('register map'!B:B,C49-3)),INDEX('register map'!B:B,C49-2)),INDEX('register map'!B:B,C49-1)),INDEX('register map'!B:B,C49))</f>
        <v>0x26</v>
      </c>
      <c r="G49" s="117" t="str">
        <f>CONCATENATE(IF(ISNUMBER(INDEX('register map'!D:D,C49)),7,""),IF(ISNUMBER(INDEX('register map'!E:E,C49)),6,""),IF(ISNUMBER(INDEX('register map'!F:F,C49)),5,""),IF(ISNUMBER(INDEX('register map'!G:G,C49)),4,""),IF(ISNUMBER(INDEX('register map'!H:H,C49)),3,""),IF(ISNUMBER(INDEX('register map'!I:I,C49)),2,""),IF(ISNUMBER(INDEX('register map'!J:J,C49)),1,""),IF(ISNUMBER(INDEX('register map'!K:K,C49)),0,""))</f>
        <v>54</v>
      </c>
      <c r="H49" s="117" t="str">
        <f>RIGHT(INDEX('register map'!V:V,MATCH('Logical Group Generator'!B49,'register map'!L:L,0)),LEN(G49))</f>
        <v>00</v>
      </c>
      <c r="I49" s="117" t="str">
        <f>CONCATENATE(IF(ISNUMBER(INDEX('register map'!K:K,C49)),0,""),IF(ISNUMBER(INDEX('register map'!J:J,C49)),1,""),IF(ISNUMBER(INDEX('register map'!I:I,C49)),2,""),IF(ISNUMBER(INDEX('register map'!H:H,C49)),3,""),IF(ISNUMBER(INDEX('register map'!G:G,C49)),4,""),IF(ISNUMBER(INDEX('register map'!F:F,C49)),5,""),IF(ISNUMBER(INDEX('register map'!E:E,C49)),6,""),IF(ISNUMBER(INDEX('register map'!D:D,C49)),7,""))</f>
        <v>45</v>
      </c>
      <c r="J49" s="117" t="str">
        <f t="shared" si="7"/>
        <v>00</v>
      </c>
      <c r="K49" s="117" t="str">
        <f t="shared" si="0"/>
        <v/>
      </c>
      <c r="L49" s="117" t="str">
        <f t="shared" si="8"/>
        <v/>
      </c>
      <c r="M49" s="117" t="str">
        <f t="shared" si="10"/>
        <v/>
      </c>
      <c r="N49" s="117" t="str">
        <f>IF(ISBLANK(INDEX('register map'!M:M,'Logical Group Generator'!C49)),"No","Yes")</f>
        <v>No</v>
      </c>
      <c r="O49" s="117" t="str">
        <f>IF(NOT(ISBLANK(INDEX('register map'!N:N,'Logical Group Generator'!C49))),"Yes","")</f>
        <v/>
      </c>
      <c r="P49" s="117" t="str">
        <f t="shared" si="1"/>
        <v/>
      </c>
      <c r="Q49" s="117" t="str">
        <f t="shared" si="2"/>
        <v/>
      </c>
      <c r="R49" s="117" t="str">
        <f t="shared" si="3"/>
        <v/>
      </c>
      <c r="S49" s="117" t="str">
        <f t="shared" si="4"/>
        <v>No</v>
      </c>
      <c r="T49" s="117" t="str">
        <f t="shared" si="5"/>
        <v/>
      </c>
      <c r="U49" s="117" t="b">
        <f t="shared" si="9"/>
        <v>0</v>
      </c>
      <c r="V49" s="157" t="b">
        <f>INDEX('register map'!P:P,C49)="yes"</f>
        <v>1</v>
      </c>
      <c r="W49" s="157" t="str">
        <f t="shared" si="6"/>
        <v>FALSE</v>
      </c>
    </row>
    <row r="50" spans="2:23">
      <c r="B50" s="157" t="str">
        <f t="array" ref="B50">IF(ROWS($3:50)&lt;=COUNTA('register map'!$L$5:$L$902),INDEX('register map'!$L$5:$L$902,SMALL(IF('register map'!$L$5:$L$902&lt;&gt;"",ROW('register map'!$L$5:$L$902)-MIN(ROW('register map'!$L$5:$L$902))+1),ROWS($3:50))),"")</f>
        <v>OTP_RSVD_5E_26_76</v>
      </c>
      <c r="C50" s="157">
        <f>IF(B50="PART_NUMBER",IF(COUNTIF($B$1:B49,"PART_NUMBER")=0,6,8),MATCH(B50,'register map'!L:L,0))</f>
        <v>58</v>
      </c>
      <c r="D50" s="117" t="str">
        <f>IF(ISBLANK(INDEX('register map'!C:C,'Logical Group Generator'!C50)),"No","Yes")</f>
        <v>No</v>
      </c>
      <c r="E50" s="117" t="str">
        <f>IF(ISBLANK(INDEX('register map'!A:A,C50)),IF(ISBLANK(INDEX('register map'!A:A,C50-1)),IF(ISBLANK(INDEX('register map'!A:A,C50-2)),IF(ISBLANK(INDEX('register map'!A:A,C50-3)),IF(ISBLANK(INDEX('register map'!A:A,C50-4)),IF(ISBLANK(INDEX('register map'!A:A,C50-5)),IF(ISBLANK(INDEX('register map'!A:A,C50-6)),IF(ISBLANK(INDEX('register map'!A:A,C50-7)),IF(ISBLANK(INDEX('register map'!A:A,C50-8)),"ERROR",INDEX('register map'!A:A,C50-8)),INDEX('register map'!A:A,C50-7)),INDEX('register map'!A:A,C50-6)),INDEX('register map'!A:A,C50-5)),INDEX('register map'!A:A,C50-4)),INDEX('register map'!A:A,C50-3)),INDEX('register map'!A:A,C50-2)),INDEX('register map'!A:A,C50-1)),INDEX('register map'!A:A,C50))</f>
        <v>0x5E</v>
      </c>
      <c r="F50" s="117" t="str">
        <f>IF(ISBLANK(INDEX('register map'!B:B,C50)),IF(ISBLANK(INDEX('register map'!B:B,C50-1)),IF(ISBLANK(INDEX('register map'!B:B,C50-2)),IF(ISBLANK(INDEX('register map'!B:B,C50-3)),IF(ISBLANK(INDEX('register map'!B:B,C50-4)),IF(ISBLANK(INDEX('register map'!B:B,C50-5)),IF(ISBLANK(INDEX('register map'!B:B,C50-6)),IF(ISBLANK(INDEX('register map'!B:B,C50-7)),IF(ISBLANK(INDEX('register map'!B:B,C50-8)),"ERROR",INDEX('register map'!B:B,C50-8)),INDEX('register map'!B:B,C50-7)),INDEX('register map'!B:B,C50-6)),INDEX('register map'!B:B,C50-5)),INDEX('register map'!B:B,C50-4)),INDEX('register map'!B:B,C50-3)),INDEX('register map'!B:B,C50-2)),INDEX('register map'!B:B,C50-1)),INDEX('register map'!B:B,C50))</f>
        <v>0x26</v>
      </c>
      <c r="G50" s="117" t="str">
        <f>CONCATENATE(IF(ISNUMBER(INDEX('register map'!D:D,C50)),7,""),IF(ISNUMBER(INDEX('register map'!E:E,C50)),6,""),IF(ISNUMBER(INDEX('register map'!F:F,C50)),5,""),IF(ISNUMBER(INDEX('register map'!G:G,C50)),4,""),IF(ISNUMBER(INDEX('register map'!H:H,C50)),3,""),IF(ISNUMBER(INDEX('register map'!I:I,C50)),2,""),IF(ISNUMBER(INDEX('register map'!J:J,C50)),1,""),IF(ISNUMBER(INDEX('register map'!K:K,C50)),0,""))</f>
        <v>76</v>
      </c>
      <c r="H50" s="117" t="str">
        <f>RIGHT(INDEX('register map'!V:V,MATCH('Logical Group Generator'!B50,'register map'!L:L,0)),LEN(G50))</f>
        <v>00</v>
      </c>
      <c r="I50" s="117" t="str">
        <f>CONCATENATE(IF(ISNUMBER(INDEX('register map'!K:K,C50)),0,""),IF(ISNUMBER(INDEX('register map'!J:J,C50)),1,""),IF(ISNUMBER(INDEX('register map'!I:I,C50)),2,""),IF(ISNUMBER(INDEX('register map'!H:H,C50)),3,""),IF(ISNUMBER(INDEX('register map'!G:G,C50)),4,""),IF(ISNUMBER(INDEX('register map'!F:F,C50)),5,""),IF(ISNUMBER(INDEX('register map'!E:E,C50)),6,""),IF(ISNUMBER(INDEX('register map'!D:D,C50)),7,""))</f>
        <v>67</v>
      </c>
      <c r="J50" s="117" t="str">
        <f t="shared" si="7"/>
        <v>00</v>
      </c>
      <c r="K50" s="117" t="str">
        <f t="shared" si="0"/>
        <v/>
      </c>
      <c r="L50" s="117" t="str">
        <f t="shared" si="8"/>
        <v/>
      </c>
      <c r="M50" s="117" t="str">
        <f t="shared" si="10"/>
        <v/>
      </c>
      <c r="N50" s="117" t="str">
        <f>IF(ISBLANK(INDEX('register map'!M:M,'Logical Group Generator'!C50)),"No","Yes")</f>
        <v>No</v>
      </c>
      <c r="O50" s="117" t="str">
        <f>IF(NOT(ISBLANK(INDEX('register map'!N:N,'Logical Group Generator'!C50))),"Yes","")</f>
        <v/>
      </c>
      <c r="P50" s="117" t="str">
        <f t="shared" si="1"/>
        <v/>
      </c>
      <c r="Q50" s="117" t="str">
        <f t="shared" si="2"/>
        <v/>
      </c>
      <c r="R50" s="117" t="str">
        <f t="shared" si="3"/>
        <v/>
      </c>
      <c r="S50" s="117" t="str">
        <f t="shared" si="4"/>
        <v>No</v>
      </c>
      <c r="T50" s="117" t="str">
        <f t="shared" si="5"/>
        <v/>
      </c>
      <c r="U50" s="117" t="b">
        <f t="shared" si="9"/>
        <v>0</v>
      </c>
      <c r="V50" s="157" t="b">
        <f>INDEX('register map'!P:P,C50)="yes"</f>
        <v>0</v>
      </c>
      <c r="W50" s="157" t="str">
        <f t="shared" si="6"/>
        <v>FALSE</v>
      </c>
    </row>
    <row r="51" spans="2:23">
      <c r="B51" s="157" t="str">
        <f t="array" ref="B51">IF(ROWS($3:51)&lt;=COUNTA('register map'!$L$5:$L$902),INDEX('register map'!$L$5:$L$902,SMALL(IF('register map'!$L$5:$L$902&lt;&gt;"",ROW('register map'!$L$5:$L$902)-MIN(ROW('register map'!$L$5:$L$902))+1),ROWS($3:51))),"")</f>
        <v>BUCK6CTRL</v>
      </c>
      <c r="C51" s="157">
        <f>IF(B51="PART_NUMBER",IF(COUNTIF($B$1:B50,"PART_NUMBER")=0,6,8),MATCH(B51,'register map'!L:L,0))</f>
        <v>59</v>
      </c>
      <c r="D51" s="117" t="str">
        <f>IF(ISBLANK(INDEX('register map'!C:C,'Logical Group Generator'!C51)),"No","Yes")</f>
        <v>Yes</v>
      </c>
      <c r="E51" s="117" t="str">
        <f>IF(ISBLANK(INDEX('register map'!A:A,C51)),IF(ISBLANK(INDEX('register map'!A:A,C51-1)),IF(ISBLANK(INDEX('register map'!A:A,C51-2)),IF(ISBLANK(INDEX('register map'!A:A,C51-3)),IF(ISBLANK(INDEX('register map'!A:A,C51-4)),IF(ISBLANK(INDEX('register map'!A:A,C51-5)),IF(ISBLANK(INDEX('register map'!A:A,C51-6)),IF(ISBLANK(INDEX('register map'!A:A,C51-7)),IF(ISBLANK(INDEX('register map'!A:A,C51-8)),"ERROR",INDEX('register map'!A:A,C51-8)),INDEX('register map'!A:A,C51-7)),INDEX('register map'!A:A,C51-6)),INDEX('register map'!A:A,C51-5)),INDEX('register map'!A:A,C51-4)),INDEX('register map'!A:A,C51-3)),INDEX('register map'!A:A,C51-2)),INDEX('register map'!A:A,C51-1)),INDEX('register map'!A:A,C51))</f>
        <v>0x5E</v>
      </c>
      <c r="F51" s="117" t="str">
        <f>IF(ISBLANK(INDEX('register map'!B:B,C51)),IF(ISBLANK(INDEX('register map'!B:B,C51-1)),IF(ISBLANK(INDEX('register map'!B:B,C51-2)),IF(ISBLANK(INDEX('register map'!B:B,C51-3)),IF(ISBLANK(INDEX('register map'!B:B,C51-4)),IF(ISBLANK(INDEX('register map'!B:B,C51-5)),IF(ISBLANK(INDEX('register map'!B:B,C51-6)),IF(ISBLANK(INDEX('register map'!B:B,C51-7)),IF(ISBLANK(INDEX('register map'!B:B,C51-8)),"ERROR",INDEX('register map'!B:B,C51-8)),INDEX('register map'!B:B,C51-7)),INDEX('register map'!B:B,C51-6)),INDEX('register map'!B:B,C51-5)),INDEX('register map'!B:B,C51-4)),INDEX('register map'!B:B,C51-3)),INDEX('register map'!B:B,C51-2)),INDEX('register map'!B:B,C51-1)),INDEX('register map'!B:B,C51))</f>
        <v>0x27</v>
      </c>
      <c r="G51" s="117" t="str">
        <f>CONCATENATE(IF(ISNUMBER(INDEX('register map'!D:D,C51)),7,""),IF(ISNUMBER(INDEX('register map'!E:E,C51)),6,""),IF(ISNUMBER(INDEX('register map'!F:F,C51)),5,""),IF(ISNUMBER(INDEX('register map'!G:G,C51)),4,""),IF(ISNUMBER(INDEX('register map'!H:H,C51)),3,""),IF(ISNUMBER(INDEX('register map'!I:I,C51)),2,""),IF(ISNUMBER(INDEX('register map'!J:J,C51)),1,""),IF(ISNUMBER(INDEX('register map'!K:K,C51)),0,""))</f>
        <v/>
      </c>
      <c r="H51" s="117" t="str">
        <f>RIGHT(INDEX('register map'!V:V,MATCH('Logical Group Generator'!B51,'register map'!L:L,0)),LEN(G51))</f>
        <v/>
      </c>
      <c r="I51" s="117" t="str">
        <f>CONCATENATE(IF(ISNUMBER(INDEX('register map'!K:K,C51)),0,""),IF(ISNUMBER(INDEX('register map'!J:J,C51)),1,""),IF(ISNUMBER(INDEX('register map'!I:I,C51)),2,""),IF(ISNUMBER(INDEX('register map'!H:H,C51)),3,""),IF(ISNUMBER(INDEX('register map'!G:G,C51)),4,""),IF(ISNUMBER(INDEX('register map'!F:F,C51)),5,""),IF(ISNUMBER(INDEX('register map'!E:E,C51)),6,""),IF(ISNUMBER(INDEX('register map'!D:D,C51)),7,""))</f>
        <v/>
      </c>
      <c r="J51" s="117" t="str">
        <f t="shared" si="7"/>
        <v/>
      </c>
      <c r="K51" s="117" t="str">
        <f t="shared" si="0"/>
        <v>11110000</v>
      </c>
      <c r="L51" s="117" t="str">
        <f t="shared" si="8"/>
        <v>00001111</v>
      </c>
      <c r="M51" s="117" t="str">
        <f t="shared" si="10"/>
        <v>0F</v>
      </c>
      <c r="N51" s="117" t="str">
        <f>IF(ISBLANK(INDEX('register map'!M:M,'Logical Group Generator'!C51)),"No","Yes")</f>
        <v>No</v>
      </c>
      <c r="O51" s="117" t="str">
        <f>IF(NOT(ISBLANK(INDEX('register map'!N:N,'Logical Group Generator'!C51))),"Yes","")</f>
        <v/>
      </c>
      <c r="P51" s="117" t="str">
        <f t="shared" si="1"/>
        <v>No</v>
      </c>
      <c r="Q51" s="117" t="str">
        <f t="shared" si="2"/>
        <v>No</v>
      </c>
      <c r="R51" s="117" t="str">
        <f t="shared" si="3"/>
        <v>No</v>
      </c>
      <c r="S51" s="117" t="str">
        <f t="shared" si="4"/>
        <v/>
      </c>
      <c r="T51" s="117" t="b">
        <f t="shared" si="5"/>
        <v>1</v>
      </c>
      <c r="U51" s="117" t="b">
        <f t="shared" si="9"/>
        <v>1</v>
      </c>
      <c r="V51" s="157" t="b">
        <f>INDEX('register map'!P:P,C51)="yes"</f>
        <v>1</v>
      </c>
      <c r="W51" s="157" t="str">
        <f t="shared" si="6"/>
        <v>REGISTER</v>
      </c>
    </row>
    <row r="52" spans="2:23">
      <c r="B52" s="157" t="str">
        <f t="array" ref="B52">IF(ROWS($3:52)&lt;=COUNTA('register map'!$L$5:$L$902),INDEX('register map'!$L$5:$L$902,SMALL(IF('register map'!$L$5:$L$902&lt;&gt;"",ROW('register map'!$L$5:$L$902)-MIN(ROW('register map'!$L$5:$L$902))+1),ROWS($3:52))),"")</f>
        <v>BUCK6_DIS</v>
      </c>
      <c r="C52" s="157">
        <f>IF(B52="PART_NUMBER",IF(COUNTIF($B$1:B51,"PART_NUMBER")=0,6,8),MATCH(B52,'register map'!L:L,0))</f>
        <v>60</v>
      </c>
      <c r="D52" s="117" t="str">
        <f>IF(ISBLANK(INDEX('register map'!C:C,'Logical Group Generator'!C52)),"No","Yes")</f>
        <v>No</v>
      </c>
      <c r="E52" s="117" t="str">
        <f>IF(ISBLANK(INDEX('register map'!A:A,C52)),IF(ISBLANK(INDEX('register map'!A:A,C52-1)),IF(ISBLANK(INDEX('register map'!A:A,C52-2)),IF(ISBLANK(INDEX('register map'!A:A,C52-3)),IF(ISBLANK(INDEX('register map'!A:A,C52-4)),IF(ISBLANK(INDEX('register map'!A:A,C52-5)),IF(ISBLANK(INDEX('register map'!A:A,C52-6)),IF(ISBLANK(INDEX('register map'!A:A,C52-7)),IF(ISBLANK(INDEX('register map'!A:A,C52-8)),"ERROR",INDEX('register map'!A:A,C52-8)),INDEX('register map'!A:A,C52-7)),INDEX('register map'!A:A,C52-6)),INDEX('register map'!A:A,C52-5)),INDEX('register map'!A:A,C52-4)),INDEX('register map'!A:A,C52-3)),INDEX('register map'!A:A,C52-2)),INDEX('register map'!A:A,C52-1)),INDEX('register map'!A:A,C52))</f>
        <v>0x5E</v>
      </c>
      <c r="F52" s="117" t="str">
        <f>IF(ISBLANK(INDEX('register map'!B:B,C52)),IF(ISBLANK(INDEX('register map'!B:B,C52-1)),IF(ISBLANK(INDEX('register map'!B:B,C52-2)),IF(ISBLANK(INDEX('register map'!B:B,C52-3)),IF(ISBLANK(INDEX('register map'!B:B,C52-4)),IF(ISBLANK(INDEX('register map'!B:B,C52-5)),IF(ISBLANK(INDEX('register map'!B:B,C52-6)),IF(ISBLANK(INDEX('register map'!B:B,C52-7)),IF(ISBLANK(INDEX('register map'!B:B,C52-8)),"ERROR",INDEX('register map'!B:B,C52-8)),INDEX('register map'!B:B,C52-7)),INDEX('register map'!B:B,C52-6)),INDEX('register map'!B:B,C52-5)),INDEX('register map'!B:B,C52-4)),INDEX('register map'!B:B,C52-3)),INDEX('register map'!B:B,C52-2)),INDEX('register map'!B:B,C52-1)),INDEX('register map'!B:B,C52))</f>
        <v>0x27</v>
      </c>
      <c r="G52" s="117" t="str">
        <f>CONCATENATE(IF(ISNUMBER(INDEX('register map'!D:D,C52)),7,""),IF(ISNUMBER(INDEX('register map'!E:E,C52)),6,""),IF(ISNUMBER(INDEX('register map'!F:F,C52)),5,""),IF(ISNUMBER(INDEX('register map'!G:G,C52)),4,""),IF(ISNUMBER(INDEX('register map'!H:H,C52)),3,""),IF(ISNUMBER(INDEX('register map'!I:I,C52)),2,""),IF(ISNUMBER(INDEX('register map'!J:J,C52)),1,""),IF(ISNUMBER(INDEX('register map'!K:K,C52)),0,""))</f>
        <v>0</v>
      </c>
      <c r="H52" s="117" t="str">
        <f>RIGHT(INDEX('register map'!V:V,MATCH('Logical Group Generator'!B52,'register map'!L:L,0)),LEN(G52))</f>
        <v>1</v>
      </c>
      <c r="I52" s="117" t="str">
        <f>CONCATENATE(IF(ISNUMBER(INDEX('register map'!K:K,C52)),0,""),IF(ISNUMBER(INDEX('register map'!J:J,C52)),1,""),IF(ISNUMBER(INDEX('register map'!I:I,C52)),2,""),IF(ISNUMBER(INDEX('register map'!H:H,C52)),3,""),IF(ISNUMBER(INDEX('register map'!G:G,C52)),4,""),IF(ISNUMBER(INDEX('register map'!F:F,C52)),5,""),IF(ISNUMBER(INDEX('register map'!E:E,C52)),6,""),IF(ISNUMBER(INDEX('register map'!D:D,C52)),7,""))</f>
        <v>0</v>
      </c>
      <c r="J52" s="117" t="str">
        <f t="shared" si="7"/>
        <v>1</v>
      </c>
      <c r="K52" s="117" t="str">
        <f t="shared" si="0"/>
        <v/>
      </c>
      <c r="L52" s="117" t="str">
        <f t="shared" si="8"/>
        <v/>
      </c>
      <c r="M52" s="117" t="str">
        <f t="shared" si="10"/>
        <v/>
      </c>
      <c r="N52" s="117" t="str">
        <f>IF(ISBLANK(INDEX('register map'!M:M,'Logical Group Generator'!C52)),"No","Yes")</f>
        <v>No</v>
      </c>
      <c r="O52" s="117" t="str">
        <f>IF(NOT(ISBLANK(INDEX('register map'!N:N,'Logical Group Generator'!C52))),"Yes","")</f>
        <v/>
      </c>
      <c r="P52" s="117" t="str">
        <f t="shared" si="1"/>
        <v/>
      </c>
      <c r="Q52" s="117" t="str">
        <f t="shared" si="2"/>
        <v/>
      </c>
      <c r="R52" s="117" t="str">
        <f t="shared" si="3"/>
        <v/>
      </c>
      <c r="S52" s="117" t="str">
        <f t="shared" si="4"/>
        <v>No</v>
      </c>
      <c r="T52" s="117" t="str">
        <f t="shared" si="5"/>
        <v/>
      </c>
      <c r="U52" s="117" t="b">
        <f t="shared" si="9"/>
        <v>0</v>
      </c>
      <c r="V52" s="157" t="b">
        <f>INDEX('register map'!P:P,C52)="yes"</f>
        <v>1</v>
      </c>
      <c r="W52" s="157" t="str">
        <f t="shared" si="6"/>
        <v>FALSE</v>
      </c>
    </row>
    <row r="53" spans="2:23">
      <c r="B53" s="157" t="str">
        <f t="array" ref="B53">IF(ROWS($3:53)&lt;=COUNTA('register map'!$L$5:$L$902),INDEX('register map'!$L$5:$L$902,SMALL(IF('register map'!$L$5:$L$902&lt;&gt;"",ROW('register map'!$L$5:$L$902)-MIN(ROW('register map'!$L$5:$L$902))+1),ROWS($3:53))),"")</f>
        <v>BUCK6_MODE</v>
      </c>
      <c r="C53" s="157">
        <f>IF(B53="PART_NUMBER",IF(COUNTIF($B$1:B52,"PART_NUMBER")=0,6,8),MATCH(B53,'register map'!L:L,0))</f>
        <v>61</v>
      </c>
      <c r="D53" s="117" t="str">
        <f>IF(ISBLANK(INDEX('register map'!C:C,'Logical Group Generator'!C53)),"No","Yes")</f>
        <v>No</v>
      </c>
      <c r="E53" s="117" t="str">
        <f>IF(ISBLANK(INDEX('register map'!A:A,C53)),IF(ISBLANK(INDEX('register map'!A:A,C53-1)),IF(ISBLANK(INDEX('register map'!A:A,C53-2)),IF(ISBLANK(INDEX('register map'!A:A,C53-3)),IF(ISBLANK(INDEX('register map'!A:A,C53-4)),IF(ISBLANK(INDEX('register map'!A:A,C53-5)),IF(ISBLANK(INDEX('register map'!A:A,C53-6)),IF(ISBLANK(INDEX('register map'!A:A,C53-7)),IF(ISBLANK(INDEX('register map'!A:A,C53-8)),"ERROR",INDEX('register map'!A:A,C53-8)),INDEX('register map'!A:A,C53-7)),INDEX('register map'!A:A,C53-6)),INDEX('register map'!A:A,C53-5)),INDEX('register map'!A:A,C53-4)),INDEX('register map'!A:A,C53-3)),INDEX('register map'!A:A,C53-2)),INDEX('register map'!A:A,C53-1)),INDEX('register map'!A:A,C53))</f>
        <v>0x5E</v>
      </c>
      <c r="F53" s="117" t="str">
        <f>IF(ISBLANK(INDEX('register map'!B:B,C53)),IF(ISBLANK(INDEX('register map'!B:B,C53-1)),IF(ISBLANK(INDEX('register map'!B:B,C53-2)),IF(ISBLANK(INDEX('register map'!B:B,C53-3)),IF(ISBLANK(INDEX('register map'!B:B,C53-4)),IF(ISBLANK(INDEX('register map'!B:B,C53-5)),IF(ISBLANK(INDEX('register map'!B:B,C53-6)),IF(ISBLANK(INDEX('register map'!B:B,C53-7)),IF(ISBLANK(INDEX('register map'!B:B,C53-8)),"ERROR",INDEX('register map'!B:B,C53-8)),INDEX('register map'!B:B,C53-7)),INDEX('register map'!B:B,C53-6)),INDEX('register map'!B:B,C53-5)),INDEX('register map'!B:B,C53-4)),INDEX('register map'!B:B,C53-3)),INDEX('register map'!B:B,C53-2)),INDEX('register map'!B:B,C53-1)),INDEX('register map'!B:B,C53))</f>
        <v>0x27</v>
      </c>
      <c r="G53" s="117" t="str">
        <f>CONCATENATE(IF(ISNUMBER(INDEX('register map'!D:D,C53)),7,""),IF(ISNUMBER(INDEX('register map'!E:E,C53)),6,""),IF(ISNUMBER(INDEX('register map'!F:F,C53)),5,""),IF(ISNUMBER(INDEX('register map'!G:G,C53)),4,""),IF(ISNUMBER(INDEX('register map'!H:H,C53)),3,""),IF(ISNUMBER(INDEX('register map'!I:I,C53)),2,""),IF(ISNUMBER(INDEX('register map'!J:J,C53)),1,""),IF(ISNUMBER(INDEX('register map'!K:K,C53)),0,""))</f>
        <v>1</v>
      </c>
      <c r="H53" s="117" t="str">
        <f>RIGHT(INDEX('register map'!V:V,MATCH('Logical Group Generator'!B53,'register map'!L:L,0)),LEN(G53))</f>
        <v>1</v>
      </c>
      <c r="I53" s="117" t="str">
        <f>CONCATENATE(IF(ISNUMBER(INDEX('register map'!K:K,C53)),0,""),IF(ISNUMBER(INDEX('register map'!J:J,C53)),1,""),IF(ISNUMBER(INDEX('register map'!I:I,C53)),2,""),IF(ISNUMBER(INDEX('register map'!H:H,C53)),3,""),IF(ISNUMBER(INDEX('register map'!G:G,C53)),4,""),IF(ISNUMBER(INDEX('register map'!F:F,C53)),5,""),IF(ISNUMBER(INDEX('register map'!E:E,C53)),6,""),IF(ISNUMBER(INDEX('register map'!D:D,C53)),7,""))</f>
        <v>1</v>
      </c>
      <c r="J53" s="117" t="str">
        <f t="shared" si="7"/>
        <v>1</v>
      </c>
      <c r="K53" s="117" t="str">
        <f t="shared" si="0"/>
        <v/>
      </c>
      <c r="L53" s="117" t="str">
        <f t="shared" si="8"/>
        <v/>
      </c>
      <c r="M53" s="117" t="str">
        <f t="shared" si="10"/>
        <v/>
      </c>
      <c r="N53" s="117" t="str">
        <f>IF(ISBLANK(INDEX('register map'!M:M,'Logical Group Generator'!C53)),"No","Yes")</f>
        <v>No</v>
      </c>
      <c r="O53" s="117" t="str">
        <f>IF(NOT(ISBLANK(INDEX('register map'!N:N,'Logical Group Generator'!C53))),"Yes","")</f>
        <v/>
      </c>
      <c r="P53" s="117" t="str">
        <f t="shared" si="1"/>
        <v/>
      </c>
      <c r="Q53" s="117" t="str">
        <f t="shared" si="2"/>
        <v/>
      </c>
      <c r="R53" s="117" t="str">
        <f t="shared" si="3"/>
        <v/>
      </c>
      <c r="S53" s="117" t="str">
        <f t="shared" si="4"/>
        <v>No</v>
      </c>
      <c r="T53" s="117" t="str">
        <f t="shared" si="5"/>
        <v/>
      </c>
      <c r="U53" s="117" t="b">
        <f t="shared" si="9"/>
        <v>0</v>
      </c>
      <c r="V53" s="157" t="b">
        <f>INDEX('register map'!P:P,C53)="yes"</f>
        <v>1</v>
      </c>
      <c r="W53" s="157" t="str">
        <f t="shared" si="6"/>
        <v>FALSE</v>
      </c>
    </row>
    <row r="54" spans="2:23">
      <c r="B54" s="157" t="str">
        <f t="array" ref="B54">IF(ROWS($3:54)&lt;=COUNTA('register map'!$L$5:$L$902),INDEX('register map'!$L$5:$L$902,SMALL(IF('register map'!$L$5:$L$902&lt;&gt;"",ROW('register map'!$L$5:$L$902)-MIN(ROW('register map'!$L$5:$L$902))+1),ROWS($3:54))),"")</f>
        <v>OTP_RSVD_5E_27_32</v>
      </c>
      <c r="C54" s="157">
        <f>IF(B54="PART_NUMBER",IF(COUNTIF($B$1:B53,"PART_NUMBER")=0,6,8),MATCH(B54,'register map'!L:L,0))</f>
        <v>62</v>
      </c>
      <c r="D54" s="117" t="str">
        <f>IF(ISBLANK(INDEX('register map'!C:C,'Logical Group Generator'!C54)),"No","Yes")</f>
        <v>No</v>
      </c>
      <c r="E54" s="117" t="str">
        <f>IF(ISBLANK(INDEX('register map'!A:A,C54)),IF(ISBLANK(INDEX('register map'!A:A,C54-1)),IF(ISBLANK(INDEX('register map'!A:A,C54-2)),IF(ISBLANK(INDEX('register map'!A:A,C54-3)),IF(ISBLANK(INDEX('register map'!A:A,C54-4)),IF(ISBLANK(INDEX('register map'!A:A,C54-5)),IF(ISBLANK(INDEX('register map'!A:A,C54-6)),IF(ISBLANK(INDEX('register map'!A:A,C54-7)),IF(ISBLANK(INDEX('register map'!A:A,C54-8)),"ERROR",INDEX('register map'!A:A,C54-8)),INDEX('register map'!A:A,C54-7)),INDEX('register map'!A:A,C54-6)),INDEX('register map'!A:A,C54-5)),INDEX('register map'!A:A,C54-4)),INDEX('register map'!A:A,C54-3)),INDEX('register map'!A:A,C54-2)),INDEX('register map'!A:A,C54-1)),INDEX('register map'!A:A,C54))</f>
        <v>0x5E</v>
      </c>
      <c r="F54" s="117" t="str">
        <f>IF(ISBLANK(INDEX('register map'!B:B,C54)),IF(ISBLANK(INDEX('register map'!B:B,C54-1)),IF(ISBLANK(INDEX('register map'!B:B,C54-2)),IF(ISBLANK(INDEX('register map'!B:B,C54-3)),IF(ISBLANK(INDEX('register map'!B:B,C54-4)),IF(ISBLANK(INDEX('register map'!B:B,C54-5)),IF(ISBLANK(INDEX('register map'!B:B,C54-6)),IF(ISBLANK(INDEX('register map'!B:B,C54-7)),IF(ISBLANK(INDEX('register map'!B:B,C54-8)),"ERROR",INDEX('register map'!B:B,C54-8)),INDEX('register map'!B:B,C54-7)),INDEX('register map'!B:B,C54-6)),INDEX('register map'!B:B,C54-5)),INDEX('register map'!B:B,C54-4)),INDEX('register map'!B:B,C54-3)),INDEX('register map'!B:B,C54-2)),INDEX('register map'!B:B,C54-1)),INDEX('register map'!B:B,C54))</f>
        <v>0x27</v>
      </c>
      <c r="G54" s="117" t="str">
        <f>CONCATENATE(IF(ISNUMBER(INDEX('register map'!D:D,C54)),7,""),IF(ISNUMBER(INDEX('register map'!E:E,C54)),6,""),IF(ISNUMBER(INDEX('register map'!F:F,C54)),5,""),IF(ISNUMBER(INDEX('register map'!G:G,C54)),4,""),IF(ISNUMBER(INDEX('register map'!H:H,C54)),3,""),IF(ISNUMBER(INDEX('register map'!I:I,C54)),2,""),IF(ISNUMBER(INDEX('register map'!J:J,C54)),1,""),IF(ISNUMBER(INDEX('register map'!K:K,C54)),0,""))</f>
        <v>32</v>
      </c>
      <c r="H54" s="117" t="str">
        <f>RIGHT(INDEX('register map'!V:V,MATCH('Logical Group Generator'!B54,'register map'!L:L,0)),LEN(G54))</f>
        <v>11</v>
      </c>
      <c r="I54" s="117" t="str">
        <f>CONCATENATE(IF(ISNUMBER(INDEX('register map'!K:K,C54)),0,""),IF(ISNUMBER(INDEX('register map'!J:J,C54)),1,""),IF(ISNUMBER(INDEX('register map'!I:I,C54)),2,""),IF(ISNUMBER(INDEX('register map'!H:H,C54)),3,""),IF(ISNUMBER(INDEX('register map'!G:G,C54)),4,""),IF(ISNUMBER(INDEX('register map'!F:F,C54)),5,""),IF(ISNUMBER(INDEX('register map'!E:E,C54)),6,""),IF(ISNUMBER(INDEX('register map'!D:D,C54)),7,""))</f>
        <v>23</v>
      </c>
      <c r="J54" s="117" t="str">
        <f t="shared" si="7"/>
        <v>11</v>
      </c>
      <c r="K54" s="117" t="str">
        <f t="shared" si="0"/>
        <v/>
      </c>
      <c r="L54" s="117" t="str">
        <f t="shared" si="8"/>
        <v/>
      </c>
      <c r="M54" s="117" t="str">
        <f t="shared" si="10"/>
        <v/>
      </c>
      <c r="N54" s="117" t="str">
        <f>IF(ISBLANK(INDEX('register map'!M:M,'Logical Group Generator'!C54)),"No","Yes")</f>
        <v>No</v>
      </c>
      <c r="O54" s="117" t="str">
        <f>IF(NOT(ISBLANK(INDEX('register map'!N:N,'Logical Group Generator'!C54))),"Yes","")</f>
        <v/>
      </c>
      <c r="P54" s="117" t="str">
        <f t="shared" si="1"/>
        <v/>
      </c>
      <c r="Q54" s="117" t="str">
        <f t="shared" si="2"/>
        <v/>
      </c>
      <c r="R54" s="117" t="str">
        <f t="shared" si="3"/>
        <v/>
      </c>
      <c r="S54" s="117" t="str">
        <f t="shared" si="4"/>
        <v>No</v>
      </c>
      <c r="T54" s="117" t="str">
        <f t="shared" si="5"/>
        <v/>
      </c>
      <c r="U54" s="117" t="b">
        <f t="shared" si="9"/>
        <v>0</v>
      </c>
      <c r="V54" s="157" t="b">
        <f>INDEX('register map'!P:P,C54)="yes"</f>
        <v>1</v>
      </c>
      <c r="W54" s="157" t="str">
        <f t="shared" si="6"/>
        <v>FALSE</v>
      </c>
    </row>
    <row r="55" spans="2:23">
      <c r="B55" s="157" t="str">
        <f t="array" ref="B55">IF(ROWS($3:55)&lt;=COUNTA('register map'!$L$5:$L$902),INDEX('register map'!$L$5:$L$902,SMALL(IF('register map'!$L$5:$L$902&lt;&gt;"",ROW('register map'!$L$5:$L$902)-MIN(ROW('register map'!$L$5:$L$902))+1),ROWS($3:55))),"")</f>
        <v>BUCK6_SLP_EN</v>
      </c>
      <c r="C55" s="157">
        <f>IF(B55="PART_NUMBER",IF(COUNTIF($B$1:B54,"PART_NUMBER")=0,6,8),MATCH(B55,'register map'!L:L,0))</f>
        <v>63</v>
      </c>
      <c r="D55" s="117" t="str">
        <f>IF(ISBLANK(INDEX('register map'!C:C,'Logical Group Generator'!C55)),"No","Yes")</f>
        <v>No</v>
      </c>
      <c r="E55" s="117" t="str">
        <f>IF(ISBLANK(INDEX('register map'!A:A,C55)),IF(ISBLANK(INDEX('register map'!A:A,C55-1)),IF(ISBLANK(INDEX('register map'!A:A,C55-2)),IF(ISBLANK(INDEX('register map'!A:A,C55-3)),IF(ISBLANK(INDEX('register map'!A:A,C55-4)),IF(ISBLANK(INDEX('register map'!A:A,C55-5)),IF(ISBLANK(INDEX('register map'!A:A,C55-6)),IF(ISBLANK(INDEX('register map'!A:A,C55-7)),IF(ISBLANK(INDEX('register map'!A:A,C55-8)),"ERROR",INDEX('register map'!A:A,C55-8)),INDEX('register map'!A:A,C55-7)),INDEX('register map'!A:A,C55-6)),INDEX('register map'!A:A,C55-5)),INDEX('register map'!A:A,C55-4)),INDEX('register map'!A:A,C55-3)),INDEX('register map'!A:A,C55-2)),INDEX('register map'!A:A,C55-1)),INDEX('register map'!A:A,C55))</f>
        <v>0x5E</v>
      </c>
      <c r="F55" s="117" t="str">
        <f>IF(ISBLANK(INDEX('register map'!B:B,C55)),IF(ISBLANK(INDEX('register map'!B:B,C55-1)),IF(ISBLANK(INDEX('register map'!B:B,C55-2)),IF(ISBLANK(INDEX('register map'!B:B,C55-3)),IF(ISBLANK(INDEX('register map'!B:B,C55-4)),IF(ISBLANK(INDEX('register map'!B:B,C55-5)),IF(ISBLANK(INDEX('register map'!B:B,C55-6)),IF(ISBLANK(INDEX('register map'!B:B,C55-7)),IF(ISBLANK(INDEX('register map'!B:B,C55-8)),"ERROR",INDEX('register map'!B:B,C55-8)),INDEX('register map'!B:B,C55-7)),INDEX('register map'!B:B,C55-6)),INDEX('register map'!B:B,C55-5)),INDEX('register map'!B:B,C55-4)),INDEX('register map'!B:B,C55-3)),INDEX('register map'!B:B,C55-2)),INDEX('register map'!B:B,C55-1)),INDEX('register map'!B:B,C55))</f>
        <v>0x27</v>
      </c>
      <c r="G55" s="117" t="str">
        <f>CONCATENATE(IF(ISNUMBER(INDEX('register map'!D:D,C55)),7,""),IF(ISNUMBER(INDEX('register map'!E:E,C55)),6,""),IF(ISNUMBER(INDEX('register map'!F:F,C55)),5,""),IF(ISNUMBER(INDEX('register map'!G:G,C55)),4,""),IF(ISNUMBER(INDEX('register map'!H:H,C55)),3,""),IF(ISNUMBER(INDEX('register map'!I:I,C55)),2,""),IF(ISNUMBER(INDEX('register map'!J:J,C55)),1,""),IF(ISNUMBER(INDEX('register map'!K:K,C55)),0,""))</f>
        <v>54</v>
      </c>
      <c r="H55" s="117" t="str">
        <f>RIGHT(INDEX('register map'!V:V,MATCH('Logical Group Generator'!B55,'register map'!L:L,0)),LEN(G55))</f>
        <v>00</v>
      </c>
      <c r="I55" s="117" t="str">
        <f>CONCATENATE(IF(ISNUMBER(INDEX('register map'!K:K,C55)),0,""),IF(ISNUMBER(INDEX('register map'!J:J,C55)),1,""),IF(ISNUMBER(INDEX('register map'!I:I,C55)),2,""),IF(ISNUMBER(INDEX('register map'!H:H,C55)),3,""),IF(ISNUMBER(INDEX('register map'!G:G,C55)),4,""),IF(ISNUMBER(INDEX('register map'!F:F,C55)),5,""),IF(ISNUMBER(INDEX('register map'!E:E,C55)),6,""),IF(ISNUMBER(INDEX('register map'!D:D,C55)),7,""))</f>
        <v>45</v>
      </c>
      <c r="J55" s="117" t="str">
        <f t="shared" si="7"/>
        <v>00</v>
      </c>
      <c r="K55" s="117" t="str">
        <f t="shared" si="0"/>
        <v/>
      </c>
      <c r="L55" s="117" t="str">
        <f t="shared" si="8"/>
        <v/>
      </c>
      <c r="M55" s="117" t="str">
        <f t="shared" si="10"/>
        <v/>
      </c>
      <c r="N55" s="117" t="str">
        <f>IF(ISBLANK(INDEX('register map'!M:M,'Logical Group Generator'!C55)),"No","Yes")</f>
        <v>No</v>
      </c>
      <c r="O55" s="117" t="str">
        <f>IF(NOT(ISBLANK(INDEX('register map'!N:N,'Logical Group Generator'!C55))),"Yes","")</f>
        <v/>
      </c>
      <c r="P55" s="117" t="str">
        <f t="shared" si="1"/>
        <v/>
      </c>
      <c r="Q55" s="117" t="str">
        <f t="shared" si="2"/>
        <v/>
      </c>
      <c r="R55" s="117" t="str">
        <f t="shared" si="3"/>
        <v/>
      </c>
      <c r="S55" s="117" t="str">
        <f t="shared" si="4"/>
        <v>No</v>
      </c>
      <c r="T55" s="117" t="str">
        <f t="shared" si="5"/>
        <v/>
      </c>
      <c r="U55" s="117" t="b">
        <f t="shared" si="9"/>
        <v>0</v>
      </c>
      <c r="V55" s="157" t="b">
        <f>INDEX('register map'!P:P,C55)="yes"</f>
        <v>1</v>
      </c>
      <c r="W55" s="157" t="str">
        <f t="shared" si="6"/>
        <v>FALSE</v>
      </c>
    </row>
    <row r="56" spans="2:23">
      <c r="B56" s="157" t="str">
        <f t="array" ref="B56">IF(ROWS($3:56)&lt;=COUNTA('register map'!$L$5:$L$902),INDEX('register map'!$L$5:$L$902,SMALL(IF('register map'!$L$5:$L$902&lt;&gt;"",ROW('register map'!$L$5:$L$902)-MIN(ROW('register map'!$L$5:$L$902))+1),ROWS($3:56))),"")</f>
        <v>OTP_RSVD_5E_27_76</v>
      </c>
      <c r="C56" s="157">
        <f>IF(B56="PART_NUMBER",IF(COUNTIF($B$1:B55,"PART_NUMBER")=0,6,8),MATCH(B56,'register map'!L:L,0))</f>
        <v>64</v>
      </c>
      <c r="D56" s="117" t="str">
        <f>IF(ISBLANK(INDEX('register map'!C:C,'Logical Group Generator'!C56)),"No","Yes")</f>
        <v>No</v>
      </c>
      <c r="E56" s="117" t="str">
        <f>IF(ISBLANK(INDEX('register map'!A:A,C56)),IF(ISBLANK(INDEX('register map'!A:A,C56-1)),IF(ISBLANK(INDEX('register map'!A:A,C56-2)),IF(ISBLANK(INDEX('register map'!A:A,C56-3)),IF(ISBLANK(INDEX('register map'!A:A,C56-4)),IF(ISBLANK(INDEX('register map'!A:A,C56-5)),IF(ISBLANK(INDEX('register map'!A:A,C56-6)),IF(ISBLANK(INDEX('register map'!A:A,C56-7)),IF(ISBLANK(INDEX('register map'!A:A,C56-8)),"ERROR",INDEX('register map'!A:A,C56-8)),INDEX('register map'!A:A,C56-7)),INDEX('register map'!A:A,C56-6)),INDEX('register map'!A:A,C56-5)),INDEX('register map'!A:A,C56-4)),INDEX('register map'!A:A,C56-3)),INDEX('register map'!A:A,C56-2)),INDEX('register map'!A:A,C56-1)),INDEX('register map'!A:A,C56))</f>
        <v>0x5E</v>
      </c>
      <c r="F56" s="117" t="str">
        <f>IF(ISBLANK(INDEX('register map'!B:B,C56)),IF(ISBLANK(INDEX('register map'!B:B,C56-1)),IF(ISBLANK(INDEX('register map'!B:B,C56-2)),IF(ISBLANK(INDEX('register map'!B:B,C56-3)),IF(ISBLANK(INDEX('register map'!B:B,C56-4)),IF(ISBLANK(INDEX('register map'!B:B,C56-5)),IF(ISBLANK(INDEX('register map'!B:B,C56-6)),IF(ISBLANK(INDEX('register map'!B:B,C56-7)),IF(ISBLANK(INDEX('register map'!B:B,C56-8)),"ERROR",INDEX('register map'!B:B,C56-8)),INDEX('register map'!B:B,C56-7)),INDEX('register map'!B:B,C56-6)),INDEX('register map'!B:B,C56-5)),INDEX('register map'!B:B,C56-4)),INDEX('register map'!B:B,C56-3)),INDEX('register map'!B:B,C56-2)),INDEX('register map'!B:B,C56-1)),INDEX('register map'!B:B,C56))</f>
        <v>0x27</v>
      </c>
      <c r="G56" s="117" t="str">
        <f>CONCATENATE(IF(ISNUMBER(INDEX('register map'!D:D,C56)),7,""),IF(ISNUMBER(INDEX('register map'!E:E,C56)),6,""),IF(ISNUMBER(INDEX('register map'!F:F,C56)),5,""),IF(ISNUMBER(INDEX('register map'!G:G,C56)),4,""),IF(ISNUMBER(INDEX('register map'!H:H,C56)),3,""),IF(ISNUMBER(INDEX('register map'!I:I,C56)),2,""),IF(ISNUMBER(INDEX('register map'!J:J,C56)),1,""),IF(ISNUMBER(INDEX('register map'!K:K,C56)),0,""))</f>
        <v>76</v>
      </c>
      <c r="H56" s="117" t="str">
        <f>RIGHT(INDEX('register map'!V:V,MATCH('Logical Group Generator'!B56,'register map'!L:L,0)),LEN(G56))</f>
        <v>00</v>
      </c>
      <c r="I56" s="117" t="str">
        <f>CONCATENATE(IF(ISNUMBER(INDEX('register map'!K:K,C56)),0,""),IF(ISNUMBER(INDEX('register map'!J:J,C56)),1,""),IF(ISNUMBER(INDEX('register map'!I:I,C56)),2,""),IF(ISNUMBER(INDEX('register map'!H:H,C56)),3,""),IF(ISNUMBER(INDEX('register map'!G:G,C56)),4,""),IF(ISNUMBER(INDEX('register map'!F:F,C56)),5,""),IF(ISNUMBER(INDEX('register map'!E:E,C56)),6,""),IF(ISNUMBER(INDEX('register map'!D:D,C56)),7,""))</f>
        <v>67</v>
      </c>
      <c r="J56" s="117" t="str">
        <f t="shared" si="7"/>
        <v>00</v>
      </c>
      <c r="K56" s="117" t="str">
        <f t="shared" si="0"/>
        <v/>
      </c>
      <c r="L56" s="117" t="str">
        <f t="shared" si="8"/>
        <v/>
      </c>
      <c r="M56" s="117" t="str">
        <f t="shared" si="10"/>
        <v/>
      </c>
      <c r="N56" s="117" t="str">
        <f>IF(ISBLANK(INDEX('register map'!M:M,'Logical Group Generator'!C56)),"No","Yes")</f>
        <v>No</v>
      </c>
      <c r="O56" s="117" t="str">
        <f>IF(NOT(ISBLANK(INDEX('register map'!N:N,'Logical Group Generator'!C56))),"Yes","")</f>
        <v/>
      </c>
      <c r="P56" s="117" t="str">
        <f t="shared" si="1"/>
        <v/>
      </c>
      <c r="Q56" s="117" t="str">
        <f t="shared" si="2"/>
        <v/>
      </c>
      <c r="R56" s="117" t="str">
        <f t="shared" si="3"/>
        <v/>
      </c>
      <c r="S56" s="117" t="str">
        <f t="shared" si="4"/>
        <v>No</v>
      </c>
      <c r="T56" s="117" t="str">
        <f t="shared" si="5"/>
        <v/>
      </c>
      <c r="U56" s="117" t="b">
        <f t="shared" si="9"/>
        <v>0</v>
      </c>
      <c r="V56" s="157" t="b">
        <f>INDEX('register map'!P:P,C56)="yes"</f>
        <v>0</v>
      </c>
      <c r="W56" s="157" t="str">
        <f t="shared" si="6"/>
        <v>FALSE</v>
      </c>
    </row>
    <row r="57" spans="2:23">
      <c r="B57" s="157" t="str">
        <f t="array" ref="B57">IF(ROWS($3:57)&lt;=COUNTA('register map'!$L$5:$L$902),INDEX('register map'!$L$5:$L$902,SMALL(IF('register map'!$L$5:$L$902&lt;&gt;"",ROW('register map'!$L$5:$L$902)-MIN(ROW('register map'!$L$5:$L$902))+1),ROWS($3:57))),"")</f>
        <v>LDOA2CTRL</v>
      </c>
      <c r="C57" s="157">
        <f>IF(B57="PART_NUMBER",IF(COUNTIF($B$1:B56,"PART_NUMBER")=0,6,8),MATCH(B57,'register map'!L:L,0))</f>
        <v>65</v>
      </c>
      <c r="D57" s="117" t="str">
        <f>IF(ISBLANK(INDEX('register map'!C:C,'Logical Group Generator'!C57)),"No","Yes")</f>
        <v>Yes</v>
      </c>
      <c r="E57" s="117" t="str">
        <f>IF(ISBLANK(INDEX('register map'!A:A,C57)),IF(ISBLANK(INDEX('register map'!A:A,C57-1)),IF(ISBLANK(INDEX('register map'!A:A,C57-2)),IF(ISBLANK(INDEX('register map'!A:A,C57-3)),IF(ISBLANK(INDEX('register map'!A:A,C57-4)),IF(ISBLANK(INDEX('register map'!A:A,C57-5)),IF(ISBLANK(INDEX('register map'!A:A,C57-6)),IF(ISBLANK(INDEX('register map'!A:A,C57-7)),IF(ISBLANK(INDEX('register map'!A:A,C57-8)),"ERROR",INDEX('register map'!A:A,C57-8)),INDEX('register map'!A:A,C57-7)),INDEX('register map'!A:A,C57-6)),INDEX('register map'!A:A,C57-5)),INDEX('register map'!A:A,C57-4)),INDEX('register map'!A:A,C57-3)),INDEX('register map'!A:A,C57-2)),INDEX('register map'!A:A,C57-1)),INDEX('register map'!A:A,C57))</f>
        <v>0x5E</v>
      </c>
      <c r="F57" s="117" t="str">
        <f>IF(ISBLANK(INDEX('register map'!B:B,C57)),IF(ISBLANK(INDEX('register map'!B:B,C57-1)),IF(ISBLANK(INDEX('register map'!B:B,C57-2)),IF(ISBLANK(INDEX('register map'!B:B,C57-3)),IF(ISBLANK(INDEX('register map'!B:B,C57-4)),IF(ISBLANK(INDEX('register map'!B:B,C57-5)),IF(ISBLANK(INDEX('register map'!B:B,C57-6)),IF(ISBLANK(INDEX('register map'!B:B,C57-7)),IF(ISBLANK(INDEX('register map'!B:B,C57-8)),"ERROR",INDEX('register map'!B:B,C57-8)),INDEX('register map'!B:B,C57-7)),INDEX('register map'!B:B,C57-6)),INDEX('register map'!B:B,C57-5)),INDEX('register map'!B:B,C57-4)),INDEX('register map'!B:B,C57-3)),INDEX('register map'!B:B,C57-2)),INDEX('register map'!B:B,C57-1)),INDEX('register map'!B:B,C57))</f>
        <v>0x28</v>
      </c>
      <c r="G57" s="117" t="str">
        <f>CONCATENATE(IF(ISNUMBER(INDEX('register map'!D:D,C57)),7,""),IF(ISNUMBER(INDEX('register map'!E:E,C57)),6,""),IF(ISNUMBER(INDEX('register map'!F:F,C57)),5,""),IF(ISNUMBER(INDEX('register map'!G:G,C57)),4,""),IF(ISNUMBER(INDEX('register map'!H:H,C57)),3,""),IF(ISNUMBER(INDEX('register map'!I:I,C57)),2,""),IF(ISNUMBER(INDEX('register map'!J:J,C57)),1,""),IF(ISNUMBER(INDEX('register map'!K:K,C57)),0,""))</f>
        <v/>
      </c>
      <c r="H57" s="117" t="str">
        <f>RIGHT(INDEX('register map'!V:V,MATCH('Logical Group Generator'!B57,'register map'!L:L,0)),LEN(G57))</f>
        <v/>
      </c>
      <c r="I57" s="117" t="str">
        <f>CONCATENATE(IF(ISNUMBER(INDEX('register map'!K:K,C57)),0,""),IF(ISNUMBER(INDEX('register map'!J:J,C57)),1,""),IF(ISNUMBER(INDEX('register map'!I:I,C57)),2,""),IF(ISNUMBER(INDEX('register map'!H:H,C57)),3,""),IF(ISNUMBER(INDEX('register map'!G:G,C57)),4,""),IF(ISNUMBER(INDEX('register map'!F:F,C57)),5,""),IF(ISNUMBER(INDEX('register map'!E:E,C57)),6,""),IF(ISNUMBER(INDEX('register map'!D:D,C57)),7,""))</f>
        <v/>
      </c>
      <c r="J57" s="117" t="str">
        <f t="shared" si="7"/>
        <v/>
      </c>
      <c r="K57" s="117" t="str">
        <f t="shared" si="0"/>
        <v>00110000</v>
      </c>
      <c r="L57" s="117" t="str">
        <f t="shared" si="8"/>
        <v>00001100</v>
      </c>
      <c r="M57" s="117" t="str">
        <f t="shared" si="10"/>
        <v>0C</v>
      </c>
      <c r="N57" s="117" t="str">
        <f>IF(ISBLANK(INDEX('register map'!M:M,'Logical Group Generator'!C57)),"No","Yes")</f>
        <v>No</v>
      </c>
      <c r="O57" s="117" t="str">
        <f>IF(NOT(ISBLANK(INDEX('register map'!N:N,'Logical Group Generator'!C57))),"Yes","")</f>
        <v/>
      </c>
      <c r="P57" s="117" t="str">
        <f t="shared" si="1"/>
        <v>No</v>
      </c>
      <c r="Q57" s="117" t="str">
        <f t="shared" si="2"/>
        <v>No</v>
      </c>
      <c r="R57" s="117" t="str">
        <f t="shared" si="3"/>
        <v>No</v>
      </c>
      <c r="S57" s="117" t="str">
        <f t="shared" si="4"/>
        <v/>
      </c>
      <c r="T57" s="117" t="b">
        <f t="shared" si="5"/>
        <v>1</v>
      </c>
      <c r="U57" s="117" t="b">
        <f t="shared" si="9"/>
        <v>1</v>
      </c>
      <c r="V57" s="157" t="b">
        <f>INDEX('register map'!P:P,C57)="yes"</f>
        <v>1</v>
      </c>
      <c r="W57" s="157" t="str">
        <f t="shared" si="6"/>
        <v>REGISTER</v>
      </c>
    </row>
    <row r="58" spans="2:23">
      <c r="B58" s="157" t="str">
        <f t="array" ref="B58">IF(ROWS($3:58)&lt;=COUNTA('register map'!$L$5:$L$902),INDEX('register map'!$L$5:$L$902,SMALL(IF('register map'!$L$5:$L$902&lt;&gt;"",ROW('register map'!$L$5:$L$902)-MIN(ROW('register map'!$L$5:$L$902))+1),ROWS($3:58))),"")</f>
        <v>LDOA2_DIS</v>
      </c>
      <c r="C58" s="157">
        <f>IF(B58="PART_NUMBER",IF(COUNTIF($B$1:B57,"PART_NUMBER")=0,6,8),MATCH(B58,'register map'!L:L,0))</f>
        <v>66</v>
      </c>
      <c r="D58" s="117" t="str">
        <f>IF(ISBLANK(INDEX('register map'!C:C,'Logical Group Generator'!C58)),"No","Yes")</f>
        <v>No</v>
      </c>
      <c r="E58" s="117" t="str">
        <f>IF(ISBLANK(INDEX('register map'!A:A,C58)),IF(ISBLANK(INDEX('register map'!A:A,C58-1)),IF(ISBLANK(INDEX('register map'!A:A,C58-2)),IF(ISBLANK(INDEX('register map'!A:A,C58-3)),IF(ISBLANK(INDEX('register map'!A:A,C58-4)),IF(ISBLANK(INDEX('register map'!A:A,C58-5)),IF(ISBLANK(INDEX('register map'!A:A,C58-6)),IF(ISBLANK(INDEX('register map'!A:A,C58-7)),IF(ISBLANK(INDEX('register map'!A:A,C58-8)),"ERROR",INDEX('register map'!A:A,C58-8)),INDEX('register map'!A:A,C58-7)),INDEX('register map'!A:A,C58-6)),INDEX('register map'!A:A,C58-5)),INDEX('register map'!A:A,C58-4)),INDEX('register map'!A:A,C58-3)),INDEX('register map'!A:A,C58-2)),INDEX('register map'!A:A,C58-1)),INDEX('register map'!A:A,C58))</f>
        <v>0x5E</v>
      </c>
      <c r="F58" s="117" t="str">
        <f>IF(ISBLANK(INDEX('register map'!B:B,C58)),IF(ISBLANK(INDEX('register map'!B:B,C58-1)),IF(ISBLANK(INDEX('register map'!B:B,C58-2)),IF(ISBLANK(INDEX('register map'!B:B,C58-3)),IF(ISBLANK(INDEX('register map'!B:B,C58-4)),IF(ISBLANK(INDEX('register map'!B:B,C58-5)),IF(ISBLANK(INDEX('register map'!B:B,C58-6)),IF(ISBLANK(INDEX('register map'!B:B,C58-7)),IF(ISBLANK(INDEX('register map'!B:B,C58-8)),"ERROR",INDEX('register map'!B:B,C58-8)),INDEX('register map'!B:B,C58-7)),INDEX('register map'!B:B,C58-6)),INDEX('register map'!B:B,C58-5)),INDEX('register map'!B:B,C58-4)),INDEX('register map'!B:B,C58-3)),INDEX('register map'!B:B,C58-2)),INDEX('register map'!B:B,C58-1)),INDEX('register map'!B:B,C58))</f>
        <v>0x28</v>
      </c>
      <c r="G58" s="117" t="str">
        <f>CONCATENATE(IF(ISNUMBER(INDEX('register map'!D:D,C58)),7,""),IF(ISNUMBER(INDEX('register map'!E:E,C58)),6,""),IF(ISNUMBER(INDEX('register map'!F:F,C58)),5,""),IF(ISNUMBER(INDEX('register map'!G:G,C58)),4,""),IF(ISNUMBER(INDEX('register map'!H:H,C58)),3,""),IF(ISNUMBER(INDEX('register map'!I:I,C58)),2,""),IF(ISNUMBER(INDEX('register map'!J:J,C58)),1,""),IF(ISNUMBER(INDEX('register map'!K:K,C58)),0,""))</f>
        <v>0</v>
      </c>
      <c r="H58" s="117" t="str">
        <f>RIGHT(INDEX('register map'!V:V,MATCH('Logical Group Generator'!B58,'register map'!L:L,0)),LEN(G58))</f>
        <v>0</v>
      </c>
      <c r="I58" s="117" t="str">
        <f>CONCATENATE(IF(ISNUMBER(INDEX('register map'!K:K,C58)),0,""),IF(ISNUMBER(INDEX('register map'!J:J,C58)),1,""),IF(ISNUMBER(INDEX('register map'!I:I,C58)),2,""),IF(ISNUMBER(INDEX('register map'!H:H,C58)),3,""),IF(ISNUMBER(INDEX('register map'!G:G,C58)),4,""),IF(ISNUMBER(INDEX('register map'!F:F,C58)),5,""),IF(ISNUMBER(INDEX('register map'!E:E,C58)),6,""),IF(ISNUMBER(INDEX('register map'!D:D,C58)),7,""))</f>
        <v>0</v>
      </c>
      <c r="J58" s="117" t="str">
        <f t="shared" si="7"/>
        <v>0</v>
      </c>
      <c r="K58" s="117" t="str">
        <f t="shared" si="0"/>
        <v/>
      </c>
      <c r="L58" s="117" t="str">
        <f t="shared" si="8"/>
        <v/>
      </c>
      <c r="M58" s="117" t="str">
        <f t="shared" si="10"/>
        <v/>
      </c>
      <c r="N58" s="117" t="str">
        <f>IF(ISBLANK(INDEX('register map'!M:M,'Logical Group Generator'!C58)),"No","Yes")</f>
        <v>No</v>
      </c>
      <c r="O58" s="117" t="str">
        <f>IF(NOT(ISBLANK(INDEX('register map'!N:N,'Logical Group Generator'!C58))),"Yes","")</f>
        <v/>
      </c>
      <c r="P58" s="117" t="str">
        <f t="shared" si="1"/>
        <v/>
      </c>
      <c r="Q58" s="117" t="str">
        <f t="shared" si="2"/>
        <v/>
      </c>
      <c r="R58" s="117" t="str">
        <f t="shared" si="3"/>
        <v/>
      </c>
      <c r="S58" s="117" t="str">
        <f t="shared" si="4"/>
        <v>No</v>
      </c>
      <c r="T58" s="117" t="str">
        <f t="shared" si="5"/>
        <v/>
      </c>
      <c r="U58" s="117" t="b">
        <f t="shared" si="9"/>
        <v>0</v>
      </c>
      <c r="V58" s="157" t="b">
        <f>INDEX('register map'!P:P,C58)="yes"</f>
        <v>1</v>
      </c>
      <c r="W58" s="157" t="str">
        <f t="shared" si="6"/>
        <v>FALSE</v>
      </c>
    </row>
    <row r="59" spans="2:23">
      <c r="B59" s="157" t="str">
        <f t="array" ref="B59">IF(ROWS($3:59)&lt;=COUNTA('register map'!$L$5:$L$902),INDEX('register map'!$L$5:$L$902,SMALL(IF('register map'!$L$5:$L$902&lt;&gt;"",ROW('register map'!$L$5:$L$902)-MIN(ROW('register map'!$L$5:$L$902))+1),ROWS($3:59))),"")</f>
        <v>OTP_RSVD_5E_28_1</v>
      </c>
      <c r="C59" s="157">
        <f>IF(B59="PART_NUMBER",IF(COUNTIF($B$1:B58,"PART_NUMBER")=0,6,8),MATCH(B59,'register map'!L:L,0))</f>
        <v>67</v>
      </c>
      <c r="D59" s="117" t="str">
        <f>IF(ISBLANK(INDEX('register map'!C:C,'Logical Group Generator'!C59)),"No","Yes")</f>
        <v>No</v>
      </c>
      <c r="E59" s="117" t="str">
        <f>IF(ISBLANK(INDEX('register map'!A:A,C59)),IF(ISBLANK(INDEX('register map'!A:A,C59-1)),IF(ISBLANK(INDEX('register map'!A:A,C59-2)),IF(ISBLANK(INDEX('register map'!A:A,C59-3)),IF(ISBLANK(INDEX('register map'!A:A,C59-4)),IF(ISBLANK(INDEX('register map'!A:A,C59-5)),IF(ISBLANK(INDEX('register map'!A:A,C59-6)),IF(ISBLANK(INDEX('register map'!A:A,C59-7)),IF(ISBLANK(INDEX('register map'!A:A,C59-8)),"ERROR",INDEX('register map'!A:A,C59-8)),INDEX('register map'!A:A,C59-7)),INDEX('register map'!A:A,C59-6)),INDEX('register map'!A:A,C59-5)),INDEX('register map'!A:A,C59-4)),INDEX('register map'!A:A,C59-3)),INDEX('register map'!A:A,C59-2)),INDEX('register map'!A:A,C59-1)),INDEX('register map'!A:A,C59))</f>
        <v>0x5E</v>
      </c>
      <c r="F59" s="117" t="str">
        <f>IF(ISBLANK(INDEX('register map'!B:B,C59)),IF(ISBLANK(INDEX('register map'!B:B,C59-1)),IF(ISBLANK(INDEX('register map'!B:B,C59-2)),IF(ISBLANK(INDEX('register map'!B:B,C59-3)),IF(ISBLANK(INDEX('register map'!B:B,C59-4)),IF(ISBLANK(INDEX('register map'!B:B,C59-5)),IF(ISBLANK(INDEX('register map'!B:B,C59-6)),IF(ISBLANK(INDEX('register map'!B:B,C59-7)),IF(ISBLANK(INDEX('register map'!B:B,C59-8)),"ERROR",INDEX('register map'!B:B,C59-8)),INDEX('register map'!B:B,C59-7)),INDEX('register map'!B:B,C59-6)),INDEX('register map'!B:B,C59-5)),INDEX('register map'!B:B,C59-4)),INDEX('register map'!B:B,C59-3)),INDEX('register map'!B:B,C59-2)),INDEX('register map'!B:B,C59-1)),INDEX('register map'!B:B,C59))</f>
        <v>0x28</v>
      </c>
      <c r="G59" s="117" t="str">
        <f>CONCATENATE(IF(ISNUMBER(INDEX('register map'!D:D,C59)),7,""),IF(ISNUMBER(INDEX('register map'!E:E,C59)),6,""),IF(ISNUMBER(INDEX('register map'!F:F,C59)),5,""),IF(ISNUMBER(INDEX('register map'!G:G,C59)),4,""),IF(ISNUMBER(INDEX('register map'!H:H,C59)),3,""),IF(ISNUMBER(INDEX('register map'!I:I,C59)),2,""),IF(ISNUMBER(INDEX('register map'!J:J,C59)),1,""),IF(ISNUMBER(INDEX('register map'!K:K,C59)),0,""))</f>
        <v>1</v>
      </c>
      <c r="H59" s="117" t="str">
        <f>RIGHT(INDEX('register map'!V:V,MATCH('Logical Group Generator'!B59,'register map'!L:L,0)),LEN(G59))</f>
        <v>0</v>
      </c>
      <c r="I59" s="117" t="str">
        <f>CONCATENATE(IF(ISNUMBER(INDEX('register map'!K:K,C59)),0,""),IF(ISNUMBER(INDEX('register map'!J:J,C59)),1,""),IF(ISNUMBER(INDEX('register map'!I:I,C59)),2,""),IF(ISNUMBER(INDEX('register map'!H:H,C59)),3,""),IF(ISNUMBER(INDEX('register map'!G:G,C59)),4,""),IF(ISNUMBER(INDEX('register map'!F:F,C59)),5,""),IF(ISNUMBER(INDEX('register map'!E:E,C59)),6,""),IF(ISNUMBER(INDEX('register map'!D:D,C59)),7,""))</f>
        <v>1</v>
      </c>
      <c r="J59" s="117" t="str">
        <f t="shared" si="7"/>
        <v>0</v>
      </c>
      <c r="K59" s="117" t="str">
        <f t="shared" si="0"/>
        <v/>
      </c>
      <c r="L59" s="117" t="str">
        <f t="shared" si="8"/>
        <v/>
      </c>
      <c r="M59" s="117" t="str">
        <f t="shared" si="10"/>
        <v/>
      </c>
      <c r="N59" s="117" t="str">
        <f>IF(ISBLANK(INDEX('register map'!M:M,'Logical Group Generator'!C59)),"No","Yes")</f>
        <v>No</v>
      </c>
      <c r="O59" s="117" t="str">
        <f>IF(NOT(ISBLANK(INDEX('register map'!N:N,'Logical Group Generator'!C59))),"Yes","")</f>
        <v/>
      </c>
      <c r="P59" s="117" t="str">
        <f t="shared" si="1"/>
        <v/>
      </c>
      <c r="Q59" s="117" t="str">
        <f t="shared" si="2"/>
        <v/>
      </c>
      <c r="R59" s="117" t="str">
        <f t="shared" si="3"/>
        <v/>
      </c>
      <c r="S59" s="117" t="str">
        <f t="shared" si="4"/>
        <v>No</v>
      </c>
      <c r="T59" s="117" t="str">
        <f t="shared" si="5"/>
        <v/>
      </c>
      <c r="U59" s="117" t="b">
        <f t="shared" si="9"/>
        <v>0</v>
      </c>
      <c r="V59" s="157" t="b">
        <f>INDEX('register map'!P:P,C59)="yes"</f>
        <v>1</v>
      </c>
      <c r="W59" s="157" t="str">
        <f t="shared" si="6"/>
        <v>FALSE</v>
      </c>
    </row>
    <row r="60" spans="2:23">
      <c r="B60" s="157" t="str">
        <f t="array" ref="B60">IF(ROWS($3:60)&lt;=COUNTA('register map'!$L$5:$L$902),INDEX('register map'!$L$5:$L$902,SMALL(IF('register map'!$L$5:$L$902&lt;&gt;"",ROW('register map'!$L$5:$L$902)-MIN(ROW('register map'!$L$5:$L$902))+1),ROWS($3:60))),"")</f>
        <v>OTP_RSVD_5E_28_32</v>
      </c>
      <c r="C60" s="157">
        <f>IF(B60="PART_NUMBER",IF(COUNTIF($B$1:B59,"PART_NUMBER")=0,6,8),MATCH(B60,'register map'!L:L,0))</f>
        <v>68</v>
      </c>
      <c r="D60" s="117" t="str">
        <f>IF(ISBLANK(INDEX('register map'!C:C,'Logical Group Generator'!C60)),"No","Yes")</f>
        <v>No</v>
      </c>
      <c r="E60" s="117" t="str">
        <f>IF(ISBLANK(INDEX('register map'!A:A,C60)),IF(ISBLANK(INDEX('register map'!A:A,C60-1)),IF(ISBLANK(INDEX('register map'!A:A,C60-2)),IF(ISBLANK(INDEX('register map'!A:A,C60-3)),IF(ISBLANK(INDEX('register map'!A:A,C60-4)),IF(ISBLANK(INDEX('register map'!A:A,C60-5)),IF(ISBLANK(INDEX('register map'!A:A,C60-6)),IF(ISBLANK(INDEX('register map'!A:A,C60-7)),IF(ISBLANK(INDEX('register map'!A:A,C60-8)),"ERROR",INDEX('register map'!A:A,C60-8)),INDEX('register map'!A:A,C60-7)),INDEX('register map'!A:A,C60-6)),INDEX('register map'!A:A,C60-5)),INDEX('register map'!A:A,C60-4)),INDEX('register map'!A:A,C60-3)),INDEX('register map'!A:A,C60-2)),INDEX('register map'!A:A,C60-1)),INDEX('register map'!A:A,C60))</f>
        <v>0x5E</v>
      </c>
      <c r="F60" s="117" t="str">
        <f>IF(ISBLANK(INDEX('register map'!B:B,C60)),IF(ISBLANK(INDEX('register map'!B:B,C60-1)),IF(ISBLANK(INDEX('register map'!B:B,C60-2)),IF(ISBLANK(INDEX('register map'!B:B,C60-3)),IF(ISBLANK(INDEX('register map'!B:B,C60-4)),IF(ISBLANK(INDEX('register map'!B:B,C60-5)),IF(ISBLANK(INDEX('register map'!B:B,C60-6)),IF(ISBLANK(INDEX('register map'!B:B,C60-7)),IF(ISBLANK(INDEX('register map'!B:B,C60-8)),"ERROR",INDEX('register map'!B:B,C60-8)),INDEX('register map'!B:B,C60-7)),INDEX('register map'!B:B,C60-6)),INDEX('register map'!B:B,C60-5)),INDEX('register map'!B:B,C60-4)),INDEX('register map'!B:B,C60-3)),INDEX('register map'!B:B,C60-2)),INDEX('register map'!B:B,C60-1)),INDEX('register map'!B:B,C60))</f>
        <v>0x28</v>
      </c>
      <c r="G60" s="117" t="str">
        <f>CONCATENATE(IF(ISNUMBER(INDEX('register map'!D:D,C60)),7,""),IF(ISNUMBER(INDEX('register map'!E:E,C60)),6,""),IF(ISNUMBER(INDEX('register map'!F:F,C60)),5,""),IF(ISNUMBER(INDEX('register map'!G:G,C60)),4,""),IF(ISNUMBER(INDEX('register map'!H:H,C60)),3,""),IF(ISNUMBER(INDEX('register map'!I:I,C60)),2,""),IF(ISNUMBER(INDEX('register map'!J:J,C60)),1,""),IF(ISNUMBER(INDEX('register map'!K:K,C60)),0,""))</f>
        <v>32</v>
      </c>
      <c r="H60" s="117" t="str">
        <f>RIGHT(INDEX('register map'!V:V,MATCH('Logical Group Generator'!B60,'register map'!L:L,0)),LEN(G60))</f>
        <v>11</v>
      </c>
      <c r="I60" s="117" t="str">
        <f>CONCATENATE(IF(ISNUMBER(INDEX('register map'!K:K,C60)),0,""),IF(ISNUMBER(INDEX('register map'!J:J,C60)),1,""),IF(ISNUMBER(INDEX('register map'!I:I,C60)),2,""),IF(ISNUMBER(INDEX('register map'!H:H,C60)),3,""),IF(ISNUMBER(INDEX('register map'!G:G,C60)),4,""),IF(ISNUMBER(INDEX('register map'!F:F,C60)),5,""),IF(ISNUMBER(INDEX('register map'!E:E,C60)),6,""),IF(ISNUMBER(INDEX('register map'!D:D,C60)),7,""))</f>
        <v>23</v>
      </c>
      <c r="J60" s="117" t="str">
        <f t="shared" si="7"/>
        <v>11</v>
      </c>
      <c r="K60" s="117" t="str">
        <f t="shared" si="0"/>
        <v/>
      </c>
      <c r="L60" s="117" t="str">
        <f t="shared" si="8"/>
        <v/>
      </c>
      <c r="M60" s="117" t="str">
        <f t="shared" si="10"/>
        <v/>
      </c>
      <c r="N60" s="117" t="str">
        <f>IF(ISBLANK(INDEX('register map'!M:M,'Logical Group Generator'!C60)),"No","Yes")</f>
        <v>No</v>
      </c>
      <c r="O60" s="117" t="str">
        <f>IF(NOT(ISBLANK(INDEX('register map'!N:N,'Logical Group Generator'!C60))),"Yes","")</f>
        <v/>
      </c>
      <c r="P60" s="117" t="str">
        <f t="shared" si="1"/>
        <v/>
      </c>
      <c r="Q60" s="117" t="str">
        <f t="shared" si="2"/>
        <v/>
      </c>
      <c r="R60" s="117" t="str">
        <f t="shared" si="3"/>
        <v/>
      </c>
      <c r="S60" s="117" t="str">
        <f t="shared" si="4"/>
        <v>No</v>
      </c>
      <c r="T60" s="117" t="str">
        <f t="shared" si="5"/>
        <v/>
      </c>
      <c r="U60" s="117" t="b">
        <f t="shared" si="9"/>
        <v>0</v>
      </c>
      <c r="V60" s="157" t="b">
        <f>INDEX('register map'!P:P,C60)="yes"</f>
        <v>1</v>
      </c>
      <c r="W60" s="157" t="str">
        <f t="shared" si="6"/>
        <v>FALSE</v>
      </c>
    </row>
    <row r="61" spans="2:23">
      <c r="B61" s="157" t="str">
        <f t="array" ref="B61">IF(ROWS($3:61)&lt;=COUNTA('register map'!$L$5:$L$902),INDEX('register map'!$L$5:$L$902,SMALL(IF('register map'!$L$5:$L$902&lt;&gt;"",ROW('register map'!$L$5:$L$902)-MIN(ROW('register map'!$L$5:$L$902))+1),ROWS($3:61))),"")</f>
        <v>LDOA2_SLP_EN</v>
      </c>
      <c r="C61" s="157">
        <f>IF(B61="PART_NUMBER",IF(COUNTIF($B$1:B60,"PART_NUMBER")=0,6,8),MATCH(B61,'register map'!L:L,0))</f>
        <v>69</v>
      </c>
      <c r="D61" s="117" t="str">
        <f>IF(ISBLANK(INDEX('register map'!C:C,'Logical Group Generator'!C61)),"No","Yes")</f>
        <v>No</v>
      </c>
      <c r="E61" s="117" t="str">
        <f>IF(ISBLANK(INDEX('register map'!A:A,C61)),IF(ISBLANK(INDEX('register map'!A:A,C61-1)),IF(ISBLANK(INDEX('register map'!A:A,C61-2)),IF(ISBLANK(INDEX('register map'!A:A,C61-3)),IF(ISBLANK(INDEX('register map'!A:A,C61-4)),IF(ISBLANK(INDEX('register map'!A:A,C61-5)),IF(ISBLANK(INDEX('register map'!A:A,C61-6)),IF(ISBLANK(INDEX('register map'!A:A,C61-7)),IF(ISBLANK(INDEX('register map'!A:A,C61-8)),"ERROR",INDEX('register map'!A:A,C61-8)),INDEX('register map'!A:A,C61-7)),INDEX('register map'!A:A,C61-6)),INDEX('register map'!A:A,C61-5)),INDEX('register map'!A:A,C61-4)),INDEX('register map'!A:A,C61-3)),INDEX('register map'!A:A,C61-2)),INDEX('register map'!A:A,C61-1)),INDEX('register map'!A:A,C61))</f>
        <v>0x5E</v>
      </c>
      <c r="F61" s="117" t="str">
        <f>IF(ISBLANK(INDEX('register map'!B:B,C61)),IF(ISBLANK(INDEX('register map'!B:B,C61-1)),IF(ISBLANK(INDEX('register map'!B:B,C61-2)),IF(ISBLANK(INDEX('register map'!B:B,C61-3)),IF(ISBLANK(INDEX('register map'!B:B,C61-4)),IF(ISBLANK(INDEX('register map'!B:B,C61-5)),IF(ISBLANK(INDEX('register map'!B:B,C61-6)),IF(ISBLANK(INDEX('register map'!B:B,C61-7)),IF(ISBLANK(INDEX('register map'!B:B,C61-8)),"ERROR",INDEX('register map'!B:B,C61-8)),INDEX('register map'!B:B,C61-7)),INDEX('register map'!B:B,C61-6)),INDEX('register map'!B:B,C61-5)),INDEX('register map'!B:B,C61-4)),INDEX('register map'!B:B,C61-3)),INDEX('register map'!B:B,C61-2)),INDEX('register map'!B:B,C61-1)),INDEX('register map'!B:B,C61))</f>
        <v>0x28</v>
      </c>
      <c r="G61" s="117" t="str">
        <f>CONCATENATE(IF(ISNUMBER(INDEX('register map'!D:D,C61)),7,""),IF(ISNUMBER(INDEX('register map'!E:E,C61)),6,""),IF(ISNUMBER(INDEX('register map'!F:F,C61)),5,""),IF(ISNUMBER(INDEX('register map'!G:G,C61)),4,""),IF(ISNUMBER(INDEX('register map'!H:H,C61)),3,""),IF(ISNUMBER(INDEX('register map'!I:I,C61)),2,""),IF(ISNUMBER(INDEX('register map'!J:J,C61)),1,""),IF(ISNUMBER(INDEX('register map'!K:K,C61)),0,""))</f>
        <v>54</v>
      </c>
      <c r="H61" s="117" t="str">
        <f>RIGHT(INDEX('register map'!V:V,MATCH('Logical Group Generator'!B61,'register map'!L:L,0)),LEN(G61))</f>
        <v>00</v>
      </c>
      <c r="I61" s="117" t="str">
        <f>CONCATENATE(IF(ISNUMBER(INDEX('register map'!K:K,C61)),0,""),IF(ISNUMBER(INDEX('register map'!J:J,C61)),1,""),IF(ISNUMBER(INDEX('register map'!I:I,C61)),2,""),IF(ISNUMBER(INDEX('register map'!H:H,C61)),3,""),IF(ISNUMBER(INDEX('register map'!G:G,C61)),4,""),IF(ISNUMBER(INDEX('register map'!F:F,C61)),5,""),IF(ISNUMBER(INDEX('register map'!E:E,C61)),6,""),IF(ISNUMBER(INDEX('register map'!D:D,C61)),7,""))</f>
        <v>45</v>
      </c>
      <c r="J61" s="117" t="str">
        <f t="shared" si="7"/>
        <v>00</v>
      </c>
      <c r="K61" s="117" t="str">
        <f t="shared" si="0"/>
        <v/>
      </c>
      <c r="L61" s="117" t="str">
        <f t="shared" si="8"/>
        <v/>
      </c>
      <c r="M61" s="117" t="str">
        <f t="shared" si="10"/>
        <v/>
      </c>
      <c r="N61" s="117" t="str">
        <f>IF(ISBLANK(INDEX('register map'!M:M,'Logical Group Generator'!C61)),"No","Yes")</f>
        <v>No</v>
      </c>
      <c r="O61" s="117" t="str">
        <f>IF(NOT(ISBLANK(INDEX('register map'!N:N,'Logical Group Generator'!C61))),"Yes","")</f>
        <v/>
      </c>
      <c r="P61" s="117" t="str">
        <f t="shared" si="1"/>
        <v/>
      </c>
      <c r="Q61" s="117" t="str">
        <f t="shared" si="2"/>
        <v/>
      </c>
      <c r="R61" s="117" t="str">
        <f t="shared" si="3"/>
        <v/>
      </c>
      <c r="S61" s="117" t="str">
        <f t="shared" si="4"/>
        <v>No</v>
      </c>
      <c r="T61" s="117" t="str">
        <f t="shared" si="5"/>
        <v/>
      </c>
      <c r="U61" s="117" t="b">
        <f t="shared" si="9"/>
        <v>0</v>
      </c>
      <c r="V61" s="157" t="b">
        <f>INDEX('register map'!P:P,C61)="yes"</f>
        <v>1</v>
      </c>
      <c r="W61" s="157" t="str">
        <f t="shared" si="6"/>
        <v>FALSE</v>
      </c>
    </row>
    <row r="62" spans="2:23">
      <c r="B62" s="157" t="str">
        <f t="array" ref="B62">IF(ROWS($3:62)&lt;=COUNTA('register map'!$L$5:$L$902),INDEX('register map'!$L$5:$L$902,SMALL(IF('register map'!$L$5:$L$902&lt;&gt;"",ROW('register map'!$L$5:$L$902)-MIN(ROW('register map'!$L$5:$L$902))+1),ROWS($3:62))),"")</f>
        <v>OTP_RSVD_5E_28_76</v>
      </c>
      <c r="C62" s="157">
        <f>IF(B62="PART_NUMBER",IF(COUNTIF($B$1:B61,"PART_NUMBER")=0,6,8),MATCH(B62,'register map'!L:L,0))</f>
        <v>70</v>
      </c>
      <c r="D62" s="117" t="str">
        <f>IF(ISBLANK(INDEX('register map'!C:C,'Logical Group Generator'!C62)),"No","Yes")</f>
        <v>No</v>
      </c>
      <c r="E62" s="117" t="str">
        <f>IF(ISBLANK(INDEX('register map'!A:A,C62)),IF(ISBLANK(INDEX('register map'!A:A,C62-1)),IF(ISBLANK(INDEX('register map'!A:A,C62-2)),IF(ISBLANK(INDEX('register map'!A:A,C62-3)),IF(ISBLANK(INDEX('register map'!A:A,C62-4)),IF(ISBLANK(INDEX('register map'!A:A,C62-5)),IF(ISBLANK(INDEX('register map'!A:A,C62-6)),IF(ISBLANK(INDEX('register map'!A:A,C62-7)),IF(ISBLANK(INDEX('register map'!A:A,C62-8)),"ERROR",INDEX('register map'!A:A,C62-8)),INDEX('register map'!A:A,C62-7)),INDEX('register map'!A:A,C62-6)),INDEX('register map'!A:A,C62-5)),INDEX('register map'!A:A,C62-4)),INDEX('register map'!A:A,C62-3)),INDEX('register map'!A:A,C62-2)),INDEX('register map'!A:A,C62-1)),INDEX('register map'!A:A,C62))</f>
        <v>0x5E</v>
      </c>
      <c r="F62" s="117" t="str">
        <f>IF(ISBLANK(INDEX('register map'!B:B,C62)),IF(ISBLANK(INDEX('register map'!B:B,C62-1)),IF(ISBLANK(INDEX('register map'!B:B,C62-2)),IF(ISBLANK(INDEX('register map'!B:B,C62-3)),IF(ISBLANK(INDEX('register map'!B:B,C62-4)),IF(ISBLANK(INDEX('register map'!B:B,C62-5)),IF(ISBLANK(INDEX('register map'!B:B,C62-6)),IF(ISBLANK(INDEX('register map'!B:B,C62-7)),IF(ISBLANK(INDEX('register map'!B:B,C62-8)),"ERROR",INDEX('register map'!B:B,C62-8)),INDEX('register map'!B:B,C62-7)),INDEX('register map'!B:B,C62-6)),INDEX('register map'!B:B,C62-5)),INDEX('register map'!B:B,C62-4)),INDEX('register map'!B:B,C62-3)),INDEX('register map'!B:B,C62-2)),INDEX('register map'!B:B,C62-1)),INDEX('register map'!B:B,C62))</f>
        <v>0x28</v>
      </c>
      <c r="G62" s="117" t="str">
        <f>CONCATENATE(IF(ISNUMBER(INDEX('register map'!D:D,C62)),7,""),IF(ISNUMBER(INDEX('register map'!E:E,C62)),6,""),IF(ISNUMBER(INDEX('register map'!F:F,C62)),5,""),IF(ISNUMBER(INDEX('register map'!G:G,C62)),4,""),IF(ISNUMBER(INDEX('register map'!H:H,C62)),3,""),IF(ISNUMBER(INDEX('register map'!I:I,C62)),2,""),IF(ISNUMBER(INDEX('register map'!J:J,C62)),1,""),IF(ISNUMBER(INDEX('register map'!K:K,C62)),0,""))</f>
        <v>76</v>
      </c>
      <c r="H62" s="117" t="str">
        <f>RIGHT(INDEX('register map'!V:V,MATCH('Logical Group Generator'!B62,'register map'!L:L,0)),LEN(G62))</f>
        <v>00</v>
      </c>
      <c r="I62" s="117" t="str">
        <f>CONCATENATE(IF(ISNUMBER(INDEX('register map'!K:K,C62)),0,""),IF(ISNUMBER(INDEX('register map'!J:J,C62)),1,""),IF(ISNUMBER(INDEX('register map'!I:I,C62)),2,""),IF(ISNUMBER(INDEX('register map'!H:H,C62)),3,""),IF(ISNUMBER(INDEX('register map'!G:G,C62)),4,""),IF(ISNUMBER(INDEX('register map'!F:F,C62)),5,""),IF(ISNUMBER(INDEX('register map'!E:E,C62)),6,""),IF(ISNUMBER(INDEX('register map'!D:D,C62)),7,""))</f>
        <v>67</v>
      </c>
      <c r="J62" s="117" t="str">
        <f t="shared" si="7"/>
        <v>00</v>
      </c>
      <c r="K62" s="117" t="str">
        <f t="shared" si="0"/>
        <v/>
      </c>
      <c r="L62" s="117" t="str">
        <f t="shared" si="8"/>
        <v/>
      </c>
      <c r="M62" s="117" t="str">
        <f t="shared" si="10"/>
        <v/>
      </c>
      <c r="N62" s="117" t="str">
        <f>IF(ISBLANK(INDEX('register map'!M:M,'Logical Group Generator'!C62)),"No","Yes")</f>
        <v>No</v>
      </c>
      <c r="O62" s="117" t="str">
        <f>IF(NOT(ISBLANK(INDEX('register map'!N:N,'Logical Group Generator'!C62))),"Yes","")</f>
        <v/>
      </c>
      <c r="P62" s="117" t="str">
        <f t="shared" si="1"/>
        <v/>
      </c>
      <c r="Q62" s="117" t="str">
        <f t="shared" si="2"/>
        <v/>
      </c>
      <c r="R62" s="117" t="str">
        <f t="shared" si="3"/>
        <v/>
      </c>
      <c r="S62" s="117" t="str">
        <f t="shared" si="4"/>
        <v>No</v>
      </c>
      <c r="T62" s="117" t="str">
        <f t="shared" si="5"/>
        <v/>
      </c>
      <c r="U62" s="117" t="b">
        <f t="shared" si="9"/>
        <v>0</v>
      </c>
      <c r="V62" s="157" t="b">
        <f>INDEX('register map'!P:P,C62)="yes"</f>
        <v>0</v>
      </c>
      <c r="W62" s="157" t="str">
        <f t="shared" si="6"/>
        <v>FALSE</v>
      </c>
    </row>
    <row r="63" spans="2:23">
      <c r="B63" s="157" t="str">
        <f t="array" ref="B63">IF(ROWS($3:63)&lt;=COUNTA('register map'!$L$5:$L$902),INDEX('register map'!$L$5:$L$902,SMALL(IF('register map'!$L$5:$L$902&lt;&gt;"",ROW('register map'!$L$5:$L$902)-MIN(ROW('register map'!$L$5:$L$902))+1),ROWS($3:63))),"")</f>
        <v>LDOA3CTRL</v>
      </c>
      <c r="C63" s="157">
        <f>IF(B63="PART_NUMBER",IF(COUNTIF($B$1:B62,"PART_NUMBER")=0,6,8),MATCH(B63,'register map'!L:L,0))</f>
        <v>71</v>
      </c>
      <c r="D63" s="117" t="str">
        <f>IF(ISBLANK(INDEX('register map'!C:C,'Logical Group Generator'!C63)),"No","Yes")</f>
        <v>Yes</v>
      </c>
      <c r="E63" s="117" t="str">
        <f>IF(ISBLANK(INDEX('register map'!A:A,C63)),IF(ISBLANK(INDEX('register map'!A:A,C63-1)),IF(ISBLANK(INDEX('register map'!A:A,C63-2)),IF(ISBLANK(INDEX('register map'!A:A,C63-3)),IF(ISBLANK(INDEX('register map'!A:A,C63-4)),IF(ISBLANK(INDEX('register map'!A:A,C63-5)),IF(ISBLANK(INDEX('register map'!A:A,C63-6)),IF(ISBLANK(INDEX('register map'!A:A,C63-7)),IF(ISBLANK(INDEX('register map'!A:A,C63-8)),"ERROR",INDEX('register map'!A:A,C63-8)),INDEX('register map'!A:A,C63-7)),INDEX('register map'!A:A,C63-6)),INDEX('register map'!A:A,C63-5)),INDEX('register map'!A:A,C63-4)),INDEX('register map'!A:A,C63-3)),INDEX('register map'!A:A,C63-2)),INDEX('register map'!A:A,C63-1)),INDEX('register map'!A:A,C63))</f>
        <v>0x5E</v>
      </c>
      <c r="F63" s="117" t="str">
        <f>IF(ISBLANK(INDEX('register map'!B:B,C63)),IF(ISBLANK(INDEX('register map'!B:B,C63-1)),IF(ISBLANK(INDEX('register map'!B:B,C63-2)),IF(ISBLANK(INDEX('register map'!B:B,C63-3)),IF(ISBLANK(INDEX('register map'!B:B,C63-4)),IF(ISBLANK(INDEX('register map'!B:B,C63-5)),IF(ISBLANK(INDEX('register map'!B:B,C63-6)),IF(ISBLANK(INDEX('register map'!B:B,C63-7)),IF(ISBLANK(INDEX('register map'!B:B,C63-8)),"ERROR",INDEX('register map'!B:B,C63-8)),INDEX('register map'!B:B,C63-7)),INDEX('register map'!B:B,C63-6)),INDEX('register map'!B:B,C63-5)),INDEX('register map'!B:B,C63-4)),INDEX('register map'!B:B,C63-3)),INDEX('register map'!B:B,C63-2)),INDEX('register map'!B:B,C63-1)),INDEX('register map'!B:B,C63))</f>
        <v>0x29</v>
      </c>
      <c r="G63" s="117" t="str">
        <f>CONCATENATE(IF(ISNUMBER(INDEX('register map'!D:D,C63)),7,""),IF(ISNUMBER(INDEX('register map'!E:E,C63)),6,""),IF(ISNUMBER(INDEX('register map'!F:F,C63)),5,""),IF(ISNUMBER(INDEX('register map'!G:G,C63)),4,""),IF(ISNUMBER(INDEX('register map'!H:H,C63)),3,""),IF(ISNUMBER(INDEX('register map'!I:I,C63)),2,""),IF(ISNUMBER(INDEX('register map'!J:J,C63)),1,""),IF(ISNUMBER(INDEX('register map'!K:K,C63)),0,""))</f>
        <v/>
      </c>
      <c r="H63" s="117" t="str">
        <f>RIGHT(INDEX('register map'!V:V,MATCH('Logical Group Generator'!B63,'register map'!L:L,0)),LEN(G63))</f>
        <v/>
      </c>
      <c r="I63" s="117" t="str">
        <f>CONCATENATE(IF(ISNUMBER(INDEX('register map'!K:K,C63)),0,""),IF(ISNUMBER(INDEX('register map'!J:J,C63)),1,""),IF(ISNUMBER(INDEX('register map'!I:I,C63)),2,""),IF(ISNUMBER(INDEX('register map'!H:H,C63)),3,""),IF(ISNUMBER(INDEX('register map'!G:G,C63)),4,""),IF(ISNUMBER(INDEX('register map'!F:F,C63)),5,""),IF(ISNUMBER(INDEX('register map'!E:E,C63)),6,""),IF(ISNUMBER(INDEX('register map'!D:D,C63)),7,""))</f>
        <v/>
      </c>
      <c r="J63" s="117" t="str">
        <f t="shared" si="7"/>
        <v/>
      </c>
      <c r="K63" s="117" t="str">
        <f t="shared" si="0"/>
        <v>10110000</v>
      </c>
      <c r="L63" s="117" t="str">
        <f t="shared" si="8"/>
        <v>00001101</v>
      </c>
      <c r="M63" s="117" t="str">
        <f t="shared" si="10"/>
        <v>0D</v>
      </c>
      <c r="N63" s="117" t="str">
        <f>IF(ISBLANK(INDEX('register map'!M:M,'Logical Group Generator'!C63)),"No","Yes")</f>
        <v>No</v>
      </c>
      <c r="O63" s="117" t="str">
        <f>IF(NOT(ISBLANK(INDEX('register map'!N:N,'Logical Group Generator'!C63))),"Yes","")</f>
        <v/>
      </c>
      <c r="P63" s="117" t="str">
        <f t="shared" si="1"/>
        <v>No</v>
      </c>
      <c r="Q63" s="117" t="str">
        <f t="shared" si="2"/>
        <v>No</v>
      </c>
      <c r="R63" s="117" t="str">
        <f t="shared" si="3"/>
        <v>No</v>
      </c>
      <c r="S63" s="117" t="str">
        <f t="shared" si="4"/>
        <v/>
      </c>
      <c r="T63" s="117" t="b">
        <f t="shared" si="5"/>
        <v>1</v>
      </c>
      <c r="U63" s="117" t="b">
        <f t="shared" si="9"/>
        <v>1</v>
      </c>
      <c r="V63" s="157" t="b">
        <f>INDEX('register map'!P:P,C63)="yes"</f>
        <v>1</v>
      </c>
      <c r="W63" s="157" t="str">
        <f t="shared" si="6"/>
        <v>REGISTER</v>
      </c>
    </row>
    <row r="64" spans="2:23">
      <c r="B64" s="157" t="str">
        <f t="array" ref="B64">IF(ROWS($3:64)&lt;=COUNTA('register map'!$L$5:$L$902),INDEX('register map'!$L$5:$L$902,SMALL(IF('register map'!$L$5:$L$902&lt;&gt;"",ROW('register map'!$L$5:$L$902)-MIN(ROW('register map'!$L$5:$L$902))+1),ROWS($3:64))),"")</f>
        <v>LDOA3_DIS</v>
      </c>
      <c r="C64" s="157">
        <f>IF(B64="PART_NUMBER",IF(COUNTIF($B$1:B63,"PART_NUMBER")=0,6,8),MATCH(B64,'register map'!L:L,0))</f>
        <v>72</v>
      </c>
      <c r="D64" s="117" t="str">
        <f>IF(ISBLANK(INDEX('register map'!C:C,'Logical Group Generator'!C64)),"No","Yes")</f>
        <v>No</v>
      </c>
      <c r="E64" s="117" t="str">
        <f>IF(ISBLANK(INDEX('register map'!A:A,C64)),IF(ISBLANK(INDEX('register map'!A:A,C64-1)),IF(ISBLANK(INDEX('register map'!A:A,C64-2)),IF(ISBLANK(INDEX('register map'!A:A,C64-3)),IF(ISBLANK(INDEX('register map'!A:A,C64-4)),IF(ISBLANK(INDEX('register map'!A:A,C64-5)),IF(ISBLANK(INDEX('register map'!A:A,C64-6)),IF(ISBLANK(INDEX('register map'!A:A,C64-7)),IF(ISBLANK(INDEX('register map'!A:A,C64-8)),"ERROR",INDEX('register map'!A:A,C64-8)),INDEX('register map'!A:A,C64-7)),INDEX('register map'!A:A,C64-6)),INDEX('register map'!A:A,C64-5)),INDEX('register map'!A:A,C64-4)),INDEX('register map'!A:A,C64-3)),INDEX('register map'!A:A,C64-2)),INDEX('register map'!A:A,C64-1)),INDEX('register map'!A:A,C64))</f>
        <v>0x5E</v>
      </c>
      <c r="F64" s="117" t="str">
        <f>IF(ISBLANK(INDEX('register map'!B:B,C64)),IF(ISBLANK(INDEX('register map'!B:B,C64-1)),IF(ISBLANK(INDEX('register map'!B:B,C64-2)),IF(ISBLANK(INDEX('register map'!B:B,C64-3)),IF(ISBLANK(INDEX('register map'!B:B,C64-4)),IF(ISBLANK(INDEX('register map'!B:B,C64-5)),IF(ISBLANK(INDEX('register map'!B:B,C64-6)),IF(ISBLANK(INDEX('register map'!B:B,C64-7)),IF(ISBLANK(INDEX('register map'!B:B,C64-8)),"ERROR",INDEX('register map'!B:B,C64-8)),INDEX('register map'!B:B,C64-7)),INDEX('register map'!B:B,C64-6)),INDEX('register map'!B:B,C64-5)),INDEX('register map'!B:B,C64-4)),INDEX('register map'!B:B,C64-3)),INDEX('register map'!B:B,C64-2)),INDEX('register map'!B:B,C64-1)),INDEX('register map'!B:B,C64))</f>
        <v>0x29</v>
      </c>
      <c r="G64" s="117" t="str">
        <f>CONCATENATE(IF(ISNUMBER(INDEX('register map'!D:D,C64)),7,""),IF(ISNUMBER(INDEX('register map'!E:E,C64)),6,""),IF(ISNUMBER(INDEX('register map'!F:F,C64)),5,""),IF(ISNUMBER(INDEX('register map'!G:G,C64)),4,""),IF(ISNUMBER(INDEX('register map'!H:H,C64)),3,""),IF(ISNUMBER(INDEX('register map'!I:I,C64)),2,""),IF(ISNUMBER(INDEX('register map'!J:J,C64)),1,""),IF(ISNUMBER(INDEX('register map'!K:K,C64)),0,""))</f>
        <v>0</v>
      </c>
      <c r="H64" s="117" t="str">
        <f>RIGHT(INDEX('register map'!V:V,MATCH('Logical Group Generator'!B64,'register map'!L:L,0)),LEN(G64))</f>
        <v>1</v>
      </c>
      <c r="I64" s="117" t="str">
        <f>CONCATENATE(IF(ISNUMBER(INDEX('register map'!K:K,C64)),0,""),IF(ISNUMBER(INDEX('register map'!J:J,C64)),1,""),IF(ISNUMBER(INDEX('register map'!I:I,C64)),2,""),IF(ISNUMBER(INDEX('register map'!H:H,C64)),3,""),IF(ISNUMBER(INDEX('register map'!G:G,C64)),4,""),IF(ISNUMBER(INDEX('register map'!F:F,C64)),5,""),IF(ISNUMBER(INDEX('register map'!E:E,C64)),6,""),IF(ISNUMBER(INDEX('register map'!D:D,C64)),7,""))</f>
        <v>0</v>
      </c>
      <c r="J64" s="117" t="str">
        <f t="shared" si="7"/>
        <v>1</v>
      </c>
      <c r="K64" s="117" t="str">
        <f t="shared" si="0"/>
        <v/>
      </c>
      <c r="L64" s="117" t="str">
        <f t="shared" si="8"/>
        <v/>
      </c>
      <c r="M64" s="117" t="str">
        <f t="shared" si="10"/>
        <v/>
      </c>
      <c r="N64" s="117" t="str">
        <f>IF(ISBLANK(INDEX('register map'!M:M,'Logical Group Generator'!C64)),"No","Yes")</f>
        <v>No</v>
      </c>
      <c r="O64" s="117" t="str">
        <f>IF(NOT(ISBLANK(INDEX('register map'!N:N,'Logical Group Generator'!C64))),"Yes","")</f>
        <v/>
      </c>
      <c r="P64" s="117" t="str">
        <f t="shared" si="1"/>
        <v/>
      </c>
      <c r="Q64" s="117" t="str">
        <f t="shared" si="2"/>
        <v/>
      </c>
      <c r="R64" s="117" t="str">
        <f t="shared" si="3"/>
        <v/>
      </c>
      <c r="S64" s="117" t="str">
        <f t="shared" si="4"/>
        <v>No</v>
      </c>
      <c r="T64" s="117" t="str">
        <f t="shared" si="5"/>
        <v/>
      </c>
      <c r="U64" s="117" t="b">
        <f t="shared" si="9"/>
        <v>0</v>
      </c>
      <c r="V64" s="157" t="b">
        <f>INDEX('register map'!P:P,C64)="yes"</f>
        <v>1</v>
      </c>
      <c r="W64" s="157" t="str">
        <f t="shared" si="6"/>
        <v>FALSE</v>
      </c>
    </row>
    <row r="65" spans="2:23">
      <c r="B65" s="157" t="str">
        <f t="array" ref="B65">IF(ROWS($3:65)&lt;=COUNTA('register map'!$L$5:$L$902),INDEX('register map'!$L$5:$L$902,SMALL(IF('register map'!$L$5:$L$902&lt;&gt;"",ROW('register map'!$L$5:$L$902)-MIN(ROW('register map'!$L$5:$L$902))+1),ROWS($3:65))),"")</f>
        <v>OTP_RSVD_5E_29_1</v>
      </c>
      <c r="C65" s="157">
        <f>IF(B65="PART_NUMBER",IF(COUNTIF($B$1:B64,"PART_NUMBER")=0,6,8),MATCH(B65,'register map'!L:L,0))</f>
        <v>73</v>
      </c>
      <c r="D65" s="117" t="str">
        <f>IF(ISBLANK(INDEX('register map'!C:C,'Logical Group Generator'!C65)),"No","Yes")</f>
        <v>No</v>
      </c>
      <c r="E65" s="117" t="str">
        <f>IF(ISBLANK(INDEX('register map'!A:A,C65)),IF(ISBLANK(INDEX('register map'!A:A,C65-1)),IF(ISBLANK(INDEX('register map'!A:A,C65-2)),IF(ISBLANK(INDEX('register map'!A:A,C65-3)),IF(ISBLANK(INDEX('register map'!A:A,C65-4)),IF(ISBLANK(INDEX('register map'!A:A,C65-5)),IF(ISBLANK(INDEX('register map'!A:A,C65-6)),IF(ISBLANK(INDEX('register map'!A:A,C65-7)),IF(ISBLANK(INDEX('register map'!A:A,C65-8)),"ERROR",INDEX('register map'!A:A,C65-8)),INDEX('register map'!A:A,C65-7)),INDEX('register map'!A:A,C65-6)),INDEX('register map'!A:A,C65-5)),INDEX('register map'!A:A,C65-4)),INDEX('register map'!A:A,C65-3)),INDEX('register map'!A:A,C65-2)),INDEX('register map'!A:A,C65-1)),INDEX('register map'!A:A,C65))</f>
        <v>0x5E</v>
      </c>
      <c r="F65" s="117" t="str">
        <f>IF(ISBLANK(INDEX('register map'!B:B,C65)),IF(ISBLANK(INDEX('register map'!B:B,C65-1)),IF(ISBLANK(INDEX('register map'!B:B,C65-2)),IF(ISBLANK(INDEX('register map'!B:B,C65-3)),IF(ISBLANK(INDEX('register map'!B:B,C65-4)),IF(ISBLANK(INDEX('register map'!B:B,C65-5)),IF(ISBLANK(INDEX('register map'!B:B,C65-6)),IF(ISBLANK(INDEX('register map'!B:B,C65-7)),IF(ISBLANK(INDEX('register map'!B:B,C65-8)),"ERROR",INDEX('register map'!B:B,C65-8)),INDEX('register map'!B:B,C65-7)),INDEX('register map'!B:B,C65-6)),INDEX('register map'!B:B,C65-5)),INDEX('register map'!B:B,C65-4)),INDEX('register map'!B:B,C65-3)),INDEX('register map'!B:B,C65-2)),INDEX('register map'!B:B,C65-1)),INDEX('register map'!B:B,C65))</f>
        <v>0x29</v>
      </c>
      <c r="G65" s="117" t="str">
        <f>CONCATENATE(IF(ISNUMBER(INDEX('register map'!D:D,C65)),7,""),IF(ISNUMBER(INDEX('register map'!E:E,C65)),6,""),IF(ISNUMBER(INDEX('register map'!F:F,C65)),5,""),IF(ISNUMBER(INDEX('register map'!G:G,C65)),4,""),IF(ISNUMBER(INDEX('register map'!H:H,C65)),3,""),IF(ISNUMBER(INDEX('register map'!I:I,C65)),2,""),IF(ISNUMBER(INDEX('register map'!J:J,C65)),1,""),IF(ISNUMBER(INDEX('register map'!K:K,C65)),0,""))</f>
        <v>1</v>
      </c>
      <c r="H65" s="117" t="str">
        <f>RIGHT(INDEX('register map'!V:V,MATCH('Logical Group Generator'!B65,'register map'!L:L,0)),LEN(G65))</f>
        <v>0</v>
      </c>
      <c r="I65" s="117" t="str">
        <f>CONCATENATE(IF(ISNUMBER(INDEX('register map'!K:K,C65)),0,""),IF(ISNUMBER(INDEX('register map'!J:J,C65)),1,""),IF(ISNUMBER(INDEX('register map'!I:I,C65)),2,""),IF(ISNUMBER(INDEX('register map'!H:H,C65)),3,""),IF(ISNUMBER(INDEX('register map'!G:G,C65)),4,""),IF(ISNUMBER(INDEX('register map'!F:F,C65)),5,""),IF(ISNUMBER(INDEX('register map'!E:E,C65)),6,""),IF(ISNUMBER(INDEX('register map'!D:D,C65)),7,""))</f>
        <v>1</v>
      </c>
      <c r="J65" s="117" t="str">
        <f t="shared" si="7"/>
        <v>0</v>
      </c>
      <c r="K65" s="117" t="str">
        <f t="shared" si="0"/>
        <v/>
      </c>
      <c r="L65" s="117" t="str">
        <f t="shared" si="8"/>
        <v/>
      </c>
      <c r="M65" s="117" t="str">
        <f t="shared" si="10"/>
        <v/>
      </c>
      <c r="N65" s="117" t="str">
        <f>IF(ISBLANK(INDEX('register map'!M:M,'Logical Group Generator'!C65)),"No","Yes")</f>
        <v>No</v>
      </c>
      <c r="O65" s="117" t="str">
        <f>IF(NOT(ISBLANK(INDEX('register map'!N:N,'Logical Group Generator'!C65))),"Yes","")</f>
        <v/>
      </c>
      <c r="P65" s="117" t="str">
        <f t="shared" si="1"/>
        <v/>
      </c>
      <c r="Q65" s="117" t="str">
        <f t="shared" si="2"/>
        <v/>
      </c>
      <c r="R65" s="117" t="str">
        <f t="shared" si="3"/>
        <v/>
      </c>
      <c r="S65" s="117" t="str">
        <f t="shared" si="4"/>
        <v>No</v>
      </c>
      <c r="T65" s="117" t="str">
        <f t="shared" si="5"/>
        <v/>
      </c>
      <c r="U65" s="117" t="b">
        <f t="shared" si="9"/>
        <v>0</v>
      </c>
      <c r="V65" s="157" t="b">
        <f>INDEX('register map'!P:P,C65)="yes"</f>
        <v>1</v>
      </c>
      <c r="W65" s="157" t="str">
        <f t="shared" si="6"/>
        <v>FALSE</v>
      </c>
    </row>
    <row r="66" spans="2:23">
      <c r="B66" s="157" t="str">
        <f t="array" ref="B66">IF(ROWS($3:66)&lt;=COUNTA('register map'!$L$5:$L$902),INDEX('register map'!$L$5:$L$902,SMALL(IF('register map'!$L$5:$L$902&lt;&gt;"",ROW('register map'!$L$5:$L$902)-MIN(ROW('register map'!$L$5:$L$902))+1),ROWS($3:66))),"")</f>
        <v>OTP_RSVD_5E_29_32</v>
      </c>
      <c r="C66" s="157">
        <f>IF(B66="PART_NUMBER",IF(COUNTIF($B$1:B65,"PART_NUMBER")=0,6,8),MATCH(B66,'register map'!L:L,0))</f>
        <v>74</v>
      </c>
      <c r="D66" s="117" t="str">
        <f>IF(ISBLANK(INDEX('register map'!C:C,'Logical Group Generator'!C66)),"No","Yes")</f>
        <v>No</v>
      </c>
      <c r="E66" s="117" t="str">
        <f>IF(ISBLANK(INDEX('register map'!A:A,C66)),IF(ISBLANK(INDEX('register map'!A:A,C66-1)),IF(ISBLANK(INDEX('register map'!A:A,C66-2)),IF(ISBLANK(INDEX('register map'!A:A,C66-3)),IF(ISBLANK(INDEX('register map'!A:A,C66-4)),IF(ISBLANK(INDEX('register map'!A:A,C66-5)),IF(ISBLANK(INDEX('register map'!A:A,C66-6)),IF(ISBLANK(INDEX('register map'!A:A,C66-7)),IF(ISBLANK(INDEX('register map'!A:A,C66-8)),"ERROR",INDEX('register map'!A:A,C66-8)),INDEX('register map'!A:A,C66-7)),INDEX('register map'!A:A,C66-6)),INDEX('register map'!A:A,C66-5)),INDEX('register map'!A:A,C66-4)),INDEX('register map'!A:A,C66-3)),INDEX('register map'!A:A,C66-2)),INDEX('register map'!A:A,C66-1)),INDEX('register map'!A:A,C66))</f>
        <v>0x5E</v>
      </c>
      <c r="F66" s="117" t="str">
        <f>IF(ISBLANK(INDEX('register map'!B:B,C66)),IF(ISBLANK(INDEX('register map'!B:B,C66-1)),IF(ISBLANK(INDEX('register map'!B:B,C66-2)),IF(ISBLANK(INDEX('register map'!B:B,C66-3)),IF(ISBLANK(INDEX('register map'!B:B,C66-4)),IF(ISBLANK(INDEX('register map'!B:B,C66-5)),IF(ISBLANK(INDEX('register map'!B:B,C66-6)),IF(ISBLANK(INDEX('register map'!B:B,C66-7)),IF(ISBLANK(INDEX('register map'!B:B,C66-8)),"ERROR",INDEX('register map'!B:B,C66-8)),INDEX('register map'!B:B,C66-7)),INDEX('register map'!B:B,C66-6)),INDEX('register map'!B:B,C66-5)),INDEX('register map'!B:B,C66-4)),INDEX('register map'!B:B,C66-3)),INDEX('register map'!B:B,C66-2)),INDEX('register map'!B:B,C66-1)),INDEX('register map'!B:B,C66))</f>
        <v>0x29</v>
      </c>
      <c r="G66" s="117" t="str">
        <f>CONCATENATE(IF(ISNUMBER(INDEX('register map'!D:D,C66)),7,""),IF(ISNUMBER(INDEX('register map'!E:E,C66)),6,""),IF(ISNUMBER(INDEX('register map'!F:F,C66)),5,""),IF(ISNUMBER(INDEX('register map'!G:G,C66)),4,""),IF(ISNUMBER(INDEX('register map'!H:H,C66)),3,""),IF(ISNUMBER(INDEX('register map'!I:I,C66)),2,""),IF(ISNUMBER(INDEX('register map'!J:J,C66)),1,""),IF(ISNUMBER(INDEX('register map'!K:K,C66)),0,""))</f>
        <v>32</v>
      </c>
      <c r="H66" s="117" t="str">
        <f>RIGHT(INDEX('register map'!V:V,MATCH('Logical Group Generator'!B66,'register map'!L:L,0)),LEN(G66))</f>
        <v>11</v>
      </c>
      <c r="I66" s="117" t="str">
        <f>CONCATENATE(IF(ISNUMBER(INDEX('register map'!K:K,C66)),0,""),IF(ISNUMBER(INDEX('register map'!J:J,C66)),1,""),IF(ISNUMBER(INDEX('register map'!I:I,C66)),2,""),IF(ISNUMBER(INDEX('register map'!H:H,C66)),3,""),IF(ISNUMBER(INDEX('register map'!G:G,C66)),4,""),IF(ISNUMBER(INDEX('register map'!F:F,C66)),5,""),IF(ISNUMBER(INDEX('register map'!E:E,C66)),6,""),IF(ISNUMBER(INDEX('register map'!D:D,C66)),7,""))</f>
        <v>23</v>
      </c>
      <c r="J66" s="117" t="str">
        <f t="shared" si="7"/>
        <v>11</v>
      </c>
      <c r="K66" s="117" t="str">
        <f t="shared" si="0"/>
        <v/>
      </c>
      <c r="L66" s="117" t="str">
        <f t="shared" si="8"/>
        <v/>
      </c>
      <c r="M66" s="117" t="str">
        <f t="shared" si="10"/>
        <v/>
      </c>
      <c r="N66" s="117" t="str">
        <f>IF(ISBLANK(INDEX('register map'!M:M,'Logical Group Generator'!C66)),"No","Yes")</f>
        <v>No</v>
      </c>
      <c r="O66" s="117" t="str">
        <f>IF(NOT(ISBLANK(INDEX('register map'!N:N,'Logical Group Generator'!C66))),"Yes","")</f>
        <v/>
      </c>
      <c r="P66" s="117" t="str">
        <f t="shared" si="1"/>
        <v/>
      </c>
      <c r="Q66" s="117" t="str">
        <f t="shared" si="2"/>
        <v/>
      </c>
      <c r="R66" s="117" t="str">
        <f t="shared" si="3"/>
        <v/>
      </c>
      <c r="S66" s="117" t="str">
        <f t="shared" si="4"/>
        <v>No</v>
      </c>
      <c r="T66" s="117" t="str">
        <f t="shared" si="5"/>
        <v/>
      </c>
      <c r="U66" s="117" t="b">
        <f t="shared" si="9"/>
        <v>0</v>
      </c>
      <c r="V66" s="157" t="b">
        <f>INDEX('register map'!P:P,C66)="yes"</f>
        <v>1</v>
      </c>
      <c r="W66" s="157" t="str">
        <f t="shared" si="6"/>
        <v>FALSE</v>
      </c>
    </row>
    <row r="67" spans="2:23">
      <c r="B67" s="157" t="str">
        <f t="array" ref="B67">IF(ROWS($3:67)&lt;=COUNTA('register map'!$L$5:$L$902),INDEX('register map'!$L$5:$L$902,SMALL(IF('register map'!$L$5:$L$902&lt;&gt;"",ROW('register map'!$L$5:$L$902)-MIN(ROW('register map'!$L$5:$L$902))+1),ROWS($3:67))),"")</f>
        <v>LDOA3_SLP_EN</v>
      </c>
      <c r="C67" s="157">
        <f>IF(B67="PART_NUMBER",IF(COUNTIF($B$1:B66,"PART_NUMBER")=0,6,8),MATCH(B67,'register map'!L:L,0))</f>
        <v>75</v>
      </c>
      <c r="D67" s="117" t="str">
        <f>IF(ISBLANK(INDEX('register map'!C:C,'Logical Group Generator'!C67)),"No","Yes")</f>
        <v>No</v>
      </c>
      <c r="E67" s="117" t="str">
        <f>IF(ISBLANK(INDEX('register map'!A:A,C67)),IF(ISBLANK(INDEX('register map'!A:A,C67-1)),IF(ISBLANK(INDEX('register map'!A:A,C67-2)),IF(ISBLANK(INDEX('register map'!A:A,C67-3)),IF(ISBLANK(INDEX('register map'!A:A,C67-4)),IF(ISBLANK(INDEX('register map'!A:A,C67-5)),IF(ISBLANK(INDEX('register map'!A:A,C67-6)),IF(ISBLANK(INDEX('register map'!A:A,C67-7)),IF(ISBLANK(INDEX('register map'!A:A,C67-8)),"ERROR",INDEX('register map'!A:A,C67-8)),INDEX('register map'!A:A,C67-7)),INDEX('register map'!A:A,C67-6)),INDEX('register map'!A:A,C67-5)),INDEX('register map'!A:A,C67-4)),INDEX('register map'!A:A,C67-3)),INDEX('register map'!A:A,C67-2)),INDEX('register map'!A:A,C67-1)),INDEX('register map'!A:A,C67))</f>
        <v>0x5E</v>
      </c>
      <c r="F67" s="117" t="str">
        <f>IF(ISBLANK(INDEX('register map'!B:B,C67)),IF(ISBLANK(INDEX('register map'!B:B,C67-1)),IF(ISBLANK(INDEX('register map'!B:B,C67-2)),IF(ISBLANK(INDEX('register map'!B:B,C67-3)),IF(ISBLANK(INDEX('register map'!B:B,C67-4)),IF(ISBLANK(INDEX('register map'!B:B,C67-5)),IF(ISBLANK(INDEX('register map'!B:B,C67-6)),IF(ISBLANK(INDEX('register map'!B:B,C67-7)),IF(ISBLANK(INDEX('register map'!B:B,C67-8)),"ERROR",INDEX('register map'!B:B,C67-8)),INDEX('register map'!B:B,C67-7)),INDEX('register map'!B:B,C67-6)),INDEX('register map'!B:B,C67-5)),INDEX('register map'!B:B,C67-4)),INDEX('register map'!B:B,C67-3)),INDEX('register map'!B:B,C67-2)),INDEX('register map'!B:B,C67-1)),INDEX('register map'!B:B,C67))</f>
        <v>0x29</v>
      </c>
      <c r="G67" s="117" t="str">
        <f>CONCATENATE(IF(ISNUMBER(INDEX('register map'!D:D,C67)),7,""),IF(ISNUMBER(INDEX('register map'!E:E,C67)),6,""),IF(ISNUMBER(INDEX('register map'!F:F,C67)),5,""),IF(ISNUMBER(INDEX('register map'!G:G,C67)),4,""),IF(ISNUMBER(INDEX('register map'!H:H,C67)),3,""),IF(ISNUMBER(INDEX('register map'!I:I,C67)),2,""),IF(ISNUMBER(INDEX('register map'!J:J,C67)),1,""),IF(ISNUMBER(INDEX('register map'!K:K,C67)),0,""))</f>
        <v>54</v>
      </c>
      <c r="H67" s="117" t="str">
        <f>RIGHT(INDEX('register map'!V:V,MATCH('Logical Group Generator'!B67,'register map'!L:L,0)),LEN(G67))</f>
        <v>00</v>
      </c>
      <c r="I67" s="117" t="str">
        <f>CONCATENATE(IF(ISNUMBER(INDEX('register map'!K:K,C67)),0,""),IF(ISNUMBER(INDEX('register map'!J:J,C67)),1,""),IF(ISNUMBER(INDEX('register map'!I:I,C67)),2,""),IF(ISNUMBER(INDEX('register map'!H:H,C67)),3,""),IF(ISNUMBER(INDEX('register map'!G:G,C67)),4,""),IF(ISNUMBER(INDEX('register map'!F:F,C67)),5,""),IF(ISNUMBER(INDEX('register map'!E:E,C67)),6,""),IF(ISNUMBER(INDEX('register map'!D:D,C67)),7,""))</f>
        <v>45</v>
      </c>
      <c r="J67" s="117" t="str">
        <f t="shared" si="7"/>
        <v>00</v>
      </c>
      <c r="K67" s="117" t="str">
        <f t="shared" ref="K67:K130" si="11">IF(D67="Yes",CONCATENATE(IF(F68=F67,J68,""),IF(F69=F67,J69,""),IF(F70=F67,J70,""),IF(F71=F67,J71,""),IF(F72=F67,J72,""),IF(F73=F67,J73,""),IF(F74=F67,J74,""),IF(F75=F67,J75,"")),"")</f>
        <v/>
      </c>
      <c r="L67" s="117" t="str">
        <f t="shared" si="8"/>
        <v/>
      </c>
      <c r="M67" s="117" t="str">
        <f t="shared" si="10"/>
        <v/>
      </c>
      <c r="N67" s="117" t="str">
        <f>IF(ISBLANK(INDEX('register map'!M:M,'Logical Group Generator'!C67)),"No","Yes")</f>
        <v>No</v>
      </c>
      <c r="O67" s="117" t="str">
        <f>IF(NOT(ISBLANK(INDEX('register map'!N:N,'Logical Group Generator'!C67))),"Yes","")</f>
        <v/>
      </c>
      <c r="P67" s="117" t="str">
        <f t="shared" ref="P67:P130" si="12">IF(D67="Yes",IF(OR(AND(F68=F67,N68="Yes"),AND(F69=F67,N69="Yes"),AND(F70=F67,N70="Yes"),AND(F71=F67,N71="Yes"),AND(F72=F67,N72="Yes"),AND(F73=F67,N73="Yes"),AND(F74=F67,N74="Yes"),AND(F75=F67,N75="Yes")),"Yes","No"),"")</f>
        <v/>
      </c>
      <c r="Q67" s="117" t="str">
        <f t="shared" ref="Q67:Q130" si="13">IF(D67="Yes",IF(AND(IF(F68=F67,OR(N68="Yes",O68="Yes"),TRUE),IF(F69=F67,OR(N69="Yes",O69="Yes"),TRUE),IF(F70=F67,OR(N70="Yes",O70="Yes"),TRUE),IF(F71=F67,OR(N71="Yes",O71="Yes"),TRUE),IF(F72=F67,OR(N72="Yes",O72="Yes"),TRUE),IF(F73=F67,OR(N73="Yes",O73="Yes"),TRUE),IF(F74=F67,OR(N74="Yes",O74="Yes"),TRUE),IF(F75=F67,OR(N75="Yes",O75="Yes"),TRUE)),"Yes","No"),"")</f>
        <v/>
      </c>
      <c r="R67" s="117" t="str">
        <f t="shared" ref="R67:R130" si="14">IF(D67="Yes",IF(AND(P67="Yes",Q67="No"),"Yes","No"),"")</f>
        <v/>
      </c>
      <c r="S67" s="117" t="str">
        <f t="shared" ref="S67:S130" si="15">IF(D67="No",IF(AND(N67="No",NOT(O67="Yes"),INDEX(R:R,MATCH(F67,F:F,0))="Yes"),"Yes","No"),"")</f>
        <v>No</v>
      </c>
      <c r="T67" s="117" t="str">
        <f t="shared" ref="T67:T130" si="16">IF(D67="Yes",LEN(L67)=8,"")</f>
        <v/>
      </c>
      <c r="U67" s="117" t="b">
        <f t="shared" si="9"/>
        <v>0</v>
      </c>
      <c r="V67" s="157" t="b">
        <f>INDEX('register map'!P:P,C67)="yes"</f>
        <v>1</v>
      </c>
      <c r="W67" s="157" t="str">
        <f t="shared" ref="W67:W130" si="17">IF(AND(D67="Yes",P67="No",Q67="No",V67),"REGISTER",IF(AND(D67="No",S67="Yes",V67),"BIT","FALSE"))</f>
        <v>FALSE</v>
      </c>
    </row>
    <row r="68" spans="2:23">
      <c r="B68" s="157" t="str">
        <f t="array" ref="B68">IF(ROWS($3:68)&lt;=COUNTA('register map'!$L$5:$L$902),INDEX('register map'!$L$5:$L$902,SMALL(IF('register map'!$L$5:$L$902&lt;&gt;"",ROW('register map'!$L$5:$L$902)-MIN(ROW('register map'!$L$5:$L$902))+1),ROWS($3:68))),"")</f>
        <v>OTP_RSVD_5E_29_76</v>
      </c>
      <c r="C68" s="157">
        <f>IF(B68="PART_NUMBER",IF(COUNTIF($B$1:B67,"PART_NUMBER")=0,6,8),MATCH(B68,'register map'!L:L,0))</f>
        <v>76</v>
      </c>
      <c r="D68" s="117" t="str">
        <f>IF(ISBLANK(INDEX('register map'!C:C,'Logical Group Generator'!C68)),"No","Yes")</f>
        <v>No</v>
      </c>
      <c r="E68" s="117" t="str">
        <f>IF(ISBLANK(INDEX('register map'!A:A,C68)),IF(ISBLANK(INDEX('register map'!A:A,C68-1)),IF(ISBLANK(INDEX('register map'!A:A,C68-2)),IF(ISBLANK(INDEX('register map'!A:A,C68-3)),IF(ISBLANK(INDEX('register map'!A:A,C68-4)),IF(ISBLANK(INDEX('register map'!A:A,C68-5)),IF(ISBLANK(INDEX('register map'!A:A,C68-6)),IF(ISBLANK(INDEX('register map'!A:A,C68-7)),IF(ISBLANK(INDEX('register map'!A:A,C68-8)),"ERROR",INDEX('register map'!A:A,C68-8)),INDEX('register map'!A:A,C68-7)),INDEX('register map'!A:A,C68-6)),INDEX('register map'!A:A,C68-5)),INDEX('register map'!A:A,C68-4)),INDEX('register map'!A:A,C68-3)),INDEX('register map'!A:A,C68-2)),INDEX('register map'!A:A,C68-1)),INDEX('register map'!A:A,C68))</f>
        <v>0x5E</v>
      </c>
      <c r="F68" s="117" t="str">
        <f>IF(ISBLANK(INDEX('register map'!B:B,C68)),IF(ISBLANK(INDEX('register map'!B:B,C68-1)),IF(ISBLANK(INDEX('register map'!B:B,C68-2)),IF(ISBLANK(INDEX('register map'!B:B,C68-3)),IF(ISBLANK(INDEX('register map'!B:B,C68-4)),IF(ISBLANK(INDEX('register map'!B:B,C68-5)),IF(ISBLANK(INDEX('register map'!B:B,C68-6)),IF(ISBLANK(INDEX('register map'!B:B,C68-7)),IF(ISBLANK(INDEX('register map'!B:B,C68-8)),"ERROR",INDEX('register map'!B:B,C68-8)),INDEX('register map'!B:B,C68-7)),INDEX('register map'!B:B,C68-6)),INDEX('register map'!B:B,C68-5)),INDEX('register map'!B:B,C68-4)),INDEX('register map'!B:B,C68-3)),INDEX('register map'!B:B,C68-2)),INDEX('register map'!B:B,C68-1)),INDEX('register map'!B:B,C68))</f>
        <v>0x29</v>
      </c>
      <c r="G68" s="117" t="str">
        <f>CONCATENATE(IF(ISNUMBER(INDEX('register map'!D:D,C68)),7,""),IF(ISNUMBER(INDEX('register map'!E:E,C68)),6,""),IF(ISNUMBER(INDEX('register map'!F:F,C68)),5,""),IF(ISNUMBER(INDEX('register map'!G:G,C68)),4,""),IF(ISNUMBER(INDEX('register map'!H:H,C68)),3,""),IF(ISNUMBER(INDEX('register map'!I:I,C68)),2,""),IF(ISNUMBER(INDEX('register map'!J:J,C68)),1,""),IF(ISNUMBER(INDEX('register map'!K:K,C68)),0,""))</f>
        <v>76</v>
      </c>
      <c r="H68" s="117" t="str">
        <f>RIGHT(INDEX('register map'!V:V,MATCH('Logical Group Generator'!B68,'register map'!L:L,0)),LEN(G68))</f>
        <v>00</v>
      </c>
      <c r="I68" s="117" t="str">
        <f>CONCATENATE(IF(ISNUMBER(INDEX('register map'!K:K,C68)),0,""),IF(ISNUMBER(INDEX('register map'!J:J,C68)),1,""),IF(ISNUMBER(INDEX('register map'!I:I,C68)),2,""),IF(ISNUMBER(INDEX('register map'!H:H,C68)),3,""),IF(ISNUMBER(INDEX('register map'!G:G,C68)),4,""),IF(ISNUMBER(INDEX('register map'!F:F,C68)),5,""),IF(ISNUMBER(INDEX('register map'!E:E,C68)),6,""),IF(ISNUMBER(INDEX('register map'!D:D,C68)),7,""))</f>
        <v>67</v>
      </c>
      <c r="J68" s="117" t="str">
        <f t="shared" ref="J68:J131" si="18">MID(H68,20,1) &amp; MID(H68,19,1) &amp; MID(H68,18,1) &amp; MID(H68,17,1) &amp; MID(H68,16,1) &amp; MID(H68,15,1) &amp; MID(H68,14,1) &amp; MID(H68,13,1) &amp; MID(H68,12,1) &amp; MID(H68,11,1) &amp; MID(H68,10,1) &amp; MID(H68,9,1) &amp; MID(H68,8,1) &amp; MID(H68,7,1) &amp; MID(H68,6,1) &amp; MID(H68,5,1) &amp; MID(H68,4,1) &amp; MID(H68,3,1) &amp; MID(H68,2,1) &amp; MID(H68,1,1)</f>
        <v>00</v>
      </c>
      <c r="K68" s="117" t="str">
        <f t="shared" si="11"/>
        <v/>
      </c>
      <c r="L68" s="117" t="str">
        <f t="shared" ref="L68:L131" si="19">MID(K68,20,1) &amp; MID(K68,19,1) &amp; MID(K68,18,1) &amp; MID(K68,17,1) &amp; MID(K68,16,1) &amp; MID(K68,15,1) &amp; MID(K68,14,1) &amp; MID(K68,13,1) &amp; MID(K68,12,1) &amp; MID(K68,11,1) &amp; MID(K68,10,1) &amp; MID(K68,9,1) &amp; MID(K68,8,1) &amp; MID(K68,7,1) &amp; MID(K68,6,1) &amp; MID(K68,5,1) &amp; MID(K68,4,1) &amp; MID(K68,3,1) &amp; MID(K68,2,1) &amp; MID(K68,1,1)</f>
        <v/>
      </c>
      <c r="M68" s="117" t="str">
        <f t="shared" si="10"/>
        <v/>
      </c>
      <c r="N68" s="117" t="str">
        <f>IF(ISBLANK(INDEX('register map'!M:M,'Logical Group Generator'!C68)),"No","Yes")</f>
        <v>No</v>
      </c>
      <c r="O68" s="117" t="str">
        <f>IF(NOT(ISBLANK(INDEX('register map'!N:N,'Logical Group Generator'!C68))),"Yes","")</f>
        <v/>
      </c>
      <c r="P68" s="117" t="str">
        <f t="shared" si="12"/>
        <v/>
      </c>
      <c r="Q68" s="117" t="str">
        <f t="shared" si="13"/>
        <v/>
      </c>
      <c r="R68" s="117" t="str">
        <f t="shared" si="14"/>
        <v/>
      </c>
      <c r="S68" s="117" t="str">
        <f t="shared" si="15"/>
        <v>No</v>
      </c>
      <c r="T68" s="117" t="str">
        <f t="shared" si="16"/>
        <v/>
      </c>
      <c r="U68" s="117" t="b">
        <f t="shared" ref="U68:U131" si="20">OR(P68="No",S68="Yes")</f>
        <v>0</v>
      </c>
      <c r="V68" s="157" t="b">
        <f>INDEX('register map'!P:P,C68)="yes"</f>
        <v>0</v>
      </c>
      <c r="W68" s="157" t="str">
        <f t="shared" si="17"/>
        <v>FALSE</v>
      </c>
    </row>
    <row r="69" spans="2:23">
      <c r="B69" s="157" t="str">
        <f t="array" ref="B69">IF(ROWS($3:69)&lt;=COUNTA('register map'!$L$5:$L$902),INDEX('register map'!$L$5:$L$902,SMALL(IF('register map'!$L$5:$L$902&lt;&gt;"",ROW('register map'!$L$5:$L$902)-MIN(ROW('register map'!$L$5:$L$902))+1),ROWS($3:69))),"")</f>
        <v>DISCHCTRL1</v>
      </c>
      <c r="C69" s="157">
        <f>IF(B69="PART_NUMBER",IF(COUNTIF($B$1:B68,"PART_NUMBER")=0,6,8),MATCH(B69,'register map'!L:L,0))</f>
        <v>77</v>
      </c>
      <c r="D69" s="117" t="str">
        <f>IF(ISBLANK(INDEX('register map'!C:C,'Logical Group Generator'!C69)),"No","Yes")</f>
        <v>Yes</v>
      </c>
      <c r="E69" s="117" t="str">
        <f>IF(ISBLANK(INDEX('register map'!A:A,C69)),IF(ISBLANK(INDEX('register map'!A:A,C69-1)),IF(ISBLANK(INDEX('register map'!A:A,C69-2)),IF(ISBLANK(INDEX('register map'!A:A,C69-3)),IF(ISBLANK(INDEX('register map'!A:A,C69-4)),IF(ISBLANK(INDEX('register map'!A:A,C69-5)),IF(ISBLANK(INDEX('register map'!A:A,C69-6)),IF(ISBLANK(INDEX('register map'!A:A,C69-7)),IF(ISBLANK(INDEX('register map'!A:A,C69-8)),"ERROR",INDEX('register map'!A:A,C69-8)),INDEX('register map'!A:A,C69-7)),INDEX('register map'!A:A,C69-6)),INDEX('register map'!A:A,C69-5)),INDEX('register map'!A:A,C69-4)),INDEX('register map'!A:A,C69-3)),INDEX('register map'!A:A,C69-2)),INDEX('register map'!A:A,C69-1)),INDEX('register map'!A:A,C69))</f>
        <v>0x5E</v>
      </c>
      <c r="F69" s="117" t="str">
        <f>IF(ISBLANK(INDEX('register map'!B:B,C69)),IF(ISBLANK(INDEX('register map'!B:B,C69-1)),IF(ISBLANK(INDEX('register map'!B:B,C69-2)),IF(ISBLANK(INDEX('register map'!B:B,C69-3)),IF(ISBLANK(INDEX('register map'!B:B,C69-4)),IF(ISBLANK(INDEX('register map'!B:B,C69-5)),IF(ISBLANK(INDEX('register map'!B:B,C69-6)),IF(ISBLANK(INDEX('register map'!B:B,C69-7)),IF(ISBLANK(INDEX('register map'!B:B,C69-8)),"ERROR",INDEX('register map'!B:B,C69-8)),INDEX('register map'!B:B,C69-7)),INDEX('register map'!B:B,C69-6)),INDEX('register map'!B:B,C69-5)),INDEX('register map'!B:B,C69-4)),INDEX('register map'!B:B,C69-3)),INDEX('register map'!B:B,C69-2)),INDEX('register map'!B:B,C69-1)),INDEX('register map'!B:B,C69))</f>
        <v>0x40</v>
      </c>
      <c r="G69" s="117" t="str">
        <f>CONCATENATE(IF(ISNUMBER(INDEX('register map'!D:D,C69)),7,""),IF(ISNUMBER(INDEX('register map'!E:E,C69)),6,""),IF(ISNUMBER(INDEX('register map'!F:F,C69)),5,""),IF(ISNUMBER(INDEX('register map'!G:G,C69)),4,""),IF(ISNUMBER(INDEX('register map'!H:H,C69)),3,""),IF(ISNUMBER(INDEX('register map'!I:I,C69)),2,""),IF(ISNUMBER(INDEX('register map'!J:J,C69)),1,""),IF(ISNUMBER(INDEX('register map'!K:K,C69)),0,""))</f>
        <v/>
      </c>
      <c r="H69" s="117" t="str">
        <f>RIGHT(INDEX('register map'!V:V,MATCH('Logical Group Generator'!B69,'register map'!L:L,0)),LEN(G69))</f>
        <v/>
      </c>
      <c r="I69" s="117" t="str">
        <f>CONCATENATE(IF(ISNUMBER(INDEX('register map'!K:K,C69)),0,""),IF(ISNUMBER(INDEX('register map'!J:J,C69)),1,""),IF(ISNUMBER(INDEX('register map'!I:I,C69)),2,""),IF(ISNUMBER(INDEX('register map'!H:H,C69)),3,""),IF(ISNUMBER(INDEX('register map'!G:G,C69)),4,""),IF(ISNUMBER(INDEX('register map'!F:F,C69)),5,""),IF(ISNUMBER(INDEX('register map'!E:E,C69)),6,""),IF(ISNUMBER(INDEX('register map'!D:D,C69)),7,""))</f>
        <v/>
      </c>
      <c r="J69" s="117" t="str">
        <f t="shared" si="18"/>
        <v/>
      </c>
      <c r="K69" s="117" t="str">
        <f t="shared" si="11"/>
        <v>00000000</v>
      </c>
      <c r="L69" s="117" t="str">
        <f t="shared" si="19"/>
        <v>00000000</v>
      </c>
      <c r="M69" s="117" t="str">
        <f t="shared" ref="M69:M132" si="21">IF(L69="","",BIN2HEX(L69,2))</f>
        <v>00</v>
      </c>
      <c r="N69" s="117" t="str">
        <f>IF(ISBLANK(INDEX('register map'!M:M,'Logical Group Generator'!C69)),"No","Yes")</f>
        <v>No</v>
      </c>
      <c r="O69" s="117" t="str">
        <f>IF(NOT(ISBLANK(INDEX('register map'!N:N,'Logical Group Generator'!C69))),"Yes","")</f>
        <v/>
      </c>
      <c r="P69" s="117" t="str">
        <f t="shared" si="12"/>
        <v>No</v>
      </c>
      <c r="Q69" s="117" t="str">
        <f t="shared" si="13"/>
        <v>No</v>
      </c>
      <c r="R69" s="117" t="str">
        <f t="shared" si="14"/>
        <v>No</v>
      </c>
      <c r="S69" s="117" t="str">
        <f t="shared" si="15"/>
        <v/>
      </c>
      <c r="T69" s="117" t="b">
        <f t="shared" si="16"/>
        <v>1</v>
      </c>
      <c r="U69" s="117" t="b">
        <f t="shared" si="20"/>
        <v>1</v>
      </c>
      <c r="V69" s="157" t="b">
        <f>INDEX('register map'!P:P,C69)="yes"</f>
        <v>1</v>
      </c>
      <c r="W69" s="157" t="str">
        <f t="shared" si="17"/>
        <v>REGISTER</v>
      </c>
    </row>
    <row r="70" spans="2:23">
      <c r="B70" s="157" t="str">
        <f t="array" ref="B70">IF(ROWS($3:70)&lt;=COUNTA('register map'!$L$5:$L$902),INDEX('register map'!$L$5:$L$902,SMALL(IF('register map'!$L$5:$L$902&lt;&gt;"",ROW('register map'!$L$5:$L$902)-MIN(ROW('register map'!$L$5:$L$902))+1),ROWS($3:70))),"")</f>
        <v>BUCK1_DISCHG</v>
      </c>
      <c r="C70" s="157">
        <f>IF(B70="PART_NUMBER",IF(COUNTIF($B$1:B69,"PART_NUMBER")=0,6,8),MATCH(B70,'register map'!L:L,0))</f>
        <v>78</v>
      </c>
      <c r="D70" s="117" t="str">
        <f>IF(ISBLANK(INDEX('register map'!C:C,'Logical Group Generator'!C70)),"No","Yes")</f>
        <v>No</v>
      </c>
      <c r="E70" s="117" t="str">
        <f>IF(ISBLANK(INDEX('register map'!A:A,C70)),IF(ISBLANK(INDEX('register map'!A:A,C70-1)),IF(ISBLANK(INDEX('register map'!A:A,C70-2)),IF(ISBLANK(INDEX('register map'!A:A,C70-3)),IF(ISBLANK(INDEX('register map'!A:A,C70-4)),IF(ISBLANK(INDEX('register map'!A:A,C70-5)),IF(ISBLANK(INDEX('register map'!A:A,C70-6)),IF(ISBLANK(INDEX('register map'!A:A,C70-7)),IF(ISBLANK(INDEX('register map'!A:A,C70-8)),"ERROR",INDEX('register map'!A:A,C70-8)),INDEX('register map'!A:A,C70-7)),INDEX('register map'!A:A,C70-6)),INDEX('register map'!A:A,C70-5)),INDEX('register map'!A:A,C70-4)),INDEX('register map'!A:A,C70-3)),INDEX('register map'!A:A,C70-2)),INDEX('register map'!A:A,C70-1)),INDEX('register map'!A:A,C70))</f>
        <v>0x5E</v>
      </c>
      <c r="F70" s="117" t="str">
        <f>IF(ISBLANK(INDEX('register map'!B:B,C70)),IF(ISBLANK(INDEX('register map'!B:B,C70-1)),IF(ISBLANK(INDEX('register map'!B:B,C70-2)),IF(ISBLANK(INDEX('register map'!B:B,C70-3)),IF(ISBLANK(INDEX('register map'!B:B,C70-4)),IF(ISBLANK(INDEX('register map'!B:B,C70-5)),IF(ISBLANK(INDEX('register map'!B:B,C70-6)),IF(ISBLANK(INDEX('register map'!B:B,C70-7)),IF(ISBLANK(INDEX('register map'!B:B,C70-8)),"ERROR",INDEX('register map'!B:B,C70-8)),INDEX('register map'!B:B,C70-7)),INDEX('register map'!B:B,C70-6)),INDEX('register map'!B:B,C70-5)),INDEX('register map'!B:B,C70-4)),INDEX('register map'!B:B,C70-3)),INDEX('register map'!B:B,C70-2)),INDEX('register map'!B:B,C70-1)),INDEX('register map'!B:B,C70))</f>
        <v>0x40</v>
      </c>
      <c r="G70" s="117" t="str">
        <f>CONCATENATE(IF(ISNUMBER(INDEX('register map'!D:D,C70)),7,""),IF(ISNUMBER(INDEX('register map'!E:E,C70)),6,""),IF(ISNUMBER(INDEX('register map'!F:F,C70)),5,""),IF(ISNUMBER(INDEX('register map'!G:G,C70)),4,""),IF(ISNUMBER(INDEX('register map'!H:H,C70)),3,""),IF(ISNUMBER(INDEX('register map'!I:I,C70)),2,""),IF(ISNUMBER(INDEX('register map'!J:J,C70)),1,""),IF(ISNUMBER(INDEX('register map'!K:K,C70)),0,""))</f>
        <v>10</v>
      </c>
      <c r="H70" s="117" t="str">
        <f>RIGHT(INDEX('register map'!V:V,MATCH('Logical Group Generator'!B70,'register map'!L:L,0)),LEN(G70))</f>
        <v>00</v>
      </c>
      <c r="I70" s="117" t="str">
        <f>CONCATENATE(IF(ISNUMBER(INDEX('register map'!K:K,C70)),0,""),IF(ISNUMBER(INDEX('register map'!J:J,C70)),1,""),IF(ISNUMBER(INDEX('register map'!I:I,C70)),2,""),IF(ISNUMBER(INDEX('register map'!H:H,C70)),3,""),IF(ISNUMBER(INDEX('register map'!G:G,C70)),4,""),IF(ISNUMBER(INDEX('register map'!F:F,C70)),5,""),IF(ISNUMBER(INDEX('register map'!E:E,C70)),6,""),IF(ISNUMBER(INDEX('register map'!D:D,C70)),7,""))</f>
        <v>01</v>
      </c>
      <c r="J70" s="117" t="str">
        <f t="shared" si="18"/>
        <v>00</v>
      </c>
      <c r="K70" s="117" t="str">
        <f t="shared" si="11"/>
        <v/>
      </c>
      <c r="L70" s="117" t="str">
        <f t="shared" si="19"/>
        <v/>
      </c>
      <c r="M70" s="117" t="str">
        <f t="shared" si="21"/>
        <v/>
      </c>
      <c r="N70" s="117" t="str">
        <f>IF(ISBLANK(INDEX('register map'!M:M,'Logical Group Generator'!C70)),"No","Yes")</f>
        <v>No</v>
      </c>
      <c r="O70" s="117" t="str">
        <f>IF(NOT(ISBLANK(INDEX('register map'!N:N,'Logical Group Generator'!C70))),"Yes","")</f>
        <v/>
      </c>
      <c r="P70" s="117" t="str">
        <f t="shared" si="12"/>
        <v/>
      </c>
      <c r="Q70" s="117" t="str">
        <f t="shared" si="13"/>
        <v/>
      </c>
      <c r="R70" s="117" t="str">
        <f t="shared" si="14"/>
        <v/>
      </c>
      <c r="S70" s="117" t="str">
        <f t="shared" si="15"/>
        <v>No</v>
      </c>
      <c r="T70" s="117" t="str">
        <f t="shared" si="16"/>
        <v/>
      </c>
      <c r="U70" s="117" t="b">
        <f t="shared" si="20"/>
        <v>0</v>
      </c>
      <c r="V70" s="157" t="b">
        <f>INDEX('register map'!P:P,C70)="yes"</f>
        <v>1</v>
      </c>
      <c r="W70" s="157" t="str">
        <f t="shared" si="17"/>
        <v>FALSE</v>
      </c>
    </row>
    <row r="71" spans="2:23">
      <c r="B71" s="157" t="str">
        <f t="array" ref="B71">IF(ROWS($3:71)&lt;=COUNTA('register map'!$L$5:$L$902),INDEX('register map'!$L$5:$L$902,SMALL(IF('register map'!$L$5:$L$902&lt;&gt;"",ROW('register map'!$L$5:$L$902)-MIN(ROW('register map'!$L$5:$L$902))+1),ROWS($3:71))),"")</f>
        <v>BUCK2_DISCHG</v>
      </c>
      <c r="C71" s="157">
        <f>IF(B71="PART_NUMBER",IF(COUNTIF($B$1:B70,"PART_NUMBER")=0,6,8),MATCH(B71,'register map'!L:L,0))</f>
        <v>79</v>
      </c>
      <c r="D71" s="117" t="str">
        <f>IF(ISBLANK(INDEX('register map'!C:C,'Logical Group Generator'!C71)),"No","Yes")</f>
        <v>No</v>
      </c>
      <c r="E71" s="117" t="str">
        <f>IF(ISBLANK(INDEX('register map'!A:A,C71)),IF(ISBLANK(INDEX('register map'!A:A,C71-1)),IF(ISBLANK(INDEX('register map'!A:A,C71-2)),IF(ISBLANK(INDEX('register map'!A:A,C71-3)),IF(ISBLANK(INDEX('register map'!A:A,C71-4)),IF(ISBLANK(INDEX('register map'!A:A,C71-5)),IF(ISBLANK(INDEX('register map'!A:A,C71-6)),IF(ISBLANK(INDEX('register map'!A:A,C71-7)),IF(ISBLANK(INDEX('register map'!A:A,C71-8)),"ERROR",INDEX('register map'!A:A,C71-8)),INDEX('register map'!A:A,C71-7)),INDEX('register map'!A:A,C71-6)),INDEX('register map'!A:A,C71-5)),INDEX('register map'!A:A,C71-4)),INDEX('register map'!A:A,C71-3)),INDEX('register map'!A:A,C71-2)),INDEX('register map'!A:A,C71-1)),INDEX('register map'!A:A,C71))</f>
        <v>0x5E</v>
      </c>
      <c r="F71" s="117" t="str">
        <f>IF(ISBLANK(INDEX('register map'!B:B,C71)),IF(ISBLANK(INDEX('register map'!B:B,C71-1)),IF(ISBLANK(INDEX('register map'!B:B,C71-2)),IF(ISBLANK(INDEX('register map'!B:B,C71-3)),IF(ISBLANK(INDEX('register map'!B:B,C71-4)),IF(ISBLANK(INDEX('register map'!B:B,C71-5)),IF(ISBLANK(INDEX('register map'!B:B,C71-6)),IF(ISBLANK(INDEX('register map'!B:B,C71-7)),IF(ISBLANK(INDEX('register map'!B:B,C71-8)),"ERROR",INDEX('register map'!B:B,C71-8)),INDEX('register map'!B:B,C71-7)),INDEX('register map'!B:B,C71-6)),INDEX('register map'!B:B,C71-5)),INDEX('register map'!B:B,C71-4)),INDEX('register map'!B:B,C71-3)),INDEX('register map'!B:B,C71-2)),INDEX('register map'!B:B,C71-1)),INDEX('register map'!B:B,C71))</f>
        <v>0x40</v>
      </c>
      <c r="G71" s="117" t="str">
        <f>CONCATENATE(IF(ISNUMBER(INDEX('register map'!D:D,C71)),7,""),IF(ISNUMBER(INDEX('register map'!E:E,C71)),6,""),IF(ISNUMBER(INDEX('register map'!F:F,C71)),5,""),IF(ISNUMBER(INDEX('register map'!G:G,C71)),4,""),IF(ISNUMBER(INDEX('register map'!H:H,C71)),3,""),IF(ISNUMBER(INDEX('register map'!I:I,C71)),2,""),IF(ISNUMBER(INDEX('register map'!J:J,C71)),1,""),IF(ISNUMBER(INDEX('register map'!K:K,C71)),0,""))</f>
        <v>32</v>
      </c>
      <c r="H71" s="117" t="str">
        <f>RIGHT(INDEX('register map'!V:V,MATCH('Logical Group Generator'!B71,'register map'!L:L,0)),LEN(G71))</f>
        <v>00</v>
      </c>
      <c r="I71" s="117" t="str">
        <f>CONCATENATE(IF(ISNUMBER(INDEX('register map'!K:K,C71)),0,""),IF(ISNUMBER(INDEX('register map'!J:J,C71)),1,""),IF(ISNUMBER(INDEX('register map'!I:I,C71)),2,""),IF(ISNUMBER(INDEX('register map'!H:H,C71)),3,""),IF(ISNUMBER(INDEX('register map'!G:G,C71)),4,""),IF(ISNUMBER(INDEX('register map'!F:F,C71)),5,""),IF(ISNUMBER(INDEX('register map'!E:E,C71)),6,""),IF(ISNUMBER(INDEX('register map'!D:D,C71)),7,""))</f>
        <v>23</v>
      </c>
      <c r="J71" s="117" t="str">
        <f t="shared" si="18"/>
        <v>00</v>
      </c>
      <c r="K71" s="117" t="str">
        <f t="shared" si="11"/>
        <v/>
      </c>
      <c r="L71" s="117" t="str">
        <f t="shared" si="19"/>
        <v/>
      </c>
      <c r="M71" s="117" t="str">
        <f t="shared" si="21"/>
        <v/>
      </c>
      <c r="N71" s="117" t="str">
        <f>IF(ISBLANK(INDEX('register map'!M:M,'Logical Group Generator'!C71)),"No","Yes")</f>
        <v>No</v>
      </c>
      <c r="O71" s="117" t="str">
        <f>IF(NOT(ISBLANK(INDEX('register map'!N:N,'Logical Group Generator'!C71))),"Yes","")</f>
        <v/>
      </c>
      <c r="P71" s="117" t="str">
        <f t="shared" si="12"/>
        <v/>
      </c>
      <c r="Q71" s="117" t="str">
        <f t="shared" si="13"/>
        <v/>
      </c>
      <c r="R71" s="117" t="str">
        <f t="shared" si="14"/>
        <v/>
      </c>
      <c r="S71" s="117" t="str">
        <f t="shared" si="15"/>
        <v>No</v>
      </c>
      <c r="T71" s="117" t="str">
        <f t="shared" si="16"/>
        <v/>
      </c>
      <c r="U71" s="117" t="b">
        <f t="shared" si="20"/>
        <v>0</v>
      </c>
      <c r="V71" s="157" t="b">
        <f>INDEX('register map'!P:P,C71)="yes"</f>
        <v>1</v>
      </c>
      <c r="W71" s="157" t="str">
        <f t="shared" si="17"/>
        <v>FALSE</v>
      </c>
    </row>
    <row r="72" spans="2:23">
      <c r="B72" s="157" t="str">
        <f t="array" ref="B72">IF(ROWS($3:72)&lt;=COUNTA('register map'!$L$5:$L$902),INDEX('register map'!$L$5:$L$902,SMALL(IF('register map'!$L$5:$L$902&lt;&gt;"",ROW('register map'!$L$5:$L$902)-MIN(ROW('register map'!$L$5:$L$902))+1),ROWS($3:72))),"")</f>
        <v>BUCK3_DISCHG</v>
      </c>
      <c r="C72" s="157">
        <f>IF(B72="PART_NUMBER",IF(COUNTIF($B$1:B71,"PART_NUMBER")=0,6,8),MATCH(B72,'register map'!L:L,0))</f>
        <v>80</v>
      </c>
      <c r="D72" s="117" t="str">
        <f>IF(ISBLANK(INDEX('register map'!C:C,'Logical Group Generator'!C72)),"No","Yes")</f>
        <v>No</v>
      </c>
      <c r="E72" s="117" t="str">
        <f>IF(ISBLANK(INDEX('register map'!A:A,C72)),IF(ISBLANK(INDEX('register map'!A:A,C72-1)),IF(ISBLANK(INDEX('register map'!A:A,C72-2)),IF(ISBLANK(INDEX('register map'!A:A,C72-3)),IF(ISBLANK(INDEX('register map'!A:A,C72-4)),IF(ISBLANK(INDEX('register map'!A:A,C72-5)),IF(ISBLANK(INDEX('register map'!A:A,C72-6)),IF(ISBLANK(INDEX('register map'!A:A,C72-7)),IF(ISBLANK(INDEX('register map'!A:A,C72-8)),"ERROR",INDEX('register map'!A:A,C72-8)),INDEX('register map'!A:A,C72-7)),INDEX('register map'!A:A,C72-6)),INDEX('register map'!A:A,C72-5)),INDEX('register map'!A:A,C72-4)),INDEX('register map'!A:A,C72-3)),INDEX('register map'!A:A,C72-2)),INDEX('register map'!A:A,C72-1)),INDEX('register map'!A:A,C72))</f>
        <v>0x5E</v>
      </c>
      <c r="F72" s="117" t="str">
        <f>IF(ISBLANK(INDEX('register map'!B:B,C72)),IF(ISBLANK(INDEX('register map'!B:B,C72-1)),IF(ISBLANK(INDEX('register map'!B:B,C72-2)),IF(ISBLANK(INDEX('register map'!B:B,C72-3)),IF(ISBLANK(INDEX('register map'!B:B,C72-4)),IF(ISBLANK(INDEX('register map'!B:B,C72-5)),IF(ISBLANK(INDEX('register map'!B:B,C72-6)),IF(ISBLANK(INDEX('register map'!B:B,C72-7)),IF(ISBLANK(INDEX('register map'!B:B,C72-8)),"ERROR",INDEX('register map'!B:B,C72-8)),INDEX('register map'!B:B,C72-7)),INDEX('register map'!B:B,C72-6)),INDEX('register map'!B:B,C72-5)),INDEX('register map'!B:B,C72-4)),INDEX('register map'!B:B,C72-3)),INDEX('register map'!B:B,C72-2)),INDEX('register map'!B:B,C72-1)),INDEX('register map'!B:B,C72))</f>
        <v>0x40</v>
      </c>
      <c r="G72" s="117" t="str">
        <f>CONCATENATE(IF(ISNUMBER(INDEX('register map'!D:D,C72)),7,""),IF(ISNUMBER(INDEX('register map'!E:E,C72)),6,""),IF(ISNUMBER(INDEX('register map'!F:F,C72)),5,""),IF(ISNUMBER(INDEX('register map'!G:G,C72)),4,""),IF(ISNUMBER(INDEX('register map'!H:H,C72)),3,""),IF(ISNUMBER(INDEX('register map'!I:I,C72)),2,""),IF(ISNUMBER(INDEX('register map'!J:J,C72)),1,""),IF(ISNUMBER(INDEX('register map'!K:K,C72)),0,""))</f>
        <v>54</v>
      </c>
      <c r="H72" s="117" t="str">
        <f>RIGHT(INDEX('register map'!V:V,MATCH('Logical Group Generator'!B72,'register map'!L:L,0)),LEN(G72))</f>
        <v>00</v>
      </c>
      <c r="I72" s="117" t="str">
        <f>CONCATENATE(IF(ISNUMBER(INDEX('register map'!K:K,C72)),0,""),IF(ISNUMBER(INDEX('register map'!J:J,C72)),1,""),IF(ISNUMBER(INDEX('register map'!I:I,C72)),2,""),IF(ISNUMBER(INDEX('register map'!H:H,C72)),3,""),IF(ISNUMBER(INDEX('register map'!G:G,C72)),4,""),IF(ISNUMBER(INDEX('register map'!F:F,C72)),5,""),IF(ISNUMBER(INDEX('register map'!E:E,C72)),6,""),IF(ISNUMBER(INDEX('register map'!D:D,C72)),7,""))</f>
        <v>45</v>
      </c>
      <c r="J72" s="117" t="str">
        <f t="shared" si="18"/>
        <v>00</v>
      </c>
      <c r="K72" s="117" t="str">
        <f t="shared" si="11"/>
        <v/>
      </c>
      <c r="L72" s="117" t="str">
        <f t="shared" si="19"/>
        <v/>
      </c>
      <c r="M72" s="117" t="str">
        <f t="shared" si="21"/>
        <v/>
      </c>
      <c r="N72" s="117" t="str">
        <f>IF(ISBLANK(INDEX('register map'!M:M,'Logical Group Generator'!C72)),"No","Yes")</f>
        <v>No</v>
      </c>
      <c r="O72" s="117" t="str">
        <f>IF(NOT(ISBLANK(INDEX('register map'!N:N,'Logical Group Generator'!C72))),"Yes","")</f>
        <v/>
      </c>
      <c r="P72" s="117" t="str">
        <f t="shared" si="12"/>
        <v/>
      </c>
      <c r="Q72" s="117" t="str">
        <f t="shared" si="13"/>
        <v/>
      </c>
      <c r="R72" s="117" t="str">
        <f t="shared" si="14"/>
        <v/>
      </c>
      <c r="S72" s="117" t="str">
        <f t="shared" si="15"/>
        <v>No</v>
      </c>
      <c r="T72" s="117" t="str">
        <f t="shared" si="16"/>
        <v/>
      </c>
      <c r="U72" s="117" t="b">
        <f t="shared" si="20"/>
        <v>0</v>
      </c>
      <c r="V72" s="157" t="b">
        <f>INDEX('register map'!P:P,C72)="yes"</f>
        <v>1</v>
      </c>
      <c r="W72" s="157" t="str">
        <f t="shared" si="17"/>
        <v>FALSE</v>
      </c>
    </row>
    <row r="73" spans="2:23">
      <c r="B73" s="157" t="str">
        <f t="array" ref="B73">IF(ROWS($3:73)&lt;=COUNTA('register map'!$L$5:$L$902),INDEX('register map'!$L$5:$L$902,SMALL(IF('register map'!$L$5:$L$902&lt;&gt;"",ROW('register map'!$L$5:$L$902)-MIN(ROW('register map'!$L$5:$L$902))+1),ROWS($3:73))),"")</f>
        <v>BUCK4_DISCHG</v>
      </c>
      <c r="C73" s="157">
        <f>IF(B73="PART_NUMBER",IF(COUNTIF($B$1:B72,"PART_NUMBER")=0,6,8),MATCH(B73,'register map'!L:L,0))</f>
        <v>81</v>
      </c>
      <c r="D73" s="117" t="str">
        <f>IF(ISBLANK(INDEX('register map'!C:C,'Logical Group Generator'!C73)),"No","Yes")</f>
        <v>No</v>
      </c>
      <c r="E73" s="117" t="str">
        <f>IF(ISBLANK(INDEX('register map'!A:A,C73)),IF(ISBLANK(INDEX('register map'!A:A,C73-1)),IF(ISBLANK(INDEX('register map'!A:A,C73-2)),IF(ISBLANK(INDEX('register map'!A:A,C73-3)),IF(ISBLANK(INDEX('register map'!A:A,C73-4)),IF(ISBLANK(INDEX('register map'!A:A,C73-5)),IF(ISBLANK(INDEX('register map'!A:A,C73-6)),IF(ISBLANK(INDEX('register map'!A:A,C73-7)),IF(ISBLANK(INDEX('register map'!A:A,C73-8)),"ERROR",INDEX('register map'!A:A,C73-8)),INDEX('register map'!A:A,C73-7)),INDEX('register map'!A:A,C73-6)),INDEX('register map'!A:A,C73-5)),INDEX('register map'!A:A,C73-4)),INDEX('register map'!A:A,C73-3)),INDEX('register map'!A:A,C73-2)),INDEX('register map'!A:A,C73-1)),INDEX('register map'!A:A,C73))</f>
        <v>0x5E</v>
      </c>
      <c r="F73" s="117" t="str">
        <f>IF(ISBLANK(INDEX('register map'!B:B,C73)),IF(ISBLANK(INDEX('register map'!B:B,C73-1)),IF(ISBLANK(INDEX('register map'!B:B,C73-2)),IF(ISBLANK(INDEX('register map'!B:B,C73-3)),IF(ISBLANK(INDEX('register map'!B:B,C73-4)),IF(ISBLANK(INDEX('register map'!B:B,C73-5)),IF(ISBLANK(INDEX('register map'!B:B,C73-6)),IF(ISBLANK(INDEX('register map'!B:B,C73-7)),IF(ISBLANK(INDEX('register map'!B:B,C73-8)),"ERROR",INDEX('register map'!B:B,C73-8)),INDEX('register map'!B:B,C73-7)),INDEX('register map'!B:B,C73-6)),INDEX('register map'!B:B,C73-5)),INDEX('register map'!B:B,C73-4)),INDEX('register map'!B:B,C73-3)),INDEX('register map'!B:B,C73-2)),INDEX('register map'!B:B,C73-1)),INDEX('register map'!B:B,C73))</f>
        <v>0x40</v>
      </c>
      <c r="G73" s="117" t="str">
        <f>CONCATENATE(IF(ISNUMBER(INDEX('register map'!D:D,C73)),7,""),IF(ISNUMBER(INDEX('register map'!E:E,C73)),6,""),IF(ISNUMBER(INDEX('register map'!F:F,C73)),5,""),IF(ISNUMBER(INDEX('register map'!G:G,C73)),4,""),IF(ISNUMBER(INDEX('register map'!H:H,C73)),3,""),IF(ISNUMBER(INDEX('register map'!I:I,C73)),2,""),IF(ISNUMBER(INDEX('register map'!J:J,C73)),1,""),IF(ISNUMBER(INDEX('register map'!K:K,C73)),0,""))</f>
        <v>76</v>
      </c>
      <c r="H73" s="117" t="str">
        <f>RIGHT(INDEX('register map'!V:V,MATCH('Logical Group Generator'!B73,'register map'!L:L,0)),LEN(G73))</f>
        <v>00</v>
      </c>
      <c r="I73" s="117" t="str">
        <f>CONCATENATE(IF(ISNUMBER(INDEX('register map'!K:K,C73)),0,""),IF(ISNUMBER(INDEX('register map'!J:J,C73)),1,""),IF(ISNUMBER(INDEX('register map'!I:I,C73)),2,""),IF(ISNUMBER(INDEX('register map'!H:H,C73)),3,""),IF(ISNUMBER(INDEX('register map'!G:G,C73)),4,""),IF(ISNUMBER(INDEX('register map'!F:F,C73)),5,""),IF(ISNUMBER(INDEX('register map'!E:E,C73)),6,""),IF(ISNUMBER(INDEX('register map'!D:D,C73)),7,""))</f>
        <v>67</v>
      </c>
      <c r="J73" s="117" t="str">
        <f t="shared" si="18"/>
        <v>00</v>
      </c>
      <c r="K73" s="117" t="str">
        <f t="shared" si="11"/>
        <v/>
      </c>
      <c r="L73" s="117" t="str">
        <f t="shared" si="19"/>
        <v/>
      </c>
      <c r="M73" s="117" t="str">
        <f t="shared" si="21"/>
        <v/>
      </c>
      <c r="N73" s="117" t="str">
        <f>IF(ISBLANK(INDEX('register map'!M:M,'Logical Group Generator'!C73)),"No","Yes")</f>
        <v>No</v>
      </c>
      <c r="O73" s="117" t="str">
        <f>IF(NOT(ISBLANK(INDEX('register map'!N:N,'Logical Group Generator'!C73))),"Yes","")</f>
        <v/>
      </c>
      <c r="P73" s="117" t="str">
        <f t="shared" si="12"/>
        <v/>
      </c>
      <c r="Q73" s="117" t="str">
        <f t="shared" si="13"/>
        <v/>
      </c>
      <c r="R73" s="117" t="str">
        <f t="shared" si="14"/>
        <v/>
      </c>
      <c r="S73" s="117" t="str">
        <f t="shared" si="15"/>
        <v>No</v>
      </c>
      <c r="T73" s="117" t="str">
        <f t="shared" si="16"/>
        <v/>
      </c>
      <c r="U73" s="117" t="b">
        <f t="shared" si="20"/>
        <v>0</v>
      </c>
      <c r="V73" s="157" t="b">
        <f>INDEX('register map'!P:P,C73)="yes"</f>
        <v>1</v>
      </c>
      <c r="W73" s="157" t="str">
        <f t="shared" si="17"/>
        <v>FALSE</v>
      </c>
    </row>
    <row r="74" spans="2:23">
      <c r="B74" s="157" t="str">
        <f t="array" ref="B74">IF(ROWS($3:74)&lt;=COUNTA('register map'!$L$5:$L$902),INDEX('register map'!$L$5:$L$902,SMALL(IF('register map'!$L$5:$L$902&lt;&gt;"",ROW('register map'!$L$5:$L$902)-MIN(ROW('register map'!$L$5:$L$902))+1),ROWS($3:74))),"")</f>
        <v>DISCHCTRL2</v>
      </c>
      <c r="C74" s="157">
        <f>IF(B74="PART_NUMBER",IF(COUNTIF($B$1:B73,"PART_NUMBER")=0,6,8),MATCH(B74,'register map'!L:L,0))</f>
        <v>82</v>
      </c>
      <c r="D74" s="117" t="str">
        <f>IF(ISBLANK(INDEX('register map'!C:C,'Logical Group Generator'!C74)),"No","Yes")</f>
        <v>Yes</v>
      </c>
      <c r="E74" s="117" t="str">
        <f>IF(ISBLANK(INDEX('register map'!A:A,C74)),IF(ISBLANK(INDEX('register map'!A:A,C74-1)),IF(ISBLANK(INDEX('register map'!A:A,C74-2)),IF(ISBLANK(INDEX('register map'!A:A,C74-3)),IF(ISBLANK(INDEX('register map'!A:A,C74-4)),IF(ISBLANK(INDEX('register map'!A:A,C74-5)),IF(ISBLANK(INDEX('register map'!A:A,C74-6)),IF(ISBLANK(INDEX('register map'!A:A,C74-7)),IF(ISBLANK(INDEX('register map'!A:A,C74-8)),"ERROR",INDEX('register map'!A:A,C74-8)),INDEX('register map'!A:A,C74-7)),INDEX('register map'!A:A,C74-6)),INDEX('register map'!A:A,C74-5)),INDEX('register map'!A:A,C74-4)),INDEX('register map'!A:A,C74-3)),INDEX('register map'!A:A,C74-2)),INDEX('register map'!A:A,C74-1)),INDEX('register map'!A:A,C74))</f>
        <v>0x5E</v>
      </c>
      <c r="F74" s="117" t="str">
        <f>IF(ISBLANK(INDEX('register map'!B:B,C74)),IF(ISBLANK(INDEX('register map'!B:B,C74-1)),IF(ISBLANK(INDEX('register map'!B:B,C74-2)),IF(ISBLANK(INDEX('register map'!B:B,C74-3)),IF(ISBLANK(INDEX('register map'!B:B,C74-4)),IF(ISBLANK(INDEX('register map'!B:B,C74-5)),IF(ISBLANK(INDEX('register map'!B:B,C74-6)),IF(ISBLANK(INDEX('register map'!B:B,C74-7)),IF(ISBLANK(INDEX('register map'!B:B,C74-8)),"ERROR",INDEX('register map'!B:B,C74-8)),INDEX('register map'!B:B,C74-7)),INDEX('register map'!B:B,C74-6)),INDEX('register map'!B:B,C74-5)),INDEX('register map'!B:B,C74-4)),INDEX('register map'!B:B,C74-3)),INDEX('register map'!B:B,C74-2)),INDEX('register map'!B:B,C74-1)),INDEX('register map'!B:B,C74))</f>
        <v>0x41</v>
      </c>
      <c r="G74" s="117" t="str">
        <f>CONCATENATE(IF(ISNUMBER(INDEX('register map'!D:D,C74)),7,""),IF(ISNUMBER(INDEX('register map'!E:E,C74)),6,""),IF(ISNUMBER(INDEX('register map'!F:F,C74)),5,""),IF(ISNUMBER(INDEX('register map'!G:G,C74)),4,""),IF(ISNUMBER(INDEX('register map'!H:H,C74)),3,""),IF(ISNUMBER(INDEX('register map'!I:I,C74)),2,""),IF(ISNUMBER(INDEX('register map'!J:J,C74)),1,""),IF(ISNUMBER(INDEX('register map'!K:K,C74)),0,""))</f>
        <v/>
      </c>
      <c r="H74" s="117" t="str">
        <f>RIGHT(INDEX('register map'!V:V,MATCH('Logical Group Generator'!B74,'register map'!L:L,0)),LEN(G74))</f>
        <v/>
      </c>
      <c r="I74" s="117" t="str">
        <f>CONCATENATE(IF(ISNUMBER(INDEX('register map'!K:K,C74)),0,""),IF(ISNUMBER(INDEX('register map'!J:J,C74)),1,""),IF(ISNUMBER(INDEX('register map'!I:I,C74)),2,""),IF(ISNUMBER(INDEX('register map'!H:H,C74)),3,""),IF(ISNUMBER(INDEX('register map'!G:G,C74)),4,""),IF(ISNUMBER(INDEX('register map'!F:F,C74)),5,""),IF(ISNUMBER(INDEX('register map'!E:E,C74)),6,""),IF(ISNUMBER(INDEX('register map'!D:D,C74)),7,""))</f>
        <v/>
      </c>
      <c r="J74" s="117" t="str">
        <f t="shared" si="18"/>
        <v/>
      </c>
      <c r="K74" s="117" t="str">
        <f t="shared" si="11"/>
        <v>00000000</v>
      </c>
      <c r="L74" s="117" t="str">
        <f t="shared" si="19"/>
        <v>00000000</v>
      </c>
      <c r="M74" s="117" t="str">
        <f t="shared" si="21"/>
        <v>00</v>
      </c>
      <c r="N74" s="117" t="str">
        <f>IF(ISBLANK(INDEX('register map'!M:M,'Logical Group Generator'!C74)),"No","Yes")</f>
        <v>No</v>
      </c>
      <c r="O74" s="117" t="str">
        <f>IF(NOT(ISBLANK(INDEX('register map'!N:N,'Logical Group Generator'!C74))),"Yes","")</f>
        <v/>
      </c>
      <c r="P74" s="117" t="str">
        <f t="shared" si="12"/>
        <v>No</v>
      </c>
      <c r="Q74" s="117" t="str">
        <f t="shared" si="13"/>
        <v>No</v>
      </c>
      <c r="R74" s="117" t="str">
        <f t="shared" si="14"/>
        <v>No</v>
      </c>
      <c r="S74" s="117" t="str">
        <f t="shared" si="15"/>
        <v/>
      </c>
      <c r="T74" s="117" t="b">
        <f t="shared" si="16"/>
        <v>1</v>
      </c>
      <c r="U74" s="117" t="b">
        <f t="shared" si="20"/>
        <v>1</v>
      </c>
      <c r="V74" s="157" t="b">
        <f>INDEX('register map'!P:P,C74)="yes"</f>
        <v>1</v>
      </c>
      <c r="W74" s="157" t="str">
        <f t="shared" si="17"/>
        <v>REGISTER</v>
      </c>
    </row>
    <row r="75" spans="2:23">
      <c r="B75" s="157" t="str">
        <f t="array" ref="B75">IF(ROWS($3:75)&lt;=COUNTA('register map'!$L$5:$L$902),INDEX('register map'!$L$5:$L$902,SMALL(IF('register map'!$L$5:$L$902&lt;&gt;"",ROW('register map'!$L$5:$L$902)-MIN(ROW('register map'!$L$5:$L$902))+1),ROWS($3:75))),"")</f>
        <v>BUCK5_DISCHG</v>
      </c>
      <c r="C75" s="157">
        <f>IF(B75="PART_NUMBER",IF(COUNTIF($B$1:B74,"PART_NUMBER")=0,6,8),MATCH(B75,'register map'!L:L,0))</f>
        <v>83</v>
      </c>
      <c r="D75" s="117" t="str">
        <f>IF(ISBLANK(INDEX('register map'!C:C,'Logical Group Generator'!C75)),"No","Yes")</f>
        <v>No</v>
      </c>
      <c r="E75" s="117" t="str">
        <f>IF(ISBLANK(INDEX('register map'!A:A,C75)),IF(ISBLANK(INDEX('register map'!A:A,C75-1)),IF(ISBLANK(INDEX('register map'!A:A,C75-2)),IF(ISBLANK(INDEX('register map'!A:A,C75-3)),IF(ISBLANK(INDEX('register map'!A:A,C75-4)),IF(ISBLANK(INDEX('register map'!A:A,C75-5)),IF(ISBLANK(INDEX('register map'!A:A,C75-6)),IF(ISBLANK(INDEX('register map'!A:A,C75-7)),IF(ISBLANK(INDEX('register map'!A:A,C75-8)),"ERROR",INDEX('register map'!A:A,C75-8)),INDEX('register map'!A:A,C75-7)),INDEX('register map'!A:A,C75-6)),INDEX('register map'!A:A,C75-5)),INDEX('register map'!A:A,C75-4)),INDEX('register map'!A:A,C75-3)),INDEX('register map'!A:A,C75-2)),INDEX('register map'!A:A,C75-1)),INDEX('register map'!A:A,C75))</f>
        <v>0x5E</v>
      </c>
      <c r="F75" s="117" t="str">
        <f>IF(ISBLANK(INDEX('register map'!B:B,C75)),IF(ISBLANK(INDEX('register map'!B:B,C75-1)),IF(ISBLANK(INDEX('register map'!B:B,C75-2)),IF(ISBLANK(INDEX('register map'!B:B,C75-3)),IF(ISBLANK(INDEX('register map'!B:B,C75-4)),IF(ISBLANK(INDEX('register map'!B:B,C75-5)),IF(ISBLANK(INDEX('register map'!B:B,C75-6)),IF(ISBLANK(INDEX('register map'!B:B,C75-7)),IF(ISBLANK(INDEX('register map'!B:B,C75-8)),"ERROR",INDEX('register map'!B:B,C75-8)),INDEX('register map'!B:B,C75-7)),INDEX('register map'!B:B,C75-6)),INDEX('register map'!B:B,C75-5)),INDEX('register map'!B:B,C75-4)),INDEX('register map'!B:B,C75-3)),INDEX('register map'!B:B,C75-2)),INDEX('register map'!B:B,C75-1)),INDEX('register map'!B:B,C75))</f>
        <v>0x41</v>
      </c>
      <c r="G75" s="117" t="str">
        <f>CONCATENATE(IF(ISNUMBER(INDEX('register map'!D:D,C75)),7,""),IF(ISNUMBER(INDEX('register map'!E:E,C75)),6,""),IF(ISNUMBER(INDEX('register map'!F:F,C75)),5,""),IF(ISNUMBER(INDEX('register map'!G:G,C75)),4,""),IF(ISNUMBER(INDEX('register map'!H:H,C75)),3,""),IF(ISNUMBER(INDEX('register map'!I:I,C75)),2,""),IF(ISNUMBER(INDEX('register map'!J:J,C75)),1,""),IF(ISNUMBER(INDEX('register map'!K:K,C75)),0,""))</f>
        <v>10</v>
      </c>
      <c r="H75" s="117" t="str">
        <f>RIGHT(INDEX('register map'!V:V,MATCH('Logical Group Generator'!B75,'register map'!L:L,0)),LEN(G75))</f>
        <v>00</v>
      </c>
      <c r="I75" s="117" t="str">
        <f>CONCATENATE(IF(ISNUMBER(INDEX('register map'!K:K,C75)),0,""),IF(ISNUMBER(INDEX('register map'!J:J,C75)),1,""),IF(ISNUMBER(INDEX('register map'!I:I,C75)),2,""),IF(ISNUMBER(INDEX('register map'!H:H,C75)),3,""),IF(ISNUMBER(INDEX('register map'!G:G,C75)),4,""),IF(ISNUMBER(INDEX('register map'!F:F,C75)),5,""),IF(ISNUMBER(INDEX('register map'!E:E,C75)),6,""),IF(ISNUMBER(INDEX('register map'!D:D,C75)),7,""))</f>
        <v>01</v>
      </c>
      <c r="J75" s="117" t="str">
        <f t="shared" si="18"/>
        <v>00</v>
      </c>
      <c r="K75" s="117" t="str">
        <f t="shared" si="11"/>
        <v/>
      </c>
      <c r="L75" s="117" t="str">
        <f t="shared" si="19"/>
        <v/>
      </c>
      <c r="M75" s="117" t="str">
        <f t="shared" si="21"/>
        <v/>
      </c>
      <c r="N75" s="117" t="str">
        <f>IF(ISBLANK(INDEX('register map'!M:M,'Logical Group Generator'!C75)),"No","Yes")</f>
        <v>No</v>
      </c>
      <c r="O75" s="117" t="str">
        <f>IF(NOT(ISBLANK(INDEX('register map'!N:N,'Logical Group Generator'!C75))),"Yes","")</f>
        <v/>
      </c>
      <c r="P75" s="117" t="str">
        <f t="shared" si="12"/>
        <v/>
      </c>
      <c r="Q75" s="117" t="str">
        <f t="shared" si="13"/>
        <v/>
      </c>
      <c r="R75" s="117" t="str">
        <f t="shared" si="14"/>
        <v/>
      </c>
      <c r="S75" s="117" t="str">
        <f t="shared" si="15"/>
        <v>No</v>
      </c>
      <c r="T75" s="117" t="str">
        <f t="shared" si="16"/>
        <v/>
      </c>
      <c r="U75" s="117" t="b">
        <f t="shared" si="20"/>
        <v>0</v>
      </c>
      <c r="V75" s="157" t="b">
        <f>INDEX('register map'!P:P,C75)="yes"</f>
        <v>1</v>
      </c>
      <c r="W75" s="157" t="str">
        <f t="shared" si="17"/>
        <v>FALSE</v>
      </c>
    </row>
    <row r="76" spans="2:23">
      <c r="B76" s="157" t="str">
        <f t="array" ref="B76">IF(ROWS($3:76)&lt;=COUNTA('register map'!$L$5:$L$902),INDEX('register map'!$L$5:$L$902,SMALL(IF('register map'!$L$5:$L$902&lt;&gt;"",ROW('register map'!$L$5:$L$902)-MIN(ROW('register map'!$L$5:$L$902))+1),ROWS($3:76))),"")</f>
        <v>BUCK6_DISCHG</v>
      </c>
      <c r="C76" s="157">
        <f>IF(B76="PART_NUMBER",IF(COUNTIF($B$1:B75,"PART_NUMBER")=0,6,8),MATCH(B76,'register map'!L:L,0))</f>
        <v>84</v>
      </c>
      <c r="D76" s="117" t="str">
        <f>IF(ISBLANK(INDEX('register map'!C:C,'Logical Group Generator'!C76)),"No","Yes")</f>
        <v>No</v>
      </c>
      <c r="E76" s="117" t="str">
        <f>IF(ISBLANK(INDEX('register map'!A:A,C76)),IF(ISBLANK(INDEX('register map'!A:A,C76-1)),IF(ISBLANK(INDEX('register map'!A:A,C76-2)),IF(ISBLANK(INDEX('register map'!A:A,C76-3)),IF(ISBLANK(INDEX('register map'!A:A,C76-4)),IF(ISBLANK(INDEX('register map'!A:A,C76-5)),IF(ISBLANK(INDEX('register map'!A:A,C76-6)),IF(ISBLANK(INDEX('register map'!A:A,C76-7)),IF(ISBLANK(INDEX('register map'!A:A,C76-8)),"ERROR",INDEX('register map'!A:A,C76-8)),INDEX('register map'!A:A,C76-7)),INDEX('register map'!A:A,C76-6)),INDEX('register map'!A:A,C76-5)),INDEX('register map'!A:A,C76-4)),INDEX('register map'!A:A,C76-3)),INDEX('register map'!A:A,C76-2)),INDEX('register map'!A:A,C76-1)),INDEX('register map'!A:A,C76))</f>
        <v>0x5E</v>
      </c>
      <c r="F76" s="117" t="str">
        <f>IF(ISBLANK(INDEX('register map'!B:B,C76)),IF(ISBLANK(INDEX('register map'!B:B,C76-1)),IF(ISBLANK(INDEX('register map'!B:B,C76-2)),IF(ISBLANK(INDEX('register map'!B:B,C76-3)),IF(ISBLANK(INDEX('register map'!B:B,C76-4)),IF(ISBLANK(INDEX('register map'!B:B,C76-5)),IF(ISBLANK(INDEX('register map'!B:B,C76-6)),IF(ISBLANK(INDEX('register map'!B:B,C76-7)),IF(ISBLANK(INDEX('register map'!B:B,C76-8)),"ERROR",INDEX('register map'!B:B,C76-8)),INDEX('register map'!B:B,C76-7)),INDEX('register map'!B:B,C76-6)),INDEX('register map'!B:B,C76-5)),INDEX('register map'!B:B,C76-4)),INDEX('register map'!B:B,C76-3)),INDEX('register map'!B:B,C76-2)),INDEX('register map'!B:B,C76-1)),INDEX('register map'!B:B,C76))</f>
        <v>0x41</v>
      </c>
      <c r="G76" s="117" t="str">
        <f>CONCATENATE(IF(ISNUMBER(INDEX('register map'!D:D,C76)),7,""),IF(ISNUMBER(INDEX('register map'!E:E,C76)),6,""),IF(ISNUMBER(INDEX('register map'!F:F,C76)),5,""),IF(ISNUMBER(INDEX('register map'!G:G,C76)),4,""),IF(ISNUMBER(INDEX('register map'!H:H,C76)),3,""),IF(ISNUMBER(INDEX('register map'!I:I,C76)),2,""),IF(ISNUMBER(INDEX('register map'!J:J,C76)),1,""),IF(ISNUMBER(INDEX('register map'!K:K,C76)),0,""))</f>
        <v>32</v>
      </c>
      <c r="H76" s="117" t="str">
        <f>RIGHT(INDEX('register map'!V:V,MATCH('Logical Group Generator'!B76,'register map'!L:L,0)),LEN(G76))</f>
        <v>00</v>
      </c>
      <c r="I76" s="117" t="str">
        <f>CONCATENATE(IF(ISNUMBER(INDEX('register map'!K:K,C76)),0,""),IF(ISNUMBER(INDEX('register map'!J:J,C76)),1,""),IF(ISNUMBER(INDEX('register map'!I:I,C76)),2,""),IF(ISNUMBER(INDEX('register map'!H:H,C76)),3,""),IF(ISNUMBER(INDEX('register map'!G:G,C76)),4,""),IF(ISNUMBER(INDEX('register map'!F:F,C76)),5,""),IF(ISNUMBER(INDEX('register map'!E:E,C76)),6,""),IF(ISNUMBER(INDEX('register map'!D:D,C76)),7,""))</f>
        <v>23</v>
      </c>
      <c r="J76" s="117" t="str">
        <f t="shared" si="18"/>
        <v>00</v>
      </c>
      <c r="K76" s="117" t="str">
        <f t="shared" si="11"/>
        <v/>
      </c>
      <c r="L76" s="117" t="str">
        <f t="shared" si="19"/>
        <v/>
      </c>
      <c r="M76" s="117" t="str">
        <f t="shared" si="21"/>
        <v/>
      </c>
      <c r="N76" s="117" t="str">
        <f>IF(ISBLANK(INDEX('register map'!M:M,'Logical Group Generator'!C76)),"No","Yes")</f>
        <v>No</v>
      </c>
      <c r="O76" s="117" t="str">
        <f>IF(NOT(ISBLANK(INDEX('register map'!N:N,'Logical Group Generator'!C76))),"Yes","")</f>
        <v/>
      </c>
      <c r="P76" s="117" t="str">
        <f t="shared" si="12"/>
        <v/>
      </c>
      <c r="Q76" s="117" t="str">
        <f t="shared" si="13"/>
        <v/>
      </c>
      <c r="R76" s="117" t="str">
        <f t="shared" si="14"/>
        <v/>
      </c>
      <c r="S76" s="117" t="str">
        <f t="shared" si="15"/>
        <v>No</v>
      </c>
      <c r="T76" s="117" t="str">
        <f t="shared" si="16"/>
        <v/>
      </c>
      <c r="U76" s="117" t="b">
        <f t="shared" si="20"/>
        <v>0</v>
      </c>
      <c r="V76" s="157" t="b">
        <f>INDEX('register map'!P:P,C76)="yes"</f>
        <v>1</v>
      </c>
      <c r="W76" s="157" t="str">
        <f t="shared" si="17"/>
        <v>FALSE</v>
      </c>
    </row>
    <row r="77" spans="2:23">
      <c r="B77" s="157" t="str">
        <f t="array" ref="B77">IF(ROWS($3:77)&lt;=COUNTA('register map'!$L$5:$L$902),INDEX('register map'!$L$5:$L$902,SMALL(IF('register map'!$L$5:$L$902&lt;&gt;"",ROW('register map'!$L$5:$L$902)-MIN(ROW('register map'!$L$5:$L$902))+1),ROWS($3:77))),"")</f>
        <v>SWA1_DISCHG</v>
      </c>
      <c r="C77" s="157">
        <f>IF(B77="PART_NUMBER",IF(COUNTIF($B$1:B76,"PART_NUMBER")=0,6,8),MATCH(B77,'register map'!L:L,0))</f>
        <v>85</v>
      </c>
      <c r="D77" s="117" t="str">
        <f>IF(ISBLANK(INDEX('register map'!C:C,'Logical Group Generator'!C77)),"No","Yes")</f>
        <v>No</v>
      </c>
      <c r="E77" s="117" t="str">
        <f>IF(ISBLANK(INDEX('register map'!A:A,C77)),IF(ISBLANK(INDEX('register map'!A:A,C77-1)),IF(ISBLANK(INDEX('register map'!A:A,C77-2)),IF(ISBLANK(INDEX('register map'!A:A,C77-3)),IF(ISBLANK(INDEX('register map'!A:A,C77-4)),IF(ISBLANK(INDEX('register map'!A:A,C77-5)),IF(ISBLANK(INDEX('register map'!A:A,C77-6)),IF(ISBLANK(INDEX('register map'!A:A,C77-7)),IF(ISBLANK(INDEX('register map'!A:A,C77-8)),"ERROR",INDEX('register map'!A:A,C77-8)),INDEX('register map'!A:A,C77-7)),INDEX('register map'!A:A,C77-6)),INDEX('register map'!A:A,C77-5)),INDEX('register map'!A:A,C77-4)),INDEX('register map'!A:A,C77-3)),INDEX('register map'!A:A,C77-2)),INDEX('register map'!A:A,C77-1)),INDEX('register map'!A:A,C77))</f>
        <v>0x5E</v>
      </c>
      <c r="F77" s="117" t="str">
        <f>IF(ISBLANK(INDEX('register map'!B:B,C77)),IF(ISBLANK(INDEX('register map'!B:B,C77-1)),IF(ISBLANK(INDEX('register map'!B:B,C77-2)),IF(ISBLANK(INDEX('register map'!B:B,C77-3)),IF(ISBLANK(INDEX('register map'!B:B,C77-4)),IF(ISBLANK(INDEX('register map'!B:B,C77-5)),IF(ISBLANK(INDEX('register map'!B:B,C77-6)),IF(ISBLANK(INDEX('register map'!B:B,C77-7)),IF(ISBLANK(INDEX('register map'!B:B,C77-8)),"ERROR",INDEX('register map'!B:B,C77-8)),INDEX('register map'!B:B,C77-7)),INDEX('register map'!B:B,C77-6)),INDEX('register map'!B:B,C77-5)),INDEX('register map'!B:B,C77-4)),INDEX('register map'!B:B,C77-3)),INDEX('register map'!B:B,C77-2)),INDEX('register map'!B:B,C77-1)),INDEX('register map'!B:B,C77))</f>
        <v>0x41</v>
      </c>
      <c r="G77" s="117" t="str">
        <f>CONCATENATE(IF(ISNUMBER(INDEX('register map'!D:D,C77)),7,""),IF(ISNUMBER(INDEX('register map'!E:E,C77)),6,""),IF(ISNUMBER(INDEX('register map'!F:F,C77)),5,""),IF(ISNUMBER(INDEX('register map'!G:G,C77)),4,""),IF(ISNUMBER(INDEX('register map'!H:H,C77)),3,""),IF(ISNUMBER(INDEX('register map'!I:I,C77)),2,""),IF(ISNUMBER(INDEX('register map'!J:J,C77)),1,""),IF(ISNUMBER(INDEX('register map'!K:K,C77)),0,""))</f>
        <v>54</v>
      </c>
      <c r="H77" s="117" t="str">
        <f>RIGHT(INDEX('register map'!V:V,MATCH('Logical Group Generator'!B77,'register map'!L:L,0)),LEN(G77))</f>
        <v>00</v>
      </c>
      <c r="I77" s="117" t="str">
        <f>CONCATENATE(IF(ISNUMBER(INDEX('register map'!K:K,C77)),0,""),IF(ISNUMBER(INDEX('register map'!J:J,C77)),1,""),IF(ISNUMBER(INDEX('register map'!I:I,C77)),2,""),IF(ISNUMBER(INDEX('register map'!H:H,C77)),3,""),IF(ISNUMBER(INDEX('register map'!G:G,C77)),4,""),IF(ISNUMBER(INDEX('register map'!F:F,C77)),5,""),IF(ISNUMBER(INDEX('register map'!E:E,C77)),6,""),IF(ISNUMBER(INDEX('register map'!D:D,C77)),7,""))</f>
        <v>45</v>
      </c>
      <c r="J77" s="117" t="str">
        <f t="shared" si="18"/>
        <v>00</v>
      </c>
      <c r="K77" s="117" t="str">
        <f t="shared" si="11"/>
        <v/>
      </c>
      <c r="L77" s="117" t="str">
        <f t="shared" si="19"/>
        <v/>
      </c>
      <c r="M77" s="117" t="str">
        <f t="shared" si="21"/>
        <v/>
      </c>
      <c r="N77" s="117" t="str">
        <f>IF(ISBLANK(INDEX('register map'!M:M,'Logical Group Generator'!C77)),"No","Yes")</f>
        <v>No</v>
      </c>
      <c r="O77" s="117" t="str">
        <f>IF(NOT(ISBLANK(INDEX('register map'!N:N,'Logical Group Generator'!C77))),"Yes","")</f>
        <v/>
      </c>
      <c r="P77" s="117" t="str">
        <f t="shared" si="12"/>
        <v/>
      </c>
      <c r="Q77" s="117" t="str">
        <f t="shared" si="13"/>
        <v/>
      </c>
      <c r="R77" s="117" t="str">
        <f t="shared" si="14"/>
        <v/>
      </c>
      <c r="S77" s="117" t="str">
        <f t="shared" si="15"/>
        <v>No</v>
      </c>
      <c r="T77" s="117" t="str">
        <f t="shared" si="16"/>
        <v/>
      </c>
      <c r="U77" s="117" t="b">
        <f t="shared" si="20"/>
        <v>0</v>
      </c>
      <c r="V77" s="157" t="b">
        <f>INDEX('register map'!P:P,C77)="yes"</f>
        <v>1</v>
      </c>
      <c r="W77" s="157" t="str">
        <f t="shared" si="17"/>
        <v>FALSE</v>
      </c>
    </row>
    <row r="78" spans="2:23">
      <c r="B78" s="157" t="str">
        <f t="array" ref="B78">IF(ROWS($3:78)&lt;=COUNTA('register map'!$L$5:$L$902),INDEX('register map'!$L$5:$L$902,SMALL(IF('register map'!$L$5:$L$902&lt;&gt;"",ROW('register map'!$L$5:$L$902)-MIN(ROW('register map'!$L$5:$L$902))+1),ROWS($3:78))),"")</f>
        <v>LDOA2_DISCHG</v>
      </c>
      <c r="C78" s="157">
        <f>IF(B78="PART_NUMBER",IF(COUNTIF($B$1:B77,"PART_NUMBER")=0,6,8),MATCH(B78,'register map'!L:L,0))</f>
        <v>86</v>
      </c>
      <c r="D78" s="117" t="str">
        <f>IF(ISBLANK(INDEX('register map'!C:C,'Logical Group Generator'!C78)),"No","Yes")</f>
        <v>No</v>
      </c>
      <c r="E78" s="117" t="str">
        <f>IF(ISBLANK(INDEX('register map'!A:A,C78)),IF(ISBLANK(INDEX('register map'!A:A,C78-1)),IF(ISBLANK(INDEX('register map'!A:A,C78-2)),IF(ISBLANK(INDEX('register map'!A:A,C78-3)),IF(ISBLANK(INDEX('register map'!A:A,C78-4)),IF(ISBLANK(INDEX('register map'!A:A,C78-5)),IF(ISBLANK(INDEX('register map'!A:A,C78-6)),IF(ISBLANK(INDEX('register map'!A:A,C78-7)),IF(ISBLANK(INDEX('register map'!A:A,C78-8)),"ERROR",INDEX('register map'!A:A,C78-8)),INDEX('register map'!A:A,C78-7)),INDEX('register map'!A:A,C78-6)),INDEX('register map'!A:A,C78-5)),INDEX('register map'!A:A,C78-4)),INDEX('register map'!A:A,C78-3)),INDEX('register map'!A:A,C78-2)),INDEX('register map'!A:A,C78-1)),INDEX('register map'!A:A,C78))</f>
        <v>0x5E</v>
      </c>
      <c r="F78" s="117" t="str">
        <f>IF(ISBLANK(INDEX('register map'!B:B,C78)),IF(ISBLANK(INDEX('register map'!B:B,C78-1)),IF(ISBLANK(INDEX('register map'!B:B,C78-2)),IF(ISBLANK(INDEX('register map'!B:B,C78-3)),IF(ISBLANK(INDEX('register map'!B:B,C78-4)),IF(ISBLANK(INDEX('register map'!B:B,C78-5)),IF(ISBLANK(INDEX('register map'!B:B,C78-6)),IF(ISBLANK(INDEX('register map'!B:B,C78-7)),IF(ISBLANK(INDEX('register map'!B:B,C78-8)),"ERROR",INDEX('register map'!B:B,C78-8)),INDEX('register map'!B:B,C78-7)),INDEX('register map'!B:B,C78-6)),INDEX('register map'!B:B,C78-5)),INDEX('register map'!B:B,C78-4)),INDEX('register map'!B:B,C78-3)),INDEX('register map'!B:B,C78-2)),INDEX('register map'!B:B,C78-1)),INDEX('register map'!B:B,C78))</f>
        <v>0x41</v>
      </c>
      <c r="G78" s="117" t="str">
        <f>CONCATENATE(IF(ISNUMBER(INDEX('register map'!D:D,C78)),7,""),IF(ISNUMBER(INDEX('register map'!E:E,C78)),6,""),IF(ISNUMBER(INDEX('register map'!F:F,C78)),5,""),IF(ISNUMBER(INDEX('register map'!G:G,C78)),4,""),IF(ISNUMBER(INDEX('register map'!H:H,C78)),3,""),IF(ISNUMBER(INDEX('register map'!I:I,C78)),2,""),IF(ISNUMBER(INDEX('register map'!J:J,C78)),1,""),IF(ISNUMBER(INDEX('register map'!K:K,C78)),0,""))</f>
        <v>76</v>
      </c>
      <c r="H78" s="117" t="str">
        <f>RIGHT(INDEX('register map'!V:V,MATCH('Logical Group Generator'!B78,'register map'!L:L,0)),LEN(G78))</f>
        <v>00</v>
      </c>
      <c r="I78" s="117" t="str">
        <f>CONCATENATE(IF(ISNUMBER(INDEX('register map'!K:K,C78)),0,""),IF(ISNUMBER(INDEX('register map'!J:J,C78)),1,""),IF(ISNUMBER(INDEX('register map'!I:I,C78)),2,""),IF(ISNUMBER(INDEX('register map'!H:H,C78)),3,""),IF(ISNUMBER(INDEX('register map'!G:G,C78)),4,""),IF(ISNUMBER(INDEX('register map'!F:F,C78)),5,""),IF(ISNUMBER(INDEX('register map'!E:E,C78)),6,""),IF(ISNUMBER(INDEX('register map'!D:D,C78)),7,""))</f>
        <v>67</v>
      </c>
      <c r="J78" s="117" t="str">
        <f t="shared" si="18"/>
        <v>00</v>
      </c>
      <c r="K78" s="117" t="str">
        <f t="shared" si="11"/>
        <v/>
      </c>
      <c r="L78" s="117" t="str">
        <f t="shared" si="19"/>
        <v/>
      </c>
      <c r="M78" s="117" t="str">
        <f t="shared" si="21"/>
        <v/>
      </c>
      <c r="N78" s="117" t="str">
        <f>IF(ISBLANK(INDEX('register map'!M:M,'Logical Group Generator'!C78)),"No","Yes")</f>
        <v>No</v>
      </c>
      <c r="O78" s="117" t="str">
        <f>IF(NOT(ISBLANK(INDEX('register map'!N:N,'Logical Group Generator'!C78))),"Yes","")</f>
        <v/>
      </c>
      <c r="P78" s="117" t="str">
        <f t="shared" si="12"/>
        <v/>
      </c>
      <c r="Q78" s="117" t="str">
        <f t="shared" si="13"/>
        <v/>
      </c>
      <c r="R78" s="117" t="str">
        <f t="shared" si="14"/>
        <v/>
      </c>
      <c r="S78" s="117" t="str">
        <f t="shared" si="15"/>
        <v>No</v>
      </c>
      <c r="T78" s="117" t="str">
        <f t="shared" si="16"/>
        <v/>
      </c>
      <c r="U78" s="117" t="b">
        <f t="shared" si="20"/>
        <v>0</v>
      </c>
      <c r="V78" s="157" t="b">
        <f>INDEX('register map'!P:P,C78)="yes"</f>
        <v>1</v>
      </c>
      <c r="W78" s="157" t="str">
        <f t="shared" si="17"/>
        <v>FALSE</v>
      </c>
    </row>
    <row r="79" spans="2:23">
      <c r="B79" s="157" t="str">
        <f t="array" ref="B79">IF(ROWS($3:79)&lt;=COUNTA('register map'!$L$5:$L$902),INDEX('register map'!$L$5:$L$902,SMALL(IF('register map'!$L$5:$L$902&lt;&gt;"",ROW('register map'!$L$5:$L$902)-MIN(ROW('register map'!$L$5:$L$902))+1),ROWS($3:79))),"")</f>
        <v>DISCHCTRL3</v>
      </c>
      <c r="C79" s="157">
        <f>IF(B79="PART_NUMBER",IF(COUNTIF($B$1:B78,"PART_NUMBER")=0,6,8),MATCH(B79,'register map'!L:L,0))</f>
        <v>87</v>
      </c>
      <c r="D79" s="117" t="str">
        <f>IF(ISBLANK(INDEX('register map'!C:C,'Logical Group Generator'!C79)),"No","Yes")</f>
        <v>Yes</v>
      </c>
      <c r="E79" s="117" t="str">
        <f>IF(ISBLANK(INDEX('register map'!A:A,C79)),IF(ISBLANK(INDEX('register map'!A:A,C79-1)),IF(ISBLANK(INDEX('register map'!A:A,C79-2)),IF(ISBLANK(INDEX('register map'!A:A,C79-3)),IF(ISBLANK(INDEX('register map'!A:A,C79-4)),IF(ISBLANK(INDEX('register map'!A:A,C79-5)),IF(ISBLANK(INDEX('register map'!A:A,C79-6)),IF(ISBLANK(INDEX('register map'!A:A,C79-7)),IF(ISBLANK(INDEX('register map'!A:A,C79-8)),"ERROR",INDEX('register map'!A:A,C79-8)),INDEX('register map'!A:A,C79-7)),INDEX('register map'!A:A,C79-6)),INDEX('register map'!A:A,C79-5)),INDEX('register map'!A:A,C79-4)),INDEX('register map'!A:A,C79-3)),INDEX('register map'!A:A,C79-2)),INDEX('register map'!A:A,C79-1)),INDEX('register map'!A:A,C79))</f>
        <v>0x5E</v>
      </c>
      <c r="F79" s="117" t="str">
        <f>IF(ISBLANK(INDEX('register map'!B:B,C79)),IF(ISBLANK(INDEX('register map'!B:B,C79-1)),IF(ISBLANK(INDEX('register map'!B:B,C79-2)),IF(ISBLANK(INDEX('register map'!B:B,C79-3)),IF(ISBLANK(INDEX('register map'!B:B,C79-4)),IF(ISBLANK(INDEX('register map'!B:B,C79-5)),IF(ISBLANK(INDEX('register map'!B:B,C79-6)),IF(ISBLANK(INDEX('register map'!B:B,C79-7)),IF(ISBLANK(INDEX('register map'!B:B,C79-8)),"ERROR",INDEX('register map'!B:B,C79-8)),INDEX('register map'!B:B,C79-7)),INDEX('register map'!B:B,C79-6)),INDEX('register map'!B:B,C79-5)),INDEX('register map'!B:B,C79-4)),INDEX('register map'!B:B,C79-3)),INDEX('register map'!B:B,C79-2)),INDEX('register map'!B:B,C79-1)),INDEX('register map'!B:B,C79))</f>
        <v>0x42</v>
      </c>
      <c r="G79" s="117" t="str">
        <f>CONCATENATE(IF(ISNUMBER(INDEX('register map'!D:D,C79)),7,""),IF(ISNUMBER(INDEX('register map'!E:E,C79)),6,""),IF(ISNUMBER(INDEX('register map'!F:F,C79)),5,""),IF(ISNUMBER(INDEX('register map'!G:G,C79)),4,""),IF(ISNUMBER(INDEX('register map'!H:H,C79)),3,""),IF(ISNUMBER(INDEX('register map'!I:I,C79)),2,""),IF(ISNUMBER(INDEX('register map'!J:J,C79)),1,""),IF(ISNUMBER(INDEX('register map'!K:K,C79)),0,""))</f>
        <v/>
      </c>
      <c r="H79" s="117" t="str">
        <f>RIGHT(INDEX('register map'!V:V,MATCH('Logical Group Generator'!B79,'register map'!L:L,0)),LEN(G79))</f>
        <v/>
      </c>
      <c r="I79" s="117" t="str">
        <f>CONCATENATE(IF(ISNUMBER(INDEX('register map'!K:K,C79)),0,""),IF(ISNUMBER(INDEX('register map'!J:J,C79)),1,""),IF(ISNUMBER(INDEX('register map'!I:I,C79)),2,""),IF(ISNUMBER(INDEX('register map'!H:H,C79)),3,""),IF(ISNUMBER(INDEX('register map'!G:G,C79)),4,""),IF(ISNUMBER(INDEX('register map'!F:F,C79)),5,""),IF(ISNUMBER(INDEX('register map'!E:E,C79)),6,""),IF(ISNUMBER(INDEX('register map'!D:D,C79)),7,""))</f>
        <v/>
      </c>
      <c r="J79" s="117" t="str">
        <f t="shared" si="18"/>
        <v/>
      </c>
      <c r="K79" s="117" t="str">
        <f t="shared" si="11"/>
        <v>00000000</v>
      </c>
      <c r="L79" s="117" t="str">
        <f t="shared" si="19"/>
        <v>00000000</v>
      </c>
      <c r="M79" s="117" t="str">
        <f t="shared" si="21"/>
        <v>00</v>
      </c>
      <c r="N79" s="117" t="str">
        <f>IF(ISBLANK(INDEX('register map'!M:M,'Logical Group Generator'!C79)),"No","Yes")</f>
        <v>No</v>
      </c>
      <c r="O79" s="117" t="str">
        <f>IF(NOT(ISBLANK(INDEX('register map'!N:N,'Logical Group Generator'!C79))),"Yes","")</f>
        <v/>
      </c>
      <c r="P79" s="117" t="str">
        <f t="shared" si="12"/>
        <v>No</v>
      </c>
      <c r="Q79" s="117" t="str">
        <f t="shared" si="13"/>
        <v>No</v>
      </c>
      <c r="R79" s="117" t="str">
        <f t="shared" si="14"/>
        <v>No</v>
      </c>
      <c r="S79" s="117" t="str">
        <f t="shared" si="15"/>
        <v/>
      </c>
      <c r="T79" s="117" t="b">
        <f t="shared" si="16"/>
        <v>1</v>
      </c>
      <c r="U79" s="117" t="b">
        <f t="shared" si="20"/>
        <v>1</v>
      </c>
      <c r="V79" s="157" t="b">
        <f>INDEX('register map'!P:P,C79)="yes"</f>
        <v>1</v>
      </c>
      <c r="W79" s="157" t="str">
        <f t="shared" si="17"/>
        <v>REGISTER</v>
      </c>
    </row>
    <row r="80" spans="2:23">
      <c r="B80" s="157" t="str">
        <f t="array" ref="B80">IF(ROWS($3:80)&lt;=COUNTA('register map'!$L$5:$L$902),INDEX('register map'!$L$5:$L$902,SMALL(IF('register map'!$L$5:$L$902&lt;&gt;"",ROW('register map'!$L$5:$L$902)-MIN(ROW('register map'!$L$5:$L$902))+1),ROWS($3:80))),"")</f>
        <v>LDOA3_DISCHG</v>
      </c>
      <c r="C80" s="157">
        <f>IF(B80="PART_NUMBER",IF(COUNTIF($B$1:B79,"PART_NUMBER")=0,6,8),MATCH(B80,'register map'!L:L,0))</f>
        <v>88</v>
      </c>
      <c r="D80" s="117" t="str">
        <f>IF(ISBLANK(INDEX('register map'!C:C,'Logical Group Generator'!C80)),"No","Yes")</f>
        <v>No</v>
      </c>
      <c r="E80" s="117" t="str">
        <f>IF(ISBLANK(INDEX('register map'!A:A,C80)),IF(ISBLANK(INDEX('register map'!A:A,C80-1)),IF(ISBLANK(INDEX('register map'!A:A,C80-2)),IF(ISBLANK(INDEX('register map'!A:A,C80-3)),IF(ISBLANK(INDEX('register map'!A:A,C80-4)),IF(ISBLANK(INDEX('register map'!A:A,C80-5)),IF(ISBLANK(INDEX('register map'!A:A,C80-6)),IF(ISBLANK(INDEX('register map'!A:A,C80-7)),IF(ISBLANK(INDEX('register map'!A:A,C80-8)),"ERROR",INDEX('register map'!A:A,C80-8)),INDEX('register map'!A:A,C80-7)),INDEX('register map'!A:A,C80-6)),INDEX('register map'!A:A,C80-5)),INDEX('register map'!A:A,C80-4)),INDEX('register map'!A:A,C80-3)),INDEX('register map'!A:A,C80-2)),INDEX('register map'!A:A,C80-1)),INDEX('register map'!A:A,C80))</f>
        <v>0x5E</v>
      </c>
      <c r="F80" s="117" t="str">
        <f>IF(ISBLANK(INDEX('register map'!B:B,C80)),IF(ISBLANK(INDEX('register map'!B:B,C80-1)),IF(ISBLANK(INDEX('register map'!B:B,C80-2)),IF(ISBLANK(INDEX('register map'!B:B,C80-3)),IF(ISBLANK(INDEX('register map'!B:B,C80-4)),IF(ISBLANK(INDEX('register map'!B:B,C80-5)),IF(ISBLANK(INDEX('register map'!B:B,C80-6)),IF(ISBLANK(INDEX('register map'!B:B,C80-7)),IF(ISBLANK(INDEX('register map'!B:B,C80-8)),"ERROR",INDEX('register map'!B:B,C80-8)),INDEX('register map'!B:B,C80-7)),INDEX('register map'!B:B,C80-6)),INDEX('register map'!B:B,C80-5)),INDEX('register map'!B:B,C80-4)),INDEX('register map'!B:B,C80-3)),INDEX('register map'!B:B,C80-2)),INDEX('register map'!B:B,C80-1)),INDEX('register map'!B:B,C80))</f>
        <v>0x42</v>
      </c>
      <c r="G80" s="117" t="str">
        <f>CONCATENATE(IF(ISNUMBER(INDEX('register map'!D:D,C80)),7,""),IF(ISNUMBER(INDEX('register map'!E:E,C80)),6,""),IF(ISNUMBER(INDEX('register map'!F:F,C80)),5,""),IF(ISNUMBER(INDEX('register map'!G:G,C80)),4,""),IF(ISNUMBER(INDEX('register map'!H:H,C80)),3,""),IF(ISNUMBER(INDEX('register map'!I:I,C80)),2,""),IF(ISNUMBER(INDEX('register map'!J:J,C80)),1,""),IF(ISNUMBER(INDEX('register map'!K:K,C80)),0,""))</f>
        <v>10</v>
      </c>
      <c r="H80" s="117" t="str">
        <f>RIGHT(INDEX('register map'!V:V,MATCH('Logical Group Generator'!B80,'register map'!L:L,0)),LEN(G80))</f>
        <v>00</v>
      </c>
      <c r="I80" s="117" t="str">
        <f>CONCATENATE(IF(ISNUMBER(INDEX('register map'!K:K,C80)),0,""),IF(ISNUMBER(INDEX('register map'!J:J,C80)),1,""),IF(ISNUMBER(INDEX('register map'!I:I,C80)),2,""),IF(ISNUMBER(INDEX('register map'!H:H,C80)),3,""),IF(ISNUMBER(INDEX('register map'!G:G,C80)),4,""),IF(ISNUMBER(INDEX('register map'!F:F,C80)),5,""),IF(ISNUMBER(INDEX('register map'!E:E,C80)),6,""),IF(ISNUMBER(INDEX('register map'!D:D,C80)),7,""))</f>
        <v>01</v>
      </c>
      <c r="J80" s="117" t="str">
        <f t="shared" si="18"/>
        <v>00</v>
      </c>
      <c r="K80" s="117" t="str">
        <f t="shared" si="11"/>
        <v/>
      </c>
      <c r="L80" s="117" t="str">
        <f t="shared" si="19"/>
        <v/>
      </c>
      <c r="M80" s="117" t="str">
        <f t="shared" si="21"/>
        <v/>
      </c>
      <c r="N80" s="117" t="str">
        <f>IF(ISBLANK(INDEX('register map'!M:M,'Logical Group Generator'!C80)),"No","Yes")</f>
        <v>No</v>
      </c>
      <c r="O80" s="117" t="str">
        <f>IF(NOT(ISBLANK(INDEX('register map'!N:N,'Logical Group Generator'!C80))),"Yes","")</f>
        <v/>
      </c>
      <c r="P80" s="117" t="str">
        <f t="shared" si="12"/>
        <v/>
      </c>
      <c r="Q80" s="117" t="str">
        <f t="shared" si="13"/>
        <v/>
      </c>
      <c r="R80" s="117" t="str">
        <f t="shared" si="14"/>
        <v/>
      </c>
      <c r="S80" s="117" t="str">
        <f t="shared" si="15"/>
        <v>No</v>
      </c>
      <c r="T80" s="117" t="str">
        <f t="shared" si="16"/>
        <v/>
      </c>
      <c r="U80" s="117" t="b">
        <f t="shared" si="20"/>
        <v>0</v>
      </c>
      <c r="V80" s="157" t="b">
        <f>INDEX('register map'!P:P,C80)="yes"</f>
        <v>1</v>
      </c>
      <c r="W80" s="157" t="str">
        <f t="shared" si="17"/>
        <v>FALSE</v>
      </c>
    </row>
    <row r="81" spans="2:23">
      <c r="B81" s="157" t="str">
        <f t="array" ref="B81">IF(ROWS($3:81)&lt;=COUNTA('register map'!$L$5:$L$902),INDEX('register map'!$L$5:$L$902,SMALL(IF('register map'!$L$5:$L$902&lt;&gt;"",ROW('register map'!$L$5:$L$902)-MIN(ROW('register map'!$L$5:$L$902))+1),ROWS($3:81))),"")</f>
        <v>SWB1_DISCHG</v>
      </c>
      <c r="C81" s="157">
        <f>IF(B81="PART_NUMBER",IF(COUNTIF($B$1:B80,"PART_NUMBER")=0,6,8),MATCH(B81,'register map'!L:L,0))</f>
        <v>89</v>
      </c>
      <c r="D81" s="117" t="str">
        <f>IF(ISBLANK(INDEX('register map'!C:C,'Logical Group Generator'!C81)),"No","Yes")</f>
        <v>No</v>
      </c>
      <c r="E81" s="117" t="str">
        <f>IF(ISBLANK(INDEX('register map'!A:A,C81)),IF(ISBLANK(INDEX('register map'!A:A,C81-1)),IF(ISBLANK(INDEX('register map'!A:A,C81-2)),IF(ISBLANK(INDEX('register map'!A:A,C81-3)),IF(ISBLANK(INDEX('register map'!A:A,C81-4)),IF(ISBLANK(INDEX('register map'!A:A,C81-5)),IF(ISBLANK(INDEX('register map'!A:A,C81-6)),IF(ISBLANK(INDEX('register map'!A:A,C81-7)),IF(ISBLANK(INDEX('register map'!A:A,C81-8)),"ERROR",INDEX('register map'!A:A,C81-8)),INDEX('register map'!A:A,C81-7)),INDEX('register map'!A:A,C81-6)),INDEX('register map'!A:A,C81-5)),INDEX('register map'!A:A,C81-4)),INDEX('register map'!A:A,C81-3)),INDEX('register map'!A:A,C81-2)),INDEX('register map'!A:A,C81-1)),INDEX('register map'!A:A,C81))</f>
        <v>0x5E</v>
      </c>
      <c r="F81" s="117" t="str">
        <f>IF(ISBLANK(INDEX('register map'!B:B,C81)),IF(ISBLANK(INDEX('register map'!B:B,C81-1)),IF(ISBLANK(INDEX('register map'!B:B,C81-2)),IF(ISBLANK(INDEX('register map'!B:B,C81-3)),IF(ISBLANK(INDEX('register map'!B:B,C81-4)),IF(ISBLANK(INDEX('register map'!B:B,C81-5)),IF(ISBLANK(INDEX('register map'!B:B,C81-6)),IF(ISBLANK(INDEX('register map'!B:B,C81-7)),IF(ISBLANK(INDEX('register map'!B:B,C81-8)),"ERROR",INDEX('register map'!B:B,C81-8)),INDEX('register map'!B:B,C81-7)),INDEX('register map'!B:B,C81-6)),INDEX('register map'!B:B,C81-5)),INDEX('register map'!B:B,C81-4)),INDEX('register map'!B:B,C81-3)),INDEX('register map'!B:B,C81-2)),INDEX('register map'!B:B,C81-1)),INDEX('register map'!B:B,C81))</f>
        <v>0x42</v>
      </c>
      <c r="G81" s="117" t="str">
        <f>CONCATENATE(IF(ISNUMBER(INDEX('register map'!D:D,C81)),7,""),IF(ISNUMBER(INDEX('register map'!E:E,C81)),6,""),IF(ISNUMBER(INDEX('register map'!F:F,C81)),5,""),IF(ISNUMBER(INDEX('register map'!G:G,C81)),4,""),IF(ISNUMBER(INDEX('register map'!H:H,C81)),3,""),IF(ISNUMBER(INDEX('register map'!I:I,C81)),2,""),IF(ISNUMBER(INDEX('register map'!J:J,C81)),1,""),IF(ISNUMBER(INDEX('register map'!K:K,C81)),0,""))</f>
        <v>32</v>
      </c>
      <c r="H81" s="117" t="str">
        <f>RIGHT(INDEX('register map'!V:V,MATCH('Logical Group Generator'!B81,'register map'!L:L,0)),LEN(G81))</f>
        <v>00</v>
      </c>
      <c r="I81" s="117" t="str">
        <f>CONCATENATE(IF(ISNUMBER(INDEX('register map'!K:K,C81)),0,""),IF(ISNUMBER(INDEX('register map'!J:J,C81)),1,""),IF(ISNUMBER(INDEX('register map'!I:I,C81)),2,""),IF(ISNUMBER(INDEX('register map'!H:H,C81)),3,""),IF(ISNUMBER(INDEX('register map'!G:G,C81)),4,""),IF(ISNUMBER(INDEX('register map'!F:F,C81)),5,""),IF(ISNUMBER(INDEX('register map'!E:E,C81)),6,""),IF(ISNUMBER(INDEX('register map'!D:D,C81)),7,""))</f>
        <v>23</v>
      </c>
      <c r="J81" s="117" t="str">
        <f t="shared" si="18"/>
        <v>00</v>
      </c>
      <c r="K81" s="117" t="str">
        <f t="shared" si="11"/>
        <v/>
      </c>
      <c r="L81" s="117" t="str">
        <f t="shared" si="19"/>
        <v/>
      </c>
      <c r="M81" s="117" t="str">
        <f t="shared" si="21"/>
        <v/>
      </c>
      <c r="N81" s="117" t="str">
        <f>IF(ISBLANK(INDEX('register map'!M:M,'Logical Group Generator'!C81)),"No","Yes")</f>
        <v>No</v>
      </c>
      <c r="O81" s="117" t="str">
        <f>IF(NOT(ISBLANK(INDEX('register map'!N:N,'Logical Group Generator'!C81))),"Yes","")</f>
        <v/>
      </c>
      <c r="P81" s="117" t="str">
        <f t="shared" si="12"/>
        <v/>
      </c>
      <c r="Q81" s="117" t="str">
        <f t="shared" si="13"/>
        <v/>
      </c>
      <c r="R81" s="117" t="str">
        <f t="shared" si="14"/>
        <v/>
      </c>
      <c r="S81" s="117" t="str">
        <f t="shared" si="15"/>
        <v>No</v>
      </c>
      <c r="T81" s="117" t="str">
        <f t="shared" si="16"/>
        <v/>
      </c>
      <c r="U81" s="117" t="b">
        <f t="shared" si="20"/>
        <v>0</v>
      </c>
      <c r="V81" s="157" t="b">
        <f>INDEX('register map'!P:P,C81)="yes"</f>
        <v>1</v>
      </c>
      <c r="W81" s="157" t="str">
        <f t="shared" si="17"/>
        <v>FALSE</v>
      </c>
    </row>
    <row r="82" spans="2:23">
      <c r="B82" s="157" t="str">
        <f t="array" ref="B82">IF(ROWS($3:82)&lt;=COUNTA('register map'!$L$5:$L$902),INDEX('register map'!$L$5:$L$902,SMALL(IF('register map'!$L$5:$L$902&lt;&gt;"",ROW('register map'!$L$5:$L$902)-MIN(ROW('register map'!$L$5:$L$902))+1),ROWS($3:82))),"")</f>
        <v>SWB2_DISCHG</v>
      </c>
      <c r="C82" s="157">
        <f>IF(B82="PART_NUMBER",IF(COUNTIF($B$1:B81,"PART_NUMBER")=0,6,8),MATCH(B82,'register map'!L:L,0))</f>
        <v>90</v>
      </c>
      <c r="D82" s="117" t="str">
        <f>IF(ISBLANK(INDEX('register map'!C:C,'Logical Group Generator'!C82)),"No","Yes")</f>
        <v>No</v>
      </c>
      <c r="E82" s="117" t="str">
        <f>IF(ISBLANK(INDEX('register map'!A:A,C82)),IF(ISBLANK(INDEX('register map'!A:A,C82-1)),IF(ISBLANK(INDEX('register map'!A:A,C82-2)),IF(ISBLANK(INDEX('register map'!A:A,C82-3)),IF(ISBLANK(INDEX('register map'!A:A,C82-4)),IF(ISBLANK(INDEX('register map'!A:A,C82-5)),IF(ISBLANK(INDEX('register map'!A:A,C82-6)),IF(ISBLANK(INDEX('register map'!A:A,C82-7)),IF(ISBLANK(INDEX('register map'!A:A,C82-8)),"ERROR",INDEX('register map'!A:A,C82-8)),INDEX('register map'!A:A,C82-7)),INDEX('register map'!A:A,C82-6)),INDEX('register map'!A:A,C82-5)),INDEX('register map'!A:A,C82-4)),INDEX('register map'!A:A,C82-3)),INDEX('register map'!A:A,C82-2)),INDEX('register map'!A:A,C82-1)),INDEX('register map'!A:A,C82))</f>
        <v>0x5E</v>
      </c>
      <c r="F82" s="117" t="str">
        <f>IF(ISBLANK(INDEX('register map'!B:B,C82)),IF(ISBLANK(INDEX('register map'!B:B,C82-1)),IF(ISBLANK(INDEX('register map'!B:B,C82-2)),IF(ISBLANK(INDEX('register map'!B:B,C82-3)),IF(ISBLANK(INDEX('register map'!B:B,C82-4)),IF(ISBLANK(INDEX('register map'!B:B,C82-5)),IF(ISBLANK(INDEX('register map'!B:B,C82-6)),IF(ISBLANK(INDEX('register map'!B:B,C82-7)),IF(ISBLANK(INDEX('register map'!B:B,C82-8)),"ERROR",INDEX('register map'!B:B,C82-8)),INDEX('register map'!B:B,C82-7)),INDEX('register map'!B:B,C82-6)),INDEX('register map'!B:B,C82-5)),INDEX('register map'!B:B,C82-4)),INDEX('register map'!B:B,C82-3)),INDEX('register map'!B:B,C82-2)),INDEX('register map'!B:B,C82-1)),INDEX('register map'!B:B,C82))</f>
        <v>0x42</v>
      </c>
      <c r="G82" s="117" t="str">
        <f>CONCATENATE(IF(ISNUMBER(INDEX('register map'!D:D,C82)),7,""),IF(ISNUMBER(INDEX('register map'!E:E,C82)),6,""),IF(ISNUMBER(INDEX('register map'!F:F,C82)),5,""),IF(ISNUMBER(INDEX('register map'!G:G,C82)),4,""),IF(ISNUMBER(INDEX('register map'!H:H,C82)),3,""),IF(ISNUMBER(INDEX('register map'!I:I,C82)),2,""),IF(ISNUMBER(INDEX('register map'!J:J,C82)),1,""),IF(ISNUMBER(INDEX('register map'!K:K,C82)),0,""))</f>
        <v>54</v>
      </c>
      <c r="H82" s="117" t="str">
        <f>RIGHT(INDEX('register map'!V:V,MATCH('Logical Group Generator'!B82,'register map'!L:L,0)),LEN(G82))</f>
        <v>00</v>
      </c>
      <c r="I82" s="117" t="str">
        <f>CONCATENATE(IF(ISNUMBER(INDEX('register map'!K:K,C82)),0,""),IF(ISNUMBER(INDEX('register map'!J:J,C82)),1,""),IF(ISNUMBER(INDEX('register map'!I:I,C82)),2,""),IF(ISNUMBER(INDEX('register map'!H:H,C82)),3,""),IF(ISNUMBER(INDEX('register map'!G:G,C82)),4,""),IF(ISNUMBER(INDEX('register map'!F:F,C82)),5,""),IF(ISNUMBER(INDEX('register map'!E:E,C82)),6,""),IF(ISNUMBER(INDEX('register map'!D:D,C82)),7,""))</f>
        <v>45</v>
      </c>
      <c r="J82" s="117" t="str">
        <f t="shared" si="18"/>
        <v>00</v>
      </c>
      <c r="K82" s="117" t="str">
        <f t="shared" si="11"/>
        <v/>
      </c>
      <c r="L82" s="117" t="str">
        <f t="shared" si="19"/>
        <v/>
      </c>
      <c r="M82" s="117" t="str">
        <f t="shared" si="21"/>
        <v/>
      </c>
      <c r="N82" s="117" t="str">
        <f>IF(ISBLANK(INDEX('register map'!M:M,'Logical Group Generator'!C82)),"No","Yes")</f>
        <v>No</v>
      </c>
      <c r="O82" s="117" t="str">
        <f>IF(NOT(ISBLANK(INDEX('register map'!N:N,'Logical Group Generator'!C82))),"Yes","")</f>
        <v/>
      </c>
      <c r="P82" s="117" t="str">
        <f t="shared" si="12"/>
        <v/>
      </c>
      <c r="Q82" s="117" t="str">
        <f t="shared" si="13"/>
        <v/>
      </c>
      <c r="R82" s="117" t="str">
        <f t="shared" si="14"/>
        <v/>
      </c>
      <c r="S82" s="117" t="str">
        <f t="shared" si="15"/>
        <v>No</v>
      </c>
      <c r="T82" s="117" t="str">
        <f t="shared" si="16"/>
        <v/>
      </c>
      <c r="U82" s="117" t="b">
        <f t="shared" si="20"/>
        <v>0</v>
      </c>
      <c r="V82" s="157" t="b">
        <f>INDEX('register map'!P:P,C82)="yes"</f>
        <v>1</v>
      </c>
      <c r="W82" s="157" t="str">
        <f t="shared" si="17"/>
        <v>FALSE</v>
      </c>
    </row>
    <row r="83" spans="2:23">
      <c r="B83" s="157" t="str">
        <f t="array" ref="B83">IF(ROWS($3:83)&lt;=COUNTA('register map'!$L$5:$L$902),INDEX('register map'!$L$5:$L$902,SMALL(IF('register map'!$L$5:$L$902&lt;&gt;"",ROW('register map'!$L$5:$L$902)-MIN(ROW('register map'!$L$5:$L$902))+1),ROWS($3:83))),"")</f>
        <v>OTP_RSVD_5E_42_76</v>
      </c>
      <c r="C83" s="157">
        <f>IF(B83="PART_NUMBER",IF(COUNTIF($B$1:B82,"PART_NUMBER")=0,6,8),MATCH(B83,'register map'!L:L,0))</f>
        <v>91</v>
      </c>
      <c r="D83" s="117" t="str">
        <f>IF(ISBLANK(INDEX('register map'!C:C,'Logical Group Generator'!C83)),"No","Yes")</f>
        <v>No</v>
      </c>
      <c r="E83" s="117" t="str">
        <f>IF(ISBLANK(INDEX('register map'!A:A,C83)),IF(ISBLANK(INDEX('register map'!A:A,C83-1)),IF(ISBLANK(INDEX('register map'!A:A,C83-2)),IF(ISBLANK(INDEX('register map'!A:A,C83-3)),IF(ISBLANK(INDEX('register map'!A:A,C83-4)),IF(ISBLANK(INDEX('register map'!A:A,C83-5)),IF(ISBLANK(INDEX('register map'!A:A,C83-6)),IF(ISBLANK(INDEX('register map'!A:A,C83-7)),IF(ISBLANK(INDEX('register map'!A:A,C83-8)),"ERROR",INDEX('register map'!A:A,C83-8)),INDEX('register map'!A:A,C83-7)),INDEX('register map'!A:A,C83-6)),INDEX('register map'!A:A,C83-5)),INDEX('register map'!A:A,C83-4)),INDEX('register map'!A:A,C83-3)),INDEX('register map'!A:A,C83-2)),INDEX('register map'!A:A,C83-1)),INDEX('register map'!A:A,C83))</f>
        <v>0x5E</v>
      </c>
      <c r="F83" s="117" t="str">
        <f>IF(ISBLANK(INDEX('register map'!B:B,C83)),IF(ISBLANK(INDEX('register map'!B:B,C83-1)),IF(ISBLANK(INDEX('register map'!B:B,C83-2)),IF(ISBLANK(INDEX('register map'!B:B,C83-3)),IF(ISBLANK(INDEX('register map'!B:B,C83-4)),IF(ISBLANK(INDEX('register map'!B:B,C83-5)),IF(ISBLANK(INDEX('register map'!B:B,C83-6)),IF(ISBLANK(INDEX('register map'!B:B,C83-7)),IF(ISBLANK(INDEX('register map'!B:B,C83-8)),"ERROR",INDEX('register map'!B:B,C83-8)),INDEX('register map'!B:B,C83-7)),INDEX('register map'!B:B,C83-6)),INDEX('register map'!B:B,C83-5)),INDEX('register map'!B:B,C83-4)),INDEX('register map'!B:B,C83-3)),INDEX('register map'!B:B,C83-2)),INDEX('register map'!B:B,C83-1)),INDEX('register map'!B:B,C83))</f>
        <v>0x42</v>
      </c>
      <c r="G83" s="117" t="str">
        <f>CONCATENATE(IF(ISNUMBER(INDEX('register map'!D:D,C83)),7,""),IF(ISNUMBER(INDEX('register map'!E:E,C83)),6,""),IF(ISNUMBER(INDEX('register map'!F:F,C83)),5,""),IF(ISNUMBER(INDEX('register map'!G:G,C83)),4,""),IF(ISNUMBER(INDEX('register map'!H:H,C83)),3,""),IF(ISNUMBER(INDEX('register map'!I:I,C83)),2,""),IF(ISNUMBER(INDEX('register map'!J:J,C83)),1,""),IF(ISNUMBER(INDEX('register map'!K:K,C83)),0,""))</f>
        <v>76</v>
      </c>
      <c r="H83" s="117" t="str">
        <f>RIGHT(INDEX('register map'!V:V,MATCH('Logical Group Generator'!B83,'register map'!L:L,0)),LEN(G83))</f>
        <v>00</v>
      </c>
      <c r="I83" s="117" t="str">
        <f>CONCATENATE(IF(ISNUMBER(INDEX('register map'!K:K,C83)),0,""),IF(ISNUMBER(INDEX('register map'!J:J,C83)),1,""),IF(ISNUMBER(INDEX('register map'!I:I,C83)),2,""),IF(ISNUMBER(INDEX('register map'!H:H,C83)),3,""),IF(ISNUMBER(INDEX('register map'!G:G,C83)),4,""),IF(ISNUMBER(INDEX('register map'!F:F,C83)),5,""),IF(ISNUMBER(INDEX('register map'!E:E,C83)),6,""),IF(ISNUMBER(INDEX('register map'!D:D,C83)),7,""))</f>
        <v>67</v>
      </c>
      <c r="J83" s="117" t="str">
        <f t="shared" si="18"/>
        <v>00</v>
      </c>
      <c r="K83" s="117" t="str">
        <f t="shared" si="11"/>
        <v/>
      </c>
      <c r="L83" s="117" t="str">
        <f t="shared" si="19"/>
        <v/>
      </c>
      <c r="M83" s="117" t="str">
        <f t="shared" si="21"/>
        <v/>
      </c>
      <c r="N83" s="117" t="str">
        <f>IF(ISBLANK(INDEX('register map'!M:M,'Logical Group Generator'!C83)),"No","Yes")</f>
        <v>No</v>
      </c>
      <c r="O83" s="117" t="str">
        <f>IF(NOT(ISBLANK(INDEX('register map'!N:N,'Logical Group Generator'!C83))),"Yes","")</f>
        <v/>
      </c>
      <c r="P83" s="117" t="str">
        <f t="shared" si="12"/>
        <v/>
      </c>
      <c r="Q83" s="117" t="str">
        <f t="shared" si="13"/>
        <v/>
      </c>
      <c r="R83" s="117" t="str">
        <f t="shared" si="14"/>
        <v/>
      </c>
      <c r="S83" s="117" t="str">
        <f t="shared" si="15"/>
        <v>No</v>
      </c>
      <c r="T83" s="117" t="str">
        <f t="shared" si="16"/>
        <v/>
      </c>
      <c r="U83" s="117" t="b">
        <f t="shared" si="20"/>
        <v>0</v>
      </c>
      <c r="V83" s="157" t="b">
        <f>INDEX('register map'!P:P,C83)="yes"</f>
        <v>1</v>
      </c>
      <c r="W83" s="157" t="str">
        <f t="shared" si="17"/>
        <v>FALSE</v>
      </c>
    </row>
    <row r="84" spans="2:23">
      <c r="B84" s="157" t="str">
        <f t="array" ref="B84">IF(ROWS($3:84)&lt;=COUNTA('register map'!$L$5:$L$902),INDEX('register map'!$L$5:$L$902,SMALL(IF('register map'!$L$5:$L$902&lt;&gt;"",ROW('register map'!$L$5:$L$902)-MIN(ROW('register map'!$L$5:$L$902))+1),ROWS($3:84))),"")</f>
        <v>PG_DELAY1</v>
      </c>
      <c r="C84" s="157">
        <f>IF(B84="PART_NUMBER",IF(COUNTIF($B$1:B83,"PART_NUMBER")=0,6,8),MATCH(B84,'register map'!L:L,0))</f>
        <v>92</v>
      </c>
      <c r="D84" s="117" t="str">
        <f>IF(ISBLANK(INDEX('register map'!C:C,'Logical Group Generator'!C84)),"No","Yes")</f>
        <v>Yes</v>
      </c>
      <c r="E84" s="117" t="str">
        <f>IF(ISBLANK(INDEX('register map'!A:A,C84)),IF(ISBLANK(INDEX('register map'!A:A,C84-1)),IF(ISBLANK(INDEX('register map'!A:A,C84-2)),IF(ISBLANK(INDEX('register map'!A:A,C84-3)),IF(ISBLANK(INDEX('register map'!A:A,C84-4)),IF(ISBLANK(INDEX('register map'!A:A,C84-5)),IF(ISBLANK(INDEX('register map'!A:A,C84-6)),IF(ISBLANK(INDEX('register map'!A:A,C84-7)),IF(ISBLANK(INDEX('register map'!A:A,C84-8)),"ERROR",INDEX('register map'!A:A,C84-8)),INDEX('register map'!A:A,C84-7)),INDEX('register map'!A:A,C84-6)),INDEX('register map'!A:A,C84-5)),INDEX('register map'!A:A,C84-4)),INDEX('register map'!A:A,C84-3)),INDEX('register map'!A:A,C84-2)),INDEX('register map'!A:A,C84-1)),INDEX('register map'!A:A,C84))</f>
        <v>0x5E</v>
      </c>
      <c r="F84" s="117" t="str">
        <f>IF(ISBLANK(INDEX('register map'!B:B,C84)),IF(ISBLANK(INDEX('register map'!B:B,C84-1)),IF(ISBLANK(INDEX('register map'!B:B,C84-2)),IF(ISBLANK(INDEX('register map'!B:B,C84-3)),IF(ISBLANK(INDEX('register map'!B:B,C84-4)),IF(ISBLANK(INDEX('register map'!B:B,C84-5)),IF(ISBLANK(INDEX('register map'!B:B,C84-6)),IF(ISBLANK(INDEX('register map'!B:B,C84-7)),IF(ISBLANK(INDEX('register map'!B:B,C84-8)),"ERROR",INDEX('register map'!B:B,C84-8)),INDEX('register map'!B:B,C84-7)),INDEX('register map'!B:B,C84-6)),INDEX('register map'!B:B,C84-5)),INDEX('register map'!B:B,C84-4)),INDEX('register map'!B:B,C84-3)),INDEX('register map'!B:B,C84-2)),INDEX('register map'!B:B,C84-1)),INDEX('register map'!B:B,C84))</f>
        <v>0x43</v>
      </c>
      <c r="G84" s="117" t="str">
        <f>CONCATENATE(IF(ISNUMBER(INDEX('register map'!D:D,C84)),7,""),IF(ISNUMBER(INDEX('register map'!E:E,C84)),6,""),IF(ISNUMBER(INDEX('register map'!F:F,C84)),5,""),IF(ISNUMBER(INDEX('register map'!G:G,C84)),4,""),IF(ISNUMBER(INDEX('register map'!H:H,C84)),3,""),IF(ISNUMBER(INDEX('register map'!I:I,C84)),2,""),IF(ISNUMBER(INDEX('register map'!J:J,C84)),1,""),IF(ISNUMBER(INDEX('register map'!K:K,C84)),0,""))</f>
        <v/>
      </c>
      <c r="H84" s="117" t="str">
        <f>RIGHT(INDEX('register map'!V:V,MATCH('Logical Group Generator'!B84,'register map'!L:L,0)),LEN(G84))</f>
        <v/>
      </c>
      <c r="I84" s="117" t="str">
        <f>CONCATENATE(IF(ISNUMBER(INDEX('register map'!K:K,C84)),0,""),IF(ISNUMBER(INDEX('register map'!J:J,C84)),1,""),IF(ISNUMBER(INDEX('register map'!I:I,C84)),2,""),IF(ISNUMBER(INDEX('register map'!H:H,C84)),3,""),IF(ISNUMBER(INDEX('register map'!G:G,C84)),4,""),IF(ISNUMBER(INDEX('register map'!F:F,C84)),5,""),IF(ISNUMBER(INDEX('register map'!E:E,C84)),6,""),IF(ISNUMBER(INDEX('register map'!D:D,C84)),7,""))</f>
        <v/>
      </c>
      <c r="J84" s="117" t="str">
        <f t="shared" si="18"/>
        <v/>
      </c>
      <c r="K84" s="117" t="str">
        <f t="shared" si="11"/>
        <v>01000000</v>
      </c>
      <c r="L84" s="117" t="str">
        <f t="shared" si="19"/>
        <v>00000010</v>
      </c>
      <c r="M84" s="117" t="str">
        <f t="shared" si="21"/>
        <v>02</v>
      </c>
      <c r="N84" s="117" t="str">
        <f>IF(ISBLANK(INDEX('register map'!M:M,'Logical Group Generator'!C84)),"No","Yes")</f>
        <v>No</v>
      </c>
      <c r="O84" s="117" t="str">
        <f>IF(NOT(ISBLANK(INDEX('register map'!N:N,'Logical Group Generator'!C84))),"Yes","")</f>
        <v/>
      </c>
      <c r="P84" s="117" t="str">
        <f t="shared" si="12"/>
        <v>No</v>
      </c>
      <c r="Q84" s="117" t="str">
        <f t="shared" si="13"/>
        <v>No</v>
      </c>
      <c r="R84" s="117" t="str">
        <f t="shared" si="14"/>
        <v>No</v>
      </c>
      <c r="S84" s="117" t="str">
        <f t="shared" si="15"/>
        <v/>
      </c>
      <c r="T84" s="117" t="b">
        <f t="shared" si="16"/>
        <v>1</v>
      </c>
      <c r="U84" s="117" t="b">
        <f t="shared" si="20"/>
        <v>1</v>
      </c>
      <c r="V84" s="157" t="b">
        <f>INDEX('register map'!P:P,C84)="yes"</f>
        <v>1</v>
      </c>
      <c r="W84" s="157" t="str">
        <f t="shared" si="17"/>
        <v>REGISTER</v>
      </c>
    </row>
    <row r="85" spans="2:23">
      <c r="B85" s="157" t="str">
        <f t="array" ref="B85">IF(ROWS($3:85)&lt;=COUNTA('register map'!$L$5:$L$902),INDEX('register map'!$L$5:$L$902,SMALL(IF('register map'!$L$5:$L$902&lt;&gt;"",ROW('register map'!$L$5:$L$902)-MIN(ROW('register map'!$L$5:$L$902))+1),ROWS($3:85))),"")</f>
        <v>GPO3_PG_DELAY</v>
      </c>
      <c r="C85" s="157">
        <f>IF(B85="PART_NUMBER",IF(COUNTIF($B$1:B84,"PART_NUMBER")=0,6,8),MATCH(B85,'register map'!L:L,0))</f>
        <v>93</v>
      </c>
      <c r="D85" s="117" t="str">
        <f>IF(ISBLANK(INDEX('register map'!C:C,'Logical Group Generator'!C85)),"No","Yes")</f>
        <v>No</v>
      </c>
      <c r="E85" s="117" t="str">
        <f>IF(ISBLANK(INDEX('register map'!A:A,C85)),IF(ISBLANK(INDEX('register map'!A:A,C85-1)),IF(ISBLANK(INDEX('register map'!A:A,C85-2)),IF(ISBLANK(INDEX('register map'!A:A,C85-3)),IF(ISBLANK(INDEX('register map'!A:A,C85-4)),IF(ISBLANK(INDEX('register map'!A:A,C85-5)),IF(ISBLANK(INDEX('register map'!A:A,C85-6)),IF(ISBLANK(INDEX('register map'!A:A,C85-7)),IF(ISBLANK(INDEX('register map'!A:A,C85-8)),"ERROR",INDEX('register map'!A:A,C85-8)),INDEX('register map'!A:A,C85-7)),INDEX('register map'!A:A,C85-6)),INDEX('register map'!A:A,C85-5)),INDEX('register map'!A:A,C85-4)),INDEX('register map'!A:A,C85-3)),INDEX('register map'!A:A,C85-2)),INDEX('register map'!A:A,C85-1)),INDEX('register map'!A:A,C85))</f>
        <v>0x5E</v>
      </c>
      <c r="F85" s="117" t="str">
        <f>IF(ISBLANK(INDEX('register map'!B:B,C85)),IF(ISBLANK(INDEX('register map'!B:B,C85-1)),IF(ISBLANK(INDEX('register map'!B:B,C85-2)),IF(ISBLANK(INDEX('register map'!B:B,C85-3)),IF(ISBLANK(INDEX('register map'!B:B,C85-4)),IF(ISBLANK(INDEX('register map'!B:B,C85-5)),IF(ISBLANK(INDEX('register map'!B:B,C85-6)),IF(ISBLANK(INDEX('register map'!B:B,C85-7)),IF(ISBLANK(INDEX('register map'!B:B,C85-8)),"ERROR",INDEX('register map'!B:B,C85-8)),INDEX('register map'!B:B,C85-7)),INDEX('register map'!B:B,C85-6)),INDEX('register map'!B:B,C85-5)),INDEX('register map'!B:B,C85-4)),INDEX('register map'!B:B,C85-3)),INDEX('register map'!B:B,C85-2)),INDEX('register map'!B:B,C85-1)),INDEX('register map'!B:B,C85))</f>
        <v>0x43</v>
      </c>
      <c r="G85" s="117" t="str">
        <f>CONCATENATE(IF(ISNUMBER(INDEX('register map'!D:D,C85)),7,""),IF(ISNUMBER(INDEX('register map'!E:E,C85)),6,""),IF(ISNUMBER(INDEX('register map'!F:F,C85)),5,""),IF(ISNUMBER(INDEX('register map'!G:G,C85)),4,""),IF(ISNUMBER(INDEX('register map'!H:H,C85)),3,""),IF(ISNUMBER(INDEX('register map'!I:I,C85)),2,""),IF(ISNUMBER(INDEX('register map'!J:J,C85)),1,""),IF(ISNUMBER(INDEX('register map'!K:K,C85)),0,""))</f>
        <v>210</v>
      </c>
      <c r="H85" s="117" t="str">
        <f>RIGHT(INDEX('register map'!V:V,MATCH('Logical Group Generator'!B85,'register map'!L:L,0)),LEN(G85))</f>
        <v>010</v>
      </c>
      <c r="I85" s="117" t="str">
        <f>CONCATENATE(IF(ISNUMBER(INDEX('register map'!K:K,C85)),0,""),IF(ISNUMBER(INDEX('register map'!J:J,C85)),1,""),IF(ISNUMBER(INDEX('register map'!I:I,C85)),2,""),IF(ISNUMBER(INDEX('register map'!H:H,C85)),3,""),IF(ISNUMBER(INDEX('register map'!G:G,C85)),4,""),IF(ISNUMBER(INDEX('register map'!F:F,C85)),5,""),IF(ISNUMBER(INDEX('register map'!E:E,C85)),6,""),IF(ISNUMBER(INDEX('register map'!D:D,C85)),7,""))</f>
        <v>012</v>
      </c>
      <c r="J85" s="117" t="str">
        <f t="shared" si="18"/>
        <v>010</v>
      </c>
      <c r="K85" s="117" t="str">
        <f t="shared" si="11"/>
        <v/>
      </c>
      <c r="L85" s="117" t="str">
        <f t="shared" si="19"/>
        <v/>
      </c>
      <c r="M85" s="117" t="str">
        <f t="shared" si="21"/>
        <v/>
      </c>
      <c r="N85" s="117" t="str">
        <f>IF(ISBLANK(INDEX('register map'!M:M,'Logical Group Generator'!C85)),"No","Yes")</f>
        <v>No</v>
      </c>
      <c r="O85" s="117" t="str">
        <f>IF(NOT(ISBLANK(INDEX('register map'!N:N,'Logical Group Generator'!C85))),"Yes","")</f>
        <v/>
      </c>
      <c r="P85" s="117" t="str">
        <f t="shared" si="12"/>
        <v/>
      </c>
      <c r="Q85" s="117" t="str">
        <f t="shared" si="13"/>
        <v/>
      </c>
      <c r="R85" s="117" t="str">
        <f t="shared" si="14"/>
        <v/>
      </c>
      <c r="S85" s="117" t="str">
        <f t="shared" si="15"/>
        <v>No</v>
      </c>
      <c r="T85" s="117" t="str">
        <f t="shared" si="16"/>
        <v/>
      </c>
      <c r="U85" s="117" t="b">
        <f t="shared" si="20"/>
        <v>0</v>
      </c>
      <c r="V85" s="157" t="b">
        <f>INDEX('register map'!P:P,C85)="yes"</f>
        <v>1</v>
      </c>
      <c r="W85" s="157" t="str">
        <f t="shared" si="17"/>
        <v>FALSE</v>
      </c>
    </row>
    <row r="86" spans="2:23">
      <c r="B86" s="157" t="str">
        <f t="array" ref="B86">IF(ROWS($3:86)&lt;=COUNTA('register map'!$L$5:$L$902),INDEX('register map'!$L$5:$L$902,SMALL(IF('register map'!$L$5:$L$902&lt;&gt;"",ROW('register map'!$L$5:$L$902)-MIN(ROW('register map'!$L$5:$L$902))+1),ROWS($3:86))),"")</f>
        <v>OTP_RSVD_5E_43_76543</v>
      </c>
      <c r="C86" s="157">
        <f>IF(B86="PART_NUMBER",IF(COUNTIF($B$1:B85,"PART_NUMBER")=0,6,8),MATCH(B86,'register map'!L:L,0))</f>
        <v>94</v>
      </c>
      <c r="D86" s="117" t="str">
        <f>IF(ISBLANK(INDEX('register map'!C:C,'Logical Group Generator'!C86)),"No","Yes")</f>
        <v>No</v>
      </c>
      <c r="E86" s="117" t="str">
        <f>IF(ISBLANK(INDEX('register map'!A:A,C86)),IF(ISBLANK(INDEX('register map'!A:A,C86-1)),IF(ISBLANK(INDEX('register map'!A:A,C86-2)),IF(ISBLANK(INDEX('register map'!A:A,C86-3)),IF(ISBLANK(INDEX('register map'!A:A,C86-4)),IF(ISBLANK(INDEX('register map'!A:A,C86-5)),IF(ISBLANK(INDEX('register map'!A:A,C86-6)),IF(ISBLANK(INDEX('register map'!A:A,C86-7)),IF(ISBLANK(INDEX('register map'!A:A,C86-8)),"ERROR",INDEX('register map'!A:A,C86-8)),INDEX('register map'!A:A,C86-7)),INDEX('register map'!A:A,C86-6)),INDEX('register map'!A:A,C86-5)),INDEX('register map'!A:A,C86-4)),INDEX('register map'!A:A,C86-3)),INDEX('register map'!A:A,C86-2)),INDEX('register map'!A:A,C86-1)),INDEX('register map'!A:A,C86))</f>
        <v>0x5E</v>
      </c>
      <c r="F86" s="117" t="str">
        <f>IF(ISBLANK(INDEX('register map'!B:B,C86)),IF(ISBLANK(INDEX('register map'!B:B,C86-1)),IF(ISBLANK(INDEX('register map'!B:B,C86-2)),IF(ISBLANK(INDEX('register map'!B:B,C86-3)),IF(ISBLANK(INDEX('register map'!B:B,C86-4)),IF(ISBLANK(INDEX('register map'!B:B,C86-5)),IF(ISBLANK(INDEX('register map'!B:B,C86-6)),IF(ISBLANK(INDEX('register map'!B:B,C86-7)),IF(ISBLANK(INDEX('register map'!B:B,C86-8)),"ERROR",INDEX('register map'!B:B,C86-8)),INDEX('register map'!B:B,C86-7)),INDEX('register map'!B:B,C86-6)),INDEX('register map'!B:B,C86-5)),INDEX('register map'!B:B,C86-4)),INDEX('register map'!B:B,C86-3)),INDEX('register map'!B:B,C86-2)),INDEX('register map'!B:B,C86-1)),INDEX('register map'!B:B,C86))</f>
        <v>0x43</v>
      </c>
      <c r="G86" s="117" t="str">
        <f>CONCATENATE(IF(ISNUMBER(INDEX('register map'!D:D,C86)),7,""),IF(ISNUMBER(INDEX('register map'!E:E,C86)),6,""),IF(ISNUMBER(INDEX('register map'!F:F,C86)),5,""),IF(ISNUMBER(INDEX('register map'!G:G,C86)),4,""),IF(ISNUMBER(INDEX('register map'!H:H,C86)),3,""),IF(ISNUMBER(INDEX('register map'!I:I,C86)),2,""),IF(ISNUMBER(INDEX('register map'!J:J,C86)),1,""),IF(ISNUMBER(INDEX('register map'!K:K,C86)),0,""))</f>
        <v>76543</v>
      </c>
      <c r="H86" s="117" t="str">
        <f>RIGHT(INDEX('register map'!V:V,MATCH('Logical Group Generator'!B86,'register map'!L:L,0)),LEN(G86))</f>
        <v>00000</v>
      </c>
      <c r="I86" s="117" t="str">
        <f>CONCATENATE(IF(ISNUMBER(INDEX('register map'!K:K,C86)),0,""),IF(ISNUMBER(INDEX('register map'!J:J,C86)),1,""),IF(ISNUMBER(INDEX('register map'!I:I,C86)),2,""),IF(ISNUMBER(INDEX('register map'!H:H,C86)),3,""),IF(ISNUMBER(INDEX('register map'!G:G,C86)),4,""),IF(ISNUMBER(INDEX('register map'!F:F,C86)),5,""),IF(ISNUMBER(INDEX('register map'!E:E,C86)),6,""),IF(ISNUMBER(INDEX('register map'!D:D,C86)),7,""))</f>
        <v>34567</v>
      </c>
      <c r="J86" s="117" t="str">
        <f t="shared" si="18"/>
        <v>00000</v>
      </c>
      <c r="K86" s="117" t="str">
        <f t="shared" si="11"/>
        <v/>
      </c>
      <c r="L86" s="117" t="str">
        <f t="shared" si="19"/>
        <v/>
      </c>
      <c r="M86" s="117" t="str">
        <f t="shared" si="21"/>
        <v/>
      </c>
      <c r="N86" s="117" t="str">
        <f>IF(ISBLANK(INDEX('register map'!M:M,'Logical Group Generator'!C86)),"No","Yes")</f>
        <v>No</v>
      </c>
      <c r="O86" s="117" t="str">
        <f>IF(NOT(ISBLANK(INDEX('register map'!N:N,'Logical Group Generator'!C86))),"Yes","")</f>
        <v/>
      </c>
      <c r="P86" s="117" t="str">
        <f t="shared" si="12"/>
        <v/>
      </c>
      <c r="Q86" s="117" t="str">
        <f t="shared" si="13"/>
        <v/>
      </c>
      <c r="R86" s="117" t="str">
        <f t="shared" si="14"/>
        <v/>
      </c>
      <c r="S86" s="117" t="str">
        <f t="shared" si="15"/>
        <v>No</v>
      </c>
      <c r="T86" s="117" t="str">
        <f t="shared" si="16"/>
        <v/>
      </c>
      <c r="U86" s="117" t="b">
        <f t="shared" si="20"/>
        <v>0</v>
      </c>
      <c r="V86" s="157" t="b">
        <f>INDEX('register map'!P:P,C86)="yes"</f>
        <v>0</v>
      </c>
      <c r="W86" s="157" t="str">
        <f t="shared" si="17"/>
        <v>FALSE</v>
      </c>
    </row>
    <row r="87" spans="2:23">
      <c r="B87" s="157" t="str">
        <f t="array" ref="B87">IF(ROWS($3:87)&lt;=COUNTA('register map'!$L$5:$L$902),INDEX('register map'!$L$5:$L$902,SMALL(IF('register map'!$L$5:$L$902&lt;&gt;"",ROW('register map'!$L$5:$L$902)-MIN(ROW('register map'!$L$5:$L$902))+1),ROWS($3:87))),"")</f>
        <v>BUCK1SLPCTRL</v>
      </c>
      <c r="C87" s="157">
        <f>IF(B87="PART_NUMBER",IF(COUNTIF($B$1:B86,"PART_NUMBER")=0,6,8),MATCH(B87,'register map'!L:L,0))</f>
        <v>100</v>
      </c>
      <c r="D87" s="117" t="str">
        <f>IF(ISBLANK(INDEX('register map'!C:C,'Logical Group Generator'!C87)),"No","Yes")</f>
        <v>Yes</v>
      </c>
      <c r="E87" s="117" t="str">
        <f>IF(ISBLANK(INDEX('register map'!A:A,C87)),IF(ISBLANK(INDEX('register map'!A:A,C87-1)),IF(ISBLANK(INDEX('register map'!A:A,C87-2)),IF(ISBLANK(INDEX('register map'!A:A,C87-3)),IF(ISBLANK(INDEX('register map'!A:A,C87-4)),IF(ISBLANK(INDEX('register map'!A:A,C87-5)),IF(ISBLANK(INDEX('register map'!A:A,C87-6)),IF(ISBLANK(INDEX('register map'!A:A,C87-7)),IF(ISBLANK(INDEX('register map'!A:A,C87-8)),"ERROR",INDEX('register map'!A:A,C87-8)),INDEX('register map'!A:A,C87-7)),INDEX('register map'!A:A,C87-6)),INDEX('register map'!A:A,C87-5)),INDEX('register map'!A:A,C87-4)),INDEX('register map'!A:A,C87-3)),INDEX('register map'!A:A,C87-2)),INDEX('register map'!A:A,C87-1)),INDEX('register map'!A:A,C87))</f>
        <v>0x5E</v>
      </c>
      <c r="F87" s="117" t="str">
        <f>IF(ISBLANK(INDEX('register map'!B:B,C87)),IF(ISBLANK(INDEX('register map'!B:B,C87-1)),IF(ISBLANK(INDEX('register map'!B:B,C87-2)),IF(ISBLANK(INDEX('register map'!B:B,C87-3)),IF(ISBLANK(INDEX('register map'!B:B,C87-4)),IF(ISBLANK(INDEX('register map'!B:B,C87-5)),IF(ISBLANK(INDEX('register map'!B:B,C87-6)),IF(ISBLANK(INDEX('register map'!B:B,C87-7)),IF(ISBLANK(INDEX('register map'!B:B,C87-8)),"ERROR",INDEX('register map'!B:B,C87-8)),INDEX('register map'!B:B,C87-7)),INDEX('register map'!B:B,C87-6)),INDEX('register map'!B:B,C87-5)),INDEX('register map'!B:B,C87-4)),INDEX('register map'!B:B,C87-3)),INDEX('register map'!B:B,C87-2)),INDEX('register map'!B:B,C87-1)),INDEX('register map'!B:B,C87))</f>
        <v>0x92</v>
      </c>
      <c r="G87" s="117" t="str">
        <f>CONCATENATE(IF(ISNUMBER(INDEX('register map'!D:D,C87)),7,""),IF(ISNUMBER(INDEX('register map'!E:E,C87)),6,""),IF(ISNUMBER(INDEX('register map'!F:F,C87)),5,""),IF(ISNUMBER(INDEX('register map'!G:G,C87)),4,""),IF(ISNUMBER(INDEX('register map'!H:H,C87)),3,""),IF(ISNUMBER(INDEX('register map'!I:I,C87)),2,""),IF(ISNUMBER(INDEX('register map'!J:J,C87)),1,""),IF(ISNUMBER(INDEX('register map'!K:K,C87)),0,""))</f>
        <v/>
      </c>
      <c r="H87" s="117" t="str">
        <f>RIGHT(INDEX('register map'!V:V,MATCH('Logical Group Generator'!B87,'register map'!L:L,0)),LEN(G87))</f>
        <v/>
      </c>
      <c r="I87" s="117" t="str">
        <f>CONCATENATE(IF(ISNUMBER(INDEX('register map'!K:K,C87)),0,""),IF(ISNUMBER(INDEX('register map'!J:J,C87)),1,""),IF(ISNUMBER(INDEX('register map'!I:I,C87)),2,""),IF(ISNUMBER(INDEX('register map'!H:H,C87)),3,""),IF(ISNUMBER(INDEX('register map'!G:G,C87)),4,""),IF(ISNUMBER(INDEX('register map'!F:F,C87)),5,""),IF(ISNUMBER(INDEX('register map'!E:E,C87)),6,""),IF(ISNUMBER(INDEX('register map'!D:D,C87)),7,""))</f>
        <v/>
      </c>
      <c r="J87" s="117" t="str">
        <f t="shared" si="18"/>
        <v/>
      </c>
      <c r="K87" s="117" t="str">
        <f t="shared" si="11"/>
        <v>00001110</v>
      </c>
      <c r="L87" s="117" t="str">
        <f t="shared" si="19"/>
        <v>01110000</v>
      </c>
      <c r="M87" s="117" t="str">
        <f t="shared" si="21"/>
        <v>70</v>
      </c>
      <c r="N87" s="117" t="str">
        <f>IF(ISBLANK(INDEX('register map'!M:M,'Logical Group Generator'!C87)),"No","Yes")</f>
        <v>No</v>
      </c>
      <c r="O87" s="117" t="str">
        <f>IF(NOT(ISBLANK(INDEX('register map'!N:N,'Logical Group Generator'!C87))),"Yes","")</f>
        <v/>
      </c>
      <c r="P87" s="117" t="str">
        <f t="shared" si="12"/>
        <v>No</v>
      </c>
      <c r="Q87" s="117" t="str">
        <f t="shared" si="13"/>
        <v>No</v>
      </c>
      <c r="R87" s="117" t="str">
        <f t="shared" si="14"/>
        <v>No</v>
      </c>
      <c r="S87" s="117" t="str">
        <f t="shared" si="15"/>
        <v/>
      </c>
      <c r="T87" s="117" t="b">
        <f t="shared" si="16"/>
        <v>1</v>
      </c>
      <c r="U87" s="117" t="b">
        <f t="shared" si="20"/>
        <v>1</v>
      </c>
      <c r="V87" s="157" t="b">
        <f>INDEX('register map'!P:P,C87)="yes"</f>
        <v>1</v>
      </c>
      <c r="W87" s="157" t="str">
        <f t="shared" si="17"/>
        <v>REGISTER</v>
      </c>
    </row>
    <row r="88" spans="2:23">
      <c r="B88" s="157" t="str">
        <f t="array" ref="B88">IF(ROWS($3:88)&lt;=COUNTA('register map'!$L$5:$L$902),INDEX('register map'!$L$5:$L$902,SMALL(IF('register map'!$L$5:$L$902&lt;&gt;"",ROW('register map'!$L$5:$L$902)-MIN(ROW('register map'!$L$5:$L$902))+1),ROWS($3:88))),"")</f>
        <v>BUCK1_SLP_EN</v>
      </c>
      <c r="C88" s="157">
        <f>IF(B88="PART_NUMBER",IF(COUNTIF($B$1:B87,"PART_NUMBER")=0,6,8),MATCH(B88,'register map'!L:L,0))</f>
        <v>101</v>
      </c>
      <c r="D88" s="117" t="str">
        <f>IF(ISBLANK(INDEX('register map'!C:C,'Logical Group Generator'!C88)),"No","Yes")</f>
        <v>No</v>
      </c>
      <c r="E88" s="117" t="str">
        <f>IF(ISBLANK(INDEX('register map'!A:A,C88)),IF(ISBLANK(INDEX('register map'!A:A,C88-1)),IF(ISBLANK(INDEX('register map'!A:A,C88-2)),IF(ISBLANK(INDEX('register map'!A:A,C88-3)),IF(ISBLANK(INDEX('register map'!A:A,C88-4)),IF(ISBLANK(INDEX('register map'!A:A,C88-5)),IF(ISBLANK(INDEX('register map'!A:A,C88-6)),IF(ISBLANK(INDEX('register map'!A:A,C88-7)),IF(ISBLANK(INDEX('register map'!A:A,C88-8)),"ERROR",INDEX('register map'!A:A,C88-8)),INDEX('register map'!A:A,C88-7)),INDEX('register map'!A:A,C88-6)),INDEX('register map'!A:A,C88-5)),INDEX('register map'!A:A,C88-4)),INDEX('register map'!A:A,C88-3)),INDEX('register map'!A:A,C88-2)),INDEX('register map'!A:A,C88-1)),INDEX('register map'!A:A,C88))</f>
        <v>0x5E</v>
      </c>
      <c r="F88" s="117" t="str">
        <f>IF(ISBLANK(INDEX('register map'!B:B,C88)),IF(ISBLANK(INDEX('register map'!B:B,C88-1)),IF(ISBLANK(INDEX('register map'!B:B,C88-2)),IF(ISBLANK(INDEX('register map'!B:B,C88-3)),IF(ISBLANK(INDEX('register map'!B:B,C88-4)),IF(ISBLANK(INDEX('register map'!B:B,C88-5)),IF(ISBLANK(INDEX('register map'!B:B,C88-6)),IF(ISBLANK(INDEX('register map'!B:B,C88-7)),IF(ISBLANK(INDEX('register map'!B:B,C88-8)),"ERROR",INDEX('register map'!B:B,C88-8)),INDEX('register map'!B:B,C88-7)),INDEX('register map'!B:B,C88-6)),INDEX('register map'!B:B,C88-5)),INDEX('register map'!B:B,C88-4)),INDEX('register map'!B:B,C88-3)),INDEX('register map'!B:B,C88-2)),INDEX('register map'!B:B,C88-1)),INDEX('register map'!B:B,C88))</f>
        <v>0x92</v>
      </c>
      <c r="G88" s="117" t="str">
        <f>CONCATENATE(IF(ISNUMBER(INDEX('register map'!D:D,C88)),7,""),IF(ISNUMBER(INDEX('register map'!E:E,C88)),6,""),IF(ISNUMBER(INDEX('register map'!F:F,C88)),5,""),IF(ISNUMBER(INDEX('register map'!G:G,C88)),4,""),IF(ISNUMBER(INDEX('register map'!H:H,C88)),3,""),IF(ISNUMBER(INDEX('register map'!I:I,C88)),2,""),IF(ISNUMBER(INDEX('register map'!J:J,C88)),1,""),IF(ISNUMBER(INDEX('register map'!K:K,C88)),0,""))</f>
        <v>0</v>
      </c>
      <c r="H88" s="117" t="str">
        <f>RIGHT(INDEX('register map'!V:V,MATCH('Logical Group Generator'!B88,'register map'!L:L,0)),LEN(G88))</f>
        <v>0</v>
      </c>
      <c r="I88" s="117" t="str">
        <f>CONCATENATE(IF(ISNUMBER(INDEX('register map'!K:K,C88)),0,""),IF(ISNUMBER(INDEX('register map'!J:J,C88)),1,""),IF(ISNUMBER(INDEX('register map'!I:I,C88)),2,""),IF(ISNUMBER(INDEX('register map'!H:H,C88)),3,""),IF(ISNUMBER(INDEX('register map'!G:G,C88)),4,""),IF(ISNUMBER(INDEX('register map'!F:F,C88)),5,""),IF(ISNUMBER(INDEX('register map'!E:E,C88)),6,""),IF(ISNUMBER(INDEX('register map'!D:D,C88)),7,""))</f>
        <v>0</v>
      </c>
      <c r="J88" s="117" t="str">
        <f t="shared" si="18"/>
        <v>0</v>
      </c>
      <c r="K88" s="117" t="str">
        <f t="shared" si="11"/>
        <v/>
      </c>
      <c r="L88" s="117" t="str">
        <f t="shared" si="19"/>
        <v/>
      </c>
      <c r="M88" s="117" t="str">
        <f t="shared" si="21"/>
        <v/>
      </c>
      <c r="N88" s="117" t="str">
        <f>IF(ISBLANK(INDEX('register map'!M:M,'Logical Group Generator'!C88)),"No","Yes")</f>
        <v>No</v>
      </c>
      <c r="O88" s="117" t="str">
        <f>IF(NOT(ISBLANK(INDEX('register map'!N:N,'Logical Group Generator'!C88))),"Yes","")</f>
        <v/>
      </c>
      <c r="P88" s="117" t="str">
        <f t="shared" si="12"/>
        <v/>
      </c>
      <c r="Q88" s="117" t="str">
        <f t="shared" si="13"/>
        <v/>
      </c>
      <c r="R88" s="117" t="str">
        <f t="shared" si="14"/>
        <v/>
      </c>
      <c r="S88" s="117" t="str">
        <f t="shared" si="15"/>
        <v>No</v>
      </c>
      <c r="T88" s="117" t="str">
        <f t="shared" si="16"/>
        <v/>
      </c>
      <c r="U88" s="117" t="b">
        <f t="shared" si="20"/>
        <v>0</v>
      </c>
      <c r="V88" s="157" t="b">
        <f>INDEX('register map'!P:P,C88)="yes"</f>
        <v>1</v>
      </c>
      <c r="W88" s="157" t="str">
        <f t="shared" si="17"/>
        <v>FALSE</v>
      </c>
    </row>
    <row r="89" spans="2:23">
      <c r="B89" s="157" t="str">
        <f t="array" ref="B89">IF(ROWS($3:89)&lt;=COUNTA('register map'!$L$5:$L$902),INDEX('register map'!$L$5:$L$902,SMALL(IF('register map'!$L$5:$L$902&lt;&gt;"",ROW('register map'!$L$5:$L$902)-MIN(ROW('register map'!$L$5:$L$902))+1),ROWS($3:89))),"")</f>
        <v>BUCK1_SLP_VID</v>
      </c>
      <c r="C89" s="157">
        <f>IF(B89="PART_NUMBER",IF(COUNTIF($B$1:B88,"PART_NUMBER")=0,6,8),MATCH(B89,'register map'!L:L,0))</f>
        <v>102</v>
      </c>
      <c r="D89" s="117" t="str">
        <f>IF(ISBLANK(INDEX('register map'!C:C,'Logical Group Generator'!C89)),"No","Yes")</f>
        <v>No</v>
      </c>
      <c r="E89" s="117" t="str">
        <f>IF(ISBLANK(INDEX('register map'!A:A,C89)),IF(ISBLANK(INDEX('register map'!A:A,C89-1)),IF(ISBLANK(INDEX('register map'!A:A,C89-2)),IF(ISBLANK(INDEX('register map'!A:A,C89-3)),IF(ISBLANK(INDEX('register map'!A:A,C89-4)),IF(ISBLANK(INDEX('register map'!A:A,C89-5)),IF(ISBLANK(INDEX('register map'!A:A,C89-6)),IF(ISBLANK(INDEX('register map'!A:A,C89-7)),IF(ISBLANK(INDEX('register map'!A:A,C89-8)),"ERROR",INDEX('register map'!A:A,C89-8)),INDEX('register map'!A:A,C89-7)),INDEX('register map'!A:A,C89-6)),INDEX('register map'!A:A,C89-5)),INDEX('register map'!A:A,C89-4)),INDEX('register map'!A:A,C89-3)),INDEX('register map'!A:A,C89-2)),INDEX('register map'!A:A,C89-1)),INDEX('register map'!A:A,C89))</f>
        <v>0x5E</v>
      </c>
      <c r="F89" s="117" t="str">
        <f>IF(ISBLANK(INDEX('register map'!B:B,C89)),IF(ISBLANK(INDEX('register map'!B:B,C89-1)),IF(ISBLANK(INDEX('register map'!B:B,C89-2)),IF(ISBLANK(INDEX('register map'!B:B,C89-3)),IF(ISBLANK(INDEX('register map'!B:B,C89-4)),IF(ISBLANK(INDEX('register map'!B:B,C89-5)),IF(ISBLANK(INDEX('register map'!B:B,C89-6)),IF(ISBLANK(INDEX('register map'!B:B,C89-7)),IF(ISBLANK(INDEX('register map'!B:B,C89-8)),"ERROR",INDEX('register map'!B:B,C89-8)),INDEX('register map'!B:B,C89-7)),INDEX('register map'!B:B,C89-6)),INDEX('register map'!B:B,C89-5)),INDEX('register map'!B:B,C89-4)),INDEX('register map'!B:B,C89-3)),INDEX('register map'!B:B,C89-2)),INDEX('register map'!B:B,C89-1)),INDEX('register map'!B:B,C89))</f>
        <v>0x92</v>
      </c>
      <c r="G89" s="117" t="str">
        <f>CONCATENATE(IF(ISNUMBER(INDEX('register map'!D:D,C89)),7,""),IF(ISNUMBER(INDEX('register map'!E:E,C89)),6,""),IF(ISNUMBER(INDEX('register map'!F:F,C89)),5,""),IF(ISNUMBER(INDEX('register map'!G:G,C89)),4,""),IF(ISNUMBER(INDEX('register map'!H:H,C89)),3,""),IF(ISNUMBER(INDEX('register map'!I:I,C89)),2,""),IF(ISNUMBER(INDEX('register map'!J:J,C89)),1,""),IF(ISNUMBER(INDEX('register map'!K:K,C89)),0,""))</f>
        <v>7654321</v>
      </c>
      <c r="H89" s="117" t="str">
        <f>RIGHT(INDEX('register map'!V:V,MATCH('Logical Group Generator'!B89,'register map'!L:L,0)),LEN(G89))</f>
        <v>0111000</v>
      </c>
      <c r="I89" s="117" t="str">
        <f>CONCATENATE(IF(ISNUMBER(INDEX('register map'!K:K,C89)),0,""),IF(ISNUMBER(INDEX('register map'!J:J,C89)),1,""),IF(ISNUMBER(INDEX('register map'!I:I,C89)),2,""),IF(ISNUMBER(INDEX('register map'!H:H,C89)),3,""),IF(ISNUMBER(INDEX('register map'!G:G,C89)),4,""),IF(ISNUMBER(INDEX('register map'!F:F,C89)),5,""),IF(ISNUMBER(INDEX('register map'!E:E,C89)),6,""),IF(ISNUMBER(INDEX('register map'!D:D,C89)),7,""))</f>
        <v>1234567</v>
      </c>
      <c r="J89" s="117" t="str">
        <f t="shared" si="18"/>
        <v>0001110</v>
      </c>
      <c r="K89" s="117" t="str">
        <f t="shared" si="11"/>
        <v/>
      </c>
      <c r="L89" s="117" t="str">
        <f t="shared" si="19"/>
        <v/>
      </c>
      <c r="M89" s="117" t="str">
        <f t="shared" si="21"/>
        <v/>
      </c>
      <c r="N89" s="117" t="str">
        <f>IF(ISBLANK(INDEX('register map'!M:M,'Logical Group Generator'!C89)),"No","Yes")</f>
        <v>No</v>
      </c>
      <c r="O89" s="117" t="str">
        <f>IF(NOT(ISBLANK(INDEX('register map'!N:N,'Logical Group Generator'!C89))),"Yes","")</f>
        <v/>
      </c>
      <c r="P89" s="117" t="str">
        <f t="shared" si="12"/>
        <v/>
      </c>
      <c r="Q89" s="117" t="str">
        <f t="shared" si="13"/>
        <v/>
      </c>
      <c r="R89" s="117" t="str">
        <f t="shared" si="14"/>
        <v/>
      </c>
      <c r="S89" s="117" t="str">
        <f t="shared" si="15"/>
        <v>No</v>
      </c>
      <c r="T89" s="117" t="str">
        <f t="shared" si="16"/>
        <v/>
      </c>
      <c r="U89" s="117" t="b">
        <f t="shared" si="20"/>
        <v>0</v>
      </c>
      <c r="V89" s="157" t="b">
        <f>INDEX('register map'!P:P,C89)="yes"</f>
        <v>1</v>
      </c>
      <c r="W89" s="157" t="str">
        <f t="shared" si="17"/>
        <v>FALSE</v>
      </c>
    </row>
    <row r="90" spans="2:23">
      <c r="B90" s="157" t="str">
        <f t="array" ref="B90">IF(ROWS($3:90)&lt;=COUNTA('register map'!$L$5:$L$902),INDEX('register map'!$L$5:$L$902,SMALL(IF('register map'!$L$5:$L$902&lt;&gt;"",ROW('register map'!$L$5:$L$902)-MIN(ROW('register map'!$L$5:$L$902))+1),ROWS($3:90))),"")</f>
        <v>BUCK2SLPCTRL</v>
      </c>
      <c r="C90" s="157">
        <f>IF(B90="PART_NUMBER",IF(COUNTIF($B$1:B89,"PART_NUMBER")=0,6,8),MATCH(B90,'register map'!L:L,0))</f>
        <v>103</v>
      </c>
      <c r="D90" s="117" t="str">
        <f>IF(ISBLANK(INDEX('register map'!C:C,'Logical Group Generator'!C90)),"No","Yes")</f>
        <v>Yes</v>
      </c>
      <c r="E90" s="117" t="str">
        <f>IF(ISBLANK(INDEX('register map'!A:A,C90)),IF(ISBLANK(INDEX('register map'!A:A,C90-1)),IF(ISBLANK(INDEX('register map'!A:A,C90-2)),IF(ISBLANK(INDEX('register map'!A:A,C90-3)),IF(ISBLANK(INDEX('register map'!A:A,C90-4)),IF(ISBLANK(INDEX('register map'!A:A,C90-5)),IF(ISBLANK(INDEX('register map'!A:A,C90-6)),IF(ISBLANK(INDEX('register map'!A:A,C90-7)),IF(ISBLANK(INDEX('register map'!A:A,C90-8)),"ERROR",INDEX('register map'!A:A,C90-8)),INDEX('register map'!A:A,C90-7)),INDEX('register map'!A:A,C90-6)),INDEX('register map'!A:A,C90-5)),INDEX('register map'!A:A,C90-4)),INDEX('register map'!A:A,C90-3)),INDEX('register map'!A:A,C90-2)),INDEX('register map'!A:A,C90-1)),INDEX('register map'!A:A,C90))</f>
        <v>0x5E</v>
      </c>
      <c r="F90" s="117" t="str">
        <f>IF(ISBLANK(INDEX('register map'!B:B,C90)),IF(ISBLANK(INDEX('register map'!B:B,C90-1)),IF(ISBLANK(INDEX('register map'!B:B,C90-2)),IF(ISBLANK(INDEX('register map'!B:B,C90-3)),IF(ISBLANK(INDEX('register map'!B:B,C90-4)),IF(ISBLANK(INDEX('register map'!B:B,C90-5)),IF(ISBLANK(INDEX('register map'!B:B,C90-6)),IF(ISBLANK(INDEX('register map'!B:B,C90-7)),IF(ISBLANK(INDEX('register map'!B:B,C90-8)),"ERROR",INDEX('register map'!B:B,C90-8)),INDEX('register map'!B:B,C90-7)),INDEX('register map'!B:B,C90-6)),INDEX('register map'!B:B,C90-5)),INDEX('register map'!B:B,C90-4)),INDEX('register map'!B:B,C90-3)),INDEX('register map'!B:B,C90-2)),INDEX('register map'!B:B,C90-1)),INDEX('register map'!B:B,C90))</f>
        <v>0x93</v>
      </c>
      <c r="G90" s="117" t="str">
        <f>CONCATENATE(IF(ISNUMBER(INDEX('register map'!D:D,C90)),7,""),IF(ISNUMBER(INDEX('register map'!E:E,C90)),6,""),IF(ISNUMBER(INDEX('register map'!F:F,C90)),5,""),IF(ISNUMBER(INDEX('register map'!G:G,C90)),4,""),IF(ISNUMBER(INDEX('register map'!H:H,C90)),3,""),IF(ISNUMBER(INDEX('register map'!I:I,C90)),2,""),IF(ISNUMBER(INDEX('register map'!J:J,C90)),1,""),IF(ISNUMBER(INDEX('register map'!K:K,C90)),0,""))</f>
        <v/>
      </c>
      <c r="H90" s="117" t="str">
        <f>RIGHT(INDEX('register map'!V:V,MATCH('Logical Group Generator'!B90,'register map'!L:L,0)),LEN(G90))</f>
        <v/>
      </c>
      <c r="I90" s="117" t="str">
        <f>CONCATENATE(IF(ISNUMBER(INDEX('register map'!K:K,C90)),0,""),IF(ISNUMBER(INDEX('register map'!J:J,C90)),1,""),IF(ISNUMBER(INDEX('register map'!I:I,C90)),2,""),IF(ISNUMBER(INDEX('register map'!H:H,C90)),3,""),IF(ISNUMBER(INDEX('register map'!G:G,C90)),4,""),IF(ISNUMBER(INDEX('register map'!F:F,C90)),5,""),IF(ISNUMBER(INDEX('register map'!E:E,C90)),6,""),IF(ISNUMBER(INDEX('register map'!D:D,C90)),7,""))</f>
        <v/>
      </c>
      <c r="J90" s="117" t="str">
        <f t="shared" si="18"/>
        <v/>
      </c>
      <c r="K90" s="117" t="str">
        <f t="shared" si="11"/>
        <v>00011110</v>
      </c>
      <c r="L90" s="117" t="str">
        <f t="shared" si="19"/>
        <v>01111000</v>
      </c>
      <c r="M90" s="117" t="str">
        <f t="shared" si="21"/>
        <v>78</v>
      </c>
      <c r="N90" s="117" t="str">
        <f>IF(ISBLANK(INDEX('register map'!M:M,'Logical Group Generator'!C90)),"No","Yes")</f>
        <v>No</v>
      </c>
      <c r="O90" s="117" t="str">
        <f>IF(NOT(ISBLANK(INDEX('register map'!N:N,'Logical Group Generator'!C90))),"Yes","")</f>
        <v/>
      </c>
      <c r="P90" s="117" t="str">
        <f t="shared" si="12"/>
        <v>No</v>
      </c>
      <c r="Q90" s="117" t="str">
        <f t="shared" si="13"/>
        <v>No</v>
      </c>
      <c r="R90" s="117" t="str">
        <f t="shared" si="14"/>
        <v>No</v>
      </c>
      <c r="S90" s="117" t="str">
        <f t="shared" si="15"/>
        <v/>
      </c>
      <c r="T90" s="117" t="b">
        <f t="shared" si="16"/>
        <v>1</v>
      </c>
      <c r="U90" s="117" t="b">
        <f t="shared" si="20"/>
        <v>1</v>
      </c>
      <c r="V90" s="157" t="b">
        <f>INDEX('register map'!P:P,C90)="yes"</f>
        <v>1</v>
      </c>
      <c r="W90" s="157" t="str">
        <f t="shared" si="17"/>
        <v>REGISTER</v>
      </c>
    </row>
    <row r="91" spans="2:23">
      <c r="B91" s="157" t="str">
        <f t="array" ref="B91">IF(ROWS($3:91)&lt;=COUNTA('register map'!$L$5:$L$902),INDEX('register map'!$L$5:$L$902,SMALL(IF('register map'!$L$5:$L$902&lt;&gt;"",ROW('register map'!$L$5:$L$902)-MIN(ROW('register map'!$L$5:$L$902))+1),ROWS($3:91))),"")</f>
        <v>BUCK2_SLP_EN</v>
      </c>
      <c r="C91" s="157">
        <f>IF(B91="PART_NUMBER",IF(COUNTIF($B$1:B90,"PART_NUMBER")=0,6,8),MATCH(B91,'register map'!L:L,0))</f>
        <v>104</v>
      </c>
      <c r="D91" s="117" t="str">
        <f>IF(ISBLANK(INDEX('register map'!C:C,'Logical Group Generator'!C91)),"No","Yes")</f>
        <v>No</v>
      </c>
      <c r="E91" s="117" t="str">
        <f>IF(ISBLANK(INDEX('register map'!A:A,C91)),IF(ISBLANK(INDEX('register map'!A:A,C91-1)),IF(ISBLANK(INDEX('register map'!A:A,C91-2)),IF(ISBLANK(INDEX('register map'!A:A,C91-3)),IF(ISBLANK(INDEX('register map'!A:A,C91-4)),IF(ISBLANK(INDEX('register map'!A:A,C91-5)),IF(ISBLANK(INDEX('register map'!A:A,C91-6)),IF(ISBLANK(INDEX('register map'!A:A,C91-7)),IF(ISBLANK(INDEX('register map'!A:A,C91-8)),"ERROR",INDEX('register map'!A:A,C91-8)),INDEX('register map'!A:A,C91-7)),INDEX('register map'!A:A,C91-6)),INDEX('register map'!A:A,C91-5)),INDEX('register map'!A:A,C91-4)),INDEX('register map'!A:A,C91-3)),INDEX('register map'!A:A,C91-2)),INDEX('register map'!A:A,C91-1)),INDEX('register map'!A:A,C91))</f>
        <v>0x5E</v>
      </c>
      <c r="F91" s="117" t="str">
        <f>IF(ISBLANK(INDEX('register map'!B:B,C91)),IF(ISBLANK(INDEX('register map'!B:B,C91-1)),IF(ISBLANK(INDEX('register map'!B:B,C91-2)),IF(ISBLANK(INDEX('register map'!B:B,C91-3)),IF(ISBLANK(INDEX('register map'!B:B,C91-4)),IF(ISBLANK(INDEX('register map'!B:B,C91-5)),IF(ISBLANK(INDEX('register map'!B:B,C91-6)),IF(ISBLANK(INDEX('register map'!B:B,C91-7)),IF(ISBLANK(INDEX('register map'!B:B,C91-8)),"ERROR",INDEX('register map'!B:B,C91-8)),INDEX('register map'!B:B,C91-7)),INDEX('register map'!B:B,C91-6)),INDEX('register map'!B:B,C91-5)),INDEX('register map'!B:B,C91-4)),INDEX('register map'!B:B,C91-3)),INDEX('register map'!B:B,C91-2)),INDEX('register map'!B:B,C91-1)),INDEX('register map'!B:B,C91))</f>
        <v>0x93</v>
      </c>
      <c r="G91" s="117" t="str">
        <f>CONCATENATE(IF(ISNUMBER(INDEX('register map'!D:D,C91)),7,""),IF(ISNUMBER(INDEX('register map'!E:E,C91)),6,""),IF(ISNUMBER(INDEX('register map'!F:F,C91)),5,""),IF(ISNUMBER(INDEX('register map'!G:G,C91)),4,""),IF(ISNUMBER(INDEX('register map'!H:H,C91)),3,""),IF(ISNUMBER(INDEX('register map'!I:I,C91)),2,""),IF(ISNUMBER(INDEX('register map'!J:J,C91)),1,""),IF(ISNUMBER(INDEX('register map'!K:K,C91)),0,""))</f>
        <v>0</v>
      </c>
      <c r="H91" s="117" t="str">
        <f>RIGHT(INDEX('register map'!V:V,MATCH('Logical Group Generator'!B91,'register map'!L:L,0)),LEN(G91))</f>
        <v>0</v>
      </c>
      <c r="I91" s="117" t="str">
        <f>CONCATENATE(IF(ISNUMBER(INDEX('register map'!K:K,C91)),0,""),IF(ISNUMBER(INDEX('register map'!J:J,C91)),1,""),IF(ISNUMBER(INDEX('register map'!I:I,C91)),2,""),IF(ISNUMBER(INDEX('register map'!H:H,C91)),3,""),IF(ISNUMBER(INDEX('register map'!G:G,C91)),4,""),IF(ISNUMBER(INDEX('register map'!F:F,C91)),5,""),IF(ISNUMBER(INDEX('register map'!E:E,C91)),6,""),IF(ISNUMBER(INDEX('register map'!D:D,C91)),7,""))</f>
        <v>0</v>
      </c>
      <c r="J91" s="117" t="str">
        <f t="shared" si="18"/>
        <v>0</v>
      </c>
      <c r="K91" s="117" t="str">
        <f t="shared" si="11"/>
        <v/>
      </c>
      <c r="L91" s="117" t="str">
        <f t="shared" si="19"/>
        <v/>
      </c>
      <c r="M91" s="117" t="str">
        <f t="shared" si="21"/>
        <v/>
      </c>
      <c r="N91" s="117" t="str">
        <f>IF(ISBLANK(INDEX('register map'!M:M,'Logical Group Generator'!C91)),"No","Yes")</f>
        <v>No</v>
      </c>
      <c r="O91" s="117" t="str">
        <f>IF(NOT(ISBLANK(INDEX('register map'!N:N,'Logical Group Generator'!C91))),"Yes","")</f>
        <v/>
      </c>
      <c r="P91" s="117" t="str">
        <f t="shared" si="12"/>
        <v/>
      </c>
      <c r="Q91" s="117" t="str">
        <f t="shared" si="13"/>
        <v/>
      </c>
      <c r="R91" s="117" t="str">
        <f t="shared" si="14"/>
        <v/>
      </c>
      <c r="S91" s="117" t="str">
        <f t="shared" si="15"/>
        <v>No</v>
      </c>
      <c r="T91" s="117" t="str">
        <f t="shared" si="16"/>
        <v/>
      </c>
      <c r="U91" s="117" t="b">
        <f t="shared" si="20"/>
        <v>0</v>
      </c>
      <c r="V91" s="157" t="b">
        <f>INDEX('register map'!P:P,C91)="yes"</f>
        <v>1</v>
      </c>
      <c r="W91" s="157" t="str">
        <f t="shared" si="17"/>
        <v>FALSE</v>
      </c>
    </row>
    <row r="92" spans="2:23">
      <c r="B92" s="157" t="str">
        <f t="array" ref="B92">IF(ROWS($3:92)&lt;=COUNTA('register map'!$L$5:$L$902),INDEX('register map'!$L$5:$L$902,SMALL(IF('register map'!$L$5:$L$902&lt;&gt;"",ROW('register map'!$L$5:$L$902)-MIN(ROW('register map'!$L$5:$L$902))+1),ROWS($3:92))),"")</f>
        <v>BUCK2_SLP_VID</v>
      </c>
      <c r="C92" s="157">
        <f>IF(B92="PART_NUMBER",IF(COUNTIF($B$1:B91,"PART_NUMBER")=0,6,8),MATCH(B92,'register map'!L:L,0))</f>
        <v>105</v>
      </c>
      <c r="D92" s="117" t="str">
        <f>IF(ISBLANK(INDEX('register map'!C:C,'Logical Group Generator'!C92)),"No","Yes")</f>
        <v>No</v>
      </c>
      <c r="E92" s="117" t="str">
        <f>IF(ISBLANK(INDEX('register map'!A:A,C92)),IF(ISBLANK(INDEX('register map'!A:A,C92-1)),IF(ISBLANK(INDEX('register map'!A:A,C92-2)),IF(ISBLANK(INDEX('register map'!A:A,C92-3)),IF(ISBLANK(INDEX('register map'!A:A,C92-4)),IF(ISBLANK(INDEX('register map'!A:A,C92-5)),IF(ISBLANK(INDEX('register map'!A:A,C92-6)),IF(ISBLANK(INDEX('register map'!A:A,C92-7)),IF(ISBLANK(INDEX('register map'!A:A,C92-8)),"ERROR",INDEX('register map'!A:A,C92-8)),INDEX('register map'!A:A,C92-7)),INDEX('register map'!A:A,C92-6)),INDEX('register map'!A:A,C92-5)),INDEX('register map'!A:A,C92-4)),INDEX('register map'!A:A,C92-3)),INDEX('register map'!A:A,C92-2)),INDEX('register map'!A:A,C92-1)),INDEX('register map'!A:A,C92))</f>
        <v>0x5E</v>
      </c>
      <c r="F92" s="117" t="str">
        <f>IF(ISBLANK(INDEX('register map'!B:B,C92)),IF(ISBLANK(INDEX('register map'!B:B,C92-1)),IF(ISBLANK(INDEX('register map'!B:B,C92-2)),IF(ISBLANK(INDEX('register map'!B:B,C92-3)),IF(ISBLANK(INDEX('register map'!B:B,C92-4)),IF(ISBLANK(INDEX('register map'!B:B,C92-5)),IF(ISBLANK(INDEX('register map'!B:B,C92-6)),IF(ISBLANK(INDEX('register map'!B:B,C92-7)),IF(ISBLANK(INDEX('register map'!B:B,C92-8)),"ERROR",INDEX('register map'!B:B,C92-8)),INDEX('register map'!B:B,C92-7)),INDEX('register map'!B:B,C92-6)),INDEX('register map'!B:B,C92-5)),INDEX('register map'!B:B,C92-4)),INDEX('register map'!B:B,C92-3)),INDEX('register map'!B:B,C92-2)),INDEX('register map'!B:B,C92-1)),INDEX('register map'!B:B,C92))</f>
        <v>0x93</v>
      </c>
      <c r="G92" s="117" t="str">
        <f>CONCATENATE(IF(ISNUMBER(INDEX('register map'!D:D,C92)),7,""),IF(ISNUMBER(INDEX('register map'!E:E,C92)),6,""),IF(ISNUMBER(INDEX('register map'!F:F,C92)),5,""),IF(ISNUMBER(INDEX('register map'!G:G,C92)),4,""),IF(ISNUMBER(INDEX('register map'!H:H,C92)),3,""),IF(ISNUMBER(INDEX('register map'!I:I,C92)),2,""),IF(ISNUMBER(INDEX('register map'!J:J,C92)),1,""),IF(ISNUMBER(INDEX('register map'!K:K,C92)),0,""))</f>
        <v>7654321</v>
      </c>
      <c r="H92" s="117" t="str">
        <f>RIGHT(INDEX('register map'!V:V,MATCH('Logical Group Generator'!B92,'register map'!L:L,0)),LEN(G92))</f>
        <v>0111100</v>
      </c>
      <c r="I92" s="117" t="str">
        <f>CONCATENATE(IF(ISNUMBER(INDEX('register map'!K:K,C92)),0,""),IF(ISNUMBER(INDEX('register map'!J:J,C92)),1,""),IF(ISNUMBER(INDEX('register map'!I:I,C92)),2,""),IF(ISNUMBER(INDEX('register map'!H:H,C92)),3,""),IF(ISNUMBER(INDEX('register map'!G:G,C92)),4,""),IF(ISNUMBER(INDEX('register map'!F:F,C92)),5,""),IF(ISNUMBER(INDEX('register map'!E:E,C92)),6,""),IF(ISNUMBER(INDEX('register map'!D:D,C92)),7,""))</f>
        <v>1234567</v>
      </c>
      <c r="J92" s="117" t="str">
        <f t="shared" si="18"/>
        <v>0011110</v>
      </c>
      <c r="K92" s="117" t="str">
        <f t="shared" si="11"/>
        <v/>
      </c>
      <c r="L92" s="117" t="str">
        <f t="shared" si="19"/>
        <v/>
      </c>
      <c r="M92" s="117" t="str">
        <f t="shared" si="21"/>
        <v/>
      </c>
      <c r="N92" s="117" t="str">
        <f>IF(ISBLANK(INDEX('register map'!M:M,'Logical Group Generator'!C92)),"No","Yes")</f>
        <v>No</v>
      </c>
      <c r="O92" s="117" t="str">
        <f>IF(NOT(ISBLANK(INDEX('register map'!N:N,'Logical Group Generator'!C92))),"Yes","")</f>
        <v/>
      </c>
      <c r="P92" s="117" t="str">
        <f t="shared" si="12"/>
        <v/>
      </c>
      <c r="Q92" s="117" t="str">
        <f t="shared" si="13"/>
        <v/>
      </c>
      <c r="R92" s="117" t="str">
        <f t="shared" si="14"/>
        <v/>
      </c>
      <c r="S92" s="117" t="str">
        <f t="shared" si="15"/>
        <v>No</v>
      </c>
      <c r="T92" s="117" t="str">
        <f t="shared" si="16"/>
        <v/>
      </c>
      <c r="U92" s="117" t="b">
        <f t="shared" si="20"/>
        <v>0</v>
      </c>
      <c r="V92" s="157" t="b">
        <f>INDEX('register map'!P:P,C92)="yes"</f>
        <v>1</v>
      </c>
      <c r="W92" s="157" t="str">
        <f t="shared" si="17"/>
        <v>FALSE</v>
      </c>
    </row>
    <row r="93" spans="2:23">
      <c r="B93" s="157" t="str">
        <f t="array" ref="B93">IF(ROWS($3:93)&lt;=COUNTA('register map'!$L$5:$L$902),INDEX('register map'!$L$5:$L$902,SMALL(IF('register map'!$L$5:$L$902&lt;&gt;"",ROW('register map'!$L$5:$L$902)-MIN(ROW('register map'!$L$5:$L$902))+1),ROWS($3:93))),"")</f>
        <v>BUCK4VID</v>
      </c>
      <c r="C93" s="157">
        <f>IF(B93="PART_NUMBER",IF(COUNTIF($B$1:B92,"PART_NUMBER")=0,6,8),MATCH(B93,'register map'!L:L,0))</f>
        <v>106</v>
      </c>
      <c r="D93" s="117" t="str">
        <f>IF(ISBLANK(INDEX('register map'!C:C,'Logical Group Generator'!C93)),"No","Yes")</f>
        <v>Yes</v>
      </c>
      <c r="E93" s="117" t="str">
        <f>IF(ISBLANK(INDEX('register map'!A:A,C93)),IF(ISBLANK(INDEX('register map'!A:A,C93-1)),IF(ISBLANK(INDEX('register map'!A:A,C93-2)),IF(ISBLANK(INDEX('register map'!A:A,C93-3)),IF(ISBLANK(INDEX('register map'!A:A,C93-4)),IF(ISBLANK(INDEX('register map'!A:A,C93-5)),IF(ISBLANK(INDEX('register map'!A:A,C93-6)),IF(ISBLANK(INDEX('register map'!A:A,C93-7)),IF(ISBLANK(INDEX('register map'!A:A,C93-8)),"ERROR",INDEX('register map'!A:A,C93-8)),INDEX('register map'!A:A,C93-7)),INDEX('register map'!A:A,C93-6)),INDEX('register map'!A:A,C93-5)),INDEX('register map'!A:A,C93-4)),INDEX('register map'!A:A,C93-3)),INDEX('register map'!A:A,C93-2)),INDEX('register map'!A:A,C93-1)),INDEX('register map'!A:A,C93))</f>
        <v>0x5E</v>
      </c>
      <c r="F93" s="117" t="str">
        <f>IF(ISBLANK(INDEX('register map'!B:B,C93)),IF(ISBLANK(INDEX('register map'!B:B,C93-1)),IF(ISBLANK(INDEX('register map'!B:B,C93-2)),IF(ISBLANK(INDEX('register map'!B:B,C93-3)),IF(ISBLANK(INDEX('register map'!B:B,C93-4)),IF(ISBLANK(INDEX('register map'!B:B,C93-5)),IF(ISBLANK(INDEX('register map'!B:B,C93-6)),IF(ISBLANK(INDEX('register map'!B:B,C93-7)),IF(ISBLANK(INDEX('register map'!B:B,C93-8)),"ERROR",INDEX('register map'!B:B,C93-8)),INDEX('register map'!B:B,C93-7)),INDEX('register map'!B:B,C93-6)),INDEX('register map'!B:B,C93-5)),INDEX('register map'!B:B,C93-4)),INDEX('register map'!B:B,C93-3)),INDEX('register map'!B:B,C93-2)),INDEX('register map'!B:B,C93-1)),INDEX('register map'!B:B,C93))</f>
        <v>0x94</v>
      </c>
      <c r="G93" s="117" t="str">
        <f>CONCATENATE(IF(ISNUMBER(INDEX('register map'!D:D,C93)),7,""),IF(ISNUMBER(INDEX('register map'!E:E,C93)),6,""),IF(ISNUMBER(INDEX('register map'!F:F,C93)),5,""),IF(ISNUMBER(INDEX('register map'!G:G,C93)),4,""),IF(ISNUMBER(INDEX('register map'!H:H,C93)),3,""),IF(ISNUMBER(INDEX('register map'!I:I,C93)),2,""),IF(ISNUMBER(INDEX('register map'!J:J,C93)),1,""),IF(ISNUMBER(INDEX('register map'!K:K,C93)),0,""))</f>
        <v/>
      </c>
      <c r="H93" s="117" t="str">
        <f>RIGHT(INDEX('register map'!V:V,MATCH('Logical Group Generator'!B93,'register map'!L:L,0)),LEN(G93))</f>
        <v/>
      </c>
      <c r="I93" s="117" t="str">
        <f>CONCATENATE(IF(ISNUMBER(INDEX('register map'!K:K,C93)),0,""),IF(ISNUMBER(INDEX('register map'!J:J,C93)),1,""),IF(ISNUMBER(INDEX('register map'!I:I,C93)),2,""),IF(ISNUMBER(INDEX('register map'!H:H,C93)),3,""),IF(ISNUMBER(INDEX('register map'!G:G,C93)),4,""),IF(ISNUMBER(INDEX('register map'!F:F,C93)),5,""),IF(ISNUMBER(INDEX('register map'!E:E,C93)),6,""),IF(ISNUMBER(INDEX('register map'!D:D,C93)),7,""))</f>
        <v/>
      </c>
      <c r="J93" s="117" t="str">
        <f t="shared" si="18"/>
        <v/>
      </c>
      <c r="K93" s="117" t="str">
        <f t="shared" si="11"/>
        <v>00010101</v>
      </c>
      <c r="L93" s="117" t="str">
        <f t="shared" si="19"/>
        <v>10101000</v>
      </c>
      <c r="M93" s="117" t="str">
        <f t="shared" si="21"/>
        <v>A8</v>
      </c>
      <c r="N93" s="117" t="str">
        <f>IF(ISBLANK(INDEX('register map'!M:M,'Logical Group Generator'!C93)),"No","Yes")</f>
        <v>No</v>
      </c>
      <c r="O93" s="117" t="str">
        <f>IF(NOT(ISBLANK(INDEX('register map'!N:N,'Logical Group Generator'!C93))),"Yes","")</f>
        <v/>
      </c>
      <c r="P93" s="117" t="str">
        <f t="shared" si="12"/>
        <v>No</v>
      </c>
      <c r="Q93" s="117" t="str">
        <f t="shared" si="13"/>
        <v>No</v>
      </c>
      <c r="R93" s="117" t="str">
        <f t="shared" si="14"/>
        <v>No</v>
      </c>
      <c r="S93" s="117" t="str">
        <f t="shared" si="15"/>
        <v/>
      </c>
      <c r="T93" s="117" t="b">
        <f t="shared" si="16"/>
        <v>1</v>
      </c>
      <c r="U93" s="117" t="b">
        <f t="shared" si="20"/>
        <v>1</v>
      </c>
      <c r="V93" s="157" t="b">
        <f>INDEX('register map'!P:P,C93)="yes"</f>
        <v>1</v>
      </c>
      <c r="W93" s="157" t="str">
        <f t="shared" si="17"/>
        <v>REGISTER</v>
      </c>
    </row>
    <row r="94" spans="2:23">
      <c r="B94" s="157" t="str">
        <f t="array" ref="B94">IF(ROWS($3:94)&lt;=COUNTA('register map'!$L$5:$L$902),INDEX('register map'!$L$5:$L$902,SMALL(IF('register map'!$L$5:$L$902&lt;&gt;"",ROW('register map'!$L$5:$L$902)-MIN(ROW('register map'!$L$5:$L$902))+1),ROWS($3:94))),"")</f>
        <v>BUCK4_DECAY</v>
      </c>
      <c r="C94" s="157">
        <f>IF(B94="PART_NUMBER",IF(COUNTIF($B$1:B93,"PART_NUMBER")=0,6,8),MATCH(B94,'register map'!L:L,0))</f>
        <v>107</v>
      </c>
      <c r="D94" s="117" t="str">
        <f>IF(ISBLANK(INDEX('register map'!C:C,'Logical Group Generator'!C94)),"No","Yes")</f>
        <v>No</v>
      </c>
      <c r="E94" s="117" t="str">
        <f>IF(ISBLANK(INDEX('register map'!A:A,C94)),IF(ISBLANK(INDEX('register map'!A:A,C94-1)),IF(ISBLANK(INDEX('register map'!A:A,C94-2)),IF(ISBLANK(INDEX('register map'!A:A,C94-3)),IF(ISBLANK(INDEX('register map'!A:A,C94-4)),IF(ISBLANK(INDEX('register map'!A:A,C94-5)),IF(ISBLANK(INDEX('register map'!A:A,C94-6)),IF(ISBLANK(INDEX('register map'!A:A,C94-7)),IF(ISBLANK(INDEX('register map'!A:A,C94-8)),"ERROR",INDEX('register map'!A:A,C94-8)),INDEX('register map'!A:A,C94-7)),INDEX('register map'!A:A,C94-6)),INDEX('register map'!A:A,C94-5)),INDEX('register map'!A:A,C94-4)),INDEX('register map'!A:A,C94-3)),INDEX('register map'!A:A,C94-2)),INDEX('register map'!A:A,C94-1)),INDEX('register map'!A:A,C94))</f>
        <v>0x5E</v>
      </c>
      <c r="F94" s="117" t="str">
        <f>IF(ISBLANK(INDEX('register map'!B:B,C94)),IF(ISBLANK(INDEX('register map'!B:B,C94-1)),IF(ISBLANK(INDEX('register map'!B:B,C94-2)),IF(ISBLANK(INDEX('register map'!B:B,C94-3)),IF(ISBLANK(INDEX('register map'!B:B,C94-4)),IF(ISBLANK(INDEX('register map'!B:B,C94-5)),IF(ISBLANK(INDEX('register map'!B:B,C94-6)),IF(ISBLANK(INDEX('register map'!B:B,C94-7)),IF(ISBLANK(INDEX('register map'!B:B,C94-8)),"ERROR",INDEX('register map'!B:B,C94-8)),INDEX('register map'!B:B,C94-7)),INDEX('register map'!B:B,C94-6)),INDEX('register map'!B:B,C94-5)),INDEX('register map'!B:B,C94-4)),INDEX('register map'!B:B,C94-3)),INDEX('register map'!B:B,C94-2)),INDEX('register map'!B:B,C94-1)),INDEX('register map'!B:B,C94))</f>
        <v>0x94</v>
      </c>
      <c r="G94" s="117" t="str">
        <f>CONCATENATE(IF(ISNUMBER(INDEX('register map'!D:D,C94)),7,""),IF(ISNUMBER(INDEX('register map'!E:E,C94)),6,""),IF(ISNUMBER(INDEX('register map'!F:F,C94)),5,""),IF(ISNUMBER(INDEX('register map'!G:G,C94)),4,""),IF(ISNUMBER(INDEX('register map'!H:H,C94)),3,""),IF(ISNUMBER(INDEX('register map'!I:I,C94)),2,""),IF(ISNUMBER(INDEX('register map'!J:J,C94)),1,""),IF(ISNUMBER(INDEX('register map'!K:K,C94)),0,""))</f>
        <v>0</v>
      </c>
      <c r="H94" s="117" t="str">
        <f>RIGHT(INDEX('register map'!V:V,MATCH('Logical Group Generator'!B94,'register map'!L:L,0)),LEN(G94))</f>
        <v>0</v>
      </c>
      <c r="I94" s="117" t="str">
        <f>CONCATENATE(IF(ISNUMBER(INDEX('register map'!K:K,C94)),0,""),IF(ISNUMBER(INDEX('register map'!J:J,C94)),1,""),IF(ISNUMBER(INDEX('register map'!I:I,C94)),2,""),IF(ISNUMBER(INDEX('register map'!H:H,C94)),3,""),IF(ISNUMBER(INDEX('register map'!G:G,C94)),4,""),IF(ISNUMBER(INDEX('register map'!F:F,C94)),5,""),IF(ISNUMBER(INDEX('register map'!E:E,C94)),6,""),IF(ISNUMBER(INDEX('register map'!D:D,C94)),7,""))</f>
        <v>0</v>
      </c>
      <c r="J94" s="117" t="str">
        <f t="shared" si="18"/>
        <v>0</v>
      </c>
      <c r="K94" s="117" t="str">
        <f t="shared" si="11"/>
        <v/>
      </c>
      <c r="L94" s="117" t="str">
        <f t="shared" si="19"/>
        <v/>
      </c>
      <c r="M94" s="117" t="str">
        <f t="shared" si="21"/>
        <v/>
      </c>
      <c r="N94" s="117" t="str">
        <f>IF(ISBLANK(INDEX('register map'!M:M,'Logical Group Generator'!C94)),"No","Yes")</f>
        <v>No</v>
      </c>
      <c r="O94" s="117" t="str">
        <f>IF(NOT(ISBLANK(INDEX('register map'!N:N,'Logical Group Generator'!C94))),"Yes","")</f>
        <v/>
      </c>
      <c r="P94" s="117" t="str">
        <f t="shared" si="12"/>
        <v/>
      </c>
      <c r="Q94" s="117" t="str">
        <f t="shared" si="13"/>
        <v/>
      </c>
      <c r="R94" s="117" t="str">
        <f t="shared" si="14"/>
        <v/>
      </c>
      <c r="S94" s="117" t="str">
        <f t="shared" si="15"/>
        <v>No</v>
      </c>
      <c r="T94" s="117" t="str">
        <f t="shared" si="16"/>
        <v/>
      </c>
      <c r="U94" s="117" t="b">
        <f t="shared" si="20"/>
        <v>0</v>
      </c>
      <c r="V94" s="157" t="b">
        <f>INDEX('register map'!P:P,C94)="yes"</f>
        <v>1</v>
      </c>
      <c r="W94" s="157" t="str">
        <f t="shared" si="17"/>
        <v>FALSE</v>
      </c>
    </row>
    <row r="95" spans="2:23">
      <c r="B95" s="157" t="str">
        <f t="array" ref="B95">IF(ROWS($3:95)&lt;=COUNTA('register map'!$L$5:$L$902),INDEX('register map'!$L$5:$L$902,SMALL(IF('register map'!$L$5:$L$902&lt;&gt;"",ROW('register map'!$L$5:$L$902)-MIN(ROW('register map'!$L$5:$L$902))+1),ROWS($3:95))),"")</f>
        <v>BUCK4_VID</v>
      </c>
      <c r="C95" s="157">
        <f>IF(B95="PART_NUMBER",IF(COUNTIF($B$1:B94,"PART_NUMBER")=0,6,8),MATCH(B95,'register map'!L:L,0))</f>
        <v>108</v>
      </c>
      <c r="D95" s="117" t="str">
        <f>IF(ISBLANK(INDEX('register map'!C:C,'Logical Group Generator'!C95)),"No","Yes")</f>
        <v>No</v>
      </c>
      <c r="E95" s="117" t="str">
        <f>IF(ISBLANK(INDEX('register map'!A:A,C95)),IF(ISBLANK(INDEX('register map'!A:A,C95-1)),IF(ISBLANK(INDEX('register map'!A:A,C95-2)),IF(ISBLANK(INDEX('register map'!A:A,C95-3)),IF(ISBLANK(INDEX('register map'!A:A,C95-4)),IF(ISBLANK(INDEX('register map'!A:A,C95-5)),IF(ISBLANK(INDEX('register map'!A:A,C95-6)),IF(ISBLANK(INDEX('register map'!A:A,C95-7)),IF(ISBLANK(INDEX('register map'!A:A,C95-8)),"ERROR",INDEX('register map'!A:A,C95-8)),INDEX('register map'!A:A,C95-7)),INDEX('register map'!A:A,C95-6)),INDEX('register map'!A:A,C95-5)),INDEX('register map'!A:A,C95-4)),INDEX('register map'!A:A,C95-3)),INDEX('register map'!A:A,C95-2)),INDEX('register map'!A:A,C95-1)),INDEX('register map'!A:A,C95))</f>
        <v>0x5E</v>
      </c>
      <c r="F95" s="117" t="str">
        <f>IF(ISBLANK(INDEX('register map'!B:B,C95)),IF(ISBLANK(INDEX('register map'!B:B,C95-1)),IF(ISBLANK(INDEX('register map'!B:B,C95-2)),IF(ISBLANK(INDEX('register map'!B:B,C95-3)),IF(ISBLANK(INDEX('register map'!B:B,C95-4)),IF(ISBLANK(INDEX('register map'!B:B,C95-5)),IF(ISBLANK(INDEX('register map'!B:B,C95-6)),IF(ISBLANK(INDEX('register map'!B:B,C95-7)),IF(ISBLANK(INDEX('register map'!B:B,C95-8)),"ERROR",INDEX('register map'!B:B,C95-8)),INDEX('register map'!B:B,C95-7)),INDEX('register map'!B:B,C95-6)),INDEX('register map'!B:B,C95-5)),INDEX('register map'!B:B,C95-4)),INDEX('register map'!B:B,C95-3)),INDEX('register map'!B:B,C95-2)),INDEX('register map'!B:B,C95-1)),INDEX('register map'!B:B,C95))</f>
        <v>0x94</v>
      </c>
      <c r="G95" s="117" t="str">
        <f>CONCATENATE(IF(ISNUMBER(INDEX('register map'!D:D,C95)),7,""),IF(ISNUMBER(INDEX('register map'!E:E,C95)),6,""),IF(ISNUMBER(INDEX('register map'!F:F,C95)),5,""),IF(ISNUMBER(INDEX('register map'!G:G,C95)),4,""),IF(ISNUMBER(INDEX('register map'!H:H,C95)),3,""),IF(ISNUMBER(INDEX('register map'!I:I,C95)),2,""),IF(ISNUMBER(INDEX('register map'!J:J,C95)),1,""),IF(ISNUMBER(INDEX('register map'!K:K,C95)),0,""))</f>
        <v>7654321</v>
      </c>
      <c r="H95" s="117" t="str">
        <f>RIGHT(INDEX('register map'!V:V,MATCH('Logical Group Generator'!B95,'register map'!L:L,0)),LEN(G95))</f>
        <v>1010100</v>
      </c>
      <c r="I95" s="117" t="str">
        <f>CONCATENATE(IF(ISNUMBER(INDEX('register map'!K:K,C95)),0,""),IF(ISNUMBER(INDEX('register map'!J:J,C95)),1,""),IF(ISNUMBER(INDEX('register map'!I:I,C95)),2,""),IF(ISNUMBER(INDEX('register map'!H:H,C95)),3,""),IF(ISNUMBER(INDEX('register map'!G:G,C95)),4,""),IF(ISNUMBER(INDEX('register map'!F:F,C95)),5,""),IF(ISNUMBER(INDEX('register map'!E:E,C95)),6,""),IF(ISNUMBER(INDEX('register map'!D:D,C95)),7,""))</f>
        <v>1234567</v>
      </c>
      <c r="J95" s="117" t="str">
        <f t="shared" si="18"/>
        <v>0010101</v>
      </c>
      <c r="K95" s="117" t="str">
        <f t="shared" si="11"/>
        <v/>
      </c>
      <c r="L95" s="117" t="str">
        <f t="shared" si="19"/>
        <v/>
      </c>
      <c r="M95" s="117" t="str">
        <f t="shared" si="21"/>
        <v/>
      </c>
      <c r="N95" s="117" t="str">
        <f>IF(ISBLANK(INDEX('register map'!M:M,'Logical Group Generator'!C95)),"No","Yes")</f>
        <v>No</v>
      </c>
      <c r="O95" s="117" t="str">
        <f>IF(NOT(ISBLANK(INDEX('register map'!N:N,'Logical Group Generator'!C95))),"Yes","")</f>
        <v/>
      </c>
      <c r="P95" s="117" t="str">
        <f t="shared" si="12"/>
        <v/>
      </c>
      <c r="Q95" s="117" t="str">
        <f t="shared" si="13"/>
        <v/>
      </c>
      <c r="R95" s="117" t="str">
        <f t="shared" si="14"/>
        <v/>
      </c>
      <c r="S95" s="117" t="str">
        <f t="shared" si="15"/>
        <v>No</v>
      </c>
      <c r="T95" s="117" t="str">
        <f t="shared" si="16"/>
        <v/>
      </c>
      <c r="U95" s="117" t="b">
        <f t="shared" si="20"/>
        <v>0</v>
      </c>
      <c r="V95" s="157" t="b">
        <f>INDEX('register map'!P:P,C95)="yes"</f>
        <v>1</v>
      </c>
      <c r="W95" s="157" t="str">
        <f t="shared" si="17"/>
        <v>FALSE</v>
      </c>
    </row>
    <row r="96" spans="2:23">
      <c r="B96" s="157" t="str">
        <f t="array" ref="B96">IF(ROWS($3:96)&lt;=COUNTA('register map'!$L$5:$L$902),INDEX('register map'!$L$5:$L$902,SMALL(IF('register map'!$L$5:$L$902&lt;&gt;"",ROW('register map'!$L$5:$L$902)-MIN(ROW('register map'!$L$5:$L$902))+1),ROWS($3:96))),"")</f>
        <v>BUCK4SLPVID</v>
      </c>
      <c r="C96" s="157">
        <f>IF(B96="PART_NUMBER",IF(COUNTIF($B$1:B95,"PART_NUMBER")=0,6,8),MATCH(B96,'register map'!L:L,0))</f>
        <v>109</v>
      </c>
      <c r="D96" s="117" t="str">
        <f>IF(ISBLANK(INDEX('register map'!C:C,'Logical Group Generator'!C96)),"No","Yes")</f>
        <v>Yes</v>
      </c>
      <c r="E96" s="117" t="str">
        <f>IF(ISBLANK(INDEX('register map'!A:A,C96)),IF(ISBLANK(INDEX('register map'!A:A,C96-1)),IF(ISBLANK(INDEX('register map'!A:A,C96-2)),IF(ISBLANK(INDEX('register map'!A:A,C96-3)),IF(ISBLANK(INDEX('register map'!A:A,C96-4)),IF(ISBLANK(INDEX('register map'!A:A,C96-5)),IF(ISBLANK(INDEX('register map'!A:A,C96-6)),IF(ISBLANK(INDEX('register map'!A:A,C96-7)),IF(ISBLANK(INDEX('register map'!A:A,C96-8)),"ERROR",INDEX('register map'!A:A,C96-8)),INDEX('register map'!A:A,C96-7)),INDEX('register map'!A:A,C96-6)),INDEX('register map'!A:A,C96-5)),INDEX('register map'!A:A,C96-4)),INDEX('register map'!A:A,C96-3)),INDEX('register map'!A:A,C96-2)),INDEX('register map'!A:A,C96-1)),INDEX('register map'!A:A,C96))</f>
        <v>0x5E</v>
      </c>
      <c r="F96" s="117" t="str">
        <f>IF(ISBLANK(INDEX('register map'!B:B,C96)),IF(ISBLANK(INDEX('register map'!B:B,C96-1)),IF(ISBLANK(INDEX('register map'!B:B,C96-2)),IF(ISBLANK(INDEX('register map'!B:B,C96-3)),IF(ISBLANK(INDEX('register map'!B:B,C96-4)),IF(ISBLANK(INDEX('register map'!B:B,C96-5)),IF(ISBLANK(INDEX('register map'!B:B,C96-6)),IF(ISBLANK(INDEX('register map'!B:B,C96-7)),IF(ISBLANK(INDEX('register map'!B:B,C96-8)),"ERROR",INDEX('register map'!B:B,C96-8)),INDEX('register map'!B:B,C96-7)),INDEX('register map'!B:B,C96-6)),INDEX('register map'!B:B,C96-5)),INDEX('register map'!B:B,C96-4)),INDEX('register map'!B:B,C96-3)),INDEX('register map'!B:B,C96-2)),INDEX('register map'!B:B,C96-1)),INDEX('register map'!B:B,C96))</f>
        <v>0x95</v>
      </c>
      <c r="G96" s="117" t="str">
        <f>CONCATENATE(IF(ISNUMBER(INDEX('register map'!D:D,C96)),7,""),IF(ISNUMBER(INDEX('register map'!E:E,C96)),6,""),IF(ISNUMBER(INDEX('register map'!F:F,C96)),5,""),IF(ISNUMBER(INDEX('register map'!G:G,C96)),4,""),IF(ISNUMBER(INDEX('register map'!H:H,C96)),3,""),IF(ISNUMBER(INDEX('register map'!I:I,C96)),2,""),IF(ISNUMBER(INDEX('register map'!J:J,C96)),1,""),IF(ISNUMBER(INDEX('register map'!K:K,C96)),0,""))</f>
        <v/>
      </c>
      <c r="H96" s="117" t="str">
        <f>RIGHT(INDEX('register map'!V:V,MATCH('Logical Group Generator'!B96,'register map'!L:L,0)),LEN(G96))</f>
        <v/>
      </c>
      <c r="I96" s="117" t="str">
        <f>CONCATENATE(IF(ISNUMBER(INDEX('register map'!K:K,C96)),0,""),IF(ISNUMBER(INDEX('register map'!J:J,C96)),1,""),IF(ISNUMBER(INDEX('register map'!I:I,C96)),2,""),IF(ISNUMBER(INDEX('register map'!H:H,C96)),3,""),IF(ISNUMBER(INDEX('register map'!G:G,C96)),4,""),IF(ISNUMBER(INDEX('register map'!F:F,C96)),5,""),IF(ISNUMBER(INDEX('register map'!E:E,C96)),6,""),IF(ISNUMBER(INDEX('register map'!D:D,C96)),7,""))</f>
        <v/>
      </c>
      <c r="J96" s="117" t="str">
        <f t="shared" si="18"/>
        <v/>
      </c>
      <c r="K96" s="117" t="str">
        <f t="shared" si="11"/>
        <v>00010101</v>
      </c>
      <c r="L96" s="117" t="str">
        <f t="shared" si="19"/>
        <v>10101000</v>
      </c>
      <c r="M96" s="117" t="str">
        <f t="shared" si="21"/>
        <v>A8</v>
      </c>
      <c r="N96" s="117" t="str">
        <f>IF(ISBLANK(INDEX('register map'!M:M,'Logical Group Generator'!C96)),"No","Yes")</f>
        <v>No</v>
      </c>
      <c r="O96" s="117" t="str">
        <f>IF(NOT(ISBLANK(INDEX('register map'!N:N,'Logical Group Generator'!C96))),"Yes","")</f>
        <v/>
      </c>
      <c r="P96" s="117" t="str">
        <f t="shared" si="12"/>
        <v>No</v>
      </c>
      <c r="Q96" s="117" t="str">
        <f t="shared" si="13"/>
        <v>No</v>
      </c>
      <c r="R96" s="117" t="str">
        <f t="shared" si="14"/>
        <v>No</v>
      </c>
      <c r="S96" s="117" t="str">
        <f t="shared" si="15"/>
        <v/>
      </c>
      <c r="T96" s="117" t="b">
        <f t="shared" si="16"/>
        <v>1</v>
      </c>
      <c r="U96" s="117" t="b">
        <f t="shared" si="20"/>
        <v>1</v>
      </c>
      <c r="V96" s="157" t="b">
        <f>INDEX('register map'!P:P,C96)="yes"</f>
        <v>1</v>
      </c>
      <c r="W96" s="157" t="str">
        <f t="shared" si="17"/>
        <v>REGISTER</v>
      </c>
    </row>
    <row r="97" spans="2:23">
      <c r="B97" s="157" t="str">
        <f t="array" ref="B97">IF(ROWS($3:97)&lt;=COUNTA('register map'!$L$5:$L$902),INDEX('register map'!$L$5:$L$902,SMALL(IF('register map'!$L$5:$L$902&lt;&gt;"",ROW('register map'!$L$5:$L$902)-MIN(ROW('register map'!$L$5:$L$902))+1),ROWS($3:97))),"")</f>
        <v>OTP_RSVD_5E_95_0</v>
      </c>
      <c r="C97" s="157">
        <f>IF(B97="PART_NUMBER",IF(COUNTIF($B$1:B96,"PART_NUMBER")=0,6,8),MATCH(B97,'register map'!L:L,0))</f>
        <v>110</v>
      </c>
      <c r="D97" s="117" t="str">
        <f>IF(ISBLANK(INDEX('register map'!C:C,'Logical Group Generator'!C97)),"No","Yes")</f>
        <v>No</v>
      </c>
      <c r="E97" s="117" t="str">
        <f>IF(ISBLANK(INDEX('register map'!A:A,C97)),IF(ISBLANK(INDEX('register map'!A:A,C97-1)),IF(ISBLANK(INDEX('register map'!A:A,C97-2)),IF(ISBLANK(INDEX('register map'!A:A,C97-3)),IF(ISBLANK(INDEX('register map'!A:A,C97-4)),IF(ISBLANK(INDEX('register map'!A:A,C97-5)),IF(ISBLANK(INDEX('register map'!A:A,C97-6)),IF(ISBLANK(INDEX('register map'!A:A,C97-7)),IF(ISBLANK(INDEX('register map'!A:A,C97-8)),"ERROR",INDEX('register map'!A:A,C97-8)),INDEX('register map'!A:A,C97-7)),INDEX('register map'!A:A,C97-6)),INDEX('register map'!A:A,C97-5)),INDEX('register map'!A:A,C97-4)),INDEX('register map'!A:A,C97-3)),INDEX('register map'!A:A,C97-2)),INDEX('register map'!A:A,C97-1)),INDEX('register map'!A:A,C97))</f>
        <v>0x5E</v>
      </c>
      <c r="F97" s="117" t="str">
        <f>IF(ISBLANK(INDEX('register map'!B:B,C97)),IF(ISBLANK(INDEX('register map'!B:B,C97-1)),IF(ISBLANK(INDEX('register map'!B:B,C97-2)),IF(ISBLANK(INDEX('register map'!B:B,C97-3)),IF(ISBLANK(INDEX('register map'!B:B,C97-4)),IF(ISBLANK(INDEX('register map'!B:B,C97-5)),IF(ISBLANK(INDEX('register map'!B:B,C97-6)),IF(ISBLANK(INDEX('register map'!B:B,C97-7)),IF(ISBLANK(INDEX('register map'!B:B,C97-8)),"ERROR",INDEX('register map'!B:B,C97-8)),INDEX('register map'!B:B,C97-7)),INDEX('register map'!B:B,C97-6)),INDEX('register map'!B:B,C97-5)),INDEX('register map'!B:B,C97-4)),INDEX('register map'!B:B,C97-3)),INDEX('register map'!B:B,C97-2)),INDEX('register map'!B:B,C97-1)),INDEX('register map'!B:B,C97))</f>
        <v>0x95</v>
      </c>
      <c r="G97" s="117" t="str">
        <f>CONCATENATE(IF(ISNUMBER(INDEX('register map'!D:D,C97)),7,""),IF(ISNUMBER(INDEX('register map'!E:E,C97)),6,""),IF(ISNUMBER(INDEX('register map'!F:F,C97)),5,""),IF(ISNUMBER(INDEX('register map'!G:G,C97)),4,""),IF(ISNUMBER(INDEX('register map'!H:H,C97)),3,""),IF(ISNUMBER(INDEX('register map'!I:I,C97)),2,""),IF(ISNUMBER(INDEX('register map'!J:J,C97)),1,""),IF(ISNUMBER(INDEX('register map'!K:K,C97)),0,""))</f>
        <v>0</v>
      </c>
      <c r="H97" s="117" t="str">
        <f>RIGHT(INDEX('register map'!V:V,MATCH('Logical Group Generator'!B97,'register map'!L:L,0)),LEN(G97))</f>
        <v>0</v>
      </c>
      <c r="I97" s="117" t="str">
        <f>CONCATENATE(IF(ISNUMBER(INDEX('register map'!K:K,C97)),0,""),IF(ISNUMBER(INDEX('register map'!J:J,C97)),1,""),IF(ISNUMBER(INDEX('register map'!I:I,C97)),2,""),IF(ISNUMBER(INDEX('register map'!H:H,C97)),3,""),IF(ISNUMBER(INDEX('register map'!G:G,C97)),4,""),IF(ISNUMBER(INDEX('register map'!F:F,C97)),5,""),IF(ISNUMBER(INDEX('register map'!E:E,C97)),6,""),IF(ISNUMBER(INDEX('register map'!D:D,C97)),7,""))</f>
        <v>0</v>
      </c>
      <c r="J97" s="117" t="str">
        <f t="shared" si="18"/>
        <v>0</v>
      </c>
      <c r="K97" s="117" t="str">
        <f t="shared" si="11"/>
        <v/>
      </c>
      <c r="L97" s="117" t="str">
        <f t="shared" si="19"/>
        <v/>
      </c>
      <c r="M97" s="117" t="str">
        <f t="shared" si="21"/>
        <v/>
      </c>
      <c r="N97" s="117" t="str">
        <f>IF(ISBLANK(INDEX('register map'!M:M,'Logical Group Generator'!C97)),"No","Yes")</f>
        <v>No</v>
      </c>
      <c r="O97" s="117" t="str">
        <f>IF(NOT(ISBLANK(INDEX('register map'!N:N,'Logical Group Generator'!C97))),"Yes","")</f>
        <v/>
      </c>
      <c r="P97" s="117" t="str">
        <f t="shared" si="12"/>
        <v/>
      </c>
      <c r="Q97" s="117" t="str">
        <f t="shared" si="13"/>
        <v/>
      </c>
      <c r="R97" s="117" t="str">
        <f t="shared" si="14"/>
        <v/>
      </c>
      <c r="S97" s="117" t="str">
        <f t="shared" si="15"/>
        <v>No</v>
      </c>
      <c r="T97" s="117" t="str">
        <f t="shared" si="16"/>
        <v/>
      </c>
      <c r="U97" s="117" t="b">
        <f t="shared" si="20"/>
        <v>0</v>
      </c>
      <c r="V97" s="157" t="b">
        <f>INDEX('register map'!P:P,C97)="yes"</f>
        <v>1</v>
      </c>
      <c r="W97" s="157" t="str">
        <f t="shared" si="17"/>
        <v>FALSE</v>
      </c>
    </row>
    <row r="98" spans="2:23">
      <c r="B98" s="157" t="str">
        <f t="array" ref="B98">IF(ROWS($3:98)&lt;=COUNTA('register map'!$L$5:$L$902),INDEX('register map'!$L$5:$L$902,SMALL(IF('register map'!$L$5:$L$902&lt;&gt;"",ROW('register map'!$L$5:$L$902)-MIN(ROW('register map'!$L$5:$L$902))+1),ROWS($3:98))),"")</f>
        <v>BUCK4_SLP_VID</v>
      </c>
      <c r="C98" s="157">
        <f>IF(B98="PART_NUMBER",IF(COUNTIF($B$1:B97,"PART_NUMBER")=0,6,8),MATCH(B98,'register map'!L:L,0))</f>
        <v>111</v>
      </c>
      <c r="D98" s="117" t="str">
        <f>IF(ISBLANK(INDEX('register map'!C:C,'Logical Group Generator'!C98)),"No","Yes")</f>
        <v>No</v>
      </c>
      <c r="E98" s="117" t="str">
        <f>IF(ISBLANK(INDEX('register map'!A:A,C98)),IF(ISBLANK(INDEX('register map'!A:A,C98-1)),IF(ISBLANK(INDEX('register map'!A:A,C98-2)),IF(ISBLANK(INDEX('register map'!A:A,C98-3)),IF(ISBLANK(INDEX('register map'!A:A,C98-4)),IF(ISBLANK(INDEX('register map'!A:A,C98-5)),IF(ISBLANK(INDEX('register map'!A:A,C98-6)),IF(ISBLANK(INDEX('register map'!A:A,C98-7)),IF(ISBLANK(INDEX('register map'!A:A,C98-8)),"ERROR",INDEX('register map'!A:A,C98-8)),INDEX('register map'!A:A,C98-7)),INDEX('register map'!A:A,C98-6)),INDEX('register map'!A:A,C98-5)),INDEX('register map'!A:A,C98-4)),INDEX('register map'!A:A,C98-3)),INDEX('register map'!A:A,C98-2)),INDEX('register map'!A:A,C98-1)),INDEX('register map'!A:A,C98))</f>
        <v>0x5E</v>
      </c>
      <c r="F98" s="117" t="str">
        <f>IF(ISBLANK(INDEX('register map'!B:B,C98)),IF(ISBLANK(INDEX('register map'!B:B,C98-1)),IF(ISBLANK(INDEX('register map'!B:B,C98-2)),IF(ISBLANK(INDEX('register map'!B:B,C98-3)),IF(ISBLANK(INDEX('register map'!B:B,C98-4)),IF(ISBLANK(INDEX('register map'!B:B,C98-5)),IF(ISBLANK(INDEX('register map'!B:B,C98-6)),IF(ISBLANK(INDEX('register map'!B:B,C98-7)),IF(ISBLANK(INDEX('register map'!B:B,C98-8)),"ERROR",INDEX('register map'!B:B,C98-8)),INDEX('register map'!B:B,C98-7)),INDEX('register map'!B:B,C98-6)),INDEX('register map'!B:B,C98-5)),INDEX('register map'!B:B,C98-4)),INDEX('register map'!B:B,C98-3)),INDEX('register map'!B:B,C98-2)),INDEX('register map'!B:B,C98-1)),INDEX('register map'!B:B,C98))</f>
        <v>0x95</v>
      </c>
      <c r="G98" s="117" t="str">
        <f>CONCATENATE(IF(ISNUMBER(INDEX('register map'!D:D,C98)),7,""),IF(ISNUMBER(INDEX('register map'!E:E,C98)),6,""),IF(ISNUMBER(INDEX('register map'!F:F,C98)),5,""),IF(ISNUMBER(INDEX('register map'!G:G,C98)),4,""),IF(ISNUMBER(INDEX('register map'!H:H,C98)),3,""),IF(ISNUMBER(INDEX('register map'!I:I,C98)),2,""),IF(ISNUMBER(INDEX('register map'!J:J,C98)),1,""),IF(ISNUMBER(INDEX('register map'!K:K,C98)),0,""))</f>
        <v>7654321</v>
      </c>
      <c r="H98" s="117" t="str">
        <f>RIGHT(INDEX('register map'!V:V,MATCH('Logical Group Generator'!B98,'register map'!L:L,0)),LEN(G98))</f>
        <v>1010100</v>
      </c>
      <c r="I98" s="117" t="str">
        <f>CONCATENATE(IF(ISNUMBER(INDEX('register map'!K:K,C98)),0,""),IF(ISNUMBER(INDEX('register map'!J:J,C98)),1,""),IF(ISNUMBER(INDEX('register map'!I:I,C98)),2,""),IF(ISNUMBER(INDEX('register map'!H:H,C98)),3,""),IF(ISNUMBER(INDEX('register map'!G:G,C98)),4,""),IF(ISNUMBER(INDEX('register map'!F:F,C98)),5,""),IF(ISNUMBER(INDEX('register map'!E:E,C98)),6,""),IF(ISNUMBER(INDEX('register map'!D:D,C98)),7,""))</f>
        <v>1234567</v>
      </c>
      <c r="J98" s="117" t="str">
        <f t="shared" si="18"/>
        <v>0010101</v>
      </c>
      <c r="K98" s="117" t="str">
        <f t="shared" si="11"/>
        <v/>
      </c>
      <c r="L98" s="117" t="str">
        <f t="shared" si="19"/>
        <v/>
      </c>
      <c r="M98" s="117" t="str">
        <f t="shared" si="21"/>
        <v/>
      </c>
      <c r="N98" s="117" t="str">
        <f>IF(ISBLANK(INDEX('register map'!M:M,'Logical Group Generator'!C98)),"No","Yes")</f>
        <v>No</v>
      </c>
      <c r="O98" s="117" t="str">
        <f>IF(NOT(ISBLANK(INDEX('register map'!N:N,'Logical Group Generator'!C98))),"Yes","")</f>
        <v/>
      </c>
      <c r="P98" s="117" t="str">
        <f t="shared" si="12"/>
        <v/>
      </c>
      <c r="Q98" s="117" t="str">
        <f t="shared" si="13"/>
        <v/>
      </c>
      <c r="R98" s="117" t="str">
        <f t="shared" si="14"/>
        <v/>
      </c>
      <c r="S98" s="117" t="str">
        <f t="shared" si="15"/>
        <v>No</v>
      </c>
      <c r="T98" s="117" t="str">
        <f t="shared" si="16"/>
        <v/>
      </c>
      <c r="U98" s="117" t="b">
        <f t="shared" si="20"/>
        <v>0</v>
      </c>
      <c r="V98" s="157" t="b">
        <f>INDEX('register map'!P:P,C98)="yes"</f>
        <v>1</v>
      </c>
      <c r="W98" s="157" t="str">
        <f t="shared" si="17"/>
        <v>FALSE</v>
      </c>
    </row>
    <row r="99" spans="2:23">
      <c r="B99" s="157" t="str">
        <f t="array" ref="B99">IF(ROWS($3:99)&lt;=COUNTA('register map'!$L$5:$L$902),INDEX('register map'!$L$5:$L$902,SMALL(IF('register map'!$L$5:$L$902&lt;&gt;"",ROW('register map'!$L$5:$L$902)-MIN(ROW('register map'!$L$5:$L$902))+1),ROWS($3:99))),"")</f>
        <v>BUCK5VID</v>
      </c>
      <c r="C99" s="157">
        <f>IF(B99="PART_NUMBER",IF(COUNTIF($B$1:B98,"PART_NUMBER")=0,6,8),MATCH(B99,'register map'!L:L,0))</f>
        <v>112</v>
      </c>
      <c r="D99" s="117" t="str">
        <f>IF(ISBLANK(INDEX('register map'!C:C,'Logical Group Generator'!C99)),"No","Yes")</f>
        <v>Yes</v>
      </c>
      <c r="E99" s="117" t="str">
        <f>IF(ISBLANK(INDEX('register map'!A:A,C99)),IF(ISBLANK(INDEX('register map'!A:A,C99-1)),IF(ISBLANK(INDEX('register map'!A:A,C99-2)),IF(ISBLANK(INDEX('register map'!A:A,C99-3)),IF(ISBLANK(INDEX('register map'!A:A,C99-4)),IF(ISBLANK(INDEX('register map'!A:A,C99-5)),IF(ISBLANK(INDEX('register map'!A:A,C99-6)),IF(ISBLANK(INDEX('register map'!A:A,C99-7)),IF(ISBLANK(INDEX('register map'!A:A,C99-8)),"ERROR",INDEX('register map'!A:A,C99-8)),INDEX('register map'!A:A,C99-7)),INDEX('register map'!A:A,C99-6)),INDEX('register map'!A:A,C99-5)),INDEX('register map'!A:A,C99-4)),INDEX('register map'!A:A,C99-3)),INDEX('register map'!A:A,C99-2)),INDEX('register map'!A:A,C99-1)),INDEX('register map'!A:A,C99))</f>
        <v>0x5E</v>
      </c>
      <c r="F99" s="117" t="str">
        <f>IF(ISBLANK(INDEX('register map'!B:B,C99)),IF(ISBLANK(INDEX('register map'!B:B,C99-1)),IF(ISBLANK(INDEX('register map'!B:B,C99-2)),IF(ISBLANK(INDEX('register map'!B:B,C99-3)),IF(ISBLANK(INDEX('register map'!B:B,C99-4)),IF(ISBLANK(INDEX('register map'!B:B,C99-5)),IF(ISBLANK(INDEX('register map'!B:B,C99-6)),IF(ISBLANK(INDEX('register map'!B:B,C99-7)),IF(ISBLANK(INDEX('register map'!B:B,C99-8)),"ERROR",INDEX('register map'!B:B,C99-8)),INDEX('register map'!B:B,C99-7)),INDEX('register map'!B:B,C99-6)),INDEX('register map'!B:B,C99-5)),INDEX('register map'!B:B,C99-4)),INDEX('register map'!B:B,C99-3)),INDEX('register map'!B:B,C99-2)),INDEX('register map'!B:B,C99-1)),INDEX('register map'!B:B,C99))</f>
        <v>0x96</v>
      </c>
      <c r="G99" s="117" t="str">
        <f>CONCATENATE(IF(ISNUMBER(INDEX('register map'!D:D,C99)),7,""),IF(ISNUMBER(INDEX('register map'!E:E,C99)),6,""),IF(ISNUMBER(INDEX('register map'!F:F,C99)),5,""),IF(ISNUMBER(INDEX('register map'!G:G,C99)),4,""),IF(ISNUMBER(INDEX('register map'!H:H,C99)),3,""),IF(ISNUMBER(INDEX('register map'!I:I,C99)),2,""),IF(ISNUMBER(INDEX('register map'!J:J,C99)),1,""),IF(ISNUMBER(INDEX('register map'!K:K,C99)),0,""))</f>
        <v/>
      </c>
      <c r="H99" s="117" t="str">
        <f>RIGHT(INDEX('register map'!V:V,MATCH('Logical Group Generator'!B99,'register map'!L:L,0)),LEN(G99))</f>
        <v/>
      </c>
      <c r="I99" s="117" t="str">
        <f>CONCATENATE(IF(ISNUMBER(INDEX('register map'!K:K,C99)),0,""),IF(ISNUMBER(INDEX('register map'!J:J,C99)),1,""),IF(ISNUMBER(INDEX('register map'!I:I,C99)),2,""),IF(ISNUMBER(INDEX('register map'!H:H,C99)),3,""),IF(ISNUMBER(INDEX('register map'!G:G,C99)),4,""),IF(ISNUMBER(INDEX('register map'!F:F,C99)),5,""),IF(ISNUMBER(INDEX('register map'!E:E,C99)),6,""),IF(ISNUMBER(INDEX('register map'!D:D,C99)),7,""))</f>
        <v/>
      </c>
      <c r="J99" s="117" t="str">
        <f t="shared" si="18"/>
        <v/>
      </c>
      <c r="K99" s="117" t="str">
        <f t="shared" si="11"/>
        <v>00000000</v>
      </c>
      <c r="L99" s="117" t="str">
        <f t="shared" si="19"/>
        <v>00000000</v>
      </c>
      <c r="M99" s="117" t="str">
        <f t="shared" si="21"/>
        <v>00</v>
      </c>
      <c r="N99" s="117" t="str">
        <f>IF(ISBLANK(INDEX('register map'!M:M,'Logical Group Generator'!C99)),"No","Yes")</f>
        <v>No</v>
      </c>
      <c r="O99" s="117" t="str">
        <f>IF(NOT(ISBLANK(INDEX('register map'!N:N,'Logical Group Generator'!C99))),"Yes","")</f>
        <v/>
      </c>
      <c r="P99" s="117" t="str">
        <f t="shared" si="12"/>
        <v>No</v>
      </c>
      <c r="Q99" s="117" t="str">
        <f t="shared" si="13"/>
        <v>No</v>
      </c>
      <c r="R99" s="117" t="str">
        <f t="shared" si="14"/>
        <v>No</v>
      </c>
      <c r="S99" s="117" t="str">
        <f t="shared" si="15"/>
        <v/>
      </c>
      <c r="T99" s="117" t="b">
        <f t="shared" si="16"/>
        <v>1</v>
      </c>
      <c r="U99" s="117" t="b">
        <f t="shared" si="20"/>
        <v>1</v>
      </c>
      <c r="V99" s="157" t="b">
        <f>INDEX('register map'!P:P,C99)="yes"</f>
        <v>1</v>
      </c>
      <c r="W99" s="157" t="str">
        <f t="shared" si="17"/>
        <v>REGISTER</v>
      </c>
    </row>
    <row r="100" spans="2:23">
      <c r="B100" s="157" t="str">
        <f t="array" ref="B100">IF(ROWS($3:100)&lt;=COUNTA('register map'!$L$5:$L$902),INDEX('register map'!$L$5:$L$902,SMALL(IF('register map'!$L$5:$L$902&lt;&gt;"",ROW('register map'!$L$5:$L$902)-MIN(ROW('register map'!$L$5:$L$902))+1),ROWS($3:100))),"")</f>
        <v>BUCK5_DECAY</v>
      </c>
      <c r="C100" s="157">
        <f>IF(B100="PART_NUMBER",IF(COUNTIF($B$1:B99,"PART_NUMBER")=0,6,8),MATCH(B100,'register map'!L:L,0))</f>
        <v>113</v>
      </c>
      <c r="D100" s="117" t="str">
        <f>IF(ISBLANK(INDEX('register map'!C:C,'Logical Group Generator'!C100)),"No","Yes")</f>
        <v>No</v>
      </c>
      <c r="E100" s="117" t="str">
        <f>IF(ISBLANK(INDEX('register map'!A:A,C100)),IF(ISBLANK(INDEX('register map'!A:A,C100-1)),IF(ISBLANK(INDEX('register map'!A:A,C100-2)),IF(ISBLANK(INDEX('register map'!A:A,C100-3)),IF(ISBLANK(INDEX('register map'!A:A,C100-4)),IF(ISBLANK(INDEX('register map'!A:A,C100-5)),IF(ISBLANK(INDEX('register map'!A:A,C100-6)),IF(ISBLANK(INDEX('register map'!A:A,C100-7)),IF(ISBLANK(INDEX('register map'!A:A,C100-8)),"ERROR",INDEX('register map'!A:A,C100-8)),INDEX('register map'!A:A,C100-7)),INDEX('register map'!A:A,C100-6)),INDEX('register map'!A:A,C100-5)),INDEX('register map'!A:A,C100-4)),INDEX('register map'!A:A,C100-3)),INDEX('register map'!A:A,C100-2)),INDEX('register map'!A:A,C100-1)),INDEX('register map'!A:A,C100))</f>
        <v>0x5E</v>
      </c>
      <c r="F100" s="117" t="str">
        <f>IF(ISBLANK(INDEX('register map'!B:B,C100)),IF(ISBLANK(INDEX('register map'!B:B,C100-1)),IF(ISBLANK(INDEX('register map'!B:B,C100-2)),IF(ISBLANK(INDEX('register map'!B:B,C100-3)),IF(ISBLANK(INDEX('register map'!B:B,C100-4)),IF(ISBLANK(INDEX('register map'!B:B,C100-5)),IF(ISBLANK(INDEX('register map'!B:B,C100-6)),IF(ISBLANK(INDEX('register map'!B:B,C100-7)),IF(ISBLANK(INDEX('register map'!B:B,C100-8)),"ERROR",INDEX('register map'!B:B,C100-8)),INDEX('register map'!B:B,C100-7)),INDEX('register map'!B:B,C100-6)),INDEX('register map'!B:B,C100-5)),INDEX('register map'!B:B,C100-4)),INDEX('register map'!B:B,C100-3)),INDEX('register map'!B:B,C100-2)),INDEX('register map'!B:B,C100-1)),INDEX('register map'!B:B,C100))</f>
        <v>0x96</v>
      </c>
      <c r="G100" s="117" t="str">
        <f>CONCATENATE(IF(ISNUMBER(INDEX('register map'!D:D,C100)),7,""),IF(ISNUMBER(INDEX('register map'!E:E,C100)),6,""),IF(ISNUMBER(INDEX('register map'!F:F,C100)),5,""),IF(ISNUMBER(INDEX('register map'!G:G,C100)),4,""),IF(ISNUMBER(INDEX('register map'!H:H,C100)),3,""),IF(ISNUMBER(INDEX('register map'!I:I,C100)),2,""),IF(ISNUMBER(INDEX('register map'!J:J,C100)),1,""),IF(ISNUMBER(INDEX('register map'!K:K,C100)),0,""))</f>
        <v>0</v>
      </c>
      <c r="H100" s="117" t="str">
        <f>RIGHT(INDEX('register map'!V:V,MATCH('Logical Group Generator'!B100,'register map'!L:L,0)),LEN(G100))</f>
        <v>0</v>
      </c>
      <c r="I100" s="117" t="str">
        <f>CONCATENATE(IF(ISNUMBER(INDEX('register map'!K:K,C100)),0,""),IF(ISNUMBER(INDEX('register map'!J:J,C100)),1,""),IF(ISNUMBER(INDEX('register map'!I:I,C100)),2,""),IF(ISNUMBER(INDEX('register map'!H:H,C100)),3,""),IF(ISNUMBER(INDEX('register map'!G:G,C100)),4,""),IF(ISNUMBER(INDEX('register map'!F:F,C100)),5,""),IF(ISNUMBER(INDEX('register map'!E:E,C100)),6,""),IF(ISNUMBER(INDEX('register map'!D:D,C100)),7,""))</f>
        <v>0</v>
      </c>
      <c r="J100" s="117" t="str">
        <f t="shared" si="18"/>
        <v>0</v>
      </c>
      <c r="K100" s="117" t="str">
        <f t="shared" si="11"/>
        <v/>
      </c>
      <c r="L100" s="117" t="str">
        <f t="shared" si="19"/>
        <v/>
      </c>
      <c r="M100" s="117" t="str">
        <f t="shared" si="21"/>
        <v/>
      </c>
      <c r="N100" s="117" t="str">
        <f>IF(ISBLANK(INDEX('register map'!M:M,'Logical Group Generator'!C100)),"No","Yes")</f>
        <v>No</v>
      </c>
      <c r="O100" s="117" t="str">
        <f>IF(NOT(ISBLANK(INDEX('register map'!N:N,'Logical Group Generator'!C100))),"Yes","")</f>
        <v/>
      </c>
      <c r="P100" s="117" t="str">
        <f t="shared" si="12"/>
        <v/>
      </c>
      <c r="Q100" s="117" t="str">
        <f t="shared" si="13"/>
        <v/>
      </c>
      <c r="R100" s="117" t="str">
        <f t="shared" si="14"/>
        <v/>
      </c>
      <c r="S100" s="117" t="str">
        <f t="shared" si="15"/>
        <v>No</v>
      </c>
      <c r="T100" s="117" t="str">
        <f t="shared" si="16"/>
        <v/>
      </c>
      <c r="U100" s="117" t="b">
        <f t="shared" si="20"/>
        <v>0</v>
      </c>
      <c r="V100" s="157" t="b">
        <f>INDEX('register map'!P:P,C100)="yes"</f>
        <v>1</v>
      </c>
      <c r="W100" s="157" t="str">
        <f t="shared" si="17"/>
        <v>FALSE</v>
      </c>
    </row>
    <row r="101" spans="2:23">
      <c r="B101" s="157" t="str">
        <f t="array" ref="B101">IF(ROWS($3:101)&lt;=COUNTA('register map'!$L$5:$L$902),INDEX('register map'!$L$5:$L$902,SMALL(IF('register map'!$L$5:$L$902&lt;&gt;"",ROW('register map'!$L$5:$L$902)-MIN(ROW('register map'!$L$5:$L$902))+1),ROWS($3:101))),"")</f>
        <v>BUCK5_VID</v>
      </c>
      <c r="C101" s="157">
        <f>IF(B101="PART_NUMBER",IF(COUNTIF($B$1:B100,"PART_NUMBER")=0,6,8),MATCH(B101,'register map'!L:L,0))</f>
        <v>114</v>
      </c>
      <c r="D101" s="117" t="str">
        <f>IF(ISBLANK(INDEX('register map'!C:C,'Logical Group Generator'!C101)),"No","Yes")</f>
        <v>No</v>
      </c>
      <c r="E101" s="117" t="str">
        <f>IF(ISBLANK(INDEX('register map'!A:A,C101)),IF(ISBLANK(INDEX('register map'!A:A,C101-1)),IF(ISBLANK(INDEX('register map'!A:A,C101-2)),IF(ISBLANK(INDEX('register map'!A:A,C101-3)),IF(ISBLANK(INDEX('register map'!A:A,C101-4)),IF(ISBLANK(INDEX('register map'!A:A,C101-5)),IF(ISBLANK(INDEX('register map'!A:A,C101-6)),IF(ISBLANK(INDEX('register map'!A:A,C101-7)),IF(ISBLANK(INDEX('register map'!A:A,C101-8)),"ERROR",INDEX('register map'!A:A,C101-8)),INDEX('register map'!A:A,C101-7)),INDEX('register map'!A:A,C101-6)),INDEX('register map'!A:A,C101-5)),INDEX('register map'!A:A,C101-4)),INDEX('register map'!A:A,C101-3)),INDEX('register map'!A:A,C101-2)),INDEX('register map'!A:A,C101-1)),INDEX('register map'!A:A,C101))</f>
        <v>0x5E</v>
      </c>
      <c r="F101" s="117" t="str">
        <f>IF(ISBLANK(INDEX('register map'!B:B,C101)),IF(ISBLANK(INDEX('register map'!B:B,C101-1)),IF(ISBLANK(INDEX('register map'!B:B,C101-2)),IF(ISBLANK(INDEX('register map'!B:B,C101-3)),IF(ISBLANK(INDEX('register map'!B:B,C101-4)),IF(ISBLANK(INDEX('register map'!B:B,C101-5)),IF(ISBLANK(INDEX('register map'!B:B,C101-6)),IF(ISBLANK(INDEX('register map'!B:B,C101-7)),IF(ISBLANK(INDEX('register map'!B:B,C101-8)),"ERROR",INDEX('register map'!B:B,C101-8)),INDEX('register map'!B:B,C101-7)),INDEX('register map'!B:B,C101-6)),INDEX('register map'!B:B,C101-5)),INDEX('register map'!B:B,C101-4)),INDEX('register map'!B:B,C101-3)),INDEX('register map'!B:B,C101-2)),INDEX('register map'!B:B,C101-1)),INDEX('register map'!B:B,C101))</f>
        <v>0x96</v>
      </c>
      <c r="G101" s="117" t="str">
        <f>CONCATENATE(IF(ISNUMBER(INDEX('register map'!D:D,C101)),7,""),IF(ISNUMBER(INDEX('register map'!E:E,C101)),6,""),IF(ISNUMBER(INDEX('register map'!F:F,C101)),5,""),IF(ISNUMBER(INDEX('register map'!G:G,C101)),4,""),IF(ISNUMBER(INDEX('register map'!H:H,C101)),3,""),IF(ISNUMBER(INDEX('register map'!I:I,C101)),2,""),IF(ISNUMBER(INDEX('register map'!J:J,C101)),1,""),IF(ISNUMBER(INDEX('register map'!K:K,C101)),0,""))</f>
        <v>7654321</v>
      </c>
      <c r="H101" s="117" t="str">
        <f>RIGHT(INDEX('register map'!V:V,MATCH('Logical Group Generator'!B101,'register map'!L:L,0)),LEN(G101))</f>
        <v>0000000</v>
      </c>
      <c r="I101" s="117" t="str">
        <f>CONCATENATE(IF(ISNUMBER(INDEX('register map'!K:K,C101)),0,""),IF(ISNUMBER(INDEX('register map'!J:J,C101)),1,""),IF(ISNUMBER(INDEX('register map'!I:I,C101)),2,""),IF(ISNUMBER(INDEX('register map'!H:H,C101)),3,""),IF(ISNUMBER(INDEX('register map'!G:G,C101)),4,""),IF(ISNUMBER(INDEX('register map'!F:F,C101)),5,""),IF(ISNUMBER(INDEX('register map'!E:E,C101)),6,""),IF(ISNUMBER(INDEX('register map'!D:D,C101)),7,""))</f>
        <v>1234567</v>
      </c>
      <c r="J101" s="117" t="str">
        <f t="shared" si="18"/>
        <v>0000000</v>
      </c>
      <c r="K101" s="117" t="str">
        <f t="shared" si="11"/>
        <v/>
      </c>
      <c r="L101" s="117" t="str">
        <f t="shared" si="19"/>
        <v/>
      </c>
      <c r="M101" s="117" t="str">
        <f t="shared" si="21"/>
        <v/>
      </c>
      <c r="N101" s="117" t="str">
        <f>IF(ISBLANK(INDEX('register map'!M:M,'Logical Group Generator'!C101)),"No","Yes")</f>
        <v>No</v>
      </c>
      <c r="O101" s="117" t="str">
        <f>IF(NOT(ISBLANK(INDEX('register map'!N:N,'Logical Group Generator'!C101))),"Yes","")</f>
        <v/>
      </c>
      <c r="P101" s="117" t="str">
        <f t="shared" si="12"/>
        <v/>
      </c>
      <c r="Q101" s="117" t="str">
        <f t="shared" si="13"/>
        <v/>
      </c>
      <c r="R101" s="117" t="str">
        <f t="shared" si="14"/>
        <v/>
      </c>
      <c r="S101" s="117" t="str">
        <f t="shared" si="15"/>
        <v>No</v>
      </c>
      <c r="T101" s="117" t="str">
        <f t="shared" si="16"/>
        <v/>
      </c>
      <c r="U101" s="117" t="b">
        <f t="shared" si="20"/>
        <v>0</v>
      </c>
      <c r="V101" s="157" t="b">
        <f>INDEX('register map'!P:P,C101)="yes"</f>
        <v>1</v>
      </c>
      <c r="W101" s="157" t="str">
        <f t="shared" si="17"/>
        <v>FALSE</v>
      </c>
    </row>
    <row r="102" spans="2:23">
      <c r="B102" s="157" t="str">
        <f t="array" ref="B102">IF(ROWS($3:102)&lt;=COUNTA('register map'!$L$5:$L$902),INDEX('register map'!$L$5:$L$902,SMALL(IF('register map'!$L$5:$L$902&lt;&gt;"",ROW('register map'!$L$5:$L$902)-MIN(ROW('register map'!$L$5:$L$902))+1),ROWS($3:102))),"")</f>
        <v>BUCK5SLPVID</v>
      </c>
      <c r="C102" s="157">
        <f>IF(B102="PART_NUMBER",IF(COUNTIF($B$1:B101,"PART_NUMBER")=0,6,8),MATCH(B102,'register map'!L:L,0))</f>
        <v>115</v>
      </c>
      <c r="D102" s="117" t="str">
        <f>IF(ISBLANK(INDEX('register map'!C:C,'Logical Group Generator'!C102)),"No","Yes")</f>
        <v>Yes</v>
      </c>
      <c r="E102" s="117" t="str">
        <f>IF(ISBLANK(INDEX('register map'!A:A,C102)),IF(ISBLANK(INDEX('register map'!A:A,C102-1)),IF(ISBLANK(INDEX('register map'!A:A,C102-2)),IF(ISBLANK(INDEX('register map'!A:A,C102-3)),IF(ISBLANK(INDEX('register map'!A:A,C102-4)),IF(ISBLANK(INDEX('register map'!A:A,C102-5)),IF(ISBLANK(INDEX('register map'!A:A,C102-6)),IF(ISBLANK(INDEX('register map'!A:A,C102-7)),IF(ISBLANK(INDEX('register map'!A:A,C102-8)),"ERROR",INDEX('register map'!A:A,C102-8)),INDEX('register map'!A:A,C102-7)),INDEX('register map'!A:A,C102-6)),INDEX('register map'!A:A,C102-5)),INDEX('register map'!A:A,C102-4)),INDEX('register map'!A:A,C102-3)),INDEX('register map'!A:A,C102-2)),INDEX('register map'!A:A,C102-1)),INDEX('register map'!A:A,C102))</f>
        <v>0x5E</v>
      </c>
      <c r="F102" s="117" t="str">
        <f>IF(ISBLANK(INDEX('register map'!B:B,C102)),IF(ISBLANK(INDEX('register map'!B:B,C102-1)),IF(ISBLANK(INDEX('register map'!B:B,C102-2)),IF(ISBLANK(INDEX('register map'!B:B,C102-3)),IF(ISBLANK(INDEX('register map'!B:B,C102-4)),IF(ISBLANK(INDEX('register map'!B:B,C102-5)),IF(ISBLANK(INDEX('register map'!B:B,C102-6)),IF(ISBLANK(INDEX('register map'!B:B,C102-7)),IF(ISBLANK(INDEX('register map'!B:B,C102-8)),"ERROR",INDEX('register map'!B:B,C102-8)),INDEX('register map'!B:B,C102-7)),INDEX('register map'!B:B,C102-6)),INDEX('register map'!B:B,C102-5)),INDEX('register map'!B:B,C102-4)),INDEX('register map'!B:B,C102-3)),INDEX('register map'!B:B,C102-2)),INDEX('register map'!B:B,C102-1)),INDEX('register map'!B:B,C102))</f>
        <v>0x97</v>
      </c>
      <c r="G102" s="117" t="str">
        <f>CONCATENATE(IF(ISNUMBER(INDEX('register map'!D:D,C102)),7,""),IF(ISNUMBER(INDEX('register map'!E:E,C102)),6,""),IF(ISNUMBER(INDEX('register map'!F:F,C102)),5,""),IF(ISNUMBER(INDEX('register map'!G:G,C102)),4,""),IF(ISNUMBER(INDEX('register map'!H:H,C102)),3,""),IF(ISNUMBER(INDEX('register map'!I:I,C102)),2,""),IF(ISNUMBER(INDEX('register map'!J:J,C102)),1,""),IF(ISNUMBER(INDEX('register map'!K:K,C102)),0,""))</f>
        <v/>
      </c>
      <c r="H102" s="117" t="str">
        <f>RIGHT(INDEX('register map'!V:V,MATCH('Logical Group Generator'!B102,'register map'!L:L,0)),LEN(G102))</f>
        <v/>
      </c>
      <c r="I102" s="117" t="str">
        <f>CONCATENATE(IF(ISNUMBER(INDEX('register map'!K:K,C102)),0,""),IF(ISNUMBER(INDEX('register map'!J:J,C102)),1,""),IF(ISNUMBER(INDEX('register map'!I:I,C102)),2,""),IF(ISNUMBER(INDEX('register map'!H:H,C102)),3,""),IF(ISNUMBER(INDEX('register map'!G:G,C102)),4,""),IF(ISNUMBER(INDEX('register map'!F:F,C102)),5,""),IF(ISNUMBER(INDEX('register map'!E:E,C102)),6,""),IF(ISNUMBER(INDEX('register map'!D:D,C102)),7,""))</f>
        <v/>
      </c>
      <c r="J102" s="117" t="str">
        <f t="shared" si="18"/>
        <v/>
      </c>
      <c r="K102" s="117" t="str">
        <f t="shared" si="11"/>
        <v>00000000</v>
      </c>
      <c r="L102" s="117" t="str">
        <f t="shared" si="19"/>
        <v>00000000</v>
      </c>
      <c r="M102" s="117" t="str">
        <f t="shared" si="21"/>
        <v>00</v>
      </c>
      <c r="N102" s="117" t="str">
        <f>IF(ISBLANK(INDEX('register map'!M:M,'Logical Group Generator'!C102)),"No","Yes")</f>
        <v>No</v>
      </c>
      <c r="O102" s="117" t="str">
        <f>IF(NOT(ISBLANK(INDEX('register map'!N:N,'Logical Group Generator'!C102))),"Yes","")</f>
        <v/>
      </c>
      <c r="P102" s="117" t="str">
        <f t="shared" si="12"/>
        <v>No</v>
      </c>
      <c r="Q102" s="117" t="str">
        <f t="shared" si="13"/>
        <v>No</v>
      </c>
      <c r="R102" s="117" t="str">
        <f t="shared" si="14"/>
        <v>No</v>
      </c>
      <c r="S102" s="117" t="str">
        <f t="shared" si="15"/>
        <v/>
      </c>
      <c r="T102" s="117" t="b">
        <f t="shared" si="16"/>
        <v>1</v>
      </c>
      <c r="U102" s="117" t="b">
        <f t="shared" si="20"/>
        <v>1</v>
      </c>
      <c r="V102" s="157" t="b">
        <f>INDEX('register map'!P:P,C102)="yes"</f>
        <v>1</v>
      </c>
      <c r="W102" s="157" t="str">
        <f t="shared" si="17"/>
        <v>REGISTER</v>
      </c>
    </row>
    <row r="103" spans="2:23">
      <c r="B103" s="157" t="str">
        <f t="array" ref="B103">IF(ROWS($3:103)&lt;=COUNTA('register map'!$L$5:$L$902),INDEX('register map'!$L$5:$L$902,SMALL(IF('register map'!$L$5:$L$902&lt;&gt;"",ROW('register map'!$L$5:$L$902)-MIN(ROW('register map'!$L$5:$L$902))+1),ROWS($3:103))),"")</f>
        <v>OTP_RSVD_5E_97_0</v>
      </c>
      <c r="C103" s="157">
        <f>IF(B103="PART_NUMBER",IF(COUNTIF($B$1:B102,"PART_NUMBER")=0,6,8),MATCH(B103,'register map'!L:L,0))</f>
        <v>116</v>
      </c>
      <c r="D103" s="117" t="str">
        <f>IF(ISBLANK(INDEX('register map'!C:C,'Logical Group Generator'!C103)),"No","Yes")</f>
        <v>No</v>
      </c>
      <c r="E103" s="117" t="str">
        <f>IF(ISBLANK(INDEX('register map'!A:A,C103)),IF(ISBLANK(INDEX('register map'!A:A,C103-1)),IF(ISBLANK(INDEX('register map'!A:A,C103-2)),IF(ISBLANK(INDEX('register map'!A:A,C103-3)),IF(ISBLANK(INDEX('register map'!A:A,C103-4)),IF(ISBLANK(INDEX('register map'!A:A,C103-5)),IF(ISBLANK(INDEX('register map'!A:A,C103-6)),IF(ISBLANK(INDEX('register map'!A:A,C103-7)),IF(ISBLANK(INDEX('register map'!A:A,C103-8)),"ERROR",INDEX('register map'!A:A,C103-8)),INDEX('register map'!A:A,C103-7)),INDEX('register map'!A:A,C103-6)),INDEX('register map'!A:A,C103-5)),INDEX('register map'!A:A,C103-4)),INDEX('register map'!A:A,C103-3)),INDEX('register map'!A:A,C103-2)),INDEX('register map'!A:A,C103-1)),INDEX('register map'!A:A,C103))</f>
        <v>0x5E</v>
      </c>
      <c r="F103" s="117" t="str">
        <f>IF(ISBLANK(INDEX('register map'!B:B,C103)),IF(ISBLANK(INDEX('register map'!B:B,C103-1)),IF(ISBLANK(INDEX('register map'!B:B,C103-2)),IF(ISBLANK(INDEX('register map'!B:B,C103-3)),IF(ISBLANK(INDEX('register map'!B:B,C103-4)),IF(ISBLANK(INDEX('register map'!B:B,C103-5)),IF(ISBLANK(INDEX('register map'!B:B,C103-6)),IF(ISBLANK(INDEX('register map'!B:B,C103-7)),IF(ISBLANK(INDEX('register map'!B:B,C103-8)),"ERROR",INDEX('register map'!B:B,C103-8)),INDEX('register map'!B:B,C103-7)),INDEX('register map'!B:B,C103-6)),INDEX('register map'!B:B,C103-5)),INDEX('register map'!B:B,C103-4)),INDEX('register map'!B:B,C103-3)),INDEX('register map'!B:B,C103-2)),INDEX('register map'!B:B,C103-1)),INDEX('register map'!B:B,C103))</f>
        <v>0x97</v>
      </c>
      <c r="G103" s="117" t="str">
        <f>CONCATENATE(IF(ISNUMBER(INDEX('register map'!D:D,C103)),7,""),IF(ISNUMBER(INDEX('register map'!E:E,C103)),6,""),IF(ISNUMBER(INDEX('register map'!F:F,C103)),5,""),IF(ISNUMBER(INDEX('register map'!G:G,C103)),4,""),IF(ISNUMBER(INDEX('register map'!H:H,C103)),3,""),IF(ISNUMBER(INDEX('register map'!I:I,C103)),2,""),IF(ISNUMBER(INDEX('register map'!J:J,C103)),1,""),IF(ISNUMBER(INDEX('register map'!K:K,C103)),0,""))</f>
        <v>0</v>
      </c>
      <c r="H103" s="117" t="str">
        <f>RIGHT(INDEX('register map'!V:V,MATCH('Logical Group Generator'!B103,'register map'!L:L,0)),LEN(G103))</f>
        <v>0</v>
      </c>
      <c r="I103" s="117" t="str">
        <f>CONCATENATE(IF(ISNUMBER(INDEX('register map'!K:K,C103)),0,""),IF(ISNUMBER(INDEX('register map'!J:J,C103)),1,""),IF(ISNUMBER(INDEX('register map'!I:I,C103)),2,""),IF(ISNUMBER(INDEX('register map'!H:H,C103)),3,""),IF(ISNUMBER(INDEX('register map'!G:G,C103)),4,""),IF(ISNUMBER(INDEX('register map'!F:F,C103)),5,""),IF(ISNUMBER(INDEX('register map'!E:E,C103)),6,""),IF(ISNUMBER(INDEX('register map'!D:D,C103)),7,""))</f>
        <v>0</v>
      </c>
      <c r="J103" s="117" t="str">
        <f t="shared" si="18"/>
        <v>0</v>
      </c>
      <c r="K103" s="117" t="str">
        <f t="shared" si="11"/>
        <v/>
      </c>
      <c r="L103" s="117" t="str">
        <f t="shared" si="19"/>
        <v/>
      </c>
      <c r="M103" s="117" t="str">
        <f t="shared" si="21"/>
        <v/>
      </c>
      <c r="N103" s="117" t="str">
        <f>IF(ISBLANK(INDEX('register map'!M:M,'Logical Group Generator'!C103)),"No","Yes")</f>
        <v>No</v>
      </c>
      <c r="O103" s="117" t="str">
        <f>IF(NOT(ISBLANK(INDEX('register map'!N:N,'Logical Group Generator'!C103))),"Yes","")</f>
        <v/>
      </c>
      <c r="P103" s="117" t="str">
        <f t="shared" si="12"/>
        <v/>
      </c>
      <c r="Q103" s="117" t="str">
        <f t="shared" si="13"/>
        <v/>
      </c>
      <c r="R103" s="117" t="str">
        <f t="shared" si="14"/>
        <v/>
      </c>
      <c r="S103" s="117" t="str">
        <f t="shared" si="15"/>
        <v>No</v>
      </c>
      <c r="T103" s="117" t="str">
        <f t="shared" si="16"/>
        <v/>
      </c>
      <c r="U103" s="117" t="b">
        <f t="shared" si="20"/>
        <v>0</v>
      </c>
      <c r="V103" s="157" t="b">
        <f>INDEX('register map'!P:P,C103)="yes"</f>
        <v>1</v>
      </c>
      <c r="W103" s="157" t="str">
        <f t="shared" si="17"/>
        <v>FALSE</v>
      </c>
    </row>
    <row r="104" spans="2:23">
      <c r="B104" s="157" t="str">
        <f t="array" ref="B104">IF(ROWS($3:104)&lt;=COUNTA('register map'!$L$5:$L$902),INDEX('register map'!$L$5:$L$902,SMALL(IF('register map'!$L$5:$L$902&lt;&gt;"",ROW('register map'!$L$5:$L$902)-MIN(ROW('register map'!$L$5:$L$902))+1),ROWS($3:104))),"")</f>
        <v>BUCK5_SLP_VID</v>
      </c>
      <c r="C104" s="157">
        <f>IF(B104="PART_NUMBER",IF(COUNTIF($B$1:B103,"PART_NUMBER")=0,6,8),MATCH(B104,'register map'!L:L,0))</f>
        <v>117</v>
      </c>
      <c r="D104" s="117" t="str">
        <f>IF(ISBLANK(INDEX('register map'!C:C,'Logical Group Generator'!C104)),"No","Yes")</f>
        <v>No</v>
      </c>
      <c r="E104" s="117" t="str">
        <f>IF(ISBLANK(INDEX('register map'!A:A,C104)),IF(ISBLANK(INDEX('register map'!A:A,C104-1)),IF(ISBLANK(INDEX('register map'!A:A,C104-2)),IF(ISBLANK(INDEX('register map'!A:A,C104-3)),IF(ISBLANK(INDEX('register map'!A:A,C104-4)),IF(ISBLANK(INDEX('register map'!A:A,C104-5)),IF(ISBLANK(INDEX('register map'!A:A,C104-6)),IF(ISBLANK(INDEX('register map'!A:A,C104-7)),IF(ISBLANK(INDEX('register map'!A:A,C104-8)),"ERROR",INDEX('register map'!A:A,C104-8)),INDEX('register map'!A:A,C104-7)),INDEX('register map'!A:A,C104-6)),INDEX('register map'!A:A,C104-5)),INDEX('register map'!A:A,C104-4)),INDEX('register map'!A:A,C104-3)),INDEX('register map'!A:A,C104-2)),INDEX('register map'!A:A,C104-1)),INDEX('register map'!A:A,C104))</f>
        <v>0x5E</v>
      </c>
      <c r="F104" s="117" t="str">
        <f>IF(ISBLANK(INDEX('register map'!B:B,C104)),IF(ISBLANK(INDEX('register map'!B:B,C104-1)),IF(ISBLANK(INDEX('register map'!B:B,C104-2)),IF(ISBLANK(INDEX('register map'!B:B,C104-3)),IF(ISBLANK(INDEX('register map'!B:B,C104-4)),IF(ISBLANK(INDEX('register map'!B:B,C104-5)),IF(ISBLANK(INDEX('register map'!B:B,C104-6)),IF(ISBLANK(INDEX('register map'!B:B,C104-7)),IF(ISBLANK(INDEX('register map'!B:B,C104-8)),"ERROR",INDEX('register map'!B:B,C104-8)),INDEX('register map'!B:B,C104-7)),INDEX('register map'!B:B,C104-6)),INDEX('register map'!B:B,C104-5)),INDEX('register map'!B:B,C104-4)),INDEX('register map'!B:B,C104-3)),INDEX('register map'!B:B,C104-2)),INDEX('register map'!B:B,C104-1)),INDEX('register map'!B:B,C104))</f>
        <v>0x97</v>
      </c>
      <c r="G104" s="117" t="str">
        <f>CONCATENATE(IF(ISNUMBER(INDEX('register map'!D:D,C104)),7,""),IF(ISNUMBER(INDEX('register map'!E:E,C104)),6,""),IF(ISNUMBER(INDEX('register map'!F:F,C104)),5,""),IF(ISNUMBER(INDEX('register map'!G:G,C104)),4,""),IF(ISNUMBER(INDEX('register map'!H:H,C104)),3,""),IF(ISNUMBER(INDEX('register map'!I:I,C104)),2,""),IF(ISNUMBER(INDEX('register map'!J:J,C104)),1,""),IF(ISNUMBER(INDEX('register map'!K:K,C104)),0,""))</f>
        <v>7654321</v>
      </c>
      <c r="H104" s="117" t="str">
        <f>RIGHT(INDEX('register map'!V:V,MATCH('Logical Group Generator'!B104,'register map'!L:L,0)),LEN(G104))</f>
        <v>0000000</v>
      </c>
      <c r="I104" s="117" t="str">
        <f>CONCATENATE(IF(ISNUMBER(INDEX('register map'!K:K,C104)),0,""),IF(ISNUMBER(INDEX('register map'!J:J,C104)),1,""),IF(ISNUMBER(INDEX('register map'!I:I,C104)),2,""),IF(ISNUMBER(INDEX('register map'!H:H,C104)),3,""),IF(ISNUMBER(INDEX('register map'!G:G,C104)),4,""),IF(ISNUMBER(INDEX('register map'!F:F,C104)),5,""),IF(ISNUMBER(INDEX('register map'!E:E,C104)),6,""),IF(ISNUMBER(INDEX('register map'!D:D,C104)),7,""))</f>
        <v>1234567</v>
      </c>
      <c r="J104" s="117" t="str">
        <f t="shared" si="18"/>
        <v>0000000</v>
      </c>
      <c r="K104" s="117" t="str">
        <f t="shared" si="11"/>
        <v/>
      </c>
      <c r="L104" s="117" t="str">
        <f t="shared" si="19"/>
        <v/>
      </c>
      <c r="M104" s="117" t="str">
        <f t="shared" si="21"/>
        <v/>
      </c>
      <c r="N104" s="117" t="str">
        <f>IF(ISBLANK(INDEX('register map'!M:M,'Logical Group Generator'!C104)),"No","Yes")</f>
        <v>No</v>
      </c>
      <c r="O104" s="117" t="str">
        <f>IF(NOT(ISBLANK(INDEX('register map'!N:N,'Logical Group Generator'!C104))),"Yes","")</f>
        <v/>
      </c>
      <c r="P104" s="117" t="str">
        <f t="shared" si="12"/>
        <v/>
      </c>
      <c r="Q104" s="117" t="str">
        <f t="shared" si="13"/>
        <v/>
      </c>
      <c r="R104" s="117" t="str">
        <f t="shared" si="14"/>
        <v/>
      </c>
      <c r="S104" s="117" t="str">
        <f t="shared" si="15"/>
        <v>No</v>
      </c>
      <c r="T104" s="117" t="str">
        <f t="shared" si="16"/>
        <v/>
      </c>
      <c r="U104" s="117" t="b">
        <f t="shared" si="20"/>
        <v>0</v>
      </c>
      <c r="V104" s="157" t="b">
        <f>INDEX('register map'!P:P,C104)="yes"</f>
        <v>1</v>
      </c>
      <c r="W104" s="157" t="str">
        <f t="shared" si="17"/>
        <v>FALSE</v>
      </c>
    </row>
    <row r="105" spans="2:23">
      <c r="B105" s="157" t="str">
        <f t="array" ref="B105">IF(ROWS($3:105)&lt;=COUNTA('register map'!$L$5:$L$902),INDEX('register map'!$L$5:$L$902,SMALL(IF('register map'!$L$5:$L$902&lt;&gt;"",ROW('register map'!$L$5:$L$902)-MIN(ROW('register map'!$L$5:$L$902))+1),ROWS($3:105))),"")</f>
        <v>BUCK6VID</v>
      </c>
      <c r="C105" s="157">
        <f>IF(B105="PART_NUMBER",IF(COUNTIF($B$1:B104,"PART_NUMBER")=0,6,8),MATCH(B105,'register map'!L:L,0))</f>
        <v>118</v>
      </c>
      <c r="D105" s="117" t="str">
        <f>IF(ISBLANK(INDEX('register map'!C:C,'Logical Group Generator'!C105)),"No","Yes")</f>
        <v>Yes</v>
      </c>
      <c r="E105" s="117" t="str">
        <f>IF(ISBLANK(INDEX('register map'!A:A,C105)),IF(ISBLANK(INDEX('register map'!A:A,C105-1)),IF(ISBLANK(INDEX('register map'!A:A,C105-2)),IF(ISBLANK(INDEX('register map'!A:A,C105-3)),IF(ISBLANK(INDEX('register map'!A:A,C105-4)),IF(ISBLANK(INDEX('register map'!A:A,C105-5)),IF(ISBLANK(INDEX('register map'!A:A,C105-6)),IF(ISBLANK(INDEX('register map'!A:A,C105-7)),IF(ISBLANK(INDEX('register map'!A:A,C105-8)),"ERROR",INDEX('register map'!A:A,C105-8)),INDEX('register map'!A:A,C105-7)),INDEX('register map'!A:A,C105-6)),INDEX('register map'!A:A,C105-5)),INDEX('register map'!A:A,C105-4)),INDEX('register map'!A:A,C105-3)),INDEX('register map'!A:A,C105-2)),INDEX('register map'!A:A,C105-1)),INDEX('register map'!A:A,C105))</f>
        <v>0x5E</v>
      </c>
      <c r="F105" s="117" t="str">
        <f>IF(ISBLANK(INDEX('register map'!B:B,C105)),IF(ISBLANK(INDEX('register map'!B:B,C105-1)),IF(ISBLANK(INDEX('register map'!B:B,C105-2)),IF(ISBLANK(INDEX('register map'!B:B,C105-3)),IF(ISBLANK(INDEX('register map'!B:B,C105-4)),IF(ISBLANK(INDEX('register map'!B:B,C105-5)),IF(ISBLANK(INDEX('register map'!B:B,C105-6)),IF(ISBLANK(INDEX('register map'!B:B,C105-7)),IF(ISBLANK(INDEX('register map'!B:B,C105-8)),"ERROR",INDEX('register map'!B:B,C105-8)),INDEX('register map'!B:B,C105-7)),INDEX('register map'!B:B,C105-6)),INDEX('register map'!B:B,C105-5)),INDEX('register map'!B:B,C105-4)),INDEX('register map'!B:B,C105-3)),INDEX('register map'!B:B,C105-2)),INDEX('register map'!B:B,C105-1)),INDEX('register map'!B:B,C105))</f>
        <v>0x98</v>
      </c>
      <c r="G105" s="117" t="str">
        <f>CONCATENATE(IF(ISNUMBER(INDEX('register map'!D:D,C105)),7,""),IF(ISNUMBER(INDEX('register map'!E:E,C105)),6,""),IF(ISNUMBER(INDEX('register map'!F:F,C105)),5,""),IF(ISNUMBER(INDEX('register map'!G:G,C105)),4,""),IF(ISNUMBER(INDEX('register map'!H:H,C105)),3,""),IF(ISNUMBER(INDEX('register map'!I:I,C105)),2,""),IF(ISNUMBER(INDEX('register map'!J:J,C105)),1,""),IF(ISNUMBER(INDEX('register map'!K:K,C105)),0,""))</f>
        <v/>
      </c>
      <c r="H105" s="117" t="str">
        <f>RIGHT(INDEX('register map'!V:V,MATCH('Logical Group Generator'!B105,'register map'!L:L,0)),LEN(G105))</f>
        <v/>
      </c>
      <c r="I105" s="117" t="str">
        <f>CONCATENATE(IF(ISNUMBER(INDEX('register map'!K:K,C105)),0,""),IF(ISNUMBER(INDEX('register map'!J:J,C105)),1,""),IF(ISNUMBER(INDEX('register map'!I:I,C105)),2,""),IF(ISNUMBER(INDEX('register map'!H:H,C105)),3,""),IF(ISNUMBER(INDEX('register map'!G:G,C105)),4,""),IF(ISNUMBER(INDEX('register map'!F:F,C105)),5,""),IF(ISNUMBER(INDEX('register map'!E:E,C105)),6,""),IF(ISNUMBER(INDEX('register map'!D:D,C105)),7,""))</f>
        <v/>
      </c>
      <c r="J105" s="117" t="str">
        <f t="shared" si="18"/>
        <v/>
      </c>
      <c r="K105" s="117" t="str">
        <f t="shared" si="11"/>
        <v>00000101</v>
      </c>
      <c r="L105" s="117" t="str">
        <f t="shared" si="19"/>
        <v>10100000</v>
      </c>
      <c r="M105" s="117" t="str">
        <f t="shared" si="21"/>
        <v>A0</v>
      </c>
      <c r="N105" s="117" t="str">
        <f>IF(ISBLANK(INDEX('register map'!M:M,'Logical Group Generator'!C105)),"No","Yes")</f>
        <v>No</v>
      </c>
      <c r="O105" s="117" t="str">
        <f>IF(NOT(ISBLANK(INDEX('register map'!N:N,'Logical Group Generator'!C105))),"Yes","")</f>
        <v/>
      </c>
      <c r="P105" s="117" t="str">
        <f t="shared" si="12"/>
        <v>No</v>
      </c>
      <c r="Q105" s="117" t="str">
        <f t="shared" si="13"/>
        <v>No</v>
      </c>
      <c r="R105" s="117" t="str">
        <f t="shared" si="14"/>
        <v>No</v>
      </c>
      <c r="S105" s="117" t="str">
        <f t="shared" si="15"/>
        <v/>
      </c>
      <c r="T105" s="117" t="b">
        <f t="shared" si="16"/>
        <v>1</v>
      </c>
      <c r="U105" s="117" t="b">
        <f t="shared" si="20"/>
        <v>1</v>
      </c>
      <c r="V105" s="157" t="b">
        <f>INDEX('register map'!P:P,C105)="yes"</f>
        <v>1</v>
      </c>
      <c r="W105" s="157" t="str">
        <f t="shared" si="17"/>
        <v>REGISTER</v>
      </c>
    </row>
    <row r="106" spans="2:23">
      <c r="B106" s="157" t="str">
        <f t="array" ref="B106">IF(ROWS($3:106)&lt;=COUNTA('register map'!$L$5:$L$902),INDEX('register map'!$L$5:$L$902,SMALL(IF('register map'!$L$5:$L$902&lt;&gt;"",ROW('register map'!$L$5:$L$902)-MIN(ROW('register map'!$L$5:$L$902))+1),ROWS($3:106))),"")</f>
        <v>BUCK6_DECAY</v>
      </c>
      <c r="C106" s="157">
        <f>IF(B106="PART_NUMBER",IF(COUNTIF($B$1:B105,"PART_NUMBER")=0,6,8),MATCH(B106,'register map'!L:L,0))</f>
        <v>119</v>
      </c>
      <c r="D106" s="117" t="str">
        <f>IF(ISBLANK(INDEX('register map'!C:C,'Logical Group Generator'!C106)),"No","Yes")</f>
        <v>No</v>
      </c>
      <c r="E106" s="117" t="str">
        <f>IF(ISBLANK(INDEX('register map'!A:A,C106)),IF(ISBLANK(INDEX('register map'!A:A,C106-1)),IF(ISBLANK(INDEX('register map'!A:A,C106-2)),IF(ISBLANK(INDEX('register map'!A:A,C106-3)),IF(ISBLANK(INDEX('register map'!A:A,C106-4)),IF(ISBLANK(INDEX('register map'!A:A,C106-5)),IF(ISBLANK(INDEX('register map'!A:A,C106-6)),IF(ISBLANK(INDEX('register map'!A:A,C106-7)),IF(ISBLANK(INDEX('register map'!A:A,C106-8)),"ERROR",INDEX('register map'!A:A,C106-8)),INDEX('register map'!A:A,C106-7)),INDEX('register map'!A:A,C106-6)),INDEX('register map'!A:A,C106-5)),INDEX('register map'!A:A,C106-4)),INDEX('register map'!A:A,C106-3)),INDEX('register map'!A:A,C106-2)),INDEX('register map'!A:A,C106-1)),INDEX('register map'!A:A,C106))</f>
        <v>0x5E</v>
      </c>
      <c r="F106" s="117" t="str">
        <f>IF(ISBLANK(INDEX('register map'!B:B,C106)),IF(ISBLANK(INDEX('register map'!B:B,C106-1)),IF(ISBLANK(INDEX('register map'!B:B,C106-2)),IF(ISBLANK(INDEX('register map'!B:B,C106-3)),IF(ISBLANK(INDEX('register map'!B:B,C106-4)),IF(ISBLANK(INDEX('register map'!B:B,C106-5)),IF(ISBLANK(INDEX('register map'!B:B,C106-6)),IF(ISBLANK(INDEX('register map'!B:B,C106-7)),IF(ISBLANK(INDEX('register map'!B:B,C106-8)),"ERROR",INDEX('register map'!B:B,C106-8)),INDEX('register map'!B:B,C106-7)),INDEX('register map'!B:B,C106-6)),INDEX('register map'!B:B,C106-5)),INDEX('register map'!B:B,C106-4)),INDEX('register map'!B:B,C106-3)),INDEX('register map'!B:B,C106-2)),INDEX('register map'!B:B,C106-1)),INDEX('register map'!B:B,C106))</f>
        <v>0x98</v>
      </c>
      <c r="G106" s="117" t="str">
        <f>CONCATENATE(IF(ISNUMBER(INDEX('register map'!D:D,C106)),7,""),IF(ISNUMBER(INDEX('register map'!E:E,C106)),6,""),IF(ISNUMBER(INDEX('register map'!F:F,C106)),5,""),IF(ISNUMBER(INDEX('register map'!G:G,C106)),4,""),IF(ISNUMBER(INDEX('register map'!H:H,C106)),3,""),IF(ISNUMBER(INDEX('register map'!I:I,C106)),2,""),IF(ISNUMBER(INDEX('register map'!J:J,C106)),1,""),IF(ISNUMBER(INDEX('register map'!K:K,C106)),0,""))</f>
        <v>0</v>
      </c>
      <c r="H106" s="117" t="str">
        <f>RIGHT(INDEX('register map'!V:V,MATCH('Logical Group Generator'!B106,'register map'!L:L,0)),LEN(G106))</f>
        <v>0</v>
      </c>
      <c r="I106" s="117" t="str">
        <f>CONCATENATE(IF(ISNUMBER(INDEX('register map'!K:K,C106)),0,""),IF(ISNUMBER(INDEX('register map'!J:J,C106)),1,""),IF(ISNUMBER(INDEX('register map'!I:I,C106)),2,""),IF(ISNUMBER(INDEX('register map'!H:H,C106)),3,""),IF(ISNUMBER(INDEX('register map'!G:G,C106)),4,""),IF(ISNUMBER(INDEX('register map'!F:F,C106)),5,""),IF(ISNUMBER(INDEX('register map'!E:E,C106)),6,""),IF(ISNUMBER(INDEX('register map'!D:D,C106)),7,""))</f>
        <v>0</v>
      </c>
      <c r="J106" s="117" t="str">
        <f t="shared" si="18"/>
        <v>0</v>
      </c>
      <c r="K106" s="117" t="str">
        <f t="shared" si="11"/>
        <v/>
      </c>
      <c r="L106" s="117" t="str">
        <f t="shared" si="19"/>
        <v/>
      </c>
      <c r="M106" s="117" t="str">
        <f t="shared" si="21"/>
        <v/>
      </c>
      <c r="N106" s="117" t="str">
        <f>IF(ISBLANK(INDEX('register map'!M:M,'Logical Group Generator'!C106)),"No","Yes")</f>
        <v>No</v>
      </c>
      <c r="O106" s="117" t="str">
        <f>IF(NOT(ISBLANK(INDEX('register map'!N:N,'Logical Group Generator'!C106))),"Yes","")</f>
        <v/>
      </c>
      <c r="P106" s="117" t="str">
        <f t="shared" si="12"/>
        <v/>
      </c>
      <c r="Q106" s="117" t="str">
        <f t="shared" si="13"/>
        <v/>
      </c>
      <c r="R106" s="117" t="str">
        <f t="shared" si="14"/>
        <v/>
      </c>
      <c r="S106" s="117" t="str">
        <f t="shared" si="15"/>
        <v>No</v>
      </c>
      <c r="T106" s="117" t="str">
        <f t="shared" si="16"/>
        <v/>
      </c>
      <c r="U106" s="117" t="b">
        <f t="shared" si="20"/>
        <v>0</v>
      </c>
      <c r="V106" s="157" t="b">
        <f>INDEX('register map'!P:P,C106)="yes"</f>
        <v>1</v>
      </c>
      <c r="W106" s="157" t="str">
        <f t="shared" si="17"/>
        <v>FALSE</v>
      </c>
    </row>
    <row r="107" spans="2:23">
      <c r="B107" s="157" t="str">
        <f t="array" ref="B107">IF(ROWS($3:107)&lt;=COUNTA('register map'!$L$5:$L$902),INDEX('register map'!$L$5:$L$902,SMALL(IF('register map'!$L$5:$L$902&lt;&gt;"",ROW('register map'!$L$5:$L$902)-MIN(ROW('register map'!$L$5:$L$902))+1),ROWS($3:107))),"")</f>
        <v>BUCK6_VID</v>
      </c>
      <c r="C107" s="157">
        <f>IF(B107="PART_NUMBER",IF(COUNTIF($B$1:B106,"PART_NUMBER")=0,6,8),MATCH(B107,'register map'!L:L,0))</f>
        <v>120</v>
      </c>
      <c r="D107" s="117" t="str">
        <f>IF(ISBLANK(INDEX('register map'!C:C,'Logical Group Generator'!C107)),"No","Yes")</f>
        <v>No</v>
      </c>
      <c r="E107" s="117" t="str">
        <f>IF(ISBLANK(INDEX('register map'!A:A,C107)),IF(ISBLANK(INDEX('register map'!A:A,C107-1)),IF(ISBLANK(INDEX('register map'!A:A,C107-2)),IF(ISBLANK(INDEX('register map'!A:A,C107-3)),IF(ISBLANK(INDEX('register map'!A:A,C107-4)),IF(ISBLANK(INDEX('register map'!A:A,C107-5)),IF(ISBLANK(INDEX('register map'!A:A,C107-6)),IF(ISBLANK(INDEX('register map'!A:A,C107-7)),IF(ISBLANK(INDEX('register map'!A:A,C107-8)),"ERROR",INDEX('register map'!A:A,C107-8)),INDEX('register map'!A:A,C107-7)),INDEX('register map'!A:A,C107-6)),INDEX('register map'!A:A,C107-5)),INDEX('register map'!A:A,C107-4)),INDEX('register map'!A:A,C107-3)),INDEX('register map'!A:A,C107-2)),INDEX('register map'!A:A,C107-1)),INDEX('register map'!A:A,C107))</f>
        <v>0x5E</v>
      </c>
      <c r="F107" s="117" t="str">
        <f>IF(ISBLANK(INDEX('register map'!B:B,C107)),IF(ISBLANK(INDEX('register map'!B:B,C107-1)),IF(ISBLANK(INDEX('register map'!B:B,C107-2)),IF(ISBLANK(INDEX('register map'!B:B,C107-3)),IF(ISBLANK(INDEX('register map'!B:B,C107-4)),IF(ISBLANK(INDEX('register map'!B:B,C107-5)),IF(ISBLANK(INDEX('register map'!B:B,C107-6)),IF(ISBLANK(INDEX('register map'!B:B,C107-7)),IF(ISBLANK(INDEX('register map'!B:B,C107-8)),"ERROR",INDEX('register map'!B:B,C107-8)),INDEX('register map'!B:B,C107-7)),INDEX('register map'!B:B,C107-6)),INDEX('register map'!B:B,C107-5)),INDEX('register map'!B:B,C107-4)),INDEX('register map'!B:B,C107-3)),INDEX('register map'!B:B,C107-2)),INDEX('register map'!B:B,C107-1)),INDEX('register map'!B:B,C107))</f>
        <v>0x98</v>
      </c>
      <c r="G107" s="117" t="str">
        <f>CONCATENATE(IF(ISNUMBER(INDEX('register map'!D:D,C107)),7,""),IF(ISNUMBER(INDEX('register map'!E:E,C107)),6,""),IF(ISNUMBER(INDEX('register map'!F:F,C107)),5,""),IF(ISNUMBER(INDEX('register map'!G:G,C107)),4,""),IF(ISNUMBER(INDEX('register map'!H:H,C107)),3,""),IF(ISNUMBER(INDEX('register map'!I:I,C107)),2,""),IF(ISNUMBER(INDEX('register map'!J:J,C107)),1,""),IF(ISNUMBER(INDEX('register map'!K:K,C107)),0,""))</f>
        <v>7654321</v>
      </c>
      <c r="H107" s="117" t="str">
        <f>RIGHT(INDEX('register map'!V:V,MATCH('Logical Group Generator'!B107,'register map'!L:L,0)),LEN(G107))</f>
        <v>1010000</v>
      </c>
      <c r="I107" s="117" t="str">
        <f>CONCATENATE(IF(ISNUMBER(INDEX('register map'!K:K,C107)),0,""),IF(ISNUMBER(INDEX('register map'!J:J,C107)),1,""),IF(ISNUMBER(INDEX('register map'!I:I,C107)),2,""),IF(ISNUMBER(INDEX('register map'!H:H,C107)),3,""),IF(ISNUMBER(INDEX('register map'!G:G,C107)),4,""),IF(ISNUMBER(INDEX('register map'!F:F,C107)),5,""),IF(ISNUMBER(INDEX('register map'!E:E,C107)),6,""),IF(ISNUMBER(INDEX('register map'!D:D,C107)),7,""))</f>
        <v>1234567</v>
      </c>
      <c r="J107" s="117" t="str">
        <f t="shared" si="18"/>
        <v>0000101</v>
      </c>
      <c r="K107" s="117" t="str">
        <f t="shared" si="11"/>
        <v/>
      </c>
      <c r="L107" s="117" t="str">
        <f t="shared" si="19"/>
        <v/>
      </c>
      <c r="M107" s="117" t="str">
        <f t="shared" si="21"/>
        <v/>
      </c>
      <c r="N107" s="117" t="str">
        <f>IF(ISBLANK(INDEX('register map'!M:M,'Logical Group Generator'!C107)),"No","Yes")</f>
        <v>No</v>
      </c>
      <c r="O107" s="117" t="str">
        <f>IF(NOT(ISBLANK(INDEX('register map'!N:N,'Logical Group Generator'!C107))),"Yes","")</f>
        <v/>
      </c>
      <c r="P107" s="117" t="str">
        <f t="shared" si="12"/>
        <v/>
      </c>
      <c r="Q107" s="117" t="str">
        <f t="shared" si="13"/>
        <v/>
      </c>
      <c r="R107" s="117" t="str">
        <f t="shared" si="14"/>
        <v/>
      </c>
      <c r="S107" s="117" t="str">
        <f t="shared" si="15"/>
        <v>No</v>
      </c>
      <c r="T107" s="117" t="str">
        <f t="shared" si="16"/>
        <v/>
      </c>
      <c r="U107" s="117" t="b">
        <f t="shared" si="20"/>
        <v>0</v>
      </c>
      <c r="V107" s="157" t="b">
        <f>INDEX('register map'!P:P,C107)="yes"</f>
        <v>1</v>
      </c>
      <c r="W107" s="157" t="str">
        <f t="shared" si="17"/>
        <v>FALSE</v>
      </c>
    </row>
    <row r="108" spans="2:23">
      <c r="B108" s="157" t="str">
        <f t="array" ref="B108">IF(ROWS($3:108)&lt;=COUNTA('register map'!$L$5:$L$902),INDEX('register map'!$L$5:$L$902,SMALL(IF('register map'!$L$5:$L$902&lt;&gt;"",ROW('register map'!$L$5:$L$902)-MIN(ROW('register map'!$L$5:$L$902))+1),ROWS($3:108))),"")</f>
        <v>BUCK6SLPVID</v>
      </c>
      <c r="C108" s="157">
        <f>IF(B108="PART_NUMBER",IF(COUNTIF($B$1:B107,"PART_NUMBER")=0,6,8),MATCH(B108,'register map'!L:L,0))</f>
        <v>121</v>
      </c>
      <c r="D108" s="117" t="str">
        <f>IF(ISBLANK(INDEX('register map'!C:C,'Logical Group Generator'!C108)),"No","Yes")</f>
        <v>Yes</v>
      </c>
      <c r="E108" s="117" t="str">
        <f>IF(ISBLANK(INDEX('register map'!A:A,C108)),IF(ISBLANK(INDEX('register map'!A:A,C108-1)),IF(ISBLANK(INDEX('register map'!A:A,C108-2)),IF(ISBLANK(INDEX('register map'!A:A,C108-3)),IF(ISBLANK(INDEX('register map'!A:A,C108-4)),IF(ISBLANK(INDEX('register map'!A:A,C108-5)),IF(ISBLANK(INDEX('register map'!A:A,C108-6)),IF(ISBLANK(INDEX('register map'!A:A,C108-7)),IF(ISBLANK(INDEX('register map'!A:A,C108-8)),"ERROR",INDEX('register map'!A:A,C108-8)),INDEX('register map'!A:A,C108-7)),INDEX('register map'!A:A,C108-6)),INDEX('register map'!A:A,C108-5)),INDEX('register map'!A:A,C108-4)),INDEX('register map'!A:A,C108-3)),INDEX('register map'!A:A,C108-2)),INDEX('register map'!A:A,C108-1)),INDEX('register map'!A:A,C108))</f>
        <v>0x5E</v>
      </c>
      <c r="F108" s="117" t="str">
        <f>IF(ISBLANK(INDEX('register map'!B:B,C108)),IF(ISBLANK(INDEX('register map'!B:B,C108-1)),IF(ISBLANK(INDEX('register map'!B:B,C108-2)),IF(ISBLANK(INDEX('register map'!B:B,C108-3)),IF(ISBLANK(INDEX('register map'!B:B,C108-4)),IF(ISBLANK(INDEX('register map'!B:B,C108-5)),IF(ISBLANK(INDEX('register map'!B:B,C108-6)),IF(ISBLANK(INDEX('register map'!B:B,C108-7)),IF(ISBLANK(INDEX('register map'!B:B,C108-8)),"ERROR",INDEX('register map'!B:B,C108-8)),INDEX('register map'!B:B,C108-7)),INDEX('register map'!B:B,C108-6)),INDEX('register map'!B:B,C108-5)),INDEX('register map'!B:B,C108-4)),INDEX('register map'!B:B,C108-3)),INDEX('register map'!B:B,C108-2)),INDEX('register map'!B:B,C108-1)),INDEX('register map'!B:B,C108))</f>
        <v>0x99</v>
      </c>
      <c r="G108" s="117" t="str">
        <f>CONCATENATE(IF(ISNUMBER(INDEX('register map'!D:D,C108)),7,""),IF(ISNUMBER(INDEX('register map'!E:E,C108)),6,""),IF(ISNUMBER(INDEX('register map'!F:F,C108)),5,""),IF(ISNUMBER(INDEX('register map'!G:G,C108)),4,""),IF(ISNUMBER(INDEX('register map'!H:H,C108)),3,""),IF(ISNUMBER(INDEX('register map'!I:I,C108)),2,""),IF(ISNUMBER(INDEX('register map'!J:J,C108)),1,""),IF(ISNUMBER(INDEX('register map'!K:K,C108)),0,""))</f>
        <v/>
      </c>
      <c r="H108" s="117" t="str">
        <f>RIGHT(INDEX('register map'!V:V,MATCH('Logical Group Generator'!B108,'register map'!L:L,0)),LEN(G108))</f>
        <v/>
      </c>
      <c r="I108" s="117" t="str">
        <f>CONCATENATE(IF(ISNUMBER(INDEX('register map'!K:K,C108)),0,""),IF(ISNUMBER(INDEX('register map'!J:J,C108)),1,""),IF(ISNUMBER(INDEX('register map'!I:I,C108)),2,""),IF(ISNUMBER(INDEX('register map'!H:H,C108)),3,""),IF(ISNUMBER(INDEX('register map'!G:G,C108)),4,""),IF(ISNUMBER(INDEX('register map'!F:F,C108)),5,""),IF(ISNUMBER(INDEX('register map'!E:E,C108)),6,""),IF(ISNUMBER(INDEX('register map'!D:D,C108)),7,""))</f>
        <v/>
      </c>
      <c r="J108" s="117" t="str">
        <f t="shared" si="18"/>
        <v/>
      </c>
      <c r="K108" s="117" t="str">
        <f t="shared" si="11"/>
        <v>00000101</v>
      </c>
      <c r="L108" s="117" t="str">
        <f t="shared" si="19"/>
        <v>10100000</v>
      </c>
      <c r="M108" s="117" t="str">
        <f t="shared" si="21"/>
        <v>A0</v>
      </c>
      <c r="N108" s="117" t="str">
        <f>IF(ISBLANK(INDEX('register map'!M:M,'Logical Group Generator'!C108)),"No","Yes")</f>
        <v>No</v>
      </c>
      <c r="O108" s="117" t="str">
        <f>IF(NOT(ISBLANK(INDEX('register map'!N:N,'Logical Group Generator'!C108))),"Yes","")</f>
        <v/>
      </c>
      <c r="P108" s="117" t="str">
        <f t="shared" si="12"/>
        <v>No</v>
      </c>
      <c r="Q108" s="117" t="str">
        <f t="shared" si="13"/>
        <v>No</v>
      </c>
      <c r="R108" s="117" t="str">
        <f t="shared" si="14"/>
        <v>No</v>
      </c>
      <c r="S108" s="117" t="str">
        <f t="shared" si="15"/>
        <v/>
      </c>
      <c r="T108" s="117" t="b">
        <f t="shared" si="16"/>
        <v>1</v>
      </c>
      <c r="U108" s="117" t="b">
        <f t="shared" si="20"/>
        <v>1</v>
      </c>
      <c r="V108" s="157" t="b">
        <f>INDEX('register map'!P:P,C108)="yes"</f>
        <v>1</v>
      </c>
      <c r="W108" s="157" t="str">
        <f t="shared" si="17"/>
        <v>REGISTER</v>
      </c>
    </row>
    <row r="109" spans="2:23">
      <c r="B109" s="157" t="str">
        <f t="array" ref="B109">IF(ROWS($3:109)&lt;=COUNTA('register map'!$L$5:$L$902),INDEX('register map'!$L$5:$L$902,SMALL(IF('register map'!$L$5:$L$902&lt;&gt;"",ROW('register map'!$L$5:$L$902)-MIN(ROW('register map'!$L$5:$L$902))+1),ROWS($3:109))),"")</f>
        <v>OTP_RSVD_5E_99_0</v>
      </c>
      <c r="C109" s="157">
        <f>IF(B109="PART_NUMBER",IF(COUNTIF($B$1:B108,"PART_NUMBER")=0,6,8),MATCH(B109,'register map'!L:L,0))</f>
        <v>122</v>
      </c>
      <c r="D109" s="117" t="str">
        <f>IF(ISBLANK(INDEX('register map'!C:C,'Logical Group Generator'!C109)),"No","Yes")</f>
        <v>No</v>
      </c>
      <c r="E109" s="117" t="str">
        <f>IF(ISBLANK(INDEX('register map'!A:A,C109)),IF(ISBLANK(INDEX('register map'!A:A,C109-1)),IF(ISBLANK(INDEX('register map'!A:A,C109-2)),IF(ISBLANK(INDEX('register map'!A:A,C109-3)),IF(ISBLANK(INDEX('register map'!A:A,C109-4)),IF(ISBLANK(INDEX('register map'!A:A,C109-5)),IF(ISBLANK(INDEX('register map'!A:A,C109-6)),IF(ISBLANK(INDEX('register map'!A:A,C109-7)),IF(ISBLANK(INDEX('register map'!A:A,C109-8)),"ERROR",INDEX('register map'!A:A,C109-8)),INDEX('register map'!A:A,C109-7)),INDEX('register map'!A:A,C109-6)),INDEX('register map'!A:A,C109-5)),INDEX('register map'!A:A,C109-4)),INDEX('register map'!A:A,C109-3)),INDEX('register map'!A:A,C109-2)),INDEX('register map'!A:A,C109-1)),INDEX('register map'!A:A,C109))</f>
        <v>0x5E</v>
      </c>
      <c r="F109" s="117" t="str">
        <f>IF(ISBLANK(INDEX('register map'!B:B,C109)),IF(ISBLANK(INDEX('register map'!B:B,C109-1)),IF(ISBLANK(INDEX('register map'!B:B,C109-2)),IF(ISBLANK(INDEX('register map'!B:B,C109-3)),IF(ISBLANK(INDEX('register map'!B:B,C109-4)),IF(ISBLANK(INDEX('register map'!B:B,C109-5)),IF(ISBLANK(INDEX('register map'!B:B,C109-6)),IF(ISBLANK(INDEX('register map'!B:B,C109-7)),IF(ISBLANK(INDEX('register map'!B:B,C109-8)),"ERROR",INDEX('register map'!B:B,C109-8)),INDEX('register map'!B:B,C109-7)),INDEX('register map'!B:B,C109-6)),INDEX('register map'!B:B,C109-5)),INDEX('register map'!B:B,C109-4)),INDEX('register map'!B:B,C109-3)),INDEX('register map'!B:B,C109-2)),INDEX('register map'!B:B,C109-1)),INDEX('register map'!B:B,C109))</f>
        <v>0x99</v>
      </c>
      <c r="G109" s="117" t="str">
        <f>CONCATENATE(IF(ISNUMBER(INDEX('register map'!D:D,C109)),7,""),IF(ISNUMBER(INDEX('register map'!E:E,C109)),6,""),IF(ISNUMBER(INDEX('register map'!F:F,C109)),5,""),IF(ISNUMBER(INDEX('register map'!G:G,C109)),4,""),IF(ISNUMBER(INDEX('register map'!H:H,C109)),3,""),IF(ISNUMBER(INDEX('register map'!I:I,C109)),2,""),IF(ISNUMBER(INDEX('register map'!J:J,C109)),1,""),IF(ISNUMBER(INDEX('register map'!K:K,C109)),0,""))</f>
        <v>0</v>
      </c>
      <c r="H109" s="117" t="str">
        <f>RIGHT(INDEX('register map'!V:V,MATCH('Logical Group Generator'!B109,'register map'!L:L,0)),LEN(G109))</f>
        <v>0</v>
      </c>
      <c r="I109" s="117" t="str">
        <f>CONCATENATE(IF(ISNUMBER(INDEX('register map'!K:K,C109)),0,""),IF(ISNUMBER(INDEX('register map'!J:J,C109)),1,""),IF(ISNUMBER(INDEX('register map'!I:I,C109)),2,""),IF(ISNUMBER(INDEX('register map'!H:H,C109)),3,""),IF(ISNUMBER(INDEX('register map'!G:G,C109)),4,""),IF(ISNUMBER(INDEX('register map'!F:F,C109)),5,""),IF(ISNUMBER(INDEX('register map'!E:E,C109)),6,""),IF(ISNUMBER(INDEX('register map'!D:D,C109)),7,""))</f>
        <v>0</v>
      </c>
      <c r="J109" s="117" t="str">
        <f t="shared" si="18"/>
        <v>0</v>
      </c>
      <c r="K109" s="117" t="str">
        <f t="shared" si="11"/>
        <v/>
      </c>
      <c r="L109" s="117" t="str">
        <f t="shared" si="19"/>
        <v/>
      </c>
      <c r="M109" s="117" t="str">
        <f t="shared" si="21"/>
        <v/>
      </c>
      <c r="N109" s="117" t="str">
        <f>IF(ISBLANK(INDEX('register map'!M:M,'Logical Group Generator'!C109)),"No","Yes")</f>
        <v>No</v>
      </c>
      <c r="O109" s="117" t="str">
        <f>IF(NOT(ISBLANK(INDEX('register map'!N:N,'Logical Group Generator'!C109))),"Yes","")</f>
        <v/>
      </c>
      <c r="P109" s="117" t="str">
        <f t="shared" si="12"/>
        <v/>
      </c>
      <c r="Q109" s="117" t="str">
        <f t="shared" si="13"/>
        <v/>
      </c>
      <c r="R109" s="117" t="str">
        <f t="shared" si="14"/>
        <v/>
      </c>
      <c r="S109" s="117" t="str">
        <f t="shared" si="15"/>
        <v>No</v>
      </c>
      <c r="T109" s="117" t="str">
        <f t="shared" si="16"/>
        <v/>
      </c>
      <c r="U109" s="117" t="b">
        <f t="shared" si="20"/>
        <v>0</v>
      </c>
      <c r="V109" s="157" t="b">
        <f>INDEX('register map'!P:P,C109)="yes"</f>
        <v>1</v>
      </c>
      <c r="W109" s="157" t="str">
        <f t="shared" si="17"/>
        <v>FALSE</v>
      </c>
    </row>
    <row r="110" spans="2:23">
      <c r="B110" s="157" t="str">
        <f t="array" ref="B110">IF(ROWS($3:110)&lt;=COUNTA('register map'!$L$5:$L$902),INDEX('register map'!$L$5:$L$902,SMALL(IF('register map'!$L$5:$L$902&lt;&gt;"",ROW('register map'!$L$5:$L$902)-MIN(ROW('register map'!$L$5:$L$902))+1),ROWS($3:110))),"")</f>
        <v>BUCK6_SLP_VID</v>
      </c>
      <c r="C110" s="157">
        <f>IF(B110="PART_NUMBER",IF(COUNTIF($B$1:B109,"PART_NUMBER")=0,6,8),MATCH(B110,'register map'!L:L,0))</f>
        <v>123</v>
      </c>
      <c r="D110" s="117" t="str">
        <f>IF(ISBLANK(INDEX('register map'!C:C,'Logical Group Generator'!C110)),"No","Yes")</f>
        <v>No</v>
      </c>
      <c r="E110" s="117" t="str">
        <f>IF(ISBLANK(INDEX('register map'!A:A,C110)),IF(ISBLANK(INDEX('register map'!A:A,C110-1)),IF(ISBLANK(INDEX('register map'!A:A,C110-2)),IF(ISBLANK(INDEX('register map'!A:A,C110-3)),IF(ISBLANK(INDEX('register map'!A:A,C110-4)),IF(ISBLANK(INDEX('register map'!A:A,C110-5)),IF(ISBLANK(INDEX('register map'!A:A,C110-6)),IF(ISBLANK(INDEX('register map'!A:A,C110-7)),IF(ISBLANK(INDEX('register map'!A:A,C110-8)),"ERROR",INDEX('register map'!A:A,C110-8)),INDEX('register map'!A:A,C110-7)),INDEX('register map'!A:A,C110-6)),INDEX('register map'!A:A,C110-5)),INDEX('register map'!A:A,C110-4)),INDEX('register map'!A:A,C110-3)),INDEX('register map'!A:A,C110-2)),INDEX('register map'!A:A,C110-1)),INDEX('register map'!A:A,C110))</f>
        <v>0x5E</v>
      </c>
      <c r="F110" s="117" t="str">
        <f>IF(ISBLANK(INDEX('register map'!B:B,C110)),IF(ISBLANK(INDEX('register map'!B:B,C110-1)),IF(ISBLANK(INDEX('register map'!B:B,C110-2)),IF(ISBLANK(INDEX('register map'!B:B,C110-3)),IF(ISBLANK(INDEX('register map'!B:B,C110-4)),IF(ISBLANK(INDEX('register map'!B:B,C110-5)),IF(ISBLANK(INDEX('register map'!B:B,C110-6)),IF(ISBLANK(INDEX('register map'!B:B,C110-7)),IF(ISBLANK(INDEX('register map'!B:B,C110-8)),"ERROR",INDEX('register map'!B:B,C110-8)),INDEX('register map'!B:B,C110-7)),INDEX('register map'!B:B,C110-6)),INDEX('register map'!B:B,C110-5)),INDEX('register map'!B:B,C110-4)),INDEX('register map'!B:B,C110-3)),INDEX('register map'!B:B,C110-2)),INDEX('register map'!B:B,C110-1)),INDEX('register map'!B:B,C110))</f>
        <v>0x99</v>
      </c>
      <c r="G110" s="117" t="str">
        <f>CONCATENATE(IF(ISNUMBER(INDEX('register map'!D:D,C110)),7,""),IF(ISNUMBER(INDEX('register map'!E:E,C110)),6,""),IF(ISNUMBER(INDEX('register map'!F:F,C110)),5,""),IF(ISNUMBER(INDEX('register map'!G:G,C110)),4,""),IF(ISNUMBER(INDEX('register map'!H:H,C110)),3,""),IF(ISNUMBER(INDEX('register map'!I:I,C110)),2,""),IF(ISNUMBER(INDEX('register map'!J:J,C110)),1,""),IF(ISNUMBER(INDEX('register map'!K:K,C110)),0,""))</f>
        <v>7654321</v>
      </c>
      <c r="H110" s="117" t="str">
        <f>RIGHT(INDEX('register map'!V:V,MATCH('Logical Group Generator'!B110,'register map'!L:L,0)),LEN(G110))</f>
        <v>1010000</v>
      </c>
      <c r="I110" s="117" t="str">
        <f>CONCATENATE(IF(ISNUMBER(INDEX('register map'!K:K,C110)),0,""),IF(ISNUMBER(INDEX('register map'!J:J,C110)),1,""),IF(ISNUMBER(INDEX('register map'!I:I,C110)),2,""),IF(ISNUMBER(INDEX('register map'!H:H,C110)),3,""),IF(ISNUMBER(INDEX('register map'!G:G,C110)),4,""),IF(ISNUMBER(INDEX('register map'!F:F,C110)),5,""),IF(ISNUMBER(INDEX('register map'!E:E,C110)),6,""),IF(ISNUMBER(INDEX('register map'!D:D,C110)),7,""))</f>
        <v>1234567</v>
      </c>
      <c r="J110" s="117" t="str">
        <f t="shared" si="18"/>
        <v>0000101</v>
      </c>
      <c r="K110" s="117" t="str">
        <f t="shared" si="11"/>
        <v/>
      </c>
      <c r="L110" s="117" t="str">
        <f t="shared" si="19"/>
        <v/>
      </c>
      <c r="M110" s="117" t="str">
        <f t="shared" si="21"/>
        <v/>
      </c>
      <c r="N110" s="117" t="str">
        <f>IF(ISBLANK(INDEX('register map'!M:M,'Logical Group Generator'!C110)),"No","Yes")</f>
        <v>No</v>
      </c>
      <c r="O110" s="117" t="str">
        <f>IF(NOT(ISBLANK(INDEX('register map'!N:N,'Logical Group Generator'!C110))),"Yes","")</f>
        <v/>
      </c>
      <c r="P110" s="117" t="str">
        <f t="shared" si="12"/>
        <v/>
      </c>
      <c r="Q110" s="117" t="str">
        <f t="shared" si="13"/>
        <v/>
      </c>
      <c r="R110" s="117" t="str">
        <f t="shared" si="14"/>
        <v/>
      </c>
      <c r="S110" s="117" t="str">
        <f t="shared" si="15"/>
        <v>No</v>
      </c>
      <c r="T110" s="117" t="str">
        <f t="shared" si="16"/>
        <v/>
      </c>
      <c r="U110" s="117" t="b">
        <f t="shared" si="20"/>
        <v>0</v>
      </c>
      <c r="V110" s="157" t="b">
        <f>INDEX('register map'!P:P,C110)="yes"</f>
        <v>1</v>
      </c>
      <c r="W110" s="157" t="str">
        <f t="shared" si="17"/>
        <v>FALSE</v>
      </c>
    </row>
    <row r="111" spans="2:23">
      <c r="B111" s="157" t="str">
        <f t="array" ref="B111">IF(ROWS($3:111)&lt;=COUNTA('register map'!$L$5:$L$902),INDEX('register map'!$L$5:$L$902,SMALL(IF('register map'!$L$5:$L$902&lt;&gt;"",ROW('register map'!$L$5:$L$902)-MIN(ROW('register map'!$L$5:$L$902))+1),ROWS($3:111))),"")</f>
        <v>LDOA2VID</v>
      </c>
      <c r="C111" s="157">
        <f>IF(B111="PART_NUMBER",IF(COUNTIF($B$1:B110,"PART_NUMBER")=0,6,8),MATCH(B111,'register map'!L:L,0))</f>
        <v>124</v>
      </c>
      <c r="D111" s="117" t="str">
        <f>IF(ISBLANK(INDEX('register map'!C:C,'Logical Group Generator'!C111)),"No","Yes")</f>
        <v>Yes</v>
      </c>
      <c r="E111" s="117" t="str">
        <f>IF(ISBLANK(INDEX('register map'!A:A,C111)),IF(ISBLANK(INDEX('register map'!A:A,C111-1)),IF(ISBLANK(INDEX('register map'!A:A,C111-2)),IF(ISBLANK(INDEX('register map'!A:A,C111-3)),IF(ISBLANK(INDEX('register map'!A:A,C111-4)),IF(ISBLANK(INDEX('register map'!A:A,C111-5)),IF(ISBLANK(INDEX('register map'!A:A,C111-6)),IF(ISBLANK(INDEX('register map'!A:A,C111-7)),IF(ISBLANK(INDEX('register map'!A:A,C111-8)),"ERROR",INDEX('register map'!A:A,C111-8)),INDEX('register map'!A:A,C111-7)),INDEX('register map'!A:A,C111-6)),INDEX('register map'!A:A,C111-5)),INDEX('register map'!A:A,C111-4)),INDEX('register map'!A:A,C111-3)),INDEX('register map'!A:A,C111-2)),INDEX('register map'!A:A,C111-1)),INDEX('register map'!A:A,C111))</f>
        <v>0x5E</v>
      </c>
      <c r="F111" s="117" t="str">
        <f>IF(ISBLANK(INDEX('register map'!B:B,C111)),IF(ISBLANK(INDEX('register map'!B:B,C111-1)),IF(ISBLANK(INDEX('register map'!B:B,C111-2)),IF(ISBLANK(INDEX('register map'!B:B,C111-3)),IF(ISBLANK(INDEX('register map'!B:B,C111-4)),IF(ISBLANK(INDEX('register map'!B:B,C111-5)),IF(ISBLANK(INDEX('register map'!B:B,C111-6)),IF(ISBLANK(INDEX('register map'!B:B,C111-7)),IF(ISBLANK(INDEX('register map'!B:B,C111-8)),"ERROR",INDEX('register map'!B:B,C111-8)),INDEX('register map'!B:B,C111-7)),INDEX('register map'!B:B,C111-6)),INDEX('register map'!B:B,C111-5)),INDEX('register map'!B:B,C111-4)),INDEX('register map'!B:B,C111-3)),INDEX('register map'!B:B,C111-2)),INDEX('register map'!B:B,C111-1)),INDEX('register map'!B:B,C111))</f>
        <v>0x9A</v>
      </c>
      <c r="G111" s="117" t="str">
        <f>CONCATENATE(IF(ISNUMBER(INDEX('register map'!D:D,C111)),7,""),IF(ISNUMBER(INDEX('register map'!E:E,C111)),6,""),IF(ISNUMBER(INDEX('register map'!F:F,C111)),5,""),IF(ISNUMBER(INDEX('register map'!G:G,C111)),4,""),IF(ISNUMBER(INDEX('register map'!H:H,C111)),3,""),IF(ISNUMBER(INDEX('register map'!I:I,C111)),2,""),IF(ISNUMBER(INDEX('register map'!J:J,C111)),1,""),IF(ISNUMBER(INDEX('register map'!K:K,C111)),0,""))</f>
        <v/>
      </c>
      <c r="H111" s="117" t="str">
        <f>RIGHT(INDEX('register map'!V:V,MATCH('Logical Group Generator'!B111,'register map'!L:L,0)),LEN(G111))</f>
        <v/>
      </c>
      <c r="I111" s="117" t="str">
        <f>CONCATENATE(IF(ISNUMBER(INDEX('register map'!K:K,C111)),0,""),IF(ISNUMBER(INDEX('register map'!J:J,C111)),1,""),IF(ISNUMBER(INDEX('register map'!I:I,C111)),2,""),IF(ISNUMBER(INDEX('register map'!H:H,C111)),3,""),IF(ISNUMBER(INDEX('register map'!G:G,C111)),4,""),IF(ISNUMBER(INDEX('register map'!F:F,C111)),5,""),IF(ISNUMBER(INDEX('register map'!E:E,C111)),6,""),IF(ISNUMBER(INDEX('register map'!D:D,C111)),7,""))</f>
        <v/>
      </c>
      <c r="J111" s="117" t="str">
        <f t="shared" si="18"/>
        <v/>
      </c>
      <c r="K111" s="117" t="str">
        <f t="shared" si="11"/>
        <v>01000100</v>
      </c>
      <c r="L111" s="117" t="str">
        <f t="shared" si="19"/>
        <v>00100010</v>
      </c>
      <c r="M111" s="117" t="str">
        <f t="shared" si="21"/>
        <v>22</v>
      </c>
      <c r="N111" s="117" t="str">
        <f>IF(ISBLANK(INDEX('register map'!M:M,'Logical Group Generator'!C111)),"No","Yes")</f>
        <v>No</v>
      </c>
      <c r="O111" s="117" t="str">
        <f>IF(NOT(ISBLANK(INDEX('register map'!N:N,'Logical Group Generator'!C111))),"Yes","")</f>
        <v/>
      </c>
      <c r="P111" s="117" t="str">
        <f t="shared" si="12"/>
        <v>No</v>
      </c>
      <c r="Q111" s="117" t="str">
        <f t="shared" si="13"/>
        <v>No</v>
      </c>
      <c r="R111" s="117" t="str">
        <f t="shared" si="14"/>
        <v>No</v>
      </c>
      <c r="S111" s="117" t="str">
        <f t="shared" si="15"/>
        <v/>
      </c>
      <c r="T111" s="117" t="b">
        <f t="shared" si="16"/>
        <v>1</v>
      </c>
      <c r="U111" s="117" t="b">
        <f t="shared" si="20"/>
        <v>1</v>
      </c>
      <c r="V111" s="157" t="b">
        <f>INDEX('register map'!P:P,C111)="yes"</f>
        <v>1</v>
      </c>
      <c r="W111" s="157" t="str">
        <f t="shared" si="17"/>
        <v>REGISTER</v>
      </c>
    </row>
    <row r="112" spans="2:23">
      <c r="B112" s="157" t="str">
        <f t="array" ref="B112">IF(ROWS($3:112)&lt;=COUNTA('register map'!$L$5:$L$902),INDEX('register map'!$L$5:$L$902,SMALL(IF('register map'!$L$5:$L$902&lt;&gt;"",ROW('register map'!$L$5:$L$902)-MIN(ROW('register map'!$L$5:$L$902))+1),ROWS($3:112))),"")</f>
        <v>LDOA2_VID</v>
      </c>
      <c r="C112" s="157">
        <f>IF(B112="PART_NUMBER",IF(COUNTIF($B$1:B111,"PART_NUMBER")=0,6,8),MATCH(B112,'register map'!L:L,0))</f>
        <v>125</v>
      </c>
      <c r="D112" s="117" t="str">
        <f>IF(ISBLANK(INDEX('register map'!C:C,'Logical Group Generator'!C112)),"No","Yes")</f>
        <v>No</v>
      </c>
      <c r="E112" s="117" t="str">
        <f>IF(ISBLANK(INDEX('register map'!A:A,C112)),IF(ISBLANK(INDEX('register map'!A:A,C112-1)),IF(ISBLANK(INDEX('register map'!A:A,C112-2)),IF(ISBLANK(INDEX('register map'!A:A,C112-3)),IF(ISBLANK(INDEX('register map'!A:A,C112-4)),IF(ISBLANK(INDEX('register map'!A:A,C112-5)),IF(ISBLANK(INDEX('register map'!A:A,C112-6)),IF(ISBLANK(INDEX('register map'!A:A,C112-7)),IF(ISBLANK(INDEX('register map'!A:A,C112-8)),"ERROR",INDEX('register map'!A:A,C112-8)),INDEX('register map'!A:A,C112-7)),INDEX('register map'!A:A,C112-6)),INDEX('register map'!A:A,C112-5)),INDEX('register map'!A:A,C112-4)),INDEX('register map'!A:A,C112-3)),INDEX('register map'!A:A,C112-2)),INDEX('register map'!A:A,C112-1)),INDEX('register map'!A:A,C112))</f>
        <v>0x5E</v>
      </c>
      <c r="F112" s="117" t="str">
        <f>IF(ISBLANK(INDEX('register map'!B:B,C112)),IF(ISBLANK(INDEX('register map'!B:B,C112-1)),IF(ISBLANK(INDEX('register map'!B:B,C112-2)),IF(ISBLANK(INDEX('register map'!B:B,C112-3)),IF(ISBLANK(INDEX('register map'!B:B,C112-4)),IF(ISBLANK(INDEX('register map'!B:B,C112-5)),IF(ISBLANK(INDEX('register map'!B:B,C112-6)),IF(ISBLANK(INDEX('register map'!B:B,C112-7)),IF(ISBLANK(INDEX('register map'!B:B,C112-8)),"ERROR",INDEX('register map'!B:B,C112-8)),INDEX('register map'!B:B,C112-7)),INDEX('register map'!B:B,C112-6)),INDEX('register map'!B:B,C112-5)),INDEX('register map'!B:B,C112-4)),INDEX('register map'!B:B,C112-3)),INDEX('register map'!B:B,C112-2)),INDEX('register map'!B:B,C112-1)),INDEX('register map'!B:B,C112))</f>
        <v>0x9A</v>
      </c>
      <c r="G112" s="117" t="str">
        <f>CONCATENATE(IF(ISNUMBER(INDEX('register map'!D:D,C112)),7,""),IF(ISNUMBER(INDEX('register map'!E:E,C112)),6,""),IF(ISNUMBER(INDEX('register map'!F:F,C112)),5,""),IF(ISNUMBER(INDEX('register map'!G:G,C112)),4,""),IF(ISNUMBER(INDEX('register map'!H:H,C112)),3,""),IF(ISNUMBER(INDEX('register map'!I:I,C112)),2,""),IF(ISNUMBER(INDEX('register map'!J:J,C112)),1,""),IF(ISNUMBER(INDEX('register map'!K:K,C112)),0,""))</f>
        <v>3210</v>
      </c>
      <c r="H112" s="117" t="str">
        <f>RIGHT(INDEX('register map'!V:V,MATCH('Logical Group Generator'!B112,'register map'!L:L,0)),LEN(G112))</f>
        <v>0010</v>
      </c>
      <c r="I112" s="117" t="str">
        <f>CONCATENATE(IF(ISNUMBER(INDEX('register map'!K:K,C112)),0,""),IF(ISNUMBER(INDEX('register map'!J:J,C112)),1,""),IF(ISNUMBER(INDEX('register map'!I:I,C112)),2,""),IF(ISNUMBER(INDEX('register map'!H:H,C112)),3,""),IF(ISNUMBER(INDEX('register map'!G:G,C112)),4,""),IF(ISNUMBER(INDEX('register map'!F:F,C112)),5,""),IF(ISNUMBER(INDEX('register map'!E:E,C112)),6,""),IF(ISNUMBER(INDEX('register map'!D:D,C112)),7,""))</f>
        <v>0123</v>
      </c>
      <c r="J112" s="117" t="str">
        <f t="shared" si="18"/>
        <v>0100</v>
      </c>
      <c r="K112" s="117" t="str">
        <f t="shared" si="11"/>
        <v/>
      </c>
      <c r="L112" s="117" t="str">
        <f t="shared" si="19"/>
        <v/>
      </c>
      <c r="M112" s="117" t="str">
        <f t="shared" si="21"/>
        <v/>
      </c>
      <c r="N112" s="117" t="str">
        <f>IF(ISBLANK(INDEX('register map'!M:M,'Logical Group Generator'!C112)),"No","Yes")</f>
        <v>No</v>
      </c>
      <c r="O112" s="117" t="str">
        <f>IF(NOT(ISBLANK(INDEX('register map'!N:N,'Logical Group Generator'!C112))),"Yes","")</f>
        <v/>
      </c>
      <c r="P112" s="117" t="str">
        <f t="shared" si="12"/>
        <v/>
      </c>
      <c r="Q112" s="117" t="str">
        <f t="shared" si="13"/>
        <v/>
      </c>
      <c r="R112" s="117" t="str">
        <f t="shared" si="14"/>
        <v/>
      </c>
      <c r="S112" s="117" t="str">
        <f t="shared" si="15"/>
        <v>No</v>
      </c>
      <c r="T112" s="117" t="str">
        <f t="shared" si="16"/>
        <v/>
      </c>
      <c r="U112" s="117" t="b">
        <f t="shared" si="20"/>
        <v>0</v>
      </c>
      <c r="V112" s="157" t="b">
        <f>INDEX('register map'!P:P,C112)="yes"</f>
        <v>1</v>
      </c>
      <c r="W112" s="157" t="str">
        <f t="shared" si="17"/>
        <v>FALSE</v>
      </c>
    </row>
    <row r="113" spans="2:23">
      <c r="B113" s="157" t="str">
        <f t="array" ref="B113">IF(ROWS($3:113)&lt;=COUNTA('register map'!$L$5:$L$902),INDEX('register map'!$L$5:$L$902,SMALL(IF('register map'!$L$5:$L$902&lt;&gt;"",ROW('register map'!$L$5:$L$902)-MIN(ROW('register map'!$L$5:$L$902))+1),ROWS($3:113))),"")</f>
        <v>LDOA2_SLP_VID</v>
      </c>
      <c r="C113" s="157">
        <f>IF(B113="PART_NUMBER",IF(COUNTIF($B$1:B112,"PART_NUMBER")=0,6,8),MATCH(B113,'register map'!L:L,0))</f>
        <v>126</v>
      </c>
      <c r="D113" s="117" t="str">
        <f>IF(ISBLANK(INDEX('register map'!C:C,'Logical Group Generator'!C113)),"No","Yes")</f>
        <v>No</v>
      </c>
      <c r="E113" s="117" t="str">
        <f>IF(ISBLANK(INDEX('register map'!A:A,C113)),IF(ISBLANK(INDEX('register map'!A:A,C113-1)),IF(ISBLANK(INDEX('register map'!A:A,C113-2)),IF(ISBLANK(INDEX('register map'!A:A,C113-3)),IF(ISBLANK(INDEX('register map'!A:A,C113-4)),IF(ISBLANK(INDEX('register map'!A:A,C113-5)),IF(ISBLANK(INDEX('register map'!A:A,C113-6)),IF(ISBLANK(INDEX('register map'!A:A,C113-7)),IF(ISBLANK(INDEX('register map'!A:A,C113-8)),"ERROR",INDEX('register map'!A:A,C113-8)),INDEX('register map'!A:A,C113-7)),INDEX('register map'!A:A,C113-6)),INDEX('register map'!A:A,C113-5)),INDEX('register map'!A:A,C113-4)),INDEX('register map'!A:A,C113-3)),INDEX('register map'!A:A,C113-2)),INDEX('register map'!A:A,C113-1)),INDEX('register map'!A:A,C113))</f>
        <v>0x5E</v>
      </c>
      <c r="F113" s="117" t="str">
        <f>IF(ISBLANK(INDEX('register map'!B:B,C113)),IF(ISBLANK(INDEX('register map'!B:B,C113-1)),IF(ISBLANK(INDEX('register map'!B:B,C113-2)),IF(ISBLANK(INDEX('register map'!B:B,C113-3)),IF(ISBLANK(INDEX('register map'!B:B,C113-4)),IF(ISBLANK(INDEX('register map'!B:B,C113-5)),IF(ISBLANK(INDEX('register map'!B:B,C113-6)),IF(ISBLANK(INDEX('register map'!B:B,C113-7)),IF(ISBLANK(INDEX('register map'!B:B,C113-8)),"ERROR",INDEX('register map'!B:B,C113-8)),INDEX('register map'!B:B,C113-7)),INDEX('register map'!B:B,C113-6)),INDEX('register map'!B:B,C113-5)),INDEX('register map'!B:B,C113-4)),INDEX('register map'!B:B,C113-3)),INDEX('register map'!B:B,C113-2)),INDEX('register map'!B:B,C113-1)),INDEX('register map'!B:B,C113))</f>
        <v>0x9A</v>
      </c>
      <c r="G113" s="117" t="str">
        <f>CONCATENATE(IF(ISNUMBER(INDEX('register map'!D:D,C113)),7,""),IF(ISNUMBER(INDEX('register map'!E:E,C113)),6,""),IF(ISNUMBER(INDEX('register map'!F:F,C113)),5,""),IF(ISNUMBER(INDEX('register map'!G:G,C113)),4,""),IF(ISNUMBER(INDEX('register map'!H:H,C113)),3,""),IF(ISNUMBER(INDEX('register map'!I:I,C113)),2,""),IF(ISNUMBER(INDEX('register map'!J:J,C113)),1,""),IF(ISNUMBER(INDEX('register map'!K:K,C113)),0,""))</f>
        <v>7654</v>
      </c>
      <c r="H113" s="117" t="str">
        <f>RIGHT(INDEX('register map'!V:V,MATCH('Logical Group Generator'!B113,'register map'!L:L,0)),LEN(G113))</f>
        <v>0010</v>
      </c>
      <c r="I113" s="117" t="str">
        <f>CONCATENATE(IF(ISNUMBER(INDEX('register map'!K:K,C113)),0,""),IF(ISNUMBER(INDEX('register map'!J:J,C113)),1,""),IF(ISNUMBER(INDEX('register map'!I:I,C113)),2,""),IF(ISNUMBER(INDEX('register map'!H:H,C113)),3,""),IF(ISNUMBER(INDEX('register map'!G:G,C113)),4,""),IF(ISNUMBER(INDEX('register map'!F:F,C113)),5,""),IF(ISNUMBER(INDEX('register map'!E:E,C113)),6,""),IF(ISNUMBER(INDEX('register map'!D:D,C113)),7,""))</f>
        <v>4567</v>
      </c>
      <c r="J113" s="117" t="str">
        <f t="shared" si="18"/>
        <v>0100</v>
      </c>
      <c r="K113" s="117" t="str">
        <f t="shared" si="11"/>
        <v/>
      </c>
      <c r="L113" s="117" t="str">
        <f t="shared" si="19"/>
        <v/>
      </c>
      <c r="M113" s="117" t="str">
        <f t="shared" si="21"/>
        <v/>
      </c>
      <c r="N113" s="117" t="str">
        <f>IF(ISBLANK(INDEX('register map'!M:M,'Logical Group Generator'!C113)),"No","Yes")</f>
        <v>No</v>
      </c>
      <c r="O113" s="117" t="str">
        <f>IF(NOT(ISBLANK(INDEX('register map'!N:N,'Logical Group Generator'!C113))),"Yes","")</f>
        <v/>
      </c>
      <c r="P113" s="117" t="str">
        <f t="shared" si="12"/>
        <v/>
      </c>
      <c r="Q113" s="117" t="str">
        <f t="shared" si="13"/>
        <v/>
      </c>
      <c r="R113" s="117" t="str">
        <f t="shared" si="14"/>
        <v/>
      </c>
      <c r="S113" s="117" t="str">
        <f t="shared" si="15"/>
        <v>No</v>
      </c>
      <c r="T113" s="117" t="str">
        <f t="shared" si="16"/>
        <v/>
      </c>
      <c r="U113" s="117" t="b">
        <f t="shared" si="20"/>
        <v>0</v>
      </c>
      <c r="V113" s="157" t="b">
        <f>INDEX('register map'!P:P,C113)="yes"</f>
        <v>1</v>
      </c>
      <c r="W113" s="157" t="str">
        <f t="shared" si="17"/>
        <v>FALSE</v>
      </c>
    </row>
    <row r="114" spans="2:23">
      <c r="B114" s="157" t="str">
        <f t="array" ref="B114">IF(ROWS($3:114)&lt;=COUNTA('register map'!$L$5:$L$902),INDEX('register map'!$L$5:$L$902,SMALL(IF('register map'!$L$5:$L$902&lt;&gt;"",ROW('register map'!$L$5:$L$902)-MIN(ROW('register map'!$L$5:$L$902))+1),ROWS($3:114))),"")</f>
        <v>LDOA3VID</v>
      </c>
      <c r="C114" s="157">
        <f>IF(B114="PART_NUMBER",IF(COUNTIF($B$1:B113,"PART_NUMBER")=0,6,8),MATCH(B114,'register map'!L:L,0))</f>
        <v>127</v>
      </c>
      <c r="D114" s="117" t="str">
        <f>IF(ISBLANK(INDEX('register map'!C:C,'Logical Group Generator'!C114)),"No","Yes")</f>
        <v>Yes</v>
      </c>
      <c r="E114" s="117" t="str">
        <f>IF(ISBLANK(INDEX('register map'!A:A,C114)),IF(ISBLANK(INDEX('register map'!A:A,C114-1)),IF(ISBLANK(INDEX('register map'!A:A,C114-2)),IF(ISBLANK(INDEX('register map'!A:A,C114-3)),IF(ISBLANK(INDEX('register map'!A:A,C114-4)),IF(ISBLANK(INDEX('register map'!A:A,C114-5)),IF(ISBLANK(INDEX('register map'!A:A,C114-6)),IF(ISBLANK(INDEX('register map'!A:A,C114-7)),IF(ISBLANK(INDEX('register map'!A:A,C114-8)),"ERROR",INDEX('register map'!A:A,C114-8)),INDEX('register map'!A:A,C114-7)),INDEX('register map'!A:A,C114-6)),INDEX('register map'!A:A,C114-5)),INDEX('register map'!A:A,C114-4)),INDEX('register map'!A:A,C114-3)),INDEX('register map'!A:A,C114-2)),INDEX('register map'!A:A,C114-1)),INDEX('register map'!A:A,C114))</f>
        <v>0x5E</v>
      </c>
      <c r="F114" s="117" t="str">
        <f>IF(ISBLANK(INDEX('register map'!B:B,C114)),IF(ISBLANK(INDEX('register map'!B:B,C114-1)),IF(ISBLANK(INDEX('register map'!B:B,C114-2)),IF(ISBLANK(INDEX('register map'!B:B,C114-3)),IF(ISBLANK(INDEX('register map'!B:B,C114-4)),IF(ISBLANK(INDEX('register map'!B:B,C114-5)),IF(ISBLANK(INDEX('register map'!B:B,C114-6)),IF(ISBLANK(INDEX('register map'!B:B,C114-7)),IF(ISBLANK(INDEX('register map'!B:B,C114-8)),"ERROR",INDEX('register map'!B:B,C114-8)),INDEX('register map'!B:B,C114-7)),INDEX('register map'!B:B,C114-6)),INDEX('register map'!B:B,C114-5)),INDEX('register map'!B:B,C114-4)),INDEX('register map'!B:B,C114-3)),INDEX('register map'!B:B,C114-2)),INDEX('register map'!B:B,C114-1)),INDEX('register map'!B:B,C114))</f>
        <v>0x9B</v>
      </c>
      <c r="G114" s="117" t="str">
        <f>CONCATENATE(IF(ISNUMBER(INDEX('register map'!D:D,C114)),7,""),IF(ISNUMBER(INDEX('register map'!E:E,C114)),6,""),IF(ISNUMBER(INDEX('register map'!F:F,C114)),5,""),IF(ISNUMBER(INDEX('register map'!G:G,C114)),4,""),IF(ISNUMBER(INDEX('register map'!H:H,C114)),3,""),IF(ISNUMBER(INDEX('register map'!I:I,C114)),2,""),IF(ISNUMBER(INDEX('register map'!J:J,C114)),1,""),IF(ISNUMBER(INDEX('register map'!K:K,C114)),0,""))</f>
        <v/>
      </c>
      <c r="H114" s="117" t="str">
        <f>RIGHT(INDEX('register map'!V:V,MATCH('Logical Group Generator'!B114,'register map'!L:L,0)),LEN(G114))</f>
        <v/>
      </c>
      <c r="I114" s="117" t="str">
        <f>CONCATENATE(IF(ISNUMBER(INDEX('register map'!K:K,C114)),0,""),IF(ISNUMBER(INDEX('register map'!J:J,C114)),1,""),IF(ISNUMBER(INDEX('register map'!I:I,C114)),2,""),IF(ISNUMBER(INDEX('register map'!H:H,C114)),3,""),IF(ISNUMBER(INDEX('register map'!G:G,C114)),4,""),IF(ISNUMBER(INDEX('register map'!F:F,C114)),5,""),IF(ISNUMBER(INDEX('register map'!E:E,C114)),6,""),IF(ISNUMBER(INDEX('register map'!D:D,C114)),7,""))</f>
        <v/>
      </c>
      <c r="J114" s="117" t="str">
        <f t="shared" si="18"/>
        <v/>
      </c>
      <c r="K114" s="117" t="str">
        <f t="shared" si="11"/>
        <v>10111011</v>
      </c>
      <c r="L114" s="117" t="str">
        <f t="shared" si="19"/>
        <v>11011101</v>
      </c>
      <c r="M114" s="117" t="str">
        <f t="shared" si="21"/>
        <v>DD</v>
      </c>
      <c r="N114" s="117" t="str">
        <f>IF(ISBLANK(INDEX('register map'!M:M,'Logical Group Generator'!C114)),"No","Yes")</f>
        <v>No</v>
      </c>
      <c r="O114" s="117" t="str">
        <f>IF(NOT(ISBLANK(INDEX('register map'!N:N,'Logical Group Generator'!C114))),"Yes","")</f>
        <v/>
      </c>
      <c r="P114" s="117" t="str">
        <f t="shared" si="12"/>
        <v>No</v>
      </c>
      <c r="Q114" s="117" t="str">
        <f t="shared" si="13"/>
        <v>No</v>
      </c>
      <c r="R114" s="117" t="str">
        <f t="shared" si="14"/>
        <v>No</v>
      </c>
      <c r="S114" s="117" t="str">
        <f t="shared" si="15"/>
        <v/>
      </c>
      <c r="T114" s="117" t="b">
        <f t="shared" si="16"/>
        <v>1</v>
      </c>
      <c r="U114" s="117" t="b">
        <f t="shared" si="20"/>
        <v>1</v>
      </c>
      <c r="V114" s="157" t="b">
        <f>INDEX('register map'!P:P,C114)="yes"</f>
        <v>1</v>
      </c>
      <c r="W114" s="157" t="str">
        <f t="shared" si="17"/>
        <v>REGISTER</v>
      </c>
    </row>
    <row r="115" spans="2:23">
      <c r="B115" s="157" t="str">
        <f t="array" ref="B115">IF(ROWS($3:115)&lt;=COUNTA('register map'!$L$5:$L$902),INDEX('register map'!$L$5:$L$902,SMALL(IF('register map'!$L$5:$L$902&lt;&gt;"",ROW('register map'!$L$5:$L$902)-MIN(ROW('register map'!$L$5:$L$902))+1),ROWS($3:115))),"")</f>
        <v>LDOA3_VID</v>
      </c>
      <c r="C115" s="157">
        <f>IF(B115="PART_NUMBER",IF(COUNTIF($B$1:B114,"PART_NUMBER")=0,6,8),MATCH(B115,'register map'!L:L,0))</f>
        <v>128</v>
      </c>
      <c r="D115" s="117" t="str">
        <f>IF(ISBLANK(INDEX('register map'!C:C,'Logical Group Generator'!C115)),"No","Yes")</f>
        <v>No</v>
      </c>
      <c r="E115" s="117" t="str">
        <f>IF(ISBLANK(INDEX('register map'!A:A,C115)),IF(ISBLANK(INDEX('register map'!A:A,C115-1)),IF(ISBLANK(INDEX('register map'!A:A,C115-2)),IF(ISBLANK(INDEX('register map'!A:A,C115-3)),IF(ISBLANK(INDEX('register map'!A:A,C115-4)),IF(ISBLANK(INDEX('register map'!A:A,C115-5)),IF(ISBLANK(INDEX('register map'!A:A,C115-6)),IF(ISBLANK(INDEX('register map'!A:A,C115-7)),IF(ISBLANK(INDEX('register map'!A:A,C115-8)),"ERROR",INDEX('register map'!A:A,C115-8)),INDEX('register map'!A:A,C115-7)),INDEX('register map'!A:A,C115-6)),INDEX('register map'!A:A,C115-5)),INDEX('register map'!A:A,C115-4)),INDEX('register map'!A:A,C115-3)),INDEX('register map'!A:A,C115-2)),INDEX('register map'!A:A,C115-1)),INDEX('register map'!A:A,C115))</f>
        <v>0x5E</v>
      </c>
      <c r="F115" s="117" t="str">
        <f>IF(ISBLANK(INDEX('register map'!B:B,C115)),IF(ISBLANK(INDEX('register map'!B:B,C115-1)),IF(ISBLANK(INDEX('register map'!B:B,C115-2)),IF(ISBLANK(INDEX('register map'!B:B,C115-3)),IF(ISBLANK(INDEX('register map'!B:B,C115-4)),IF(ISBLANK(INDEX('register map'!B:B,C115-5)),IF(ISBLANK(INDEX('register map'!B:B,C115-6)),IF(ISBLANK(INDEX('register map'!B:B,C115-7)),IF(ISBLANK(INDEX('register map'!B:B,C115-8)),"ERROR",INDEX('register map'!B:B,C115-8)),INDEX('register map'!B:B,C115-7)),INDEX('register map'!B:B,C115-6)),INDEX('register map'!B:B,C115-5)),INDEX('register map'!B:B,C115-4)),INDEX('register map'!B:B,C115-3)),INDEX('register map'!B:B,C115-2)),INDEX('register map'!B:B,C115-1)),INDEX('register map'!B:B,C115))</f>
        <v>0x9B</v>
      </c>
      <c r="G115" s="117" t="str">
        <f>CONCATENATE(IF(ISNUMBER(INDEX('register map'!D:D,C115)),7,""),IF(ISNUMBER(INDEX('register map'!E:E,C115)),6,""),IF(ISNUMBER(INDEX('register map'!F:F,C115)),5,""),IF(ISNUMBER(INDEX('register map'!G:G,C115)),4,""),IF(ISNUMBER(INDEX('register map'!H:H,C115)),3,""),IF(ISNUMBER(INDEX('register map'!I:I,C115)),2,""),IF(ISNUMBER(INDEX('register map'!J:J,C115)),1,""),IF(ISNUMBER(INDEX('register map'!K:K,C115)),0,""))</f>
        <v>3210</v>
      </c>
      <c r="H115" s="117" t="str">
        <f>RIGHT(INDEX('register map'!V:V,MATCH('Logical Group Generator'!B115,'register map'!L:L,0)),LEN(G115))</f>
        <v>1101</v>
      </c>
      <c r="I115" s="117" t="str">
        <f>CONCATENATE(IF(ISNUMBER(INDEX('register map'!K:K,C115)),0,""),IF(ISNUMBER(INDEX('register map'!J:J,C115)),1,""),IF(ISNUMBER(INDEX('register map'!I:I,C115)),2,""),IF(ISNUMBER(INDEX('register map'!H:H,C115)),3,""),IF(ISNUMBER(INDEX('register map'!G:G,C115)),4,""),IF(ISNUMBER(INDEX('register map'!F:F,C115)),5,""),IF(ISNUMBER(INDEX('register map'!E:E,C115)),6,""),IF(ISNUMBER(INDEX('register map'!D:D,C115)),7,""))</f>
        <v>0123</v>
      </c>
      <c r="J115" s="117" t="str">
        <f t="shared" si="18"/>
        <v>1011</v>
      </c>
      <c r="K115" s="117" t="str">
        <f t="shared" si="11"/>
        <v/>
      </c>
      <c r="L115" s="117" t="str">
        <f t="shared" si="19"/>
        <v/>
      </c>
      <c r="M115" s="117" t="str">
        <f t="shared" si="21"/>
        <v/>
      </c>
      <c r="N115" s="117" t="str">
        <f>IF(ISBLANK(INDEX('register map'!M:M,'Logical Group Generator'!C115)),"No","Yes")</f>
        <v>No</v>
      </c>
      <c r="O115" s="117" t="str">
        <f>IF(NOT(ISBLANK(INDEX('register map'!N:N,'Logical Group Generator'!C115))),"Yes","")</f>
        <v/>
      </c>
      <c r="P115" s="117" t="str">
        <f t="shared" si="12"/>
        <v/>
      </c>
      <c r="Q115" s="117" t="str">
        <f t="shared" si="13"/>
        <v/>
      </c>
      <c r="R115" s="117" t="str">
        <f t="shared" si="14"/>
        <v/>
      </c>
      <c r="S115" s="117" t="str">
        <f t="shared" si="15"/>
        <v>No</v>
      </c>
      <c r="T115" s="117" t="str">
        <f t="shared" si="16"/>
        <v/>
      </c>
      <c r="U115" s="117" t="b">
        <f t="shared" si="20"/>
        <v>0</v>
      </c>
      <c r="V115" s="157" t="b">
        <f>INDEX('register map'!P:P,C115)="yes"</f>
        <v>1</v>
      </c>
      <c r="W115" s="157" t="str">
        <f t="shared" si="17"/>
        <v>FALSE</v>
      </c>
    </row>
    <row r="116" spans="2:23">
      <c r="B116" s="157" t="str">
        <f t="array" ref="B116">IF(ROWS($3:116)&lt;=COUNTA('register map'!$L$5:$L$902),INDEX('register map'!$L$5:$L$902,SMALL(IF('register map'!$L$5:$L$902&lt;&gt;"",ROW('register map'!$L$5:$L$902)-MIN(ROW('register map'!$L$5:$L$902))+1),ROWS($3:116))),"")</f>
        <v>LDOA3_SLP_VID</v>
      </c>
      <c r="C116" s="157">
        <f>IF(B116="PART_NUMBER",IF(COUNTIF($B$1:B115,"PART_NUMBER")=0,6,8),MATCH(B116,'register map'!L:L,0))</f>
        <v>129</v>
      </c>
      <c r="D116" s="117" t="str">
        <f>IF(ISBLANK(INDEX('register map'!C:C,'Logical Group Generator'!C116)),"No","Yes")</f>
        <v>No</v>
      </c>
      <c r="E116" s="117" t="str">
        <f>IF(ISBLANK(INDEX('register map'!A:A,C116)),IF(ISBLANK(INDEX('register map'!A:A,C116-1)),IF(ISBLANK(INDEX('register map'!A:A,C116-2)),IF(ISBLANK(INDEX('register map'!A:A,C116-3)),IF(ISBLANK(INDEX('register map'!A:A,C116-4)),IF(ISBLANK(INDEX('register map'!A:A,C116-5)),IF(ISBLANK(INDEX('register map'!A:A,C116-6)),IF(ISBLANK(INDEX('register map'!A:A,C116-7)),IF(ISBLANK(INDEX('register map'!A:A,C116-8)),"ERROR",INDEX('register map'!A:A,C116-8)),INDEX('register map'!A:A,C116-7)),INDEX('register map'!A:A,C116-6)),INDEX('register map'!A:A,C116-5)),INDEX('register map'!A:A,C116-4)),INDEX('register map'!A:A,C116-3)),INDEX('register map'!A:A,C116-2)),INDEX('register map'!A:A,C116-1)),INDEX('register map'!A:A,C116))</f>
        <v>0x5E</v>
      </c>
      <c r="F116" s="117" t="str">
        <f>IF(ISBLANK(INDEX('register map'!B:B,C116)),IF(ISBLANK(INDEX('register map'!B:B,C116-1)),IF(ISBLANK(INDEX('register map'!B:B,C116-2)),IF(ISBLANK(INDEX('register map'!B:B,C116-3)),IF(ISBLANK(INDEX('register map'!B:B,C116-4)),IF(ISBLANK(INDEX('register map'!B:B,C116-5)),IF(ISBLANK(INDEX('register map'!B:B,C116-6)),IF(ISBLANK(INDEX('register map'!B:B,C116-7)),IF(ISBLANK(INDEX('register map'!B:B,C116-8)),"ERROR",INDEX('register map'!B:B,C116-8)),INDEX('register map'!B:B,C116-7)),INDEX('register map'!B:B,C116-6)),INDEX('register map'!B:B,C116-5)),INDEX('register map'!B:B,C116-4)),INDEX('register map'!B:B,C116-3)),INDEX('register map'!B:B,C116-2)),INDEX('register map'!B:B,C116-1)),INDEX('register map'!B:B,C116))</f>
        <v>0x9B</v>
      </c>
      <c r="G116" s="117" t="str">
        <f>CONCATENATE(IF(ISNUMBER(INDEX('register map'!D:D,C116)),7,""),IF(ISNUMBER(INDEX('register map'!E:E,C116)),6,""),IF(ISNUMBER(INDEX('register map'!F:F,C116)),5,""),IF(ISNUMBER(INDEX('register map'!G:G,C116)),4,""),IF(ISNUMBER(INDEX('register map'!H:H,C116)),3,""),IF(ISNUMBER(INDEX('register map'!I:I,C116)),2,""),IF(ISNUMBER(INDEX('register map'!J:J,C116)),1,""),IF(ISNUMBER(INDEX('register map'!K:K,C116)),0,""))</f>
        <v>7654</v>
      </c>
      <c r="H116" s="117" t="str">
        <f>RIGHT(INDEX('register map'!V:V,MATCH('Logical Group Generator'!B116,'register map'!L:L,0)),LEN(G116))</f>
        <v>1101</v>
      </c>
      <c r="I116" s="117" t="str">
        <f>CONCATENATE(IF(ISNUMBER(INDEX('register map'!K:K,C116)),0,""),IF(ISNUMBER(INDEX('register map'!J:J,C116)),1,""),IF(ISNUMBER(INDEX('register map'!I:I,C116)),2,""),IF(ISNUMBER(INDEX('register map'!H:H,C116)),3,""),IF(ISNUMBER(INDEX('register map'!G:G,C116)),4,""),IF(ISNUMBER(INDEX('register map'!F:F,C116)),5,""),IF(ISNUMBER(INDEX('register map'!E:E,C116)),6,""),IF(ISNUMBER(INDEX('register map'!D:D,C116)),7,""))</f>
        <v>4567</v>
      </c>
      <c r="J116" s="117" t="str">
        <f t="shared" si="18"/>
        <v>1011</v>
      </c>
      <c r="K116" s="117" t="str">
        <f t="shared" si="11"/>
        <v/>
      </c>
      <c r="L116" s="117" t="str">
        <f t="shared" si="19"/>
        <v/>
      </c>
      <c r="M116" s="117" t="str">
        <f t="shared" si="21"/>
        <v/>
      </c>
      <c r="N116" s="117" t="str">
        <f>IF(ISBLANK(INDEX('register map'!M:M,'Logical Group Generator'!C116)),"No","Yes")</f>
        <v>No</v>
      </c>
      <c r="O116" s="117" t="str">
        <f>IF(NOT(ISBLANK(INDEX('register map'!N:N,'Logical Group Generator'!C116))),"Yes","")</f>
        <v/>
      </c>
      <c r="P116" s="117" t="str">
        <f t="shared" si="12"/>
        <v/>
      </c>
      <c r="Q116" s="117" t="str">
        <f t="shared" si="13"/>
        <v/>
      </c>
      <c r="R116" s="117" t="str">
        <f t="shared" si="14"/>
        <v/>
      </c>
      <c r="S116" s="117" t="str">
        <f t="shared" si="15"/>
        <v>No</v>
      </c>
      <c r="T116" s="117" t="str">
        <f t="shared" si="16"/>
        <v/>
      </c>
      <c r="U116" s="117" t="b">
        <f t="shared" si="20"/>
        <v>0</v>
      </c>
      <c r="V116" s="157" t="b">
        <f>INDEX('register map'!P:P,C116)="yes"</f>
        <v>1</v>
      </c>
      <c r="W116" s="157" t="str">
        <f t="shared" si="17"/>
        <v>FALSE</v>
      </c>
    </row>
    <row r="117" spans="2:23">
      <c r="B117" s="157" t="str">
        <f t="array" ref="B117">IF(ROWS($3:117)&lt;=COUNTA('register map'!$L$5:$L$902),INDEX('register map'!$L$5:$L$902,SMALL(IF('register map'!$L$5:$L$902&lt;&gt;"",ROW('register map'!$L$5:$L$902)-MIN(ROW('register map'!$L$5:$L$902))+1),ROWS($3:117))),"")</f>
        <v>BUCK123CTRL</v>
      </c>
      <c r="C117" s="157">
        <f>IF(B117="PART_NUMBER",IF(COUNTIF($B$1:B116,"PART_NUMBER")=0,6,8),MATCH(B117,'register map'!L:L,0))</f>
        <v>130</v>
      </c>
      <c r="D117" s="117" t="str">
        <f>IF(ISBLANK(INDEX('register map'!C:C,'Logical Group Generator'!C117)),"No","Yes")</f>
        <v>Yes</v>
      </c>
      <c r="E117" s="117" t="str">
        <f>IF(ISBLANK(INDEX('register map'!A:A,C117)),IF(ISBLANK(INDEX('register map'!A:A,C117-1)),IF(ISBLANK(INDEX('register map'!A:A,C117-2)),IF(ISBLANK(INDEX('register map'!A:A,C117-3)),IF(ISBLANK(INDEX('register map'!A:A,C117-4)),IF(ISBLANK(INDEX('register map'!A:A,C117-5)),IF(ISBLANK(INDEX('register map'!A:A,C117-6)),IF(ISBLANK(INDEX('register map'!A:A,C117-7)),IF(ISBLANK(INDEX('register map'!A:A,C117-8)),"ERROR",INDEX('register map'!A:A,C117-8)),INDEX('register map'!A:A,C117-7)),INDEX('register map'!A:A,C117-6)),INDEX('register map'!A:A,C117-5)),INDEX('register map'!A:A,C117-4)),INDEX('register map'!A:A,C117-3)),INDEX('register map'!A:A,C117-2)),INDEX('register map'!A:A,C117-1)),INDEX('register map'!A:A,C117))</f>
        <v>0x5E</v>
      </c>
      <c r="F117" s="117" t="str">
        <f>IF(ISBLANK(INDEX('register map'!B:B,C117)),IF(ISBLANK(INDEX('register map'!B:B,C117-1)),IF(ISBLANK(INDEX('register map'!B:B,C117-2)),IF(ISBLANK(INDEX('register map'!B:B,C117-3)),IF(ISBLANK(INDEX('register map'!B:B,C117-4)),IF(ISBLANK(INDEX('register map'!B:B,C117-5)),IF(ISBLANK(INDEX('register map'!B:B,C117-6)),IF(ISBLANK(INDEX('register map'!B:B,C117-7)),IF(ISBLANK(INDEX('register map'!B:B,C117-8)),"ERROR",INDEX('register map'!B:B,C117-8)),INDEX('register map'!B:B,C117-7)),INDEX('register map'!B:B,C117-6)),INDEX('register map'!B:B,C117-5)),INDEX('register map'!B:B,C117-4)),INDEX('register map'!B:B,C117-3)),INDEX('register map'!B:B,C117-2)),INDEX('register map'!B:B,C117-1)),INDEX('register map'!B:B,C117))</f>
        <v>0x9C</v>
      </c>
      <c r="G117" s="117" t="str">
        <f>CONCATENATE(IF(ISNUMBER(INDEX('register map'!D:D,C117)),7,""),IF(ISNUMBER(INDEX('register map'!E:E,C117)),6,""),IF(ISNUMBER(INDEX('register map'!F:F,C117)),5,""),IF(ISNUMBER(INDEX('register map'!G:G,C117)),4,""),IF(ISNUMBER(INDEX('register map'!H:H,C117)),3,""),IF(ISNUMBER(INDEX('register map'!I:I,C117)),2,""),IF(ISNUMBER(INDEX('register map'!J:J,C117)),1,""),IF(ISNUMBER(INDEX('register map'!K:K,C117)),0,""))</f>
        <v/>
      </c>
      <c r="H117" s="117" t="str">
        <f>RIGHT(INDEX('register map'!V:V,MATCH('Logical Group Generator'!B117,'register map'!L:L,0)),LEN(G117))</f>
        <v/>
      </c>
      <c r="I117" s="117" t="str">
        <f>CONCATENATE(IF(ISNUMBER(INDEX('register map'!K:K,C117)),0,""),IF(ISNUMBER(INDEX('register map'!J:J,C117)),1,""),IF(ISNUMBER(INDEX('register map'!I:I,C117)),2,""),IF(ISNUMBER(INDEX('register map'!H:H,C117)),3,""),IF(ISNUMBER(INDEX('register map'!G:G,C117)),4,""),IF(ISNUMBER(INDEX('register map'!F:F,C117)),5,""),IF(ISNUMBER(INDEX('register map'!E:E,C117)),6,""),IF(ISNUMBER(INDEX('register map'!D:D,C117)),7,""))</f>
        <v/>
      </c>
      <c r="J117" s="117" t="str">
        <f t="shared" si="18"/>
        <v/>
      </c>
      <c r="K117" s="117" t="str">
        <f t="shared" si="11"/>
        <v>11111100</v>
      </c>
      <c r="L117" s="117" t="str">
        <f t="shared" si="19"/>
        <v>00111111</v>
      </c>
      <c r="M117" s="117" t="str">
        <f t="shared" si="21"/>
        <v>3F</v>
      </c>
      <c r="N117" s="117" t="str">
        <f>IF(ISBLANK(INDEX('register map'!M:M,'Logical Group Generator'!C117)),"No","Yes")</f>
        <v>No</v>
      </c>
      <c r="O117" s="117" t="str">
        <f>IF(NOT(ISBLANK(INDEX('register map'!N:N,'Logical Group Generator'!C117))),"Yes","")</f>
        <v/>
      </c>
      <c r="P117" s="117" t="str">
        <f t="shared" si="12"/>
        <v>No</v>
      </c>
      <c r="Q117" s="117" t="str">
        <f t="shared" si="13"/>
        <v>No</v>
      </c>
      <c r="R117" s="117" t="str">
        <f t="shared" si="14"/>
        <v>No</v>
      </c>
      <c r="S117" s="117" t="str">
        <f t="shared" si="15"/>
        <v/>
      </c>
      <c r="T117" s="117" t="b">
        <f t="shared" si="16"/>
        <v>1</v>
      </c>
      <c r="U117" s="117" t="b">
        <f t="shared" si="20"/>
        <v>1</v>
      </c>
      <c r="V117" s="157" t="b">
        <f>INDEX('register map'!P:P,C117)="yes"</f>
        <v>1</v>
      </c>
      <c r="W117" s="157" t="str">
        <f t="shared" si="17"/>
        <v>REGISTER</v>
      </c>
    </row>
    <row r="118" spans="2:23">
      <c r="B118" s="157" t="str">
        <f t="array" ref="B118">IF(ROWS($3:118)&lt;=COUNTA('register map'!$L$5:$L$902),INDEX('register map'!$L$5:$L$902,SMALL(IF('register map'!$L$5:$L$902&lt;&gt;"",ROW('register map'!$L$5:$L$902)-MIN(ROW('register map'!$L$5:$L$902))+1),ROWS($3:118))),"")</f>
        <v>BUCK1_DIS</v>
      </c>
      <c r="C118" s="157">
        <f>IF(B118="PART_NUMBER",IF(COUNTIF($B$1:B117,"PART_NUMBER")=0,6,8),MATCH(B118,'register map'!L:L,0))</f>
        <v>131</v>
      </c>
      <c r="D118" s="117" t="str">
        <f>IF(ISBLANK(INDEX('register map'!C:C,'Logical Group Generator'!C118)),"No","Yes")</f>
        <v>No</v>
      </c>
      <c r="E118" s="117" t="str">
        <f>IF(ISBLANK(INDEX('register map'!A:A,C118)),IF(ISBLANK(INDEX('register map'!A:A,C118-1)),IF(ISBLANK(INDEX('register map'!A:A,C118-2)),IF(ISBLANK(INDEX('register map'!A:A,C118-3)),IF(ISBLANK(INDEX('register map'!A:A,C118-4)),IF(ISBLANK(INDEX('register map'!A:A,C118-5)),IF(ISBLANK(INDEX('register map'!A:A,C118-6)),IF(ISBLANK(INDEX('register map'!A:A,C118-7)),IF(ISBLANK(INDEX('register map'!A:A,C118-8)),"ERROR",INDEX('register map'!A:A,C118-8)),INDEX('register map'!A:A,C118-7)),INDEX('register map'!A:A,C118-6)),INDEX('register map'!A:A,C118-5)),INDEX('register map'!A:A,C118-4)),INDEX('register map'!A:A,C118-3)),INDEX('register map'!A:A,C118-2)),INDEX('register map'!A:A,C118-1)),INDEX('register map'!A:A,C118))</f>
        <v>0x5E</v>
      </c>
      <c r="F118" s="117" t="str">
        <f>IF(ISBLANK(INDEX('register map'!B:B,C118)),IF(ISBLANK(INDEX('register map'!B:B,C118-1)),IF(ISBLANK(INDEX('register map'!B:B,C118-2)),IF(ISBLANK(INDEX('register map'!B:B,C118-3)),IF(ISBLANK(INDEX('register map'!B:B,C118-4)),IF(ISBLANK(INDEX('register map'!B:B,C118-5)),IF(ISBLANK(INDEX('register map'!B:B,C118-6)),IF(ISBLANK(INDEX('register map'!B:B,C118-7)),IF(ISBLANK(INDEX('register map'!B:B,C118-8)),"ERROR",INDEX('register map'!B:B,C118-8)),INDEX('register map'!B:B,C118-7)),INDEX('register map'!B:B,C118-6)),INDEX('register map'!B:B,C118-5)),INDEX('register map'!B:B,C118-4)),INDEX('register map'!B:B,C118-3)),INDEX('register map'!B:B,C118-2)),INDEX('register map'!B:B,C118-1)),INDEX('register map'!B:B,C118))</f>
        <v>0x9C</v>
      </c>
      <c r="G118" s="117" t="str">
        <f>CONCATENATE(IF(ISNUMBER(INDEX('register map'!D:D,C118)),7,""),IF(ISNUMBER(INDEX('register map'!E:E,C118)),6,""),IF(ISNUMBER(INDEX('register map'!F:F,C118)),5,""),IF(ISNUMBER(INDEX('register map'!G:G,C118)),4,""),IF(ISNUMBER(INDEX('register map'!H:H,C118)),3,""),IF(ISNUMBER(INDEX('register map'!I:I,C118)),2,""),IF(ISNUMBER(INDEX('register map'!J:J,C118)),1,""),IF(ISNUMBER(INDEX('register map'!K:K,C118)),0,""))</f>
        <v>0</v>
      </c>
      <c r="H118" s="117" t="str">
        <f>RIGHT(INDEX('register map'!V:V,MATCH('Logical Group Generator'!B118,'register map'!L:L,0)),LEN(G118))</f>
        <v>1</v>
      </c>
      <c r="I118" s="117" t="str">
        <f>CONCATENATE(IF(ISNUMBER(INDEX('register map'!K:K,C118)),0,""),IF(ISNUMBER(INDEX('register map'!J:J,C118)),1,""),IF(ISNUMBER(INDEX('register map'!I:I,C118)),2,""),IF(ISNUMBER(INDEX('register map'!H:H,C118)),3,""),IF(ISNUMBER(INDEX('register map'!G:G,C118)),4,""),IF(ISNUMBER(INDEX('register map'!F:F,C118)),5,""),IF(ISNUMBER(INDEX('register map'!E:E,C118)),6,""),IF(ISNUMBER(INDEX('register map'!D:D,C118)),7,""))</f>
        <v>0</v>
      </c>
      <c r="J118" s="117" t="str">
        <f t="shared" si="18"/>
        <v>1</v>
      </c>
      <c r="K118" s="117" t="str">
        <f t="shared" si="11"/>
        <v/>
      </c>
      <c r="L118" s="117" t="str">
        <f t="shared" si="19"/>
        <v/>
      </c>
      <c r="M118" s="117" t="str">
        <f t="shared" si="21"/>
        <v/>
      </c>
      <c r="N118" s="117" t="str">
        <f>IF(ISBLANK(INDEX('register map'!M:M,'Logical Group Generator'!C118)),"No","Yes")</f>
        <v>No</v>
      </c>
      <c r="O118" s="117" t="str">
        <f>IF(NOT(ISBLANK(INDEX('register map'!N:N,'Logical Group Generator'!C118))),"Yes","")</f>
        <v/>
      </c>
      <c r="P118" s="117" t="str">
        <f t="shared" si="12"/>
        <v/>
      </c>
      <c r="Q118" s="117" t="str">
        <f t="shared" si="13"/>
        <v/>
      </c>
      <c r="R118" s="117" t="str">
        <f t="shared" si="14"/>
        <v/>
      </c>
      <c r="S118" s="117" t="str">
        <f t="shared" si="15"/>
        <v>No</v>
      </c>
      <c r="T118" s="117" t="str">
        <f t="shared" si="16"/>
        <v/>
      </c>
      <c r="U118" s="117" t="b">
        <f t="shared" si="20"/>
        <v>0</v>
      </c>
      <c r="V118" s="157" t="b">
        <f>INDEX('register map'!P:P,C118)="yes"</f>
        <v>1</v>
      </c>
      <c r="W118" s="157" t="str">
        <f t="shared" si="17"/>
        <v>FALSE</v>
      </c>
    </row>
    <row r="119" spans="2:23">
      <c r="B119" s="157" t="str">
        <f t="array" ref="B119">IF(ROWS($3:119)&lt;=COUNTA('register map'!$L$5:$L$902),INDEX('register map'!$L$5:$L$902,SMALL(IF('register map'!$L$5:$L$902&lt;&gt;"",ROW('register map'!$L$5:$L$902)-MIN(ROW('register map'!$L$5:$L$902))+1),ROWS($3:119))),"")</f>
        <v>BUCK2_DIS</v>
      </c>
      <c r="C119" s="157">
        <f>IF(B119="PART_NUMBER",IF(COUNTIF($B$1:B118,"PART_NUMBER")=0,6,8),MATCH(B119,'register map'!L:L,0))</f>
        <v>132</v>
      </c>
      <c r="D119" s="117" t="str">
        <f>IF(ISBLANK(INDEX('register map'!C:C,'Logical Group Generator'!C119)),"No","Yes")</f>
        <v>No</v>
      </c>
      <c r="E119" s="117" t="str">
        <f>IF(ISBLANK(INDEX('register map'!A:A,C119)),IF(ISBLANK(INDEX('register map'!A:A,C119-1)),IF(ISBLANK(INDEX('register map'!A:A,C119-2)),IF(ISBLANK(INDEX('register map'!A:A,C119-3)),IF(ISBLANK(INDEX('register map'!A:A,C119-4)),IF(ISBLANK(INDEX('register map'!A:A,C119-5)),IF(ISBLANK(INDEX('register map'!A:A,C119-6)),IF(ISBLANK(INDEX('register map'!A:A,C119-7)),IF(ISBLANK(INDEX('register map'!A:A,C119-8)),"ERROR",INDEX('register map'!A:A,C119-8)),INDEX('register map'!A:A,C119-7)),INDEX('register map'!A:A,C119-6)),INDEX('register map'!A:A,C119-5)),INDEX('register map'!A:A,C119-4)),INDEX('register map'!A:A,C119-3)),INDEX('register map'!A:A,C119-2)),INDEX('register map'!A:A,C119-1)),INDEX('register map'!A:A,C119))</f>
        <v>0x5E</v>
      </c>
      <c r="F119" s="117" t="str">
        <f>IF(ISBLANK(INDEX('register map'!B:B,C119)),IF(ISBLANK(INDEX('register map'!B:B,C119-1)),IF(ISBLANK(INDEX('register map'!B:B,C119-2)),IF(ISBLANK(INDEX('register map'!B:B,C119-3)),IF(ISBLANK(INDEX('register map'!B:B,C119-4)),IF(ISBLANK(INDEX('register map'!B:B,C119-5)),IF(ISBLANK(INDEX('register map'!B:B,C119-6)),IF(ISBLANK(INDEX('register map'!B:B,C119-7)),IF(ISBLANK(INDEX('register map'!B:B,C119-8)),"ERROR",INDEX('register map'!B:B,C119-8)),INDEX('register map'!B:B,C119-7)),INDEX('register map'!B:B,C119-6)),INDEX('register map'!B:B,C119-5)),INDEX('register map'!B:B,C119-4)),INDEX('register map'!B:B,C119-3)),INDEX('register map'!B:B,C119-2)),INDEX('register map'!B:B,C119-1)),INDEX('register map'!B:B,C119))</f>
        <v>0x9C</v>
      </c>
      <c r="G119" s="117" t="str">
        <f>CONCATENATE(IF(ISNUMBER(INDEX('register map'!D:D,C119)),7,""),IF(ISNUMBER(INDEX('register map'!E:E,C119)),6,""),IF(ISNUMBER(INDEX('register map'!F:F,C119)),5,""),IF(ISNUMBER(INDEX('register map'!G:G,C119)),4,""),IF(ISNUMBER(INDEX('register map'!H:H,C119)),3,""),IF(ISNUMBER(INDEX('register map'!I:I,C119)),2,""),IF(ISNUMBER(INDEX('register map'!J:J,C119)),1,""),IF(ISNUMBER(INDEX('register map'!K:K,C119)),0,""))</f>
        <v>1</v>
      </c>
      <c r="H119" s="117" t="str">
        <f>RIGHT(INDEX('register map'!V:V,MATCH('Logical Group Generator'!B119,'register map'!L:L,0)),LEN(G119))</f>
        <v>1</v>
      </c>
      <c r="I119" s="117" t="str">
        <f>CONCATENATE(IF(ISNUMBER(INDEX('register map'!K:K,C119)),0,""),IF(ISNUMBER(INDEX('register map'!J:J,C119)),1,""),IF(ISNUMBER(INDEX('register map'!I:I,C119)),2,""),IF(ISNUMBER(INDEX('register map'!H:H,C119)),3,""),IF(ISNUMBER(INDEX('register map'!G:G,C119)),4,""),IF(ISNUMBER(INDEX('register map'!F:F,C119)),5,""),IF(ISNUMBER(INDEX('register map'!E:E,C119)),6,""),IF(ISNUMBER(INDEX('register map'!D:D,C119)),7,""))</f>
        <v>1</v>
      </c>
      <c r="J119" s="117" t="str">
        <f t="shared" si="18"/>
        <v>1</v>
      </c>
      <c r="K119" s="117" t="str">
        <f t="shared" si="11"/>
        <v/>
      </c>
      <c r="L119" s="117" t="str">
        <f t="shared" si="19"/>
        <v/>
      </c>
      <c r="M119" s="117" t="str">
        <f t="shared" si="21"/>
        <v/>
      </c>
      <c r="N119" s="117" t="str">
        <f>IF(ISBLANK(INDEX('register map'!M:M,'Logical Group Generator'!C119)),"No","Yes")</f>
        <v>No</v>
      </c>
      <c r="O119" s="117" t="str">
        <f>IF(NOT(ISBLANK(INDEX('register map'!N:N,'Logical Group Generator'!C119))),"Yes","")</f>
        <v/>
      </c>
      <c r="P119" s="117" t="str">
        <f t="shared" si="12"/>
        <v/>
      </c>
      <c r="Q119" s="117" t="str">
        <f t="shared" si="13"/>
        <v/>
      </c>
      <c r="R119" s="117" t="str">
        <f t="shared" si="14"/>
        <v/>
      </c>
      <c r="S119" s="117" t="str">
        <f t="shared" si="15"/>
        <v>No</v>
      </c>
      <c r="T119" s="117" t="str">
        <f t="shared" si="16"/>
        <v/>
      </c>
      <c r="U119" s="117" t="b">
        <f t="shared" si="20"/>
        <v>0</v>
      </c>
      <c r="V119" s="157" t="b">
        <f>INDEX('register map'!P:P,C119)="yes"</f>
        <v>1</v>
      </c>
      <c r="W119" s="157" t="str">
        <f t="shared" si="17"/>
        <v>FALSE</v>
      </c>
    </row>
    <row r="120" spans="2:23">
      <c r="B120" s="157" t="str">
        <f t="array" ref="B120">IF(ROWS($3:120)&lt;=COUNTA('register map'!$L$5:$L$902),INDEX('register map'!$L$5:$L$902,SMALL(IF('register map'!$L$5:$L$902&lt;&gt;"",ROW('register map'!$L$5:$L$902)-MIN(ROW('register map'!$L$5:$L$902))+1),ROWS($3:120))),"")</f>
        <v>BUCK3_DIS</v>
      </c>
      <c r="C120" s="157">
        <f>IF(B120="PART_NUMBER",IF(COUNTIF($B$1:B119,"PART_NUMBER")=0,6,8),MATCH(B120,'register map'!L:L,0))</f>
        <v>133</v>
      </c>
      <c r="D120" s="117" t="str">
        <f>IF(ISBLANK(INDEX('register map'!C:C,'Logical Group Generator'!C120)),"No","Yes")</f>
        <v>No</v>
      </c>
      <c r="E120" s="117" t="str">
        <f>IF(ISBLANK(INDEX('register map'!A:A,C120)),IF(ISBLANK(INDEX('register map'!A:A,C120-1)),IF(ISBLANK(INDEX('register map'!A:A,C120-2)),IF(ISBLANK(INDEX('register map'!A:A,C120-3)),IF(ISBLANK(INDEX('register map'!A:A,C120-4)),IF(ISBLANK(INDEX('register map'!A:A,C120-5)),IF(ISBLANK(INDEX('register map'!A:A,C120-6)),IF(ISBLANK(INDEX('register map'!A:A,C120-7)),IF(ISBLANK(INDEX('register map'!A:A,C120-8)),"ERROR",INDEX('register map'!A:A,C120-8)),INDEX('register map'!A:A,C120-7)),INDEX('register map'!A:A,C120-6)),INDEX('register map'!A:A,C120-5)),INDEX('register map'!A:A,C120-4)),INDEX('register map'!A:A,C120-3)),INDEX('register map'!A:A,C120-2)),INDEX('register map'!A:A,C120-1)),INDEX('register map'!A:A,C120))</f>
        <v>0x5E</v>
      </c>
      <c r="F120" s="117" t="str">
        <f>IF(ISBLANK(INDEX('register map'!B:B,C120)),IF(ISBLANK(INDEX('register map'!B:B,C120-1)),IF(ISBLANK(INDEX('register map'!B:B,C120-2)),IF(ISBLANK(INDEX('register map'!B:B,C120-3)),IF(ISBLANK(INDEX('register map'!B:B,C120-4)),IF(ISBLANK(INDEX('register map'!B:B,C120-5)),IF(ISBLANK(INDEX('register map'!B:B,C120-6)),IF(ISBLANK(INDEX('register map'!B:B,C120-7)),IF(ISBLANK(INDEX('register map'!B:B,C120-8)),"ERROR",INDEX('register map'!B:B,C120-8)),INDEX('register map'!B:B,C120-7)),INDEX('register map'!B:B,C120-6)),INDEX('register map'!B:B,C120-5)),INDEX('register map'!B:B,C120-4)),INDEX('register map'!B:B,C120-3)),INDEX('register map'!B:B,C120-2)),INDEX('register map'!B:B,C120-1)),INDEX('register map'!B:B,C120))</f>
        <v>0x9C</v>
      </c>
      <c r="G120" s="117" t="str">
        <f>CONCATENATE(IF(ISNUMBER(INDEX('register map'!D:D,C120)),7,""),IF(ISNUMBER(INDEX('register map'!E:E,C120)),6,""),IF(ISNUMBER(INDEX('register map'!F:F,C120)),5,""),IF(ISNUMBER(INDEX('register map'!G:G,C120)),4,""),IF(ISNUMBER(INDEX('register map'!H:H,C120)),3,""),IF(ISNUMBER(INDEX('register map'!I:I,C120)),2,""),IF(ISNUMBER(INDEX('register map'!J:J,C120)),1,""),IF(ISNUMBER(INDEX('register map'!K:K,C120)),0,""))</f>
        <v>2</v>
      </c>
      <c r="H120" s="117" t="str">
        <f>RIGHT(INDEX('register map'!V:V,MATCH('Logical Group Generator'!B120,'register map'!L:L,0)),LEN(G120))</f>
        <v>1</v>
      </c>
      <c r="I120" s="117" t="str">
        <f>CONCATENATE(IF(ISNUMBER(INDEX('register map'!K:K,C120)),0,""),IF(ISNUMBER(INDEX('register map'!J:J,C120)),1,""),IF(ISNUMBER(INDEX('register map'!I:I,C120)),2,""),IF(ISNUMBER(INDEX('register map'!H:H,C120)),3,""),IF(ISNUMBER(INDEX('register map'!G:G,C120)),4,""),IF(ISNUMBER(INDEX('register map'!F:F,C120)),5,""),IF(ISNUMBER(INDEX('register map'!E:E,C120)),6,""),IF(ISNUMBER(INDEX('register map'!D:D,C120)),7,""))</f>
        <v>2</v>
      </c>
      <c r="J120" s="117" t="str">
        <f t="shared" si="18"/>
        <v>1</v>
      </c>
      <c r="K120" s="117" t="str">
        <f t="shared" si="11"/>
        <v/>
      </c>
      <c r="L120" s="117" t="str">
        <f t="shared" si="19"/>
        <v/>
      </c>
      <c r="M120" s="117" t="str">
        <f t="shared" si="21"/>
        <v/>
      </c>
      <c r="N120" s="117" t="str">
        <f>IF(ISBLANK(INDEX('register map'!M:M,'Logical Group Generator'!C120)),"No","Yes")</f>
        <v>No</v>
      </c>
      <c r="O120" s="117" t="str">
        <f>IF(NOT(ISBLANK(INDEX('register map'!N:N,'Logical Group Generator'!C120))),"Yes","")</f>
        <v/>
      </c>
      <c r="P120" s="117" t="str">
        <f t="shared" si="12"/>
        <v/>
      </c>
      <c r="Q120" s="117" t="str">
        <f t="shared" si="13"/>
        <v/>
      </c>
      <c r="R120" s="117" t="str">
        <f t="shared" si="14"/>
        <v/>
      </c>
      <c r="S120" s="117" t="str">
        <f t="shared" si="15"/>
        <v>No</v>
      </c>
      <c r="T120" s="117" t="str">
        <f t="shared" si="16"/>
        <v/>
      </c>
      <c r="U120" s="117" t="b">
        <f t="shared" si="20"/>
        <v>0</v>
      </c>
      <c r="V120" s="157" t="b">
        <f>INDEX('register map'!P:P,C120)="yes"</f>
        <v>1</v>
      </c>
      <c r="W120" s="157" t="str">
        <f t="shared" si="17"/>
        <v>FALSE</v>
      </c>
    </row>
    <row r="121" spans="2:23">
      <c r="B121" s="157" t="str">
        <f t="array" ref="B121">IF(ROWS($3:121)&lt;=COUNTA('register map'!$L$5:$L$902),INDEX('register map'!$L$5:$L$902,SMALL(IF('register map'!$L$5:$L$902&lt;&gt;"",ROW('register map'!$L$5:$L$902)-MIN(ROW('register map'!$L$5:$L$902))+1),ROWS($3:121))),"")</f>
        <v>BUCK1_MODE</v>
      </c>
      <c r="C121" s="157">
        <f>IF(B121="PART_NUMBER",IF(COUNTIF($B$1:B120,"PART_NUMBER")=0,6,8),MATCH(B121,'register map'!L:L,0))</f>
        <v>134</v>
      </c>
      <c r="D121" s="117" t="str">
        <f>IF(ISBLANK(INDEX('register map'!C:C,'Logical Group Generator'!C121)),"No","Yes")</f>
        <v>No</v>
      </c>
      <c r="E121" s="117" t="str">
        <f>IF(ISBLANK(INDEX('register map'!A:A,C121)),IF(ISBLANK(INDEX('register map'!A:A,C121-1)),IF(ISBLANK(INDEX('register map'!A:A,C121-2)),IF(ISBLANK(INDEX('register map'!A:A,C121-3)),IF(ISBLANK(INDEX('register map'!A:A,C121-4)),IF(ISBLANK(INDEX('register map'!A:A,C121-5)),IF(ISBLANK(INDEX('register map'!A:A,C121-6)),IF(ISBLANK(INDEX('register map'!A:A,C121-7)),IF(ISBLANK(INDEX('register map'!A:A,C121-8)),"ERROR",INDEX('register map'!A:A,C121-8)),INDEX('register map'!A:A,C121-7)),INDEX('register map'!A:A,C121-6)),INDEX('register map'!A:A,C121-5)),INDEX('register map'!A:A,C121-4)),INDEX('register map'!A:A,C121-3)),INDEX('register map'!A:A,C121-2)),INDEX('register map'!A:A,C121-1)),INDEX('register map'!A:A,C121))</f>
        <v>0x5E</v>
      </c>
      <c r="F121" s="117" t="str">
        <f>IF(ISBLANK(INDEX('register map'!B:B,C121)),IF(ISBLANK(INDEX('register map'!B:B,C121-1)),IF(ISBLANK(INDEX('register map'!B:B,C121-2)),IF(ISBLANK(INDEX('register map'!B:B,C121-3)),IF(ISBLANK(INDEX('register map'!B:B,C121-4)),IF(ISBLANK(INDEX('register map'!B:B,C121-5)),IF(ISBLANK(INDEX('register map'!B:B,C121-6)),IF(ISBLANK(INDEX('register map'!B:B,C121-7)),IF(ISBLANK(INDEX('register map'!B:B,C121-8)),"ERROR",INDEX('register map'!B:B,C121-8)),INDEX('register map'!B:B,C121-7)),INDEX('register map'!B:B,C121-6)),INDEX('register map'!B:B,C121-5)),INDEX('register map'!B:B,C121-4)),INDEX('register map'!B:B,C121-3)),INDEX('register map'!B:B,C121-2)),INDEX('register map'!B:B,C121-1)),INDEX('register map'!B:B,C121))</f>
        <v>0x9C</v>
      </c>
      <c r="G121" s="117" t="str">
        <f>CONCATENATE(IF(ISNUMBER(INDEX('register map'!D:D,C121)),7,""),IF(ISNUMBER(INDEX('register map'!E:E,C121)),6,""),IF(ISNUMBER(INDEX('register map'!F:F,C121)),5,""),IF(ISNUMBER(INDEX('register map'!G:G,C121)),4,""),IF(ISNUMBER(INDEX('register map'!H:H,C121)),3,""),IF(ISNUMBER(INDEX('register map'!I:I,C121)),2,""),IF(ISNUMBER(INDEX('register map'!J:J,C121)),1,""),IF(ISNUMBER(INDEX('register map'!K:K,C121)),0,""))</f>
        <v>3</v>
      </c>
      <c r="H121" s="117" t="str">
        <f>RIGHT(INDEX('register map'!V:V,MATCH('Logical Group Generator'!B121,'register map'!L:L,0)),LEN(G121))</f>
        <v>1</v>
      </c>
      <c r="I121" s="117" t="str">
        <f>CONCATENATE(IF(ISNUMBER(INDEX('register map'!K:K,C121)),0,""),IF(ISNUMBER(INDEX('register map'!J:J,C121)),1,""),IF(ISNUMBER(INDEX('register map'!I:I,C121)),2,""),IF(ISNUMBER(INDEX('register map'!H:H,C121)),3,""),IF(ISNUMBER(INDEX('register map'!G:G,C121)),4,""),IF(ISNUMBER(INDEX('register map'!F:F,C121)),5,""),IF(ISNUMBER(INDEX('register map'!E:E,C121)),6,""),IF(ISNUMBER(INDEX('register map'!D:D,C121)),7,""))</f>
        <v>3</v>
      </c>
      <c r="J121" s="117" t="str">
        <f t="shared" si="18"/>
        <v>1</v>
      </c>
      <c r="K121" s="117" t="str">
        <f t="shared" si="11"/>
        <v/>
      </c>
      <c r="L121" s="117" t="str">
        <f t="shared" si="19"/>
        <v/>
      </c>
      <c r="M121" s="117" t="str">
        <f t="shared" si="21"/>
        <v/>
      </c>
      <c r="N121" s="117" t="str">
        <f>IF(ISBLANK(INDEX('register map'!M:M,'Logical Group Generator'!C121)),"No","Yes")</f>
        <v>No</v>
      </c>
      <c r="O121" s="117" t="str">
        <f>IF(NOT(ISBLANK(INDEX('register map'!N:N,'Logical Group Generator'!C121))),"Yes","")</f>
        <v/>
      </c>
      <c r="P121" s="117" t="str">
        <f t="shared" si="12"/>
        <v/>
      </c>
      <c r="Q121" s="117" t="str">
        <f t="shared" si="13"/>
        <v/>
      </c>
      <c r="R121" s="117" t="str">
        <f t="shared" si="14"/>
        <v/>
      </c>
      <c r="S121" s="117" t="str">
        <f t="shared" si="15"/>
        <v>No</v>
      </c>
      <c r="T121" s="117" t="str">
        <f t="shared" si="16"/>
        <v/>
      </c>
      <c r="U121" s="117" t="b">
        <f t="shared" si="20"/>
        <v>0</v>
      </c>
      <c r="V121" s="157" t="b">
        <f>INDEX('register map'!P:P,C121)="yes"</f>
        <v>1</v>
      </c>
      <c r="W121" s="157" t="str">
        <f t="shared" si="17"/>
        <v>FALSE</v>
      </c>
    </row>
    <row r="122" spans="2:23">
      <c r="B122" s="157" t="str">
        <f t="array" ref="B122">IF(ROWS($3:122)&lt;=COUNTA('register map'!$L$5:$L$902),INDEX('register map'!$L$5:$L$902,SMALL(IF('register map'!$L$5:$L$902&lt;&gt;"",ROW('register map'!$L$5:$L$902)-MIN(ROW('register map'!$L$5:$L$902))+1),ROWS($3:122))),"")</f>
        <v>BUCK2_MODE</v>
      </c>
      <c r="C122" s="157">
        <f>IF(B122="PART_NUMBER",IF(COUNTIF($B$1:B121,"PART_NUMBER")=0,6,8),MATCH(B122,'register map'!L:L,0))</f>
        <v>135</v>
      </c>
      <c r="D122" s="117" t="str">
        <f>IF(ISBLANK(INDEX('register map'!C:C,'Logical Group Generator'!C122)),"No","Yes")</f>
        <v>No</v>
      </c>
      <c r="E122" s="117" t="str">
        <f>IF(ISBLANK(INDEX('register map'!A:A,C122)),IF(ISBLANK(INDEX('register map'!A:A,C122-1)),IF(ISBLANK(INDEX('register map'!A:A,C122-2)),IF(ISBLANK(INDEX('register map'!A:A,C122-3)),IF(ISBLANK(INDEX('register map'!A:A,C122-4)),IF(ISBLANK(INDEX('register map'!A:A,C122-5)),IF(ISBLANK(INDEX('register map'!A:A,C122-6)),IF(ISBLANK(INDEX('register map'!A:A,C122-7)),IF(ISBLANK(INDEX('register map'!A:A,C122-8)),"ERROR",INDEX('register map'!A:A,C122-8)),INDEX('register map'!A:A,C122-7)),INDEX('register map'!A:A,C122-6)),INDEX('register map'!A:A,C122-5)),INDEX('register map'!A:A,C122-4)),INDEX('register map'!A:A,C122-3)),INDEX('register map'!A:A,C122-2)),INDEX('register map'!A:A,C122-1)),INDEX('register map'!A:A,C122))</f>
        <v>0x5E</v>
      </c>
      <c r="F122" s="117" t="str">
        <f>IF(ISBLANK(INDEX('register map'!B:B,C122)),IF(ISBLANK(INDEX('register map'!B:B,C122-1)),IF(ISBLANK(INDEX('register map'!B:B,C122-2)),IF(ISBLANK(INDEX('register map'!B:B,C122-3)),IF(ISBLANK(INDEX('register map'!B:B,C122-4)),IF(ISBLANK(INDEX('register map'!B:B,C122-5)),IF(ISBLANK(INDEX('register map'!B:B,C122-6)),IF(ISBLANK(INDEX('register map'!B:B,C122-7)),IF(ISBLANK(INDEX('register map'!B:B,C122-8)),"ERROR",INDEX('register map'!B:B,C122-8)),INDEX('register map'!B:B,C122-7)),INDEX('register map'!B:B,C122-6)),INDEX('register map'!B:B,C122-5)),INDEX('register map'!B:B,C122-4)),INDEX('register map'!B:B,C122-3)),INDEX('register map'!B:B,C122-2)),INDEX('register map'!B:B,C122-1)),INDEX('register map'!B:B,C122))</f>
        <v>0x9C</v>
      </c>
      <c r="G122" s="117" t="str">
        <f>CONCATENATE(IF(ISNUMBER(INDEX('register map'!D:D,C122)),7,""),IF(ISNUMBER(INDEX('register map'!E:E,C122)),6,""),IF(ISNUMBER(INDEX('register map'!F:F,C122)),5,""),IF(ISNUMBER(INDEX('register map'!G:G,C122)),4,""),IF(ISNUMBER(INDEX('register map'!H:H,C122)),3,""),IF(ISNUMBER(INDEX('register map'!I:I,C122)),2,""),IF(ISNUMBER(INDEX('register map'!J:J,C122)),1,""),IF(ISNUMBER(INDEX('register map'!K:K,C122)),0,""))</f>
        <v>4</v>
      </c>
      <c r="H122" s="117" t="str">
        <f>RIGHT(INDEX('register map'!V:V,MATCH('Logical Group Generator'!B122,'register map'!L:L,0)),LEN(G122))</f>
        <v>1</v>
      </c>
      <c r="I122" s="117" t="str">
        <f>CONCATENATE(IF(ISNUMBER(INDEX('register map'!K:K,C122)),0,""),IF(ISNUMBER(INDEX('register map'!J:J,C122)),1,""),IF(ISNUMBER(INDEX('register map'!I:I,C122)),2,""),IF(ISNUMBER(INDEX('register map'!H:H,C122)),3,""),IF(ISNUMBER(INDEX('register map'!G:G,C122)),4,""),IF(ISNUMBER(INDEX('register map'!F:F,C122)),5,""),IF(ISNUMBER(INDEX('register map'!E:E,C122)),6,""),IF(ISNUMBER(INDEX('register map'!D:D,C122)),7,""))</f>
        <v>4</v>
      </c>
      <c r="J122" s="117" t="str">
        <f t="shared" si="18"/>
        <v>1</v>
      </c>
      <c r="K122" s="117" t="str">
        <f t="shared" si="11"/>
        <v/>
      </c>
      <c r="L122" s="117" t="str">
        <f t="shared" si="19"/>
        <v/>
      </c>
      <c r="M122" s="117" t="str">
        <f t="shared" si="21"/>
        <v/>
      </c>
      <c r="N122" s="117" t="str">
        <f>IF(ISBLANK(INDEX('register map'!M:M,'Logical Group Generator'!C122)),"No","Yes")</f>
        <v>No</v>
      </c>
      <c r="O122" s="117" t="str">
        <f>IF(NOT(ISBLANK(INDEX('register map'!N:N,'Logical Group Generator'!C122))),"Yes","")</f>
        <v/>
      </c>
      <c r="P122" s="117" t="str">
        <f t="shared" si="12"/>
        <v/>
      </c>
      <c r="Q122" s="117" t="str">
        <f t="shared" si="13"/>
        <v/>
      </c>
      <c r="R122" s="117" t="str">
        <f t="shared" si="14"/>
        <v/>
      </c>
      <c r="S122" s="117" t="str">
        <f t="shared" si="15"/>
        <v>No</v>
      </c>
      <c r="T122" s="117" t="str">
        <f t="shared" si="16"/>
        <v/>
      </c>
      <c r="U122" s="117" t="b">
        <f t="shared" si="20"/>
        <v>0</v>
      </c>
      <c r="V122" s="157" t="b">
        <f>INDEX('register map'!P:P,C122)="yes"</f>
        <v>1</v>
      </c>
      <c r="W122" s="157" t="str">
        <f t="shared" si="17"/>
        <v>FALSE</v>
      </c>
    </row>
    <row r="123" spans="2:23">
      <c r="B123" s="157" t="str">
        <f t="array" ref="B123">IF(ROWS($3:123)&lt;=COUNTA('register map'!$L$5:$L$902),INDEX('register map'!$L$5:$L$902,SMALL(IF('register map'!$L$5:$L$902&lt;&gt;"",ROW('register map'!$L$5:$L$902)-MIN(ROW('register map'!$L$5:$L$902))+1),ROWS($3:123))),"")</f>
        <v>BUCK3_MODE</v>
      </c>
      <c r="C123" s="157">
        <f>IF(B123="PART_NUMBER",IF(COUNTIF($B$1:B122,"PART_NUMBER")=0,6,8),MATCH(B123,'register map'!L:L,0))</f>
        <v>136</v>
      </c>
      <c r="D123" s="117" t="str">
        <f>IF(ISBLANK(INDEX('register map'!C:C,'Logical Group Generator'!C123)),"No","Yes")</f>
        <v>No</v>
      </c>
      <c r="E123" s="117" t="str">
        <f>IF(ISBLANK(INDEX('register map'!A:A,C123)),IF(ISBLANK(INDEX('register map'!A:A,C123-1)),IF(ISBLANK(INDEX('register map'!A:A,C123-2)),IF(ISBLANK(INDEX('register map'!A:A,C123-3)),IF(ISBLANK(INDEX('register map'!A:A,C123-4)),IF(ISBLANK(INDEX('register map'!A:A,C123-5)),IF(ISBLANK(INDEX('register map'!A:A,C123-6)),IF(ISBLANK(INDEX('register map'!A:A,C123-7)),IF(ISBLANK(INDEX('register map'!A:A,C123-8)),"ERROR",INDEX('register map'!A:A,C123-8)),INDEX('register map'!A:A,C123-7)),INDEX('register map'!A:A,C123-6)),INDEX('register map'!A:A,C123-5)),INDEX('register map'!A:A,C123-4)),INDEX('register map'!A:A,C123-3)),INDEX('register map'!A:A,C123-2)),INDEX('register map'!A:A,C123-1)),INDEX('register map'!A:A,C123))</f>
        <v>0x5E</v>
      </c>
      <c r="F123" s="117" t="str">
        <f>IF(ISBLANK(INDEX('register map'!B:B,C123)),IF(ISBLANK(INDEX('register map'!B:B,C123-1)),IF(ISBLANK(INDEX('register map'!B:B,C123-2)),IF(ISBLANK(INDEX('register map'!B:B,C123-3)),IF(ISBLANK(INDEX('register map'!B:B,C123-4)),IF(ISBLANK(INDEX('register map'!B:B,C123-5)),IF(ISBLANK(INDEX('register map'!B:B,C123-6)),IF(ISBLANK(INDEX('register map'!B:B,C123-7)),IF(ISBLANK(INDEX('register map'!B:B,C123-8)),"ERROR",INDEX('register map'!B:B,C123-8)),INDEX('register map'!B:B,C123-7)),INDEX('register map'!B:B,C123-6)),INDEX('register map'!B:B,C123-5)),INDEX('register map'!B:B,C123-4)),INDEX('register map'!B:B,C123-3)),INDEX('register map'!B:B,C123-2)),INDEX('register map'!B:B,C123-1)),INDEX('register map'!B:B,C123))</f>
        <v>0x9C</v>
      </c>
      <c r="G123" s="117" t="str">
        <f>CONCATENATE(IF(ISNUMBER(INDEX('register map'!D:D,C123)),7,""),IF(ISNUMBER(INDEX('register map'!E:E,C123)),6,""),IF(ISNUMBER(INDEX('register map'!F:F,C123)),5,""),IF(ISNUMBER(INDEX('register map'!G:G,C123)),4,""),IF(ISNUMBER(INDEX('register map'!H:H,C123)),3,""),IF(ISNUMBER(INDEX('register map'!I:I,C123)),2,""),IF(ISNUMBER(INDEX('register map'!J:J,C123)),1,""),IF(ISNUMBER(INDEX('register map'!K:K,C123)),0,""))</f>
        <v>5</v>
      </c>
      <c r="H123" s="117" t="str">
        <f>RIGHT(INDEX('register map'!V:V,MATCH('Logical Group Generator'!B123,'register map'!L:L,0)),LEN(G123))</f>
        <v>1</v>
      </c>
      <c r="I123" s="117" t="str">
        <f>CONCATENATE(IF(ISNUMBER(INDEX('register map'!K:K,C123)),0,""),IF(ISNUMBER(INDEX('register map'!J:J,C123)),1,""),IF(ISNUMBER(INDEX('register map'!I:I,C123)),2,""),IF(ISNUMBER(INDEX('register map'!H:H,C123)),3,""),IF(ISNUMBER(INDEX('register map'!G:G,C123)),4,""),IF(ISNUMBER(INDEX('register map'!F:F,C123)),5,""),IF(ISNUMBER(INDEX('register map'!E:E,C123)),6,""),IF(ISNUMBER(INDEX('register map'!D:D,C123)),7,""))</f>
        <v>5</v>
      </c>
      <c r="J123" s="117" t="str">
        <f t="shared" si="18"/>
        <v>1</v>
      </c>
      <c r="K123" s="117" t="str">
        <f t="shared" si="11"/>
        <v/>
      </c>
      <c r="L123" s="117" t="str">
        <f t="shared" si="19"/>
        <v/>
      </c>
      <c r="M123" s="117" t="str">
        <f t="shared" si="21"/>
        <v/>
      </c>
      <c r="N123" s="117" t="str">
        <f>IF(ISBLANK(INDEX('register map'!M:M,'Logical Group Generator'!C123)),"No","Yes")</f>
        <v>No</v>
      </c>
      <c r="O123" s="117" t="str">
        <f>IF(NOT(ISBLANK(INDEX('register map'!N:N,'Logical Group Generator'!C123))),"Yes","")</f>
        <v/>
      </c>
      <c r="P123" s="117" t="str">
        <f t="shared" si="12"/>
        <v/>
      </c>
      <c r="Q123" s="117" t="str">
        <f t="shared" si="13"/>
        <v/>
      </c>
      <c r="R123" s="117" t="str">
        <f t="shared" si="14"/>
        <v/>
      </c>
      <c r="S123" s="117" t="str">
        <f t="shared" si="15"/>
        <v>No</v>
      </c>
      <c r="T123" s="117" t="str">
        <f t="shared" si="16"/>
        <v/>
      </c>
      <c r="U123" s="117" t="b">
        <f t="shared" si="20"/>
        <v>0</v>
      </c>
      <c r="V123" s="157" t="b">
        <f>INDEX('register map'!P:P,C123)="yes"</f>
        <v>1</v>
      </c>
      <c r="W123" s="157" t="str">
        <f t="shared" si="17"/>
        <v>FALSE</v>
      </c>
    </row>
    <row r="124" spans="2:23">
      <c r="B124" s="157" t="str">
        <f t="array" ref="B124">IF(ROWS($3:124)&lt;=COUNTA('register map'!$L$5:$L$902),INDEX('register map'!$L$5:$L$902,SMALL(IF('register map'!$L$5:$L$902&lt;&gt;"",ROW('register map'!$L$5:$L$902)-MIN(ROW('register map'!$L$5:$L$902))+1),ROWS($3:124))),"")</f>
        <v>SPARE_5E_9C_76</v>
      </c>
      <c r="C124" s="157">
        <f>IF(B124="PART_NUMBER",IF(COUNTIF($B$1:B123,"PART_NUMBER")=0,6,8),MATCH(B124,'register map'!L:L,0))</f>
        <v>137</v>
      </c>
      <c r="D124" s="117" t="str">
        <f>IF(ISBLANK(INDEX('register map'!C:C,'Logical Group Generator'!C124)),"No","Yes")</f>
        <v>No</v>
      </c>
      <c r="E124" s="117" t="str">
        <f>IF(ISBLANK(INDEX('register map'!A:A,C124)),IF(ISBLANK(INDEX('register map'!A:A,C124-1)),IF(ISBLANK(INDEX('register map'!A:A,C124-2)),IF(ISBLANK(INDEX('register map'!A:A,C124-3)),IF(ISBLANK(INDEX('register map'!A:A,C124-4)),IF(ISBLANK(INDEX('register map'!A:A,C124-5)),IF(ISBLANK(INDEX('register map'!A:A,C124-6)),IF(ISBLANK(INDEX('register map'!A:A,C124-7)),IF(ISBLANK(INDEX('register map'!A:A,C124-8)),"ERROR",INDEX('register map'!A:A,C124-8)),INDEX('register map'!A:A,C124-7)),INDEX('register map'!A:A,C124-6)),INDEX('register map'!A:A,C124-5)),INDEX('register map'!A:A,C124-4)),INDEX('register map'!A:A,C124-3)),INDEX('register map'!A:A,C124-2)),INDEX('register map'!A:A,C124-1)),INDEX('register map'!A:A,C124))</f>
        <v>0x5E</v>
      </c>
      <c r="F124" s="117" t="str">
        <f>IF(ISBLANK(INDEX('register map'!B:B,C124)),IF(ISBLANK(INDEX('register map'!B:B,C124-1)),IF(ISBLANK(INDEX('register map'!B:B,C124-2)),IF(ISBLANK(INDEX('register map'!B:B,C124-3)),IF(ISBLANK(INDEX('register map'!B:B,C124-4)),IF(ISBLANK(INDEX('register map'!B:B,C124-5)),IF(ISBLANK(INDEX('register map'!B:B,C124-6)),IF(ISBLANK(INDEX('register map'!B:B,C124-7)),IF(ISBLANK(INDEX('register map'!B:B,C124-8)),"ERROR",INDEX('register map'!B:B,C124-8)),INDEX('register map'!B:B,C124-7)),INDEX('register map'!B:B,C124-6)),INDEX('register map'!B:B,C124-5)),INDEX('register map'!B:B,C124-4)),INDEX('register map'!B:B,C124-3)),INDEX('register map'!B:B,C124-2)),INDEX('register map'!B:B,C124-1)),INDEX('register map'!B:B,C124))</f>
        <v>0x9C</v>
      </c>
      <c r="G124" s="117" t="str">
        <f>CONCATENATE(IF(ISNUMBER(INDEX('register map'!D:D,C124)),7,""),IF(ISNUMBER(INDEX('register map'!E:E,C124)),6,""),IF(ISNUMBER(INDEX('register map'!F:F,C124)),5,""),IF(ISNUMBER(INDEX('register map'!G:G,C124)),4,""),IF(ISNUMBER(INDEX('register map'!H:H,C124)),3,""),IF(ISNUMBER(INDEX('register map'!I:I,C124)),2,""),IF(ISNUMBER(INDEX('register map'!J:J,C124)),1,""),IF(ISNUMBER(INDEX('register map'!K:K,C124)),0,""))</f>
        <v>76</v>
      </c>
      <c r="H124" s="117" t="str">
        <f>RIGHT(INDEX('register map'!V:V,MATCH('Logical Group Generator'!B124,'register map'!L:L,0)),LEN(G124))</f>
        <v>00</v>
      </c>
      <c r="I124" s="117" t="str">
        <f>CONCATENATE(IF(ISNUMBER(INDEX('register map'!K:K,C124)),0,""),IF(ISNUMBER(INDEX('register map'!J:J,C124)),1,""),IF(ISNUMBER(INDEX('register map'!I:I,C124)),2,""),IF(ISNUMBER(INDEX('register map'!H:H,C124)),3,""),IF(ISNUMBER(INDEX('register map'!G:G,C124)),4,""),IF(ISNUMBER(INDEX('register map'!F:F,C124)),5,""),IF(ISNUMBER(INDEX('register map'!E:E,C124)),6,""),IF(ISNUMBER(INDEX('register map'!D:D,C124)),7,""))</f>
        <v>67</v>
      </c>
      <c r="J124" s="117" t="str">
        <f t="shared" si="18"/>
        <v>00</v>
      </c>
      <c r="K124" s="117" t="str">
        <f t="shared" si="11"/>
        <v/>
      </c>
      <c r="L124" s="117" t="str">
        <f t="shared" si="19"/>
        <v/>
      </c>
      <c r="M124" s="117" t="str">
        <f t="shared" si="21"/>
        <v/>
      </c>
      <c r="N124" s="117" t="str">
        <f>IF(ISBLANK(INDEX('register map'!M:M,'Logical Group Generator'!C124)),"No","Yes")</f>
        <v>No</v>
      </c>
      <c r="O124" s="117" t="str">
        <f>IF(NOT(ISBLANK(INDEX('register map'!N:N,'Logical Group Generator'!C124))),"Yes","")</f>
        <v/>
      </c>
      <c r="P124" s="117" t="str">
        <f t="shared" si="12"/>
        <v/>
      </c>
      <c r="Q124" s="117" t="str">
        <f t="shared" si="13"/>
        <v/>
      </c>
      <c r="R124" s="117" t="str">
        <f t="shared" si="14"/>
        <v/>
      </c>
      <c r="S124" s="117" t="str">
        <f t="shared" si="15"/>
        <v>No</v>
      </c>
      <c r="T124" s="117" t="str">
        <f t="shared" si="16"/>
        <v/>
      </c>
      <c r="U124" s="117" t="b">
        <f t="shared" si="20"/>
        <v>0</v>
      </c>
      <c r="V124" s="157" t="b">
        <f>INDEX('register map'!P:P,C124)="yes"</f>
        <v>1</v>
      </c>
      <c r="W124" s="157" t="str">
        <f t="shared" si="17"/>
        <v>FALSE</v>
      </c>
    </row>
    <row r="125" spans="2:23">
      <c r="B125" s="157" t="str">
        <f t="array" ref="B125">IF(ROWS($3:125)&lt;=COUNTA('register map'!$L$5:$L$902),INDEX('register map'!$L$5:$L$902,SMALL(IF('register map'!$L$5:$L$902&lt;&gt;"",ROW('register map'!$L$5:$L$902)-MIN(ROW('register map'!$L$5:$L$902))+1),ROWS($3:125))),"")</f>
        <v>PG_DELAY2</v>
      </c>
      <c r="C125" s="157">
        <f>IF(B125="PART_NUMBER",IF(COUNTIF($B$1:B124,"PART_NUMBER")=0,6,8),MATCH(B125,'register map'!L:L,0))</f>
        <v>138</v>
      </c>
      <c r="D125" s="117" t="str">
        <f>IF(ISBLANK(INDEX('register map'!C:C,'Logical Group Generator'!C125)),"No","Yes")</f>
        <v>Yes</v>
      </c>
      <c r="E125" s="117" t="str">
        <f>IF(ISBLANK(INDEX('register map'!A:A,C125)),IF(ISBLANK(INDEX('register map'!A:A,C125-1)),IF(ISBLANK(INDEX('register map'!A:A,C125-2)),IF(ISBLANK(INDEX('register map'!A:A,C125-3)),IF(ISBLANK(INDEX('register map'!A:A,C125-4)),IF(ISBLANK(INDEX('register map'!A:A,C125-5)),IF(ISBLANK(INDEX('register map'!A:A,C125-6)),IF(ISBLANK(INDEX('register map'!A:A,C125-7)),IF(ISBLANK(INDEX('register map'!A:A,C125-8)),"ERROR",INDEX('register map'!A:A,C125-8)),INDEX('register map'!A:A,C125-7)),INDEX('register map'!A:A,C125-6)),INDEX('register map'!A:A,C125-5)),INDEX('register map'!A:A,C125-4)),INDEX('register map'!A:A,C125-3)),INDEX('register map'!A:A,C125-2)),INDEX('register map'!A:A,C125-1)),INDEX('register map'!A:A,C125))</f>
        <v>0x5E</v>
      </c>
      <c r="F125" s="117" t="str">
        <f>IF(ISBLANK(INDEX('register map'!B:B,C125)),IF(ISBLANK(INDEX('register map'!B:B,C125-1)),IF(ISBLANK(INDEX('register map'!B:B,C125-2)),IF(ISBLANK(INDEX('register map'!B:B,C125-3)),IF(ISBLANK(INDEX('register map'!B:B,C125-4)),IF(ISBLANK(INDEX('register map'!B:B,C125-5)),IF(ISBLANK(INDEX('register map'!B:B,C125-6)),IF(ISBLANK(INDEX('register map'!B:B,C125-7)),IF(ISBLANK(INDEX('register map'!B:B,C125-8)),"ERROR",INDEX('register map'!B:B,C125-8)),INDEX('register map'!B:B,C125-7)),INDEX('register map'!B:B,C125-6)),INDEX('register map'!B:B,C125-5)),INDEX('register map'!B:B,C125-4)),INDEX('register map'!B:B,C125-3)),INDEX('register map'!B:B,C125-2)),INDEX('register map'!B:B,C125-1)),INDEX('register map'!B:B,C125))</f>
        <v>0x9D</v>
      </c>
      <c r="G125" s="117" t="str">
        <f>CONCATENATE(IF(ISNUMBER(INDEX('register map'!D:D,C125)),7,""),IF(ISNUMBER(INDEX('register map'!E:E,C125)),6,""),IF(ISNUMBER(INDEX('register map'!F:F,C125)),5,""),IF(ISNUMBER(INDEX('register map'!G:G,C125)),4,""),IF(ISNUMBER(INDEX('register map'!H:H,C125)),3,""),IF(ISNUMBER(INDEX('register map'!I:I,C125)),2,""),IF(ISNUMBER(INDEX('register map'!J:J,C125)),1,""),IF(ISNUMBER(INDEX('register map'!K:K,C125)),0,""))</f>
        <v/>
      </c>
      <c r="H125" s="117" t="str">
        <f>RIGHT(INDEX('register map'!V:V,MATCH('Logical Group Generator'!B125,'register map'!L:L,0)),LEN(G125))</f>
        <v/>
      </c>
      <c r="I125" s="117" t="str">
        <f>CONCATENATE(IF(ISNUMBER(INDEX('register map'!K:K,C125)),0,""),IF(ISNUMBER(INDEX('register map'!J:J,C125)),1,""),IF(ISNUMBER(INDEX('register map'!I:I,C125)),2,""),IF(ISNUMBER(INDEX('register map'!H:H,C125)),3,""),IF(ISNUMBER(INDEX('register map'!G:G,C125)),4,""),IF(ISNUMBER(INDEX('register map'!F:F,C125)),5,""),IF(ISNUMBER(INDEX('register map'!E:E,C125)),6,""),IF(ISNUMBER(INDEX('register map'!D:D,C125)),7,""))</f>
        <v/>
      </c>
      <c r="J125" s="117" t="str">
        <f t="shared" si="18"/>
        <v/>
      </c>
      <c r="K125" s="117" t="str">
        <f t="shared" si="11"/>
        <v>01010010</v>
      </c>
      <c r="L125" s="117" t="str">
        <f t="shared" si="19"/>
        <v>01001010</v>
      </c>
      <c r="M125" s="117" t="str">
        <f t="shared" si="21"/>
        <v>4A</v>
      </c>
      <c r="N125" s="117" t="str">
        <f>IF(ISBLANK(INDEX('register map'!M:M,'Logical Group Generator'!C125)),"No","Yes")</f>
        <v>No</v>
      </c>
      <c r="O125" s="117" t="str">
        <f>IF(NOT(ISBLANK(INDEX('register map'!N:N,'Logical Group Generator'!C125))),"Yes","")</f>
        <v/>
      </c>
      <c r="P125" s="117" t="str">
        <f t="shared" si="12"/>
        <v>No</v>
      </c>
      <c r="Q125" s="117" t="str">
        <f t="shared" si="13"/>
        <v>No</v>
      </c>
      <c r="R125" s="117" t="str">
        <f t="shared" si="14"/>
        <v>No</v>
      </c>
      <c r="S125" s="117" t="str">
        <f t="shared" si="15"/>
        <v/>
      </c>
      <c r="T125" s="117" t="b">
        <f t="shared" si="16"/>
        <v>1</v>
      </c>
      <c r="U125" s="117" t="b">
        <f t="shared" si="20"/>
        <v>1</v>
      </c>
      <c r="V125" s="157" t="b">
        <f>INDEX('register map'!P:P,C125)="yes"</f>
        <v>1</v>
      </c>
      <c r="W125" s="157" t="str">
        <f t="shared" si="17"/>
        <v>REGISTER</v>
      </c>
    </row>
    <row r="126" spans="2:23">
      <c r="B126" s="157" t="str">
        <f t="array" ref="B126">IF(ROWS($3:126)&lt;=COUNTA('register map'!$L$5:$L$902),INDEX('register map'!$L$5:$L$902,SMALL(IF('register map'!$L$5:$L$902&lt;&gt;"",ROW('register map'!$L$5:$L$902)-MIN(ROW('register map'!$L$5:$L$902))+1),ROWS($3:126))),"")</f>
        <v>GPO1_PG_DELAY</v>
      </c>
      <c r="C126" s="157">
        <f>IF(B126="PART_NUMBER",IF(COUNTIF($B$1:B125,"PART_NUMBER")=0,6,8),MATCH(B126,'register map'!L:L,0))</f>
        <v>139</v>
      </c>
      <c r="D126" s="117" t="str">
        <f>IF(ISBLANK(INDEX('register map'!C:C,'Logical Group Generator'!C126)),"No","Yes")</f>
        <v>No</v>
      </c>
      <c r="E126" s="117" t="str">
        <f>IF(ISBLANK(INDEX('register map'!A:A,C126)),IF(ISBLANK(INDEX('register map'!A:A,C126-1)),IF(ISBLANK(INDEX('register map'!A:A,C126-2)),IF(ISBLANK(INDEX('register map'!A:A,C126-3)),IF(ISBLANK(INDEX('register map'!A:A,C126-4)),IF(ISBLANK(INDEX('register map'!A:A,C126-5)),IF(ISBLANK(INDEX('register map'!A:A,C126-6)),IF(ISBLANK(INDEX('register map'!A:A,C126-7)),IF(ISBLANK(INDEX('register map'!A:A,C126-8)),"ERROR",INDEX('register map'!A:A,C126-8)),INDEX('register map'!A:A,C126-7)),INDEX('register map'!A:A,C126-6)),INDEX('register map'!A:A,C126-5)),INDEX('register map'!A:A,C126-4)),INDEX('register map'!A:A,C126-3)),INDEX('register map'!A:A,C126-2)),INDEX('register map'!A:A,C126-1)),INDEX('register map'!A:A,C126))</f>
        <v>0x5E</v>
      </c>
      <c r="F126" s="117" t="str">
        <f>IF(ISBLANK(INDEX('register map'!B:B,C126)),IF(ISBLANK(INDEX('register map'!B:B,C126-1)),IF(ISBLANK(INDEX('register map'!B:B,C126-2)),IF(ISBLANK(INDEX('register map'!B:B,C126-3)),IF(ISBLANK(INDEX('register map'!B:B,C126-4)),IF(ISBLANK(INDEX('register map'!B:B,C126-5)),IF(ISBLANK(INDEX('register map'!B:B,C126-6)),IF(ISBLANK(INDEX('register map'!B:B,C126-7)),IF(ISBLANK(INDEX('register map'!B:B,C126-8)),"ERROR",INDEX('register map'!B:B,C126-8)),INDEX('register map'!B:B,C126-7)),INDEX('register map'!B:B,C126-6)),INDEX('register map'!B:B,C126-5)),INDEX('register map'!B:B,C126-4)),INDEX('register map'!B:B,C126-3)),INDEX('register map'!B:B,C126-2)),INDEX('register map'!B:B,C126-1)),INDEX('register map'!B:B,C126))</f>
        <v>0x9D</v>
      </c>
      <c r="G126" s="117" t="str">
        <f>CONCATENATE(IF(ISNUMBER(INDEX('register map'!D:D,C126)),7,""),IF(ISNUMBER(INDEX('register map'!E:E,C126)),6,""),IF(ISNUMBER(INDEX('register map'!F:F,C126)),5,""),IF(ISNUMBER(INDEX('register map'!G:G,C126)),4,""),IF(ISNUMBER(INDEX('register map'!H:H,C126)),3,""),IF(ISNUMBER(INDEX('register map'!I:I,C126)),2,""),IF(ISNUMBER(INDEX('register map'!J:J,C126)),1,""),IF(ISNUMBER(INDEX('register map'!K:K,C126)),0,""))</f>
        <v>10</v>
      </c>
      <c r="H126" s="117" t="str">
        <f>RIGHT(INDEX('register map'!V:V,MATCH('Logical Group Generator'!B126,'register map'!L:L,0)),LEN(G126))</f>
        <v>10</v>
      </c>
      <c r="I126" s="117" t="str">
        <f>CONCATENATE(IF(ISNUMBER(INDEX('register map'!K:K,C126)),0,""),IF(ISNUMBER(INDEX('register map'!J:J,C126)),1,""),IF(ISNUMBER(INDEX('register map'!I:I,C126)),2,""),IF(ISNUMBER(INDEX('register map'!H:H,C126)),3,""),IF(ISNUMBER(INDEX('register map'!G:G,C126)),4,""),IF(ISNUMBER(INDEX('register map'!F:F,C126)),5,""),IF(ISNUMBER(INDEX('register map'!E:E,C126)),6,""),IF(ISNUMBER(INDEX('register map'!D:D,C126)),7,""))</f>
        <v>01</v>
      </c>
      <c r="J126" s="117" t="str">
        <f t="shared" si="18"/>
        <v>01</v>
      </c>
      <c r="K126" s="117" t="str">
        <f t="shared" si="11"/>
        <v/>
      </c>
      <c r="L126" s="117" t="str">
        <f t="shared" si="19"/>
        <v/>
      </c>
      <c r="M126" s="117" t="str">
        <f t="shared" si="21"/>
        <v/>
      </c>
      <c r="N126" s="117" t="str">
        <f>IF(ISBLANK(INDEX('register map'!M:M,'Logical Group Generator'!C126)),"No","Yes")</f>
        <v>No</v>
      </c>
      <c r="O126" s="117" t="str">
        <f>IF(NOT(ISBLANK(INDEX('register map'!N:N,'Logical Group Generator'!C126))),"Yes","")</f>
        <v/>
      </c>
      <c r="P126" s="117" t="str">
        <f t="shared" si="12"/>
        <v/>
      </c>
      <c r="Q126" s="117" t="str">
        <f t="shared" si="13"/>
        <v/>
      </c>
      <c r="R126" s="117" t="str">
        <f t="shared" si="14"/>
        <v/>
      </c>
      <c r="S126" s="117" t="str">
        <f t="shared" si="15"/>
        <v>No</v>
      </c>
      <c r="T126" s="117" t="str">
        <f t="shared" si="16"/>
        <v/>
      </c>
      <c r="U126" s="117" t="b">
        <f t="shared" si="20"/>
        <v>0</v>
      </c>
      <c r="V126" s="157" t="b">
        <f>INDEX('register map'!P:P,C126)="yes"</f>
        <v>1</v>
      </c>
      <c r="W126" s="157" t="str">
        <f t="shared" si="17"/>
        <v>FALSE</v>
      </c>
    </row>
    <row r="127" spans="2:23">
      <c r="B127" s="157" t="str">
        <f t="array" ref="B127">IF(ROWS($3:127)&lt;=COUNTA('register map'!$L$5:$L$902),INDEX('register map'!$L$5:$L$902,SMALL(IF('register map'!$L$5:$L$902&lt;&gt;"",ROW('register map'!$L$5:$L$902)-MIN(ROW('register map'!$L$5:$L$902))+1),ROWS($3:127))),"")</f>
        <v>GPO4_PG_DELAY</v>
      </c>
      <c r="C127" s="157">
        <f>IF(B127="PART_NUMBER",IF(COUNTIF($B$1:B126,"PART_NUMBER")=0,6,8),MATCH(B127,'register map'!L:L,0))</f>
        <v>140</v>
      </c>
      <c r="D127" s="117" t="str">
        <f>IF(ISBLANK(INDEX('register map'!C:C,'Logical Group Generator'!C127)),"No","Yes")</f>
        <v>No</v>
      </c>
      <c r="E127" s="117" t="str">
        <f>IF(ISBLANK(INDEX('register map'!A:A,C127)),IF(ISBLANK(INDEX('register map'!A:A,C127-1)),IF(ISBLANK(INDEX('register map'!A:A,C127-2)),IF(ISBLANK(INDEX('register map'!A:A,C127-3)),IF(ISBLANK(INDEX('register map'!A:A,C127-4)),IF(ISBLANK(INDEX('register map'!A:A,C127-5)),IF(ISBLANK(INDEX('register map'!A:A,C127-6)),IF(ISBLANK(INDEX('register map'!A:A,C127-7)),IF(ISBLANK(INDEX('register map'!A:A,C127-8)),"ERROR",INDEX('register map'!A:A,C127-8)),INDEX('register map'!A:A,C127-7)),INDEX('register map'!A:A,C127-6)),INDEX('register map'!A:A,C127-5)),INDEX('register map'!A:A,C127-4)),INDEX('register map'!A:A,C127-3)),INDEX('register map'!A:A,C127-2)),INDEX('register map'!A:A,C127-1)),INDEX('register map'!A:A,C127))</f>
        <v>0x5E</v>
      </c>
      <c r="F127" s="117" t="str">
        <f>IF(ISBLANK(INDEX('register map'!B:B,C127)),IF(ISBLANK(INDEX('register map'!B:B,C127-1)),IF(ISBLANK(INDEX('register map'!B:B,C127-2)),IF(ISBLANK(INDEX('register map'!B:B,C127-3)),IF(ISBLANK(INDEX('register map'!B:B,C127-4)),IF(ISBLANK(INDEX('register map'!B:B,C127-5)),IF(ISBLANK(INDEX('register map'!B:B,C127-6)),IF(ISBLANK(INDEX('register map'!B:B,C127-7)),IF(ISBLANK(INDEX('register map'!B:B,C127-8)),"ERROR",INDEX('register map'!B:B,C127-8)),INDEX('register map'!B:B,C127-7)),INDEX('register map'!B:B,C127-6)),INDEX('register map'!B:B,C127-5)),INDEX('register map'!B:B,C127-4)),INDEX('register map'!B:B,C127-3)),INDEX('register map'!B:B,C127-2)),INDEX('register map'!B:B,C127-1)),INDEX('register map'!B:B,C127))</f>
        <v>0x9D</v>
      </c>
      <c r="G127" s="117" t="str">
        <f>CONCATENATE(IF(ISNUMBER(INDEX('register map'!D:D,C127)),7,""),IF(ISNUMBER(INDEX('register map'!E:E,C127)),6,""),IF(ISNUMBER(INDEX('register map'!F:F,C127)),5,""),IF(ISNUMBER(INDEX('register map'!G:G,C127)),4,""),IF(ISNUMBER(INDEX('register map'!H:H,C127)),3,""),IF(ISNUMBER(INDEX('register map'!I:I,C127)),2,""),IF(ISNUMBER(INDEX('register map'!J:J,C127)),1,""),IF(ISNUMBER(INDEX('register map'!K:K,C127)),0,""))</f>
        <v>432</v>
      </c>
      <c r="H127" s="117" t="str">
        <f>RIGHT(INDEX('register map'!V:V,MATCH('Logical Group Generator'!B127,'register map'!L:L,0)),LEN(G127))</f>
        <v>010</v>
      </c>
      <c r="I127" s="117" t="str">
        <f>CONCATENATE(IF(ISNUMBER(INDEX('register map'!K:K,C127)),0,""),IF(ISNUMBER(INDEX('register map'!J:J,C127)),1,""),IF(ISNUMBER(INDEX('register map'!I:I,C127)),2,""),IF(ISNUMBER(INDEX('register map'!H:H,C127)),3,""),IF(ISNUMBER(INDEX('register map'!G:G,C127)),4,""),IF(ISNUMBER(INDEX('register map'!F:F,C127)),5,""),IF(ISNUMBER(INDEX('register map'!E:E,C127)),6,""),IF(ISNUMBER(INDEX('register map'!D:D,C127)),7,""))</f>
        <v>234</v>
      </c>
      <c r="J127" s="117" t="str">
        <f t="shared" si="18"/>
        <v>010</v>
      </c>
      <c r="K127" s="117" t="str">
        <f t="shared" si="11"/>
        <v/>
      </c>
      <c r="L127" s="117" t="str">
        <f t="shared" si="19"/>
        <v/>
      </c>
      <c r="M127" s="117" t="str">
        <f t="shared" si="21"/>
        <v/>
      </c>
      <c r="N127" s="117" t="str">
        <f>IF(ISBLANK(INDEX('register map'!M:M,'Logical Group Generator'!C127)),"No","Yes")</f>
        <v>No</v>
      </c>
      <c r="O127" s="117" t="str">
        <f>IF(NOT(ISBLANK(INDEX('register map'!N:N,'Logical Group Generator'!C127))),"Yes","")</f>
        <v/>
      </c>
      <c r="P127" s="117" t="str">
        <f t="shared" si="12"/>
        <v/>
      </c>
      <c r="Q127" s="117" t="str">
        <f t="shared" si="13"/>
        <v/>
      </c>
      <c r="R127" s="117" t="str">
        <f t="shared" si="14"/>
        <v/>
      </c>
      <c r="S127" s="117" t="str">
        <f t="shared" si="15"/>
        <v>No</v>
      </c>
      <c r="T127" s="117" t="str">
        <f t="shared" si="16"/>
        <v/>
      </c>
      <c r="U127" s="117" t="b">
        <f t="shared" si="20"/>
        <v>0</v>
      </c>
      <c r="V127" s="157" t="b">
        <f>INDEX('register map'!P:P,C127)="yes"</f>
        <v>1</v>
      </c>
      <c r="W127" s="157" t="str">
        <f t="shared" si="17"/>
        <v>FALSE</v>
      </c>
    </row>
    <row r="128" spans="2:23">
      <c r="B128" s="157" t="str">
        <f t="array" ref="B128">IF(ROWS($3:128)&lt;=COUNTA('register map'!$L$5:$L$902),INDEX('register map'!$L$5:$L$902,SMALL(IF('register map'!$L$5:$L$902&lt;&gt;"",ROW('register map'!$L$5:$L$902)-MIN(ROW('register map'!$L$5:$L$902))+1),ROWS($3:128))),"")</f>
        <v>GPO2_PG_DELAY</v>
      </c>
      <c r="C128" s="157">
        <f>IF(B128="PART_NUMBER",IF(COUNTIF($B$1:B127,"PART_NUMBER")=0,6,8),MATCH(B128,'register map'!L:L,0))</f>
        <v>141</v>
      </c>
      <c r="D128" s="117" t="str">
        <f>IF(ISBLANK(INDEX('register map'!C:C,'Logical Group Generator'!C128)),"No","Yes")</f>
        <v>No</v>
      </c>
      <c r="E128" s="117" t="str">
        <f>IF(ISBLANK(INDEX('register map'!A:A,C128)),IF(ISBLANK(INDEX('register map'!A:A,C128-1)),IF(ISBLANK(INDEX('register map'!A:A,C128-2)),IF(ISBLANK(INDEX('register map'!A:A,C128-3)),IF(ISBLANK(INDEX('register map'!A:A,C128-4)),IF(ISBLANK(INDEX('register map'!A:A,C128-5)),IF(ISBLANK(INDEX('register map'!A:A,C128-6)),IF(ISBLANK(INDEX('register map'!A:A,C128-7)),IF(ISBLANK(INDEX('register map'!A:A,C128-8)),"ERROR",INDEX('register map'!A:A,C128-8)),INDEX('register map'!A:A,C128-7)),INDEX('register map'!A:A,C128-6)),INDEX('register map'!A:A,C128-5)),INDEX('register map'!A:A,C128-4)),INDEX('register map'!A:A,C128-3)),INDEX('register map'!A:A,C128-2)),INDEX('register map'!A:A,C128-1)),INDEX('register map'!A:A,C128))</f>
        <v>0x5E</v>
      </c>
      <c r="F128" s="117" t="str">
        <f>IF(ISBLANK(INDEX('register map'!B:B,C128)),IF(ISBLANK(INDEX('register map'!B:B,C128-1)),IF(ISBLANK(INDEX('register map'!B:B,C128-2)),IF(ISBLANK(INDEX('register map'!B:B,C128-3)),IF(ISBLANK(INDEX('register map'!B:B,C128-4)),IF(ISBLANK(INDEX('register map'!B:B,C128-5)),IF(ISBLANK(INDEX('register map'!B:B,C128-6)),IF(ISBLANK(INDEX('register map'!B:B,C128-7)),IF(ISBLANK(INDEX('register map'!B:B,C128-8)),"ERROR",INDEX('register map'!B:B,C128-8)),INDEX('register map'!B:B,C128-7)),INDEX('register map'!B:B,C128-6)),INDEX('register map'!B:B,C128-5)),INDEX('register map'!B:B,C128-4)),INDEX('register map'!B:B,C128-3)),INDEX('register map'!B:B,C128-2)),INDEX('register map'!B:B,C128-1)),INDEX('register map'!B:B,C128))</f>
        <v>0x9D</v>
      </c>
      <c r="G128" s="117" t="str">
        <f>CONCATENATE(IF(ISNUMBER(INDEX('register map'!D:D,C128)),7,""),IF(ISNUMBER(INDEX('register map'!E:E,C128)),6,""),IF(ISNUMBER(INDEX('register map'!F:F,C128)),5,""),IF(ISNUMBER(INDEX('register map'!G:G,C128)),4,""),IF(ISNUMBER(INDEX('register map'!H:H,C128)),3,""),IF(ISNUMBER(INDEX('register map'!I:I,C128)),2,""),IF(ISNUMBER(INDEX('register map'!J:J,C128)),1,""),IF(ISNUMBER(INDEX('register map'!K:K,C128)),0,""))</f>
        <v>765</v>
      </c>
      <c r="H128" s="117" t="str">
        <f>RIGHT(INDEX('register map'!V:V,MATCH('Logical Group Generator'!B128,'register map'!L:L,0)),LEN(G128))</f>
        <v>010</v>
      </c>
      <c r="I128" s="117" t="str">
        <f>CONCATENATE(IF(ISNUMBER(INDEX('register map'!K:K,C128)),0,""),IF(ISNUMBER(INDEX('register map'!J:J,C128)),1,""),IF(ISNUMBER(INDEX('register map'!I:I,C128)),2,""),IF(ISNUMBER(INDEX('register map'!H:H,C128)),3,""),IF(ISNUMBER(INDEX('register map'!G:G,C128)),4,""),IF(ISNUMBER(INDEX('register map'!F:F,C128)),5,""),IF(ISNUMBER(INDEX('register map'!E:E,C128)),6,""),IF(ISNUMBER(INDEX('register map'!D:D,C128)),7,""))</f>
        <v>567</v>
      </c>
      <c r="J128" s="117" t="str">
        <f t="shared" si="18"/>
        <v>010</v>
      </c>
      <c r="K128" s="117" t="str">
        <f t="shared" si="11"/>
        <v/>
      </c>
      <c r="L128" s="117" t="str">
        <f t="shared" si="19"/>
        <v/>
      </c>
      <c r="M128" s="117" t="str">
        <f t="shared" si="21"/>
        <v/>
      </c>
      <c r="N128" s="117" t="str">
        <f>IF(ISBLANK(INDEX('register map'!M:M,'Logical Group Generator'!C128)),"No","Yes")</f>
        <v>No</v>
      </c>
      <c r="O128" s="117" t="str">
        <f>IF(NOT(ISBLANK(INDEX('register map'!N:N,'Logical Group Generator'!C128))),"Yes","")</f>
        <v/>
      </c>
      <c r="P128" s="117" t="str">
        <f t="shared" si="12"/>
        <v/>
      </c>
      <c r="Q128" s="117" t="str">
        <f t="shared" si="13"/>
        <v/>
      </c>
      <c r="R128" s="117" t="str">
        <f t="shared" si="14"/>
        <v/>
      </c>
      <c r="S128" s="117" t="str">
        <f t="shared" si="15"/>
        <v>No</v>
      </c>
      <c r="T128" s="117" t="str">
        <f t="shared" si="16"/>
        <v/>
      </c>
      <c r="U128" s="117" t="b">
        <f t="shared" si="20"/>
        <v>0</v>
      </c>
      <c r="V128" s="157" t="b">
        <f>INDEX('register map'!P:P,C128)="yes"</f>
        <v>1</v>
      </c>
      <c r="W128" s="157" t="str">
        <f t="shared" si="17"/>
        <v>FALSE</v>
      </c>
    </row>
    <row r="129" spans="2:23">
      <c r="B129" s="157" t="str">
        <f t="array" ref="B129">IF(ROWS($3:129)&lt;=COUNTA('register map'!$L$5:$L$902),INDEX('register map'!$L$5:$L$902,SMALL(IF('register map'!$L$5:$L$902&lt;&gt;"",ROW('register map'!$L$5:$L$902)-MIN(ROW('register map'!$L$5:$L$902))+1),ROWS($3:129))),"")</f>
        <v>OTP_RSVD_5E_9E</v>
      </c>
      <c r="C129" s="157">
        <f>IF(B129="PART_NUMBER",IF(COUNTIF($B$1:B128,"PART_NUMBER")=0,6,8),MATCH(B129,'register map'!L:L,0))</f>
        <v>142</v>
      </c>
      <c r="D129" s="117" t="str">
        <f>IF(ISBLANK(INDEX('register map'!C:C,'Logical Group Generator'!C129)),"No","Yes")</f>
        <v>Yes</v>
      </c>
      <c r="E129" s="117" t="str">
        <f>IF(ISBLANK(INDEX('register map'!A:A,C129)),IF(ISBLANK(INDEX('register map'!A:A,C129-1)),IF(ISBLANK(INDEX('register map'!A:A,C129-2)),IF(ISBLANK(INDEX('register map'!A:A,C129-3)),IF(ISBLANK(INDEX('register map'!A:A,C129-4)),IF(ISBLANK(INDEX('register map'!A:A,C129-5)),IF(ISBLANK(INDEX('register map'!A:A,C129-6)),IF(ISBLANK(INDEX('register map'!A:A,C129-7)),IF(ISBLANK(INDEX('register map'!A:A,C129-8)),"ERROR",INDEX('register map'!A:A,C129-8)),INDEX('register map'!A:A,C129-7)),INDEX('register map'!A:A,C129-6)),INDEX('register map'!A:A,C129-5)),INDEX('register map'!A:A,C129-4)),INDEX('register map'!A:A,C129-3)),INDEX('register map'!A:A,C129-2)),INDEX('register map'!A:A,C129-1)),INDEX('register map'!A:A,C129))</f>
        <v>0x5E</v>
      </c>
      <c r="F129" s="117" t="str">
        <f>IF(ISBLANK(INDEX('register map'!B:B,C129)),IF(ISBLANK(INDEX('register map'!B:B,C129-1)),IF(ISBLANK(INDEX('register map'!B:B,C129-2)),IF(ISBLANK(INDEX('register map'!B:B,C129-3)),IF(ISBLANK(INDEX('register map'!B:B,C129-4)),IF(ISBLANK(INDEX('register map'!B:B,C129-5)),IF(ISBLANK(INDEX('register map'!B:B,C129-6)),IF(ISBLANK(INDEX('register map'!B:B,C129-7)),IF(ISBLANK(INDEX('register map'!B:B,C129-8)),"ERROR",INDEX('register map'!B:B,C129-8)),INDEX('register map'!B:B,C129-7)),INDEX('register map'!B:B,C129-6)),INDEX('register map'!B:B,C129-5)),INDEX('register map'!B:B,C129-4)),INDEX('register map'!B:B,C129-3)),INDEX('register map'!B:B,C129-2)),INDEX('register map'!B:B,C129-1)),INDEX('register map'!B:B,C129))</f>
        <v>0x9E</v>
      </c>
      <c r="G129" s="117" t="str">
        <f>CONCATENATE(IF(ISNUMBER(INDEX('register map'!D:D,C129)),7,""),IF(ISNUMBER(INDEX('register map'!E:E,C129)),6,""),IF(ISNUMBER(INDEX('register map'!F:F,C129)),5,""),IF(ISNUMBER(INDEX('register map'!G:G,C129)),4,""),IF(ISNUMBER(INDEX('register map'!H:H,C129)),3,""),IF(ISNUMBER(INDEX('register map'!I:I,C129)),2,""),IF(ISNUMBER(INDEX('register map'!J:J,C129)),1,""),IF(ISNUMBER(INDEX('register map'!K:K,C129)),0,""))</f>
        <v/>
      </c>
      <c r="H129" s="117" t="str">
        <f>RIGHT(INDEX('register map'!V:V,MATCH('Logical Group Generator'!B129,'register map'!L:L,0)),LEN(G129))</f>
        <v/>
      </c>
      <c r="I129" s="117" t="str">
        <f>CONCATENATE(IF(ISNUMBER(INDEX('register map'!K:K,C129)),0,""),IF(ISNUMBER(INDEX('register map'!J:J,C129)),1,""),IF(ISNUMBER(INDEX('register map'!I:I,C129)),2,""),IF(ISNUMBER(INDEX('register map'!H:H,C129)),3,""),IF(ISNUMBER(INDEX('register map'!G:G,C129)),4,""),IF(ISNUMBER(INDEX('register map'!F:F,C129)),5,""),IF(ISNUMBER(INDEX('register map'!E:E,C129)),6,""),IF(ISNUMBER(INDEX('register map'!D:D,C129)),7,""))</f>
        <v/>
      </c>
      <c r="J129" s="117" t="str">
        <f t="shared" si="18"/>
        <v/>
      </c>
      <c r="K129" s="117" t="str">
        <f t="shared" si="11"/>
        <v>00000000</v>
      </c>
      <c r="L129" s="117" t="str">
        <f t="shared" si="19"/>
        <v>00000000</v>
      </c>
      <c r="M129" s="117" t="str">
        <f t="shared" si="21"/>
        <v>00</v>
      </c>
      <c r="N129" s="117" t="str">
        <f>IF(ISBLANK(INDEX('register map'!M:M,'Logical Group Generator'!C129)),"No","Yes")</f>
        <v>No</v>
      </c>
      <c r="O129" s="117" t="str">
        <f>IF(NOT(ISBLANK(INDEX('register map'!N:N,'Logical Group Generator'!C129))),"Yes","")</f>
        <v>Yes</v>
      </c>
      <c r="P129" s="117" t="str">
        <f t="shared" si="12"/>
        <v>No</v>
      </c>
      <c r="Q129" s="117" t="str">
        <f t="shared" si="13"/>
        <v>Yes</v>
      </c>
      <c r="R129" s="117" t="str">
        <f t="shared" si="14"/>
        <v>No</v>
      </c>
      <c r="S129" s="117" t="str">
        <f t="shared" si="15"/>
        <v/>
      </c>
      <c r="T129" s="117" t="b">
        <f t="shared" si="16"/>
        <v>1</v>
      </c>
      <c r="U129" s="117" t="b">
        <f t="shared" si="20"/>
        <v>1</v>
      </c>
      <c r="V129" s="157" t="b">
        <f>INDEX('register map'!P:P,C129)="yes"</f>
        <v>1</v>
      </c>
      <c r="W129" s="157" t="str">
        <f t="shared" si="17"/>
        <v>FALSE</v>
      </c>
    </row>
    <row r="130" spans="2:23">
      <c r="B130" s="157" t="str">
        <f t="array" ref="B130">IF(ROWS($3:130)&lt;=COUNTA('register map'!$L$5:$L$902),INDEX('register map'!$L$5:$L$902,SMALL(IF('register map'!$L$5:$L$902&lt;&gt;"",ROW('register map'!$L$5:$L$902)-MIN(ROW('register map'!$L$5:$L$902))+1),ROWS($3:130))),"")</f>
        <v>OTP_RSVD_5E_9E_0</v>
      </c>
      <c r="C130" s="157">
        <f>IF(B130="PART_NUMBER",IF(COUNTIF($B$1:B129,"PART_NUMBER")=0,6,8),MATCH(B130,'register map'!L:L,0))</f>
        <v>143</v>
      </c>
      <c r="D130" s="117" t="str">
        <f>IF(ISBLANK(INDEX('register map'!C:C,'Logical Group Generator'!C130)),"No","Yes")</f>
        <v>No</v>
      </c>
      <c r="E130" s="117" t="str">
        <f>IF(ISBLANK(INDEX('register map'!A:A,C130)),IF(ISBLANK(INDEX('register map'!A:A,C130-1)),IF(ISBLANK(INDEX('register map'!A:A,C130-2)),IF(ISBLANK(INDEX('register map'!A:A,C130-3)),IF(ISBLANK(INDEX('register map'!A:A,C130-4)),IF(ISBLANK(INDEX('register map'!A:A,C130-5)),IF(ISBLANK(INDEX('register map'!A:A,C130-6)),IF(ISBLANK(INDEX('register map'!A:A,C130-7)),IF(ISBLANK(INDEX('register map'!A:A,C130-8)),"ERROR",INDEX('register map'!A:A,C130-8)),INDEX('register map'!A:A,C130-7)),INDEX('register map'!A:A,C130-6)),INDEX('register map'!A:A,C130-5)),INDEX('register map'!A:A,C130-4)),INDEX('register map'!A:A,C130-3)),INDEX('register map'!A:A,C130-2)),INDEX('register map'!A:A,C130-1)),INDEX('register map'!A:A,C130))</f>
        <v>0x5E</v>
      </c>
      <c r="F130" s="117" t="str">
        <f>IF(ISBLANK(INDEX('register map'!B:B,C130)),IF(ISBLANK(INDEX('register map'!B:B,C130-1)),IF(ISBLANK(INDEX('register map'!B:B,C130-2)),IF(ISBLANK(INDEX('register map'!B:B,C130-3)),IF(ISBLANK(INDEX('register map'!B:B,C130-4)),IF(ISBLANK(INDEX('register map'!B:B,C130-5)),IF(ISBLANK(INDEX('register map'!B:B,C130-6)),IF(ISBLANK(INDEX('register map'!B:B,C130-7)),IF(ISBLANK(INDEX('register map'!B:B,C130-8)),"ERROR",INDEX('register map'!B:B,C130-8)),INDEX('register map'!B:B,C130-7)),INDEX('register map'!B:B,C130-6)),INDEX('register map'!B:B,C130-5)),INDEX('register map'!B:B,C130-4)),INDEX('register map'!B:B,C130-3)),INDEX('register map'!B:B,C130-2)),INDEX('register map'!B:B,C130-1)),INDEX('register map'!B:B,C130))</f>
        <v>0x9E</v>
      </c>
      <c r="G130" s="117" t="str">
        <f>CONCATENATE(IF(ISNUMBER(INDEX('register map'!D:D,C130)),7,""),IF(ISNUMBER(INDEX('register map'!E:E,C130)),6,""),IF(ISNUMBER(INDEX('register map'!F:F,C130)),5,""),IF(ISNUMBER(INDEX('register map'!G:G,C130)),4,""),IF(ISNUMBER(INDEX('register map'!H:H,C130)),3,""),IF(ISNUMBER(INDEX('register map'!I:I,C130)),2,""),IF(ISNUMBER(INDEX('register map'!J:J,C130)),1,""),IF(ISNUMBER(INDEX('register map'!K:K,C130)),0,""))</f>
        <v>0</v>
      </c>
      <c r="H130" s="117" t="str">
        <f>RIGHT(INDEX('register map'!V:V,MATCH('Logical Group Generator'!B130,'register map'!L:L,0)),LEN(G130))</f>
        <v>0</v>
      </c>
      <c r="I130" s="117" t="str">
        <f>CONCATENATE(IF(ISNUMBER(INDEX('register map'!K:K,C130)),0,""),IF(ISNUMBER(INDEX('register map'!J:J,C130)),1,""),IF(ISNUMBER(INDEX('register map'!I:I,C130)),2,""),IF(ISNUMBER(INDEX('register map'!H:H,C130)),3,""),IF(ISNUMBER(INDEX('register map'!G:G,C130)),4,""),IF(ISNUMBER(INDEX('register map'!F:F,C130)),5,""),IF(ISNUMBER(INDEX('register map'!E:E,C130)),6,""),IF(ISNUMBER(INDEX('register map'!D:D,C130)),7,""))</f>
        <v>0</v>
      </c>
      <c r="J130" s="117" t="str">
        <f t="shared" si="18"/>
        <v>0</v>
      </c>
      <c r="K130" s="117" t="str">
        <f t="shared" si="11"/>
        <v/>
      </c>
      <c r="L130" s="117" t="str">
        <f t="shared" si="19"/>
        <v/>
      </c>
      <c r="M130" s="117" t="str">
        <f t="shared" si="21"/>
        <v/>
      </c>
      <c r="N130" s="117" t="str">
        <f>IF(ISBLANK(INDEX('register map'!M:M,'Logical Group Generator'!C130)),"No","Yes")</f>
        <v>No</v>
      </c>
      <c r="O130" s="117" t="str">
        <f>IF(NOT(ISBLANK(INDEX('register map'!N:N,'Logical Group Generator'!C130))),"Yes","")</f>
        <v>Yes</v>
      </c>
      <c r="P130" s="117" t="str">
        <f t="shared" si="12"/>
        <v/>
      </c>
      <c r="Q130" s="117" t="str">
        <f t="shared" si="13"/>
        <v/>
      </c>
      <c r="R130" s="117" t="str">
        <f t="shared" si="14"/>
        <v/>
      </c>
      <c r="S130" s="117" t="str">
        <f t="shared" si="15"/>
        <v>No</v>
      </c>
      <c r="T130" s="117" t="str">
        <f t="shared" si="16"/>
        <v/>
      </c>
      <c r="U130" s="117" t="b">
        <f t="shared" si="20"/>
        <v>0</v>
      </c>
      <c r="V130" s="157" t="b">
        <f>INDEX('register map'!P:P,C130)="yes"</f>
        <v>1</v>
      </c>
      <c r="W130" s="157" t="str">
        <f t="shared" si="17"/>
        <v>FALSE</v>
      </c>
    </row>
    <row r="131" spans="2:23">
      <c r="B131" s="157" t="str">
        <f t="array" ref="B131">IF(ROWS($3:131)&lt;=COUNTA('register map'!$L$5:$L$902),INDEX('register map'!$L$5:$L$902,SMALL(IF('register map'!$L$5:$L$902&lt;&gt;"",ROW('register map'!$L$5:$L$902)-MIN(ROW('register map'!$L$5:$L$902))+1),ROWS($3:131))),"")</f>
        <v>OTP_RSVD_5E_9E_1</v>
      </c>
      <c r="C131" s="157">
        <f>IF(B131="PART_NUMBER",IF(COUNTIF($B$1:B130,"PART_NUMBER")=0,6,8),MATCH(B131,'register map'!L:L,0))</f>
        <v>144</v>
      </c>
      <c r="D131" s="117" t="str">
        <f>IF(ISBLANK(INDEX('register map'!C:C,'Logical Group Generator'!C131)),"No","Yes")</f>
        <v>No</v>
      </c>
      <c r="E131" s="117" t="str">
        <f>IF(ISBLANK(INDEX('register map'!A:A,C131)),IF(ISBLANK(INDEX('register map'!A:A,C131-1)),IF(ISBLANK(INDEX('register map'!A:A,C131-2)),IF(ISBLANK(INDEX('register map'!A:A,C131-3)),IF(ISBLANK(INDEX('register map'!A:A,C131-4)),IF(ISBLANK(INDEX('register map'!A:A,C131-5)),IF(ISBLANK(INDEX('register map'!A:A,C131-6)),IF(ISBLANK(INDEX('register map'!A:A,C131-7)),IF(ISBLANK(INDEX('register map'!A:A,C131-8)),"ERROR",INDEX('register map'!A:A,C131-8)),INDEX('register map'!A:A,C131-7)),INDEX('register map'!A:A,C131-6)),INDEX('register map'!A:A,C131-5)),INDEX('register map'!A:A,C131-4)),INDEX('register map'!A:A,C131-3)),INDEX('register map'!A:A,C131-2)),INDEX('register map'!A:A,C131-1)),INDEX('register map'!A:A,C131))</f>
        <v>0x5E</v>
      </c>
      <c r="F131" s="117" t="str">
        <f>IF(ISBLANK(INDEX('register map'!B:B,C131)),IF(ISBLANK(INDEX('register map'!B:B,C131-1)),IF(ISBLANK(INDEX('register map'!B:B,C131-2)),IF(ISBLANK(INDEX('register map'!B:B,C131-3)),IF(ISBLANK(INDEX('register map'!B:B,C131-4)),IF(ISBLANK(INDEX('register map'!B:B,C131-5)),IF(ISBLANK(INDEX('register map'!B:B,C131-6)),IF(ISBLANK(INDEX('register map'!B:B,C131-7)),IF(ISBLANK(INDEX('register map'!B:B,C131-8)),"ERROR",INDEX('register map'!B:B,C131-8)),INDEX('register map'!B:B,C131-7)),INDEX('register map'!B:B,C131-6)),INDEX('register map'!B:B,C131-5)),INDEX('register map'!B:B,C131-4)),INDEX('register map'!B:B,C131-3)),INDEX('register map'!B:B,C131-2)),INDEX('register map'!B:B,C131-1)),INDEX('register map'!B:B,C131))</f>
        <v>0x9E</v>
      </c>
      <c r="G131" s="117" t="str">
        <f>CONCATENATE(IF(ISNUMBER(INDEX('register map'!D:D,C131)),7,""),IF(ISNUMBER(INDEX('register map'!E:E,C131)),6,""),IF(ISNUMBER(INDEX('register map'!F:F,C131)),5,""),IF(ISNUMBER(INDEX('register map'!G:G,C131)),4,""),IF(ISNUMBER(INDEX('register map'!H:H,C131)),3,""),IF(ISNUMBER(INDEX('register map'!I:I,C131)),2,""),IF(ISNUMBER(INDEX('register map'!J:J,C131)),1,""),IF(ISNUMBER(INDEX('register map'!K:K,C131)),0,""))</f>
        <v>1</v>
      </c>
      <c r="H131" s="117" t="str">
        <f>RIGHT(INDEX('register map'!V:V,MATCH('Logical Group Generator'!B131,'register map'!L:L,0)),LEN(G131))</f>
        <v>0</v>
      </c>
      <c r="I131" s="117" t="str">
        <f>CONCATENATE(IF(ISNUMBER(INDEX('register map'!K:K,C131)),0,""),IF(ISNUMBER(INDEX('register map'!J:J,C131)),1,""),IF(ISNUMBER(INDEX('register map'!I:I,C131)),2,""),IF(ISNUMBER(INDEX('register map'!H:H,C131)),3,""),IF(ISNUMBER(INDEX('register map'!G:G,C131)),4,""),IF(ISNUMBER(INDEX('register map'!F:F,C131)),5,""),IF(ISNUMBER(INDEX('register map'!E:E,C131)),6,""),IF(ISNUMBER(INDEX('register map'!D:D,C131)),7,""))</f>
        <v>1</v>
      </c>
      <c r="J131" s="117" t="str">
        <f t="shared" si="18"/>
        <v>0</v>
      </c>
      <c r="K131" s="117" t="str">
        <f t="shared" ref="K131:K194" si="22">IF(D131="Yes",CONCATENATE(IF(F132=F131,J132,""),IF(F133=F131,J133,""),IF(F134=F131,J134,""),IF(F135=F131,J135,""),IF(F136=F131,J136,""),IF(F137=F131,J137,""),IF(F138=F131,J138,""),IF(F139=F131,J139,"")),"")</f>
        <v/>
      </c>
      <c r="L131" s="117" t="str">
        <f t="shared" si="19"/>
        <v/>
      </c>
      <c r="M131" s="117" t="str">
        <f t="shared" si="21"/>
        <v/>
      </c>
      <c r="N131" s="117" t="str">
        <f>IF(ISBLANK(INDEX('register map'!M:M,'Logical Group Generator'!C131)),"No","Yes")</f>
        <v>No</v>
      </c>
      <c r="O131" s="117" t="str">
        <f>IF(NOT(ISBLANK(INDEX('register map'!N:N,'Logical Group Generator'!C131))),"Yes","")</f>
        <v>Yes</v>
      </c>
      <c r="P131" s="117" t="str">
        <f t="shared" ref="P131:P194" si="23">IF(D131="Yes",IF(OR(AND(F132=F131,N132="Yes"),AND(F133=F131,N133="Yes"),AND(F134=F131,N134="Yes"),AND(F135=F131,N135="Yes"),AND(F136=F131,N136="Yes"),AND(F137=F131,N137="Yes"),AND(F138=F131,N138="Yes"),AND(F139=F131,N139="Yes")),"Yes","No"),"")</f>
        <v/>
      </c>
      <c r="Q131" s="117" t="str">
        <f t="shared" ref="Q131:Q194" si="24">IF(D131="Yes",IF(AND(IF(F132=F131,OR(N132="Yes",O132="Yes"),TRUE),IF(F133=F131,OR(N133="Yes",O133="Yes"),TRUE),IF(F134=F131,OR(N134="Yes",O134="Yes"),TRUE),IF(F135=F131,OR(N135="Yes",O135="Yes"),TRUE),IF(F136=F131,OR(N136="Yes",O136="Yes"),TRUE),IF(F137=F131,OR(N137="Yes",O137="Yes"),TRUE),IF(F138=F131,OR(N138="Yes",O138="Yes"),TRUE),IF(F139=F131,OR(N139="Yes",O139="Yes"),TRUE)),"Yes","No"),"")</f>
        <v/>
      </c>
      <c r="R131" s="117" t="str">
        <f t="shared" ref="R131:R194" si="25">IF(D131="Yes",IF(AND(P131="Yes",Q131="No"),"Yes","No"),"")</f>
        <v/>
      </c>
      <c r="S131" s="117" t="str">
        <f t="shared" ref="S131:S194" si="26">IF(D131="No",IF(AND(N131="No",NOT(O131="Yes"),INDEX(R:R,MATCH(F131,F:F,0))="Yes"),"Yes","No"),"")</f>
        <v>No</v>
      </c>
      <c r="T131" s="117" t="str">
        <f t="shared" ref="T131:T194" si="27">IF(D131="Yes",LEN(L131)=8,"")</f>
        <v/>
      </c>
      <c r="U131" s="117" t="b">
        <f t="shared" si="20"/>
        <v>0</v>
      </c>
      <c r="V131" s="157" t="b">
        <f>INDEX('register map'!P:P,C131)="yes"</f>
        <v>1</v>
      </c>
      <c r="W131" s="157" t="str">
        <f t="shared" ref="W131:W194" si="28">IF(AND(D131="Yes",P131="No",Q131="No",V131),"REGISTER",IF(AND(D131="No",S131="Yes",V131),"BIT","FALSE"))</f>
        <v>FALSE</v>
      </c>
    </row>
    <row r="132" spans="2:23">
      <c r="B132" s="157" t="str">
        <f t="array" ref="B132">IF(ROWS($3:132)&lt;=COUNTA('register map'!$L$5:$L$902),INDEX('register map'!$L$5:$L$902,SMALL(IF('register map'!$L$5:$L$902&lt;&gt;"",ROW('register map'!$L$5:$L$902)-MIN(ROW('register map'!$L$5:$L$902))+1),ROWS($3:132))),"")</f>
        <v>OTP_RSVD_5E_9E_2</v>
      </c>
      <c r="C132" s="157">
        <f>IF(B132="PART_NUMBER",IF(COUNTIF($B$1:B131,"PART_NUMBER")=0,6,8),MATCH(B132,'register map'!L:L,0))</f>
        <v>145</v>
      </c>
      <c r="D132" s="117" t="str">
        <f>IF(ISBLANK(INDEX('register map'!C:C,'Logical Group Generator'!C132)),"No","Yes")</f>
        <v>No</v>
      </c>
      <c r="E132" s="117" t="str">
        <f>IF(ISBLANK(INDEX('register map'!A:A,C132)),IF(ISBLANK(INDEX('register map'!A:A,C132-1)),IF(ISBLANK(INDEX('register map'!A:A,C132-2)),IF(ISBLANK(INDEX('register map'!A:A,C132-3)),IF(ISBLANK(INDEX('register map'!A:A,C132-4)),IF(ISBLANK(INDEX('register map'!A:A,C132-5)),IF(ISBLANK(INDEX('register map'!A:A,C132-6)),IF(ISBLANK(INDEX('register map'!A:A,C132-7)),IF(ISBLANK(INDEX('register map'!A:A,C132-8)),"ERROR",INDEX('register map'!A:A,C132-8)),INDEX('register map'!A:A,C132-7)),INDEX('register map'!A:A,C132-6)),INDEX('register map'!A:A,C132-5)),INDEX('register map'!A:A,C132-4)),INDEX('register map'!A:A,C132-3)),INDEX('register map'!A:A,C132-2)),INDEX('register map'!A:A,C132-1)),INDEX('register map'!A:A,C132))</f>
        <v>0x5E</v>
      </c>
      <c r="F132" s="117" t="str">
        <f>IF(ISBLANK(INDEX('register map'!B:B,C132)),IF(ISBLANK(INDEX('register map'!B:B,C132-1)),IF(ISBLANK(INDEX('register map'!B:B,C132-2)),IF(ISBLANK(INDEX('register map'!B:B,C132-3)),IF(ISBLANK(INDEX('register map'!B:B,C132-4)),IF(ISBLANK(INDEX('register map'!B:B,C132-5)),IF(ISBLANK(INDEX('register map'!B:B,C132-6)),IF(ISBLANK(INDEX('register map'!B:B,C132-7)),IF(ISBLANK(INDEX('register map'!B:B,C132-8)),"ERROR",INDEX('register map'!B:B,C132-8)),INDEX('register map'!B:B,C132-7)),INDEX('register map'!B:B,C132-6)),INDEX('register map'!B:B,C132-5)),INDEX('register map'!B:B,C132-4)),INDEX('register map'!B:B,C132-3)),INDEX('register map'!B:B,C132-2)),INDEX('register map'!B:B,C132-1)),INDEX('register map'!B:B,C132))</f>
        <v>0x9E</v>
      </c>
      <c r="G132" s="117" t="str">
        <f>CONCATENATE(IF(ISNUMBER(INDEX('register map'!D:D,C132)),7,""),IF(ISNUMBER(INDEX('register map'!E:E,C132)),6,""),IF(ISNUMBER(INDEX('register map'!F:F,C132)),5,""),IF(ISNUMBER(INDEX('register map'!G:G,C132)),4,""),IF(ISNUMBER(INDEX('register map'!H:H,C132)),3,""),IF(ISNUMBER(INDEX('register map'!I:I,C132)),2,""),IF(ISNUMBER(INDEX('register map'!J:J,C132)),1,""),IF(ISNUMBER(INDEX('register map'!K:K,C132)),0,""))</f>
        <v>2</v>
      </c>
      <c r="H132" s="117" t="str">
        <f>RIGHT(INDEX('register map'!V:V,MATCH('Logical Group Generator'!B132,'register map'!L:L,0)),LEN(G132))</f>
        <v>0</v>
      </c>
      <c r="I132" s="117" t="str">
        <f>CONCATENATE(IF(ISNUMBER(INDEX('register map'!K:K,C132)),0,""),IF(ISNUMBER(INDEX('register map'!J:J,C132)),1,""),IF(ISNUMBER(INDEX('register map'!I:I,C132)),2,""),IF(ISNUMBER(INDEX('register map'!H:H,C132)),3,""),IF(ISNUMBER(INDEX('register map'!G:G,C132)),4,""),IF(ISNUMBER(INDEX('register map'!F:F,C132)),5,""),IF(ISNUMBER(INDEX('register map'!E:E,C132)),6,""),IF(ISNUMBER(INDEX('register map'!D:D,C132)),7,""))</f>
        <v>2</v>
      </c>
      <c r="J132" s="117" t="str">
        <f t="shared" ref="J132:J195" si="29">MID(H132,20,1) &amp; MID(H132,19,1) &amp; MID(H132,18,1) &amp; MID(H132,17,1) &amp; MID(H132,16,1) &amp; MID(H132,15,1) &amp; MID(H132,14,1) &amp; MID(H132,13,1) &amp; MID(H132,12,1) &amp; MID(H132,11,1) &amp; MID(H132,10,1) &amp; MID(H132,9,1) &amp; MID(H132,8,1) &amp; MID(H132,7,1) &amp; MID(H132,6,1) &amp; MID(H132,5,1) &amp; MID(H132,4,1) &amp; MID(H132,3,1) &amp; MID(H132,2,1) &amp; MID(H132,1,1)</f>
        <v>0</v>
      </c>
      <c r="K132" s="117" t="str">
        <f t="shared" si="22"/>
        <v/>
      </c>
      <c r="L132" s="117" t="str">
        <f t="shared" ref="L132:L195" si="30">MID(K132,20,1) &amp; MID(K132,19,1) &amp; MID(K132,18,1) &amp; MID(K132,17,1) &amp; MID(K132,16,1) &amp; MID(K132,15,1) &amp; MID(K132,14,1) &amp; MID(K132,13,1) &amp; MID(K132,12,1) &amp; MID(K132,11,1) &amp; MID(K132,10,1) &amp; MID(K132,9,1) &amp; MID(K132,8,1) &amp; MID(K132,7,1) &amp; MID(K132,6,1) &amp; MID(K132,5,1) &amp; MID(K132,4,1) &amp; MID(K132,3,1) &amp; MID(K132,2,1) &amp; MID(K132,1,1)</f>
        <v/>
      </c>
      <c r="M132" s="117" t="str">
        <f t="shared" si="21"/>
        <v/>
      </c>
      <c r="N132" s="117" t="str">
        <f>IF(ISBLANK(INDEX('register map'!M:M,'Logical Group Generator'!C132)),"No","Yes")</f>
        <v>No</v>
      </c>
      <c r="O132" s="117" t="str">
        <f>IF(NOT(ISBLANK(INDEX('register map'!N:N,'Logical Group Generator'!C132))),"Yes","")</f>
        <v>Yes</v>
      </c>
      <c r="P132" s="117" t="str">
        <f t="shared" si="23"/>
        <v/>
      </c>
      <c r="Q132" s="117" t="str">
        <f t="shared" si="24"/>
        <v/>
      </c>
      <c r="R132" s="117" t="str">
        <f t="shared" si="25"/>
        <v/>
      </c>
      <c r="S132" s="117" t="str">
        <f t="shared" si="26"/>
        <v>No</v>
      </c>
      <c r="T132" s="117" t="str">
        <f t="shared" si="27"/>
        <v/>
      </c>
      <c r="U132" s="117" t="b">
        <f t="shared" ref="U132:U195" si="31">OR(P132="No",S132="Yes")</f>
        <v>0</v>
      </c>
      <c r="V132" s="157" t="b">
        <f>INDEX('register map'!P:P,C132)="yes"</f>
        <v>1</v>
      </c>
      <c r="W132" s="157" t="str">
        <f t="shared" si="28"/>
        <v>FALSE</v>
      </c>
    </row>
    <row r="133" spans="2:23">
      <c r="B133" s="157" t="str">
        <f t="array" ref="B133">IF(ROWS($3:133)&lt;=COUNTA('register map'!$L$5:$L$902),INDEX('register map'!$L$5:$L$902,SMALL(IF('register map'!$L$5:$L$902&lt;&gt;"",ROW('register map'!$L$5:$L$902)-MIN(ROW('register map'!$L$5:$L$902))+1),ROWS($3:133))),"")</f>
        <v>OTP_RSVD_5E_9E_3</v>
      </c>
      <c r="C133" s="157">
        <f>IF(B133="PART_NUMBER",IF(COUNTIF($B$1:B132,"PART_NUMBER")=0,6,8),MATCH(B133,'register map'!L:L,0))</f>
        <v>146</v>
      </c>
      <c r="D133" s="117" t="str">
        <f>IF(ISBLANK(INDEX('register map'!C:C,'Logical Group Generator'!C133)),"No","Yes")</f>
        <v>No</v>
      </c>
      <c r="E133" s="117" t="str">
        <f>IF(ISBLANK(INDEX('register map'!A:A,C133)),IF(ISBLANK(INDEX('register map'!A:A,C133-1)),IF(ISBLANK(INDEX('register map'!A:A,C133-2)),IF(ISBLANK(INDEX('register map'!A:A,C133-3)),IF(ISBLANK(INDEX('register map'!A:A,C133-4)),IF(ISBLANK(INDEX('register map'!A:A,C133-5)),IF(ISBLANK(INDEX('register map'!A:A,C133-6)),IF(ISBLANK(INDEX('register map'!A:A,C133-7)),IF(ISBLANK(INDEX('register map'!A:A,C133-8)),"ERROR",INDEX('register map'!A:A,C133-8)),INDEX('register map'!A:A,C133-7)),INDEX('register map'!A:A,C133-6)),INDEX('register map'!A:A,C133-5)),INDEX('register map'!A:A,C133-4)),INDEX('register map'!A:A,C133-3)),INDEX('register map'!A:A,C133-2)),INDEX('register map'!A:A,C133-1)),INDEX('register map'!A:A,C133))</f>
        <v>0x5E</v>
      </c>
      <c r="F133" s="117" t="str">
        <f>IF(ISBLANK(INDEX('register map'!B:B,C133)),IF(ISBLANK(INDEX('register map'!B:B,C133-1)),IF(ISBLANK(INDEX('register map'!B:B,C133-2)),IF(ISBLANK(INDEX('register map'!B:B,C133-3)),IF(ISBLANK(INDEX('register map'!B:B,C133-4)),IF(ISBLANK(INDEX('register map'!B:B,C133-5)),IF(ISBLANK(INDEX('register map'!B:B,C133-6)),IF(ISBLANK(INDEX('register map'!B:B,C133-7)),IF(ISBLANK(INDEX('register map'!B:B,C133-8)),"ERROR",INDEX('register map'!B:B,C133-8)),INDEX('register map'!B:B,C133-7)),INDEX('register map'!B:B,C133-6)),INDEX('register map'!B:B,C133-5)),INDEX('register map'!B:B,C133-4)),INDEX('register map'!B:B,C133-3)),INDEX('register map'!B:B,C133-2)),INDEX('register map'!B:B,C133-1)),INDEX('register map'!B:B,C133))</f>
        <v>0x9E</v>
      </c>
      <c r="G133" s="117" t="str">
        <f>CONCATENATE(IF(ISNUMBER(INDEX('register map'!D:D,C133)),7,""),IF(ISNUMBER(INDEX('register map'!E:E,C133)),6,""),IF(ISNUMBER(INDEX('register map'!F:F,C133)),5,""),IF(ISNUMBER(INDEX('register map'!G:G,C133)),4,""),IF(ISNUMBER(INDEX('register map'!H:H,C133)),3,""),IF(ISNUMBER(INDEX('register map'!I:I,C133)),2,""),IF(ISNUMBER(INDEX('register map'!J:J,C133)),1,""),IF(ISNUMBER(INDEX('register map'!K:K,C133)),0,""))</f>
        <v>3</v>
      </c>
      <c r="H133" s="117" t="str">
        <f>RIGHT(INDEX('register map'!V:V,MATCH('Logical Group Generator'!B133,'register map'!L:L,0)),LEN(G133))</f>
        <v>0</v>
      </c>
      <c r="I133" s="117" t="str">
        <f>CONCATENATE(IF(ISNUMBER(INDEX('register map'!K:K,C133)),0,""),IF(ISNUMBER(INDEX('register map'!J:J,C133)),1,""),IF(ISNUMBER(INDEX('register map'!I:I,C133)),2,""),IF(ISNUMBER(INDEX('register map'!H:H,C133)),3,""),IF(ISNUMBER(INDEX('register map'!G:G,C133)),4,""),IF(ISNUMBER(INDEX('register map'!F:F,C133)),5,""),IF(ISNUMBER(INDEX('register map'!E:E,C133)),6,""),IF(ISNUMBER(INDEX('register map'!D:D,C133)),7,""))</f>
        <v>3</v>
      </c>
      <c r="J133" s="117" t="str">
        <f t="shared" si="29"/>
        <v>0</v>
      </c>
      <c r="K133" s="117" t="str">
        <f t="shared" si="22"/>
        <v/>
      </c>
      <c r="L133" s="117" t="str">
        <f t="shared" si="30"/>
        <v/>
      </c>
      <c r="M133" s="117" t="str">
        <f t="shared" ref="M133:M196" si="32">IF(L133="","",BIN2HEX(L133,2))</f>
        <v/>
      </c>
      <c r="N133" s="117" t="str">
        <f>IF(ISBLANK(INDEX('register map'!M:M,'Logical Group Generator'!C133)),"No","Yes")</f>
        <v>No</v>
      </c>
      <c r="O133" s="117" t="str">
        <f>IF(NOT(ISBLANK(INDEX('register map'!N:N,'Logical Group Generator'!C133))),"Yes","")</f>
        <v>Yes</v>
      </c>
      <c r="P133" s="117" t="str">
        <f t="shared" si="23"/>
        <v/>
      </c>
      <c r="Q133" s="117" t="str">
        <f t="shared" si="24"/>
        <v/>
      </c>
      <c r="R133" s="117" t="str">
        <f t="shared" si="25"/>
        <v/>
      </c>
      <c r="S133" s="117" t="str">
        <f t="shared" si="26"/>
        <v>No</v>
      </c>
      <c r="T133" s="117" t="str">
        <f t="shared" si="27"/>
        <v/>
      </c>
      <c r="U133" s="117" t="b">
        <f t="shared" si="31"/>
        <v>0</v>
      </c>
      <c r="V133" s="157" t="b">
        <f>INDEX('register map'!P:P,C133)="yes"</f>
        <v>1</v>
      </c>
      <c r="W133" s="157" t="str">
        <f t="shared" si="28"/>
        <v>FALSE</v>
      </c>
    </row>
    <row r="134" spans="2:23">
      <c r="B134" s="157" t="str">
        <f t="array" ref="B134">IF(ROWS($3:134)&lt;=COUNTA('register map'!$L$5:$L$902),INDEX('register map'!$L$5:$L$902,SMALL(IF('register map'!$L$5:$L$902&lt;&gt;"",ROW('register map'!$L$5:$L$902)-MIN(ROW('register map'!$L$5:$L$902))+1),ROWS($3:134))),"")</f>
        <v>OTP_RSVD_5E_9E_4</v>
      </c>
      <c r="C134" s="157">
        <f>IF(B134="PART_NUMBER",IF(COUNTIF($B$1:B133,"PART_NUMBER")=0,6,8),MATCH(B134,'register map'!L:L,0))</f>
        <v>147</v>
      </c>
      <c r="D134" s="117" t="str">
        <f>IF(ISBLANK(INDEX('register map'!C:C,'Logical Group Generator'!C134)),"No","Yes")</f>
        <v>No</v>
      </c>
      <c r="E134" s="117" t="str">
        <f>IF(ISBLANK(INDEX('register map'!A:A,C134)),IF(ISBLANK(INDEX('register map'!A:A,C134-1)),IF(ISBLANK(INDEX('register map'!A:A,C134-2)),IF(ISBLANK(INDEX('register map'!A:A,C134-3)),IF(ISBLANK(INDEX('register map'!A:A,C134-4)),IF(ISBLANK(INDEX('register map'!A:A,C134-5)),IF(ISBLANK(INDEX('register map'!A:A,C134-6)),IF(ISBLANK(INDEX('register map'!A:A,C134-7)),IF(ISBLANK(INDEX('register map'!A:A,C134-8)),"ERROR",INDEX('register map'!A:A,C134-8)),INDEX('register map'!A:A,C134-7)),INDEX('register map'!A:A,C134-6)),INDEX('register map'!A:A,C134-5)),INDEX('register map'!A:A,C134-4)),INDEX('register map'!A:A,C134-3)),INDEX('register map'!A:A,C134-2)),INDEX('register map'!A:A,C134-1)),INDEX('register map'!A:A,C134))</f>
        <v>0x5E</v>
      </c>
      <c r="F134" s="117" t="str">
        <f>IF(ISBLANK(INDEX('register map'!B:B,C134)),IF(ISBLANK(INDEX('register map'!B:B,C134-1)),IF(ISBLANK(INDEX('register map'!B:B,C134-2)),IF(ISBLANK(INDEX('register map'!B:B,C134-3)),IF(ISBLANK(INDEX('register map'!B:B,C134-4)),IF(ISBLANK(INDEX('register map'!B:B,C134-5)),IF(ISBLANK(INDEX('register map'!B:B,C134-6)),IF(ISBLANK(INDEX('register map'!B:B,C134-7)),IF(ISBLANK(INDEX('register map'!B:B,C134-8)),"ERROR",INDEX('register map'!B:B,C134-8)),INDEX('register map'!B:B,C134-7)),INDEX('register map'!B:B,C134-6)),INDEX('register map'!B:B,C134-5)),INDEX('register map'!B:B,C134-4)),INDEX('register map'!B:B,C134-3)),INDEX('register map'!B:B,C134-2)),INDEX('register map'!B:B,C134-1)),INDEX('register map'!B:B,C134))</f>
        <v>0x9E</v>
      </c>
      <c r="G134" s="117" t="str">
        <f>CONCATENATE(IF(ISNUMBER(INDEX('register map'!D:D,C134)),7,""),IF(ISNUMBER(INDEX('register map'!E:E,C134)),6,""),IF(ISNUMBER(INDEX('register map'!F:F,C134)),5,""),IF(ISNUMBER(INDEX('register map'!G:G,C134)),4,""),IF(ISNUMBER(INDEX('register map'!H:H,C134)),3,""),IF(ISNUMBER(INDEX('register map'!I:I,C134)),2,""),IF(ISNUMBER(INDEX('register map'!J:J,C134)),1,""),IF(ISNUMBER(INDEX('register map'!K:K,C134)),0,""))</f>
        <v>4</v>
      </c>
      <c r="H134" s="117" t="str">
        <f>RIGHT(INDEX('register map'!V:V,MATCH('Logical Group Generator'!B134,'register map'!L:L,0)),LEN(G134))</f>
        <v>0</v>
      </c>
      <c r="I134" s="117" t="str">
        <f>CONCATENATE(IF(ISNUMBER(INDEX('register map'!K:K,C134)),0,""),IF(ISNUMBER(INDEX('register map'!J:J,C134)),1,""),IF(ISNUMBER(INDEX('register map'!I:I,C134)),2,""),IF(ISNUMBER(INDEX('register map'!H:H,C134)),3,""),IF(ISNUMBER(INDEX('register map'!G:G,C134)),4,""),IF(ISNUMBER(INDEX('register map'!F:F,C134)),5,""),IF(ISNUMBER(INDEX('register map'!E:E,C134)),6,""),IF(ISNUMBER(INDEX('register map'!D:D,C134)),7,""))</f>
        <v>4</v>
      </c>
      <c r="J134" s="117" t="str">
        <f t="shared" si="29"/>
        <v>0</v>
      </c>
      <c r="K134" s="117" t="str">
        <f t="shared" si="22"/>
        <v/>
      </c>
      <c r="L134" s="117" t="str">
        <f t="shared" si="30"/>
        <v/>
      </c>
      <c r="M134" s="117" t="str">
        <f t="shared" si="32"/>
        <v/>
      </c>
      <c r="N134" s="117" t="str">
        <f>IF(ISBLANK(INDEX('register map'!M:M,'Logical Group Generator'!C134)),"No","Yes")</f>
        <v>No</v>
      </c>
      <c r="O134" s="117" t="str">
        <f>IF(NOT(ISBLANK(INDEX('register map'!N:N,'Logical Group Generator'!C134))),"Yes","")</f>
        <v>Yes</v>
      </c>
      <c r="P134" s="117" t="str">
        <f t="shared" si="23"/>
        <v/>
      </c>
      <c r="Q134" s="117" t="str">
        <f t="shared" si="24"/>
        <v/>
      </c>
      <c r="R134" s="117" t="str">
        <f t="shared" si="25"/>
        <v/>
      </c>
      <c r="S134" s="117" t="str">
        <f t="shared" si="26"/>
        <v>No</v>
      </c>
      <c r="T134" s="117" t="str">
        <f t="shared" si="27"/>
        <v/>
      </c>
      <c r="U134" s="117" t="b">
        <f t="shared" si="31"/>
        <v>0</v>
      </c>
      <c r="V134" s="157" t="b">
        <f>INDEX('register map'!P:P,C134)="yes"</f>
        <v>1</v>
      </c>
      <c r="W134" s="157" t="str">
        <f t="shared" si="28"/>
        <v>FALSE</v>
      </c>
    </row>
    <row r="135" spans="2:23">
      <c r="B135" s="157" t="str">
        <f t="array" ref="B135">IF(ROWS($3:135)&lt;=COUNTA('register map'!$L$5:$L$902),INDEX('register map'!$L$5:$L$902,SMALL(IF('register map'!$L$5:$L$902&lt;&gt;"",ROW('register map'!$L$5:$L$902)-MIN(ROW('register map'!$L$5:$L$902))+1),ROWS($3:135))),"")</f>
        <v>OTP_RSVD_5E_9E_5</v>
      </c>
      <c r="C135" s="157">
        <f>IF(B135="PART_NUMBER",IF(COUNTIF($B$1:B134,"PART_NUMBER")=0,6,8),MATCH(B135,'register map'!L:L,0))</f>
        <v>148</v>
      </c>
      <c r="D135" s="117" t="str">
        <f>IF(ISBLANK(INDEX('register map'!C:C,'Logical Group Generator'!C135)),"No","Yes")</f>
        <v>No</v>
      </c>
      <c r="E135" s="117" t="str">
        <f>IF(ISBLANK(INDEX('register map'!A:A,C135)),IF(ISBLANK(INDEX('register map'!A:A,C135-1)),IF(ISBLANK(INDEX('register map'!A:A,C135-2)),IF(ISBLANK(INDEX('register map'!A:A,C135-3)),IF(ISBLANK(INDEX('register map'!A:A,C135-4)),IF(ISBLANK(INDEX('register map'!A:A,C135-5)),IF(ISBLANK(INDEX('register map'!A:A,C135-6)),IF(ISBLANK(INDEX('register map'!A:A,C135-7)),IF(ISBLANK(INDEX('register map'!A:A,C135-8)),"ERROR",INDEX('register map'!A:A,C135-8)),INDEX('register map'!A:A,C135-7)),INDEX('register map'!A:A,C135-6)),INDEX('register map'!A:A,C135-5)),INDEX('register map'!A:A,C135-4)),INDEX('register map'!A:A,C135-3)),INDEX('register map'!A:A,C135-2)),INDEX('register map'!A:A,C135-1)),INDEX('register map'!A:A,C135))</f>
        <v>0x5E</v>
      </c>
      <c r="F135" s="117" t="str">
        <f>IF(ISBLANK(INDEX('register map'!B:B,C135)),IF(ISBLANK(INDEX('register map'!B:B,C135-1)),IF(ISBLANK(INDEX('register map'!B:B,C135-2)),IF(ISBLANK(INDEX('register map'!B:B,C135-3)),IF(ISBLANK(INDEX('register map'!B:B,C135-4)),IF(ISBLANK(INDEX('register map'!B:B,C135-5)),IF(ISBLANK(INDEX('register map'!B:B,C135-6)),IF(ISBLANK(INDEX('register map'!B:B,C135-7)),IF(ISBLANK(INDEX('register map'!B:B,C135-8)),"ERROR",INDEX('register map'!B:B,C135-8)),INDEX('register map'!B:B,C135-7)),INDEX('register map'!B:B,C135-6)),INDEX('register map'!B:B,C135-5)),INDEX('register map'!B:B,C135-4)),INDEX('register map'!B:B,C135-3)),INDEX('register map'!B:B,C135-2)),INDEX('register map'!B:B,C135-1)),INDEX('register map'!B:B,C135))</f>
        <v>0x9E</v>
      </c>
      <c r="G135" s="117" t="str">
        <f>CONCATENATE(IF(ISNUMBER(INDEX('register map'!D:D,C135)),7,""),IF(ISNUMBER(INDEX('register map'!E:E,C135)),6,""),IF(ISNUMBER(INDEX('register map'!F:F,C135)),5,""),IF(ISNUMBER(INDEX('register map'!G:G,C135)),4,""),IF(ISNUMBER(INDEX('register map'!H:H,C135)),3,""),IF(ISNUMBER(INDEX('register map'!I:I,C135)),2,""),IF(ISNUMBER(INDEX('register map'!J:J,C135)),1,""),IF(ISNUMBER(INDEX('register map'!K:K,C135)),0,""))</f>
        <v>5</v>
      </c>
      <c r="H135" s="117" t="str">
        <f>RIGHT(INDEX('register map'!V:V,MATCH('Logical Group Generator'!B135,'register map'!L:L,0)),LEN(G135))</f>
        <v>0</v>
      </c>
      <c r="I135" s="117" t="str">
        <f>CONCATENATE(IF(ISNUMBER(INDEX('register map'!K:K,C135)),0,""),IF(ISNUMBER(INDEX('register map'!J:J,C135)),1,""),IF(ISNUMBER(INDEX('register map'!I:I,C135)),2,""),IF(ISNUMBER(INDEX('register map'!H:H,C135)),3,""),IF(ISNUMBER(INDEX('register map'!G:G,C135)),4,""),IF(ISNUMBER(INDEX('register map'!F:F,C135)),5,""),IF(ISNUMBER(INDEX('register map'!E:E,C135)),6,""),IF(ISNUMBER(INDEX('register map'!D:D,C135)),7,""))</f>
        <v>5</v>
      </c>
      <c r="J135" s="117" t="str">
        <f t="shared" si="29"/>
        <v>0</v>
      </c>
      <c r="K135" s="117" t="str">
        <f t="shared" si="22"/>
        <v/>
      </c>
      <c r="L135" s="117" t="str">
        <f t="shared" si="30"/>
        <v/>
      </c>
      <c r="M135" s="117" t="str">
        <f t="shared" si="32"/>
        <v/>
      </c>
      <c r="N135" s="117" t="str">
        <f>IF(ISBLANK(INDEX('register map'!M:M,'Logical Group Generator'!C135)),"No","Yes")</f>
        <v>No</v>
      </c>
      <c r="O135" s="117" t="str">
        <f>IF(NOT(ISBLANK(INDEX('register map'!N:N,'Logical Group Generator'!C135))),"Yes","")</f>
        <v>Yes</v>
      </c>
      <c r="P135" s="117" t="str">
        <f t="shared" si="23"/>
        <v/>
      </c>
      <c r="Q135" s="117" t="str">
        <f t="shared" si="24"/>
        <v/>
      </c>
      <c r="R135" s="117" t="str">
        <f t="shared" si="25"/>
        <v/>
      </c>
      <c r="S135" s="117" t="str">
        <f t="shared" si="26"/>
        <v>No</v>
      </c>
      <c r="T135" s="117" t="str">
        <f t="shared" si="27"/>
        <v/>
      </c>
      <c r="U135" s="117" t="b">
        <f t="shared" si="31"/>
        <v>0</v>
      </c>
      <c r="V135" s="157" t="b">
        <f>INDEX('register map'!P:P,C135)="yes"</f>
        <v>1</v>
      </c>
      <c r="W135" s="157" t="str">
        <f t="shared" si="28"/>
        <v>FALSE</v>
      </c>
    </row>
    <row r="136" spans="2:23">
      <c r="B136" s="157" t="str">
        <f t="array" ref="B136">IF(ROWS($3:136)&lt;=COUNTA('register map'!$L$5:$L$902),INDEX('register map'!$L$5:$L$902,SMALL(IF('register map'!$L$5:$L$902&lt;&gt;"",ROW('register map'!$L$5:$L$902)-MIN(ROW('register map'!$L$5:$L$902))+1),ROWS($3:136))),"")</f>
        <v>OTP_RSVD_5E_9E_6</v>
      </c>
      <c r="C136" s="157">
        <f>IF(B136="PART_NUMBER",IF(COUNTIF($B$1:B135,"PART_NUMBER")=0,6,8),MATCH(B136,'register map'!L:L,0))</f>
        <v>149</v>
      </c>
      <c r="D136" s="117" t="str">
        <f>IF(ISBLANK(INDEX('register map'!C:C,'Logical Group Generator'!C136)),"No","Yes")</f>
        <v>No</v>
      </c>
      <c r="E136" s="117" t="str">
        <f>IF(ISBLANK(INDEX('register map'!A:A,C136)),IF(ISBLANK(INDEX('register map'!A:A,C136-1)),IF(ISBLANK(INDEX('register map'!A:A,C136-2)),IF(ISBLANK(INDEX('register map'!A:A,C136-3)),IF(ISBLANK(INDEX('register map'!A:A,C136-4)),IF(ISBLANK(INDEX('register map'!A:A,C136-5)),IF(ISBLANK(INDEX('register map'!A:A,C136-6)),IF(ISBLANK(INDEX('register map'!A:A,C136-7)),IF(ISBLANK(INDEX('register map'!A:A,C136-8)),"ERROR",INDEX('register map'!A:A,C136-8)),INDEX('register map'!A:A,C136-7)),INDEX('register map'!A:A,C136-6)),INDEX('register map'!A:A,C136-5)),INDEX('register map'!A:A,C136-4)),INDEX('register map'!A:A,C136-3)),INDEX('register map'!A:A,C136-2)),INDEX('register map'!A:A,C136-1)),INDEX('register map'!A:A,C136))</f>
        <v>0x5E</v>
      </c>
      <c r="F136" s="117" t="str">
        <f>IF(ISBLANK(INDEX('register map'!B:B,C136)),IF(ISBLANK(INDEX('register map'!B:B,C136-1)),IF(ISBLANK(INDEX('register map'!B:B,C136-2)),IF(ISBLANK(INDEX('register map'!B:B,C136-3)),IF(ISBLANK(INDEX('register map'!B:B,C136-4)),IF(ISBLANK(INDEX('register map'!B:B,C136-5)),IF(ISBLANK(INDEX('register map'!B:B,C136-6)),IF(ISBLANK(INDEX('register map'!B:B,C136-7)),IF(ISBLANK(INDEX('register map'!B:B,C136-8)),"ERROR",INDEX('register map'!B:B,C136-8)),INDEX('register map'!B:B,C136-7)),INDEX('register map'!B:B,C136-6)),INDEX('register map'!B:B,C136-5)),INDEX('register map'!B:B,C136-4)),INDEX('register map'!B:B,C136-3)),INDEX('register map'!B:B,C136-2)),INDEX('register map'!B:B,C136-1)),INDEX('register map'!B:B,C136))</f>
        <v>0x9E</v>
      </c>
      <c r="G136" s="117" t="str">
        <f>CONCATENATE(IF(ISNUMBER(INDEX('register map'!D:D,C136)),7,""),IF(ISNUMBER(INDEX('register map'!E:E,C136)),6,""),IF(ISNUMBER(INDEX('register map'!F:F,C136)),5,""),IF(ISNUMBER(INDEX('register map'!G:G,C136)),4,""),IF(ISNUMBER(INDEX('register map'!H:H,C136)),3,""),IF(ISNUMBER(INDEX('register map'!I:I,C136)),2,""),IF(ISNUMBER(INDEX('register map'!J:J,C136)),1,""),IF(ISNUMBER(INDEX('register map'!K:K,C136)),0,""))</f>
        <v>6</v>
      </c>
      <c r="H136" s="117" t="str">
        <f>RIGHT(INDEX('register map'!V:V,MATCH('Logical Group Generator'!B136,'register map'!L:L,0)),LEN(G136))</f>
        <v>0</v>
      </c>
      <c r="I136" s="117" t="str">
        <f>CONCATENATE(IF(ISNUMBER(INDEX('register map'!K:K,C136)),0,""),IF(ISNUMBER(INDEX('register map'!J:J,C136)),1,""),IF(ISNUMBER(INDEX('register map'!I:I,C136)),2,""),IF(ISNUMBER(INDEX('register map'!H:H,C136)),3,""),IF(ISNUMBER(INDEX('register map'!G:G,C136)),4,""),IF(ISNUMBER(INDEX('register map'!F:F,C136)),5,""),IF(ISNUMBER(INDEX('register map'!E:E,C136)),6,""),IF(ISNUMBER(INDEX('register map'!D:D,C136)),7,""))</f>
        <v>6</v>
      </c>
      <c r="J136" s="117" t="str">
        <f t="shared" si="29"/>
        <v>0</v>
      </c>
      <c r="K136" s="117" t="str">
        <f t="shared" si="22"/>
        <v/>
      </c>
      <c r="L136" s="117" t="str">
        <f t="shared" si="30"/>
        <v/>
      </c>
      <c r="M136" s="117" t="str">
        <f t="shared" si="32"/>
        <v/>
      </c>
      <c r="N136" s="117" t="str">
        <f>IF(ISBLANK(INDEX('register map'!M:M,'Logical Group Generator'!C136)),"No","Yes")</f>
        <v>No</v>
      </c>
      <c r="O136" s="117" t="str">
        <f>IF(NOT(ISBLANK(INDEX('register map'!N:N,'Logical Group Generator'!C136))),"Yes","")</f>
        <v>Yes</v>
      </c>
      <c r="P136" s="117" t="str">
        <f t="shared" si="23"/>
        <v/>
      </c>
      <c r="Q136" s="117" t="str">
        <f t="shared" si="24"/>
        <v/>
      </c>
      <c r="R136" s="117" t="str">
        <f t="shared" si="25"/>
        <v/>
      </c>
      <c r="S136" s="117" t="str">
        <f t="shared" si="26"/>
        <v>No</v>
      </c>
      <c r="T136" s="117" t="str">
        <f t="shared" si="27"/>
        <v/>
      </c>
      <c r="U136" s="117" t="b">
        <f t="shared" si="31"/>
        <v>0</v>
      </c>
      <c r="V136" s="157" t="b">
        <f>INDEX('register map'!P:P,C136)="yes"</f>
        <v>1</v>
      </c>
      <c r="W136" s="157" t="str">
        <f t="shared" si="28"/>
        <v>FALSE</v>
      </c>
    </row>
    <row r="137" spans="2:23">
      <c r="B137" s="157" t="str">
        <f t="array" ref="B137">IF(ROWS($3:137)&lt;=COUNTA('register map'!$L$5:$L$902),INDEX('register map'!$L$5:$L$902,SMALL(IF('register map'!$L$5:$L$902&lt;&gt;"",ROW('register map'!$L$5:$L$902)-MIN(ROW('register map'!$L$5:$L$902))+1),ROWS($3:137))),"")</f>
        <v>OTP_RSVD_5E_9E_7</v>
      </c>
      <c r="C137" s="157">
        <f>IF(B137="PART_NUMBER",IF(COUNTIF($B$1:B136,"PART_NUMBER")=0,6,8),MATCH(B137,'register map'!L:L,0))</f>
        <v>150</v>
      </c>
      <c r="D137" s="117" t="str">
        <f>IF(ISBLANK(INDEX('register map'!C:C,'Logical Group Generator'!C137)),"No","Yes")</f>
        <v>No</v>
      </c>
      <c r="E137" s="117" t="str">
        <f>IF(ISBLANK(INDEX('register map'!A:A,C137)),IF(ISBLANK(INDEX('register map'!A:A,C137-1)),IF(ISBLANK(INDEX('register map'!A:A,C137-2)),IF(ISBLANK(INDEX('register map'!A:A,C137-3)),IF(ISBLANK(INDEX('register map'!A:A,C137-4)),IF(ISBLANK(INDEX('register map'!A:A,C137-5)),IF(ISBLANK(INDEX('register map'!A:A,C137-6)),IF(ISBLANK(INDEX('register map'!A:A,C137-7)),IF(ISBLANK(INDEX('register map'!A:A,C137-8)),"ERROR",INDEX('register map'!A:A,C137-8)),INDEX('register map'!A:A,C137-7)),INDEX('register map'!A:A,C137-6)),INDEX('register map'!A:A,C137-5)),INDEX('register map'!A:A,C137-4)),INDEX('register map'!A:A,C137-3)),INDEX('register map'!A:A,C137-2)),INDEX('register map'!A:A,C137-1)),INDEX('register map'!A:A,C137))</f>
        <v>0x5E</v>
      </c>
      <c r="F137" s="117" t="str">
        <f>IF(ISBLANK(INDEX('register map'!B:B,C137)),IF(ISBLANK(INDEX('register map'!B:B,C137-1)),IF(ISBLANK(INDEX('register map'!B:B,C137-2)),IF(ISBLANK(INDEX('register map'!B:B,C137-3)),IF(ISBLANK(INDEX('register map'!B:B,C137-4)),IF(ISBLANK(INDEX('register map'!B:B,C137-5)),IF(ISBLANK(INDEX('register map'!B:B,C137-6)),IF(ISBLANK(INDEX('register map'!B:B,C137-7)),IF(ISBLANK(INDEX('register map'!B:B,C137-8)),"ERROR",INDEX('register map'!B:B,C137-8)),INDEX('register map'!B:B,C137-7)),INDEX('register map'!B:B,C137-6)),INDEX('register map'!B:B,C137-5)),INDEX('register map'!B:B,C137-4)),INDEX('register map'!B:B,C137-3)),INDEX('register map'!B:B,C137-2)),INDEX('register map'!B:B,C137-1)),INDEX('register map'!B:B,C137))</f>
        <v>0x9E</v>
      </c>
      <c r="G137" s="117" t="str">
        <f>CONCATENATE(IF(ISNUMBER(INDEX('register map'!D:D,C137)),7,""),IF(ISNUMBER(INDEX('register map'!E:E,C137)),6,""),IF(ISNUMBER(INDEX('register map'!F:F,C137)),5,""),IF(ISNUMBER(INDEX('register map'!G:G,C137)),4,""),IF(ISNUMBER(INDEX('register map'!H:H,C137)),3,""),IF(ISNUMBER(INDEX('register map'!I:I,C137)),2,""),IF(ISNUMBER(INDEX('register map'!J:J,C137)),1,""),IF(ISNUMBER(INDEX('register map'!K:K,C137)),0,""))</f>
        <v>7</v>
      </c>
      <c r="H137" s="117" t="str">
        <f>RIGHT(INDEX('register map'!V:V,MATCH('Logical Group Generator'!B137,'register map'!L:L,0)),LEN(G137))</f>
        <v>0</v>
      </c>
      <c r="I137" s="117" t="str">
        <f>CONCATENATE(IF(ISNUMBER(INDEX('register map'!K:K,C137)),0,""),IF(ISNUMBER(INDEX('register map'!J:J,C137)),1,""),IF(ISNUMBER(INDEX('register map'!I:I,C137)),2,""),IF(ISNUMBER(INDEX('register map'!H:H,C137)),3,""),IF(ISNUMBER(INDEX('register map'!G:G,C137)),4,""),IF(ISNUMBER(INDEX('register map'!F:F,C137)),5,""),IF(ISNUMBER(INDEX('register map'!E:E,C137)),6,""),IF(ISNUMBER(INDEX('register map'!D:D,C137)),7,""))</f>
        <v>7</v>
      </c>
      <c r="J137" s="117" t="str">
        <f t="shared" si="29"/>
        <v>0</v>
      </c>
      <c r="K137" s="117" t="str">
        <f t="shared" si="22"/>
        <v/>
      </c>
      <c r="L137" s="117" t="str">
        <f t="shared" si="30"/>
        <v/>
      </c>
      <c r="M137" s="117" t="str">
        <f t="shared" si="32"/>
        <v/>
      </c>
      <c r="N137" s="117" t="str">
        <f>IF(ISBLANK(INDEX('register map'!M:M,'Logical Group Generator'!C137)),"No","Yes")</f>
        <v>No</v>
      </c>
      <c r="O137" s="117" t="str">
        <f>IF(NOT(ISBLANK(INDEX('register map'!N:N,'Logical Group Generator'!C137))),"Yes","")</f>
        <v>Yes</v>
      </c>
      <c r="P137" s="117" t="str">
        <f t="shared" si="23"/>
        <v/>
      </c>
      <c r="Q137" s="117" t="str">
        <f t="shared" si="24"/>
        <v/>
      </c>
      <c r="R137" s="117" t="str">
        <f t="shared" si="25"/>
        <v/>
      </c>
      <c r="S137" s="117" t="str">
        <f t="shared" si="26"/>
        <v>No</v>
      </c>
      <c r="T137" s="117" t="str">
        <f t="shared" si="27"/>
        <v/>
      </c>
      <c r="U137" s="117" t="b">
        <f t="shared" si="31"/>
        <v>0</v>
      </c>
      <c r="V137" s="157" t="b">
        <f>INDEX('register map'!P:P,C137)="yes"</f>
        <v>1</v>
      </c>
      <c r="W137" s="157" t="str">
        <f t="shared" si="28"/>
        <v>FALSE</v>
      </c>
    </row>
    <row r="138" spans="2:23">
      <c r="B138" s="157" t="str">
        <f t="array" ref="B138">IF(ROWS($3:138)&lt;=COUNTA('register map'!$L$5:$L$902),INDEX('register map'!$L$5:$L$902,SMALL(IF('register map'!$L$5:$L$902&lt;&gt;"",ROW('register map'!$L$5:$L$902)-MIN(ROW('register map'!$L$5:$L$902))+1),ROWS($3:138))),"")</f>
        <v>SWVTT_DIS</v>
      </c>
      <c r="C138" s="157">
        <f>IF(B138="PART_NUMBER",IF(COUNTIF($B$1:B137,"PART_NUMBER")=0,6,8),MATCH(B138,'register map'!L:L,0))</f>
        <v>151</v>
      </c>
      <c r="D138" s="117" t="str">
        <f>IF(ISBLANK(INDEX('register map'!C:C,'Logical Group Generator'!C138)),"No","Yes")</f>
        <v>Yes</v>
      </c>
      <c r="E138" s="117" t="str">
        <f>IF(ISBLANK(INDEX('register map'!A:A,C138)),IF(ISBLANK(INDEX('register map'!A:A,C138-1)),IF(ISBLANK(INDEX('register map'!A:A,C138-2)),IF(ISBLANK(INDEX('register map'!A:A,C138-3)),IF(ISBLANK(INDEX('register map'!A:A,C138-4)),IF(ISBLANK(INDEX('register map'!A:A,C138-5)),IF(ISBLANK(INDEX('register map'!A:A,C138-6)),IF(ISBLANK(INDEX('register map'!A:A,C138-7)),IF(ISBLANK(INDEX('register map'!A:A,C138-8)),"ERROR",INDEX('register map'!A:A,C138-8)),INDEX('register map'!A:A,C138-7)),INDEX('register map'!A:A,C138-6)),INDEX('register map'!A:A,C138-5)),INDEX('register map'!A:A,C138-4)),INDEX('register map'!A:A,C138-3)),INDEX('register map'!A:A,C138-2)),INDEX('register map'!A:A,C138-1)),INDEX('register map'!A:A,C138))</f>
        <v>0x5E</v>
      </c>
      <c r="F138" s="117" t="str">
        <f>IF(ISBLANK(INDEX('register map'!B:B,C138)),IF(ISBLANK(INDEX('register map'!B:B,C138-1)),IF(ISBLANK(INDEX('register map'!B:B,C138-2)),IF(ISBLANK(INDEX('register map'!B:B,C138-3)),IF(ISBLANK(INDEX('register map'!B:B,C138-4)),IF(ISBLANK(INDEX('register map'!B:B,C138-5)),IF(ISBLANK(INDEX('register map'!B:B,C138-6)),IF(ISBLANK(INDEX('register map'!B:B,C138-7)),IF(ISBLANK(INDEX('register map'!B:B,C138-8)),"ERROR",INDEX('register map'!B:B,C138-8)),INDEX('register map'!B:B,C138-7)),INDEX('register map'!B:B,C138-6)),INDEX('register map'!B:B,C138-5)),INDEX('register map'!B:B,C138-4)),INDEX('register map'!B:B,C138-3)),INDEX('register map'!B:B,C138-2)),INDEX('register map'!B:B,C138-1)),INDEX('register map'!B:B,C138))</f>
        <v>0x9F</v>
      </c>
      <c r="G138" s="117" t="str">
        <f>CONCATENATE(IF(ISNUMBER(INDEX('register map'!D:D,C138)),7,""),IF(ISNUMBER(INDEX('register map'!E:E,C138)),6,""),IF(ISNUMBER(INDEX('register map'!F:F,C138)),5,""),IF(ISNUMBER(INDEX('register map'!G:G,C138)),4,""),IF(ISNUMBER(INDEX('register map'!H:H,C138)),3,""),IF(ISNUMBER(INDEX('register map'!I:I,C138)),2,""),IF(ISNUMBER(INDEX('register map'!J:J,C138)),1,""),IF(ISNUMBER(INDEX('register map'!K:K,C138)),0,""))</f>
        <v/>
      </c>
      <c r="H138" s="117" t="str">
        <f>RIGHT(INDEX('register map'!V:V,MATCH('Logical Group Generator'!B138,'register map'!L:L,0)),LEN(G138))</f>
        <v/>
      </c>
      <c r="I138" s="117" t="str">
        <f>CONCATENATE(IF(ISNUMBER(INDEX('register map'!K:K,C138)),0,""),IF(ISNUMBER(INDEX('register map'!J:J,C138)),1,""),IF(ISNUMBER(INDEX('register map'!I:I,C138)),2,""),IF(ISNUMBER(INDEX('register map'!H:H,C138)),3,""),IF(ISNUMBER(INDEX('register map'!G:G,C138)),4,""),IF(ISNUMBER(INDEX('register map'!F:F,C138)),5,""),IF(ISNUMBER(INDEX('register map'!E:E,C138)),6,""),IF(ISNUMBER(INDEX('register map'!D:D,C138)),7,""))</f>
        <v/>
      </c>
      <c r="J138" s="117" t="str">
        <f t="shared" si="29"/>
        <v/>
      </c>
      <c r="K138" s="117" t="str">
        <f t="shared" si="22"/>
        <v>00000001</v>
      </c>
      <c r="L138" s="117" t="str">
        <f t="shared" si="30"/>
        <v>10000000</v>
      </c>
      <c r="M138" s="117" t="str">
        <f t="shared" si="32"/>
        <v>80</v>
      </c>
      <c r="N138" s="117" t="str">
        <f>IF(ISBLANK(INDEX('register map'!M:M,'Logical Group Generator'!C138)),"No","Yes")</f>
        <v>No</v>
      </c>
      <c r="O138" s="117" t="str">
        <f>IF(NOT(ISBLANK(INDEX('register map'!N:N,'Logical Group Generator'!C138))),"Yes","")</f>
        <v/>
      </c>
      <c r="P138" s="117" t="str">
        <f t="shared" si="23"/>
        <v>No</v>
      </c>
      <c r="Q138" s="117" t="str">
        <f t="shared" si="24"/>
        <v>No</v>
      </c>
      <c r="R138" s="117" t="str">
        <f t="shared" si="25"/>
        <v>No</v>
      </c>
      <c r="S138" s="117" t="str">
        <f t="shared" si="26"/>
        <v/>
      </c>
      <c r="T138" s="117" t="b">
        <f t="shared" si="27"/>
        <v>1</v>
      </c>
      <c r="U138" s="117" t="b">
        <f t="shared" si="31"/>
        <v>1</v>
      </c>
      <c r="V138" s="157" t="b">
        <f>INDEX('register map'!P:P,C138)="yes"</f>
        <v>1</v>
      </c>
      <c r="W138" s="157" t="str">
        <f t="shared" si="28"/>
        <v>REGISTER</v>
      </c>
    </row>
    <row r="139" spans="2:23">
      <c r="B139" s="157" t="str">
        <f t="array" ref="B139">IF(ROWS($3:139)&lt;=COUNTA('register map'!$L$5:$L$902),INDEX('register map'!$L$5:$L$902,SMALL(IF('register map'!$L$5:$L$902&lt;&gt;"",ROW('register map'!$L$5:$L$902)-MIN(ROW('register map'!$L$5:$L$902))+1),ROWS($3:139))),"")</f>
        <v>OTP_RSVD_5E_9F_0</v>
      </c>
      <c r="C139" s="157">
        <f>IF(B139="PART_NUMBER",IF(COUNTIF($B$1:B138,"PART_NUMBER")=0,6,8),MATCH(B139,'register map'!L:L,0))</f>
        <v>152</v>
      </c>
      <c r="D139" s="117" t="str">
        <f>IF(ISBLANK(INDEX('register map'!C:C,'Logical Group Generator'!C139)),"No","Yes")</f>
        <v>No</v>
      </c>
      <c r="E139" s="117" t="str">
        <f>IF(ISBLANK(INDEX('register map'!A:A,C139)),IF(ISBLANK(INDEX('register map'!A:A,C139-1)),IF(ISBLANK(INDEX('register map'!A:A,C139-2)),IF(ISBLANK(INDEX('register map'!A:A,C139-3)),IF(ISBLANK(INDEX('register map'!A:A,C139-4)),IF(ISBLANK(INDEX('register map'!A:A,C139-5)),IF(ISBLANK(INDEX('register map'!A:A,C139-6)),IF(ISBLANK(INDEX('register map'!A:A,C139-7)),IF(ISBLANK(INDEX('register map'!A:A,C139-8)),"ERROR",INDEX('register map'!A:A,C139-8)),INDEX('register map'!A:A,C139-7)),INDEX('register map'!A:A,C139-6)),INDEX('register map'!A:A,C139-5)),INDEX('register map'!A:A,C139-4)),INDEX('register map'!A:A,C139-3)),INDEX('register map'!A:A,C139-2)),INDEX('register map'!A:A,C139-1)),INDEX('register map'!A:A,C139))</f>
        <v>0x5E</v>
      </c>
      <c r="F139" s="117" t="str">
        <f>IF(ISBLANK(INDEX('register map'!B:B,C139)),IF(ISBLANK(INDEX('register map'!B:B,C139-1)),IF(ISBLANK(INDEX('register map'!B:B,C139-2)),IF(ISBLANK(INDEX('register map'!B:B,C139-3)),IF(ISBLANK(INDEX('register map'!B:B,C139-4)),IF(ISBLANK(INDEX('register map'!B:B,C139-5)),IF(ISBLANK(INDEX('register map'!B:B,C139-6)),IF(ISBLANK(INDEX('register map'!B:B,C139-7)),IF(ISBLANK(INDEX('register map'!B:B,C139-8)),"ERROR",INDEX('register map'!B:B,C139-8)),INDEX('register map'!B:B,C139-7)),INDEX('register map'!B:B,C139-6)),INDEX('register map'!B:B,C139-5)),INDEX('register map'!B:B,C139-4)),INDEX('register map'!B:B,C139-3)),INDEX('register map'!B:B,C139-2)),INDEX('register map'!B:B,C139-1)),INDEX('register map'!B:B,C139))</f>
        <v>0x9F</v>
      </c>
      <c r="G139" s="117" t="str">
        <f>CONCATENATE(IF(ISNUMBER(INDEX('register map'!D:D,C139)),7,""),IF(ISNUMBER(INDEX('register map'!E:E,C139)),6,""),IF(ISNUMBER(INDEX('register map'!F:F,C139)),5,""),IF(ISNUMBER(INDEX('register map'!G:G,C139)),4,""),IF(ISNUMBER(INDEX('register map'!H:H,C139)),3,""),IF(ISNUMBER(INDEX('register map'!I:I,C139)),2,""),IF(ISNUMBER(INDEX('register map'!J:J,C139)),1,""),IF(ISNUMBER(INDEX('register map'!K:K,C139)),0,""))</f>
        <v>0</v>
      </c>
      <c r="H139" s="117" t="str">
        <f>RIGHT(INDEX('register map'!V:V,MATCH('Logical Group Generator'!B139,'register map'!L:L,0)),LEN(G139))</f>
        <v>0</v>
      </c>
      <c r="I139" s="117" t="str">
        <f>CONCATENATE(IF(ISNUMBER(INDEX('register map'!K:K,C139)),0,""),IF(ISNUMBER(INDEX('register map'!J:J,C139)),1,""),IF(ISNUMBER(INDEX('register map'!I:I,C139)),2,""),IF(ISNUMBER(INDEX('register map'!H:H,C139)),3,""),IF(ISNUMBER(INDEX('register map'!G:G,C139)),4,""),IF(ISNUMBER(INDEX('register map'!F:F,C139)),5,""),IF(ISNUMBER(INDEX('register map'!E:E,C139)),6,""),IF(ISNUMBER(INDEX('register map'!D:D,C139)),7,""))</f>
        <v>0</v>
      </c>
      <c r="J139" s="117" t="str">
        <f t="shared" si="29"/>
        <v>0</v>
      </c>
      <c r="K139" s="117" t="str">
        <f t="shared" si="22"/>
        <v/>
      </c>
      <c r="L139" s="117" t="str">
        <f t="shared" si="30"/>
        <v/>
      </c>
      <c r="M139" s="117" t="str">
        <f t="shared" si="32"/>
        <v/>
      </c>
      <c r="N139" s="117" t="str">
        <f>IF(ISBLANK(INDEX('register map'!M:M,'Logical Group Generator'!C139)),"No","Yes")</f>
        <v>No</v>
      </c>
      <c r="O139" s="117" t="str">
        <f>IF(NOT(ISBLANK(INDEX('register map'!N:N,'Logical Group Generator'!C139))),"Yes","")</f>
        <v>Yes</v>
      </c>
      <c r="P139" s="117" t="str">
        <f t="shared" si="23"/>
        <v/>
      </c>
      <c r="Q139" s="117" t="str">
        <f t="shared" si="24"/>
        <v/>
      </c>
      <c r="R139" s="117" t="str">
        <f t="shared" si="25"/>
        <v/>
      </c>
      <c r="S139" s="117" t="str">
        <f t="shared" si="26"/>
        <v>No</v>
      </c>
      <c r="T139" s="117" t="str">
        <f t="shared" si="27"/>
        <v/>
      </c>
      <c r="U139" s="117" t="b">
        <f t="shared" si="31"/>
        <v>0</v>
      </c>
      <c r="V139" s="157" t="b">
        <f>INDEX('register map'!P:P,C139)="yes"</f>
        <v>1</v>
      </c>
      <c r="W139" s="157" t="str">
        <f t="shared" si="28"/>
        <v>FALSE</v>
      </c>
    </row>
    <row r="140" spans="2:23">
      <c r="B140" s="157" t="str">
        <f t="array" ref="B140">IF(ROWS($3:140)&lt;=COUNTA('register map'!$L$5:$L$902),INDEX('register map'!$L$5:$L$902,SMALL(IF('register map'!$L$5:$L$902&lt;&gt;"",ROW('register map'!$L$5:$L$902)-MIN(ROW('register map'!$L$5:$L$902))+1),ROWS($3:140))),"")</f>
        <v>OTP_RSVD_5E_9F_1</v>
      </c>
      <c r="C140" s="157">
        <f>IF(B140="PART_NUMBER",IF(COUNTIF($B$1:B139,"PART_NUMBER")=0,6,8),MATCH(B140,'register map'!L:L,0))</f>
        <v>153</v>
      </c>
      <c r="D140" s="117" t="str">
        <f>IF(ISBLANK(INDEX('register map'!C:C,'Logical Group Generator'!C140)),"No","Yes")</f>
        <v>No</v>
      </c>
      <c r="E140" s="117" t="str">
        <f>IF(ISBLANK(INDEX('register map'!A:A,C140)),IF(ISBLANK(INDEX('register map'!A:A,C140-1)),IF(ISBLANK(INDEX('register map'!A:A,C140-2)),IF(ISBLANK(INDEX('register map'!A:A,C140-3)),IF(ISBLANK(INDEX('register map'!A:A,C140-4)),IF(ISBLANK(INDEX('register map'!A:A,C140-5)),IF(ISBLANK(INDEX('register map'!A:A,C140-6)),IF(ISBLANK(INDEX('register map'!A:A,C140-7)),IF(ISBLANK(INDEX('register map'!A:A,C140-8)),"ERROR",INDEX('register map'!A:A,C140-8)),INDEX('register map'!A:A,C140-7)),INDEX('register map'!A:A,C140-6)),INDEX('register map'!A:A,C140-5)),INDEX('register map'!A:A,C140-4)),INDEX('register map'!A:A,C140-3)),INDEX('register map'!A:A,C140-2)),INDEX('register map'!A:A,C140-1)),INDEX('register map'!A:A,C140))</f>
        <v>0x5E</v>
      </c>
      <c r="F140" s="117" t="str">
        <f>IF(ISBLANK(INDEX('register map'!B:B,C140)),IF(ISBLANK(INDEX('register map'!B:B,C140-1)),IF(ISBLANK(INDEX('register map'!B:B,C140-2)),IF(ISBLANK(INDEX('register map'!B:B,C140-3)),IF(ISBLANK(INDEX('register map'!B:B,C140-4)),IF(ISBLANK(INDEX('register map'!B:B,C140-5)),IF(ISBLANK(INDEX('register map'!B:B,C140-6)),IF(ISBLANK(INDEX('register map'!B:B,C140-7)),IF(ISBLANK(INDEX('register map'!B:B,C140-8)),"ERROR",INDEX('register map'!B:B,C140-8)),INDEX('register map'!B:B,C140-7)),INDEX('register map'!B:B,C140-6)),INDEX('register map'!B:B,C140-5)),INDEX('register map'!B:B,C140-4)),INDEX('register map'!B:B,C140-3)),INDEX('register map'!B:B,C140-2)),INDEX('register map'!B:B,C140-1)),INDEX('register map'!B:B,C140))</f>
        <v>0x9F</v>
      </c>
      <c r="G140" s="117" t="str">
        <f>CONCATENATE(IF(ISNUMBER(INDEX('register map'!D:D,C140)),7,""),IF(ISNUMBER(INDEX('register map'!E:E,C140)),6,""),IF(ISNUMBER(INDEX('register map'!F:F,C140)),5,""),IF(ISNUMBER(INDEX('register map'!G:G,C140)),4,""),IF(ISNUMBER(INDEX('register map'!H:H,C140)),3,""),IF(ISNUMBER(INDEX('register map'!I:I,C140)),2,""),IF(ISNUMBER(INDEX('register map'!J:J,C140)),1,""),IF(ISNUMBER(INDEX('register map'!K:K,C140)),0,""))</f>
        <v>1</v>
      </c>
      <c r="H140" s="117" t="str">
        <f>RIGHT(INDEX('register map'!V:V,MATCH('Logical Group Generator'!B140,'register map'!L:L,0)),LEN(G140))</f>
        <v>0</v>
      </c>
      <c r="I140" s="117" t="str">
        <f>CONCATENATE(IF(ISNUMBER(INDEX('register map'!K:K,C140)),0,""),IF(ISNUMBER(INDEX('register map'!J:J,C140)),1,""),IF(ISNUMBER(INDEX('register map'!I:I,C140)),2,""),IF(ISNUMBER(INDEX('register map'!H:H,C140)),3,""),IF(ISNUMBER(INDEX('register map'!G:G,C140)),4,""),IF(ISNUMBER(INDEX('register map'!F:F,C140)),5,""),IF(ISNUMBER(INDEX('register map'!E:E,C140)),6,""),IF(ISNUMBER(INDEX('register map'!D:D,C140)),7,""))</f>
        <v>1</v>
      </c>
      <c r="J140" s="117" t="str">
        <f t="shared" si="29"/>
        <v>0</v>
      </c>
      <c r="K140" s="117" t="str">
        <f t="shared" si="22"/>
        <v/>
      </c>
      <c r="L140" s="117" t="str">
        <f t="shared" si="30"/>
        <v/>
      </c>
      <c r="M140" s="117" t="str">
        <f t="shared" si="32"/>
        <v/>
      </c>
      <c r="N140" s="117" t="str">
        <f>IF(ISBLANK(INDEX('register map'!M:M,'Logical Group Generator'!C140)),"No","Yes")</f>
        <v>No</v>
      </c>
      <c r="O140" s="117" t="str">
        <f>IF(NOT(ISBLANK(INDEX('register map'!N:N,'Logical Group Generator'!C140))),"Yes","")</f>
        <v>Yes</v>
      </c>
      <c r="P140" s="117" t="str">
        <f t="shared" si="23"/>
        <v/>
      </c>
      <c r="Q140" s="117" t="str">
        <f t="shared" si="24"/>
        <v/>
      </c>
      <c r="R140" s="117" t="str">
        <f t="shared" si="25"/>
        <v/>
      </c>
      <c r="S140" s="117" t="str">
        <f t="shared" si="26"/>
        <v>No</v>
      </c>
      <c r="T140" s="117" t="str">
        <f t="shared" si="27"/>
        <v/>
      </c>
      <c r="U140" s="117" t="b">
        <f t="shared" si="31"/>
        <v>0</v>
      </c>
      <c r="V140" s="157" t="b">
        <f>INDEX('register map'!P:P,C140)="yes"</f>
        <v>1</v>
      </c>
      <c r="W140" s="157" t="str">
        <f t="shared" si="28"/>
        <v>FALSE</v>
      </c>
    </row>
    <row r="141" spans="2:23">
      <c r="B141" s="157" t="str">
        <f t="array" ref="B141">IF(ROWS($3:141)&lt;=COUNTA('register map'!$L$5:$L$902),INDEX('register map'!$L$5:$L$902,SMALL(IF('register map'!$L$5:$L$902&lt;&gt;"",ROW('register map'!$L$5:$L$902)-MIN(ROW('register map'!$L$5:$L$902))+1),ROWS($3:141))),"")</f>
        <v>OTP_RSVD_5E_9F_2</v>
      </c>
      <c r="C141" s="157">
        <f>IF(B141="PART_NUMBER",IF(COUNTIF($B$1:B140,"PART_NUMBER")=0,6,8),MATCH(B141,'register map'!L:L,0))</f>
        <v>154</v>
      </c>
      <c r="D141" s="117" t="str">
        <f>IF(ISBLANK(INDEX('register map'!C:C,'Logical Group Generator'!C141)),"No","Yes")</f>
        <v>No</v>
      </c>
      <c r="E141" s="117" t="str">
        <f>IF(ISBLANK(INDEX('register map'!A:A,C141)),IF(ISBLANK(INDEX('register map'!A:A,C141-1)),IF(ISBLANK(INDEX('register map'!A:A,C141-2)),IF(ISBLANK(INDEX('register map'!A:A,C141-3)),IF(ISBLANK(INDEX('register map'!A:A,C141-4)),IF(ISBLANK(INDEX('register map'!A:A,C141-5)),IF(ISBLANK(INDEX('register map'!A:A,C141-6)),IF(ISBLANK(INDEX('register map'!A:A,C141-7)),IF(ISBLANK(INDEX('register map'!A:A,C141-8)),"ERROR",INDEX('register map'!A:A,C141-8)),INDEX('register map'!A:A,C141-7)),INDEX('register map'!A:A,C141-6)),INDEX('register map'!A:A,C141-5)),INDEX('register map'!A:A,C141-4)),INDEX('register map'!A:A,C141-3)),INDEX('register map'!A:A,C141-2)),INDEX('register map'!A:A,C141-1)),INDEX('register map'!A:A,C141))</f>
        <v>0x5E</v>
      </c>
      <c r="F141" s="117" t="str">
        <f>IF(ISBLANK(INDEX('register map'!B:B,C141)),IF(ISBLANK(INDEX('register map'!B:B,C141-1)),IF(ISBLANK(INDEX('register map'!B:B,C141-2)),IF(ISBLANK(INDEX('register map'!B:B,C141-3)),IF(ISBLANK(INDEX('register map'!B:B,C141-4)),IF(ISBLANK(INDEX('register map'!B:B,C141-5)),IF(ISBLANK(INDEX('register map'!B:B,C141-6)),IF(ISBLANK(INDEX('register map'!B:B,C141-7)),IF(ISBLANK(INDEX('register map'!B:B,C141-8)),"ERROR",INDEX('register map'!B:B,C141-8)),INDEX('register map'!B:B,C141-7)),INDEX('register map'!B:B,C141-6)),INDEX('register map'!B:B,C141-5)),INDEX('register map'!B:B,C141-4)),INDEX('register map'!B:B,C141-3)),INDEX('register map'!B:B,C141-2)),INDEX('register map'!B:B,C141-1)),INDEX('register map'!B:B,C141))</f>
        <v>0x9F</v>
      </c>
      <c r="G141" s="117" t="str">
        <f>CONCATENATE(IF(ISNUMBER(INDEX('register map'!D:D,C141)),7,""),IF(ISNUMBER(INDEX('register map'!E:E,C141)),6,""),IF(ISNUMBER(INDEX('register map'!F:F,C141)),5,""),IF(ISNUMBER(INDEX('register map'!G:G,C141)),4,""),IF(ISNUMBER(INDEX('register map'!H:H,C141)),3,""),IF(ISNUMBER(INDEX('register map'!I:I,C141)),2,""),IF(ISNUMBER(INDEX('register map'!J:J,C141)),1,""),IF(ISNUMBER(INDEX('register map'!K:K,C141)),0,""))</f>
        <v>2</v>
      </c>
      <c r="H141" s="117" t="str">
        <f>RIGHT(INDEX('register map'!V:V,MATCH('Logical Group Generator'!B141,'register map'!L:L,0)),LEN(G141))</f>
        <v>0</v>
      </c>
      <c r="I141" s="117" t="str">
        <f>CONCATENATE(IF(ISNUMBER(INDEX('register map'!K:K,C141)),0,""),IF(ISNUMBER(INDEX('register map'!J:J,C141)),1,""),IF(ISNUMBER(INDEX('register map'!I:I,C141)),2,""),IF(ISNUMBER(INDEX('register map'!H:H,C141)),3,""),IF(ISNUMBER(INDEX('register map'!G:G,C141)),4,""),IF(ISNUMBER(INDEX('register map'!F:F,C141)),5,""),IF(ISNUMBER(INDEX('register map'!E:E,C141)),6,""),IF(ISNUMBER(INDEX('register map'!D:D,C141)),7,""))</f>
        <v>2</v>
      </c>
      <c r="J141" s="117" t="str">
        <f t="shared" si="29"/>
        <v>0</v>
      </c>
      <c r="K141" s="117" t="str">
        <f t="shared" si="22"/>
        <v/>
      </c>
      <c r="L141" s="117" t="str">
        <f t="shared" si="30"/>
        <v/>
      </c>
      <c r="M141" s="117" t="str">
        <f t="shared" si="32"/>
        <v/>
      </c>
      <c r="N141" s="117" t="str">
        <f>IF(ISBLANK(INDEX('register map'!M:M,'Logical Group Generator'!C141)),"No","Yes")</f>
        <v>No</v>
      </c>
      <c r="O141" s="117" t="str">
        <f>IF(NOT(ISBLANK(INDEX('register map'!N:N,'Logical Group Generator'!C141))),"Yes","")</f>
        <v>Yes</v>
      </c>
      <c r="P141" s="117" t="str">
        <f t="shared" si="23"/>
        <v/>
      </c>
      <c r="Q141" s="117" t="str">
        <f t="shared" si="24"/>
        <v/>
      </c>
      <c r="R141" s="117" t="str">
        <f t="shared" si="25"/>
        <v/>
      </c>
      <c r="S141" s="117" t="str">
        <f t="shared" si="26"/>
        <v>No</v>
      </c>
      <c r="T141" s="117" t="str">
        <f t="shared" si="27"/>
        <v/>
      </c>
      <c r="U141" s="117" t="b">
        <f t="shared" si="31"/>
        <v>0</v>
      </c>
      <c r="V141" s="157" t="b">
        <f>INDEX('register map'!P:P,C141)="yes"</f>
        <v>1</v>
      </c>
      <c r="W141" s="157" t="str">
        <f t="shared" si="28"/>
        <v>FALSE</v>
      </c>
    </row>
    <row r="142" spans="2:23">
      <c r="B142" s="157" t="str">
        <f t="array" ref="B142">IF(ROWS($3:142)&lt;=COUNTA('register map'!$L$5:$L$902),INDEX('register map'!$L$5:$L$902,SMALL(IF('register map'!$L$5:$L$902&lt;&gt;"",ROW('register map'!$L$5:$L$902)-MIN(ROW('register map'!$L$5:$L$902))+1),ROWS($3:142))),"")</f>
        <v>OTP_RSVD_5E_9F_3</v>
      </c>
      <c r="C142" s="157">
        <f>IF(B142="PART_NUMBER",IF(COUNTIF($B$1:B141,"PART_NUMBER")=0,6,8),MATCH(B142,'register map'!L:L,0))</f>
        <v>155</v>
      </c>
      <c r="D142" s="117" t="str">
        <f>IF(ISBLANK(INDEX('register map'!C:C,'Logical Group Generator'!C142)),"No","Yes")</f>
        <v>No</v>
      </c>
      <c r="E142" s="117" t="str">
        <f>IF(ISBLANK(INDEX('register map'!A:A,C142)),IF(ISBLANK(INDEX('register map'!A:A,C142-1)),IF(ISBLANK(INDEX('register map'!A:A,C142-2)),IF(ISBLANK(INDEX('register map'!A:A,C142-3)),IF(ISBLANK(INDEX('register map'!A:A,C142-4)),IF(ISBLANK(INDEX('register map'!A:A,C142-5)),IF(ISBLANK(INDEX('register map'!A:A,C142-6)),IF(ISBLANK(INDEX('register map'!A:A,C142-7)),IF(ISBLANK(INDEX('register map'!A:A,C142-8)),"ERROR",INDEX('register map'!A:A,C142-8)),INDEX('register map'!A:A,C142-7)),INDEX('register map'!A:A,C142-6)),INDEX('register map'!A:A,C142-5)),INDEX('register map'!A:A,C142-4)),INDEX('register map'!A:A,C142-3)),INDEX('register map'!A:A,C142-2)),INDEX('register map'!A:A,C142-1)),INDEX('register map'!A:A,C142))</f>
        <v>0x5E</v>
      </c>
      <c r="F142" s="117" t="str">
        <f>IF(ISBLANK(INDEX('register map'!B:B,C142)),IF(ISBLANK(INDEX('register map'!B:B,C142-1)),IF(ISBLANK(INDEX('register map'!B:B,C142-2)),IF(ISBLANK(INDEX('register map'!B:B,C142-3)),IF(ISBLANK(INDEX('register map'!B:B,C142-4)),IF(ISBLANK(INDEX('register map'!B:B,C142-5)),IF(ISBLANK(INDEX('register map'!B:B,C142-6)),IF(ISBLANK(INDEX('register map'!B:B,C142-7)),IF(ISBLANK(INDEX('register map'!B:B,C142-8)),"ERROR",INDEX('register map'!B:B,C142-8)),INDEX('register map'!B:B,C142-7)),INDEX('register map'!B:B,C142-6)),INDEX('register map'!B:B,C142-5)),INDEX('register map'!B:B,C142-4)),INDEX('register map'!B:B,C142-3)),INDEX('register map'!B:B,C142-2)),INDEX('register map'!B:B,C142-1)),INDEX('register map'!B:B,C142))</f>
        <v>0x9F</v>
      </c>
      <c r="G142" s="117" t="str">
        <f>CONCATENATE(IF(ISNUMBER(INDEX('register map'!D:D,C142)),7,""),IF(ISNUMBER(INDEX('register map'!E:E,C142)),6,""),IF(ISNUMBER(INDEX('register map'!F:F,C142)),5,""),IF(ISNUMBER(INDEX('register map'!G:G,C142)),4,""),IF(ISNUMBER(INDEX('register map'!H:H,C142)),3,""),IF(ISNUMBER(INDEX('register map'!I:I,C142)),2,""),IF(ISNUMBER(INDEX('register map'!J:J,C142)),1,""),IF(ISNUMBER(INDEX('register map'!K:K,C142)),0,""))</f>
        <v>3</v>
      </c>
      <c r="H142" s="117" t="str">
        <f>RIGHT(INDEX('register map'!V:V,MATCH('Logical Group Generator'!B142,'register map'!L:L,0)),LEN(G142))</f>
        <v>0</v>
      </c>
      <c r="I142" s="117" t="str">
        <f>CONCATENATE(IF(ISNUMBER(INDEX('register map'!K:K,C142)),0,""),IF(ISNUMBER(INDEX('register map'!J:J,C142)),1,""),IF(ISNUMBER(INDEX('register map'!I:I,C142)),2,""),IF(ISNUMBER(INDEX('register map'!H:H,C142)),3,""),IF(ISNUMBER(INDEX('register map'!G:G,C142)),4,""),IF(ISNUMBER(INDEX('register map'!F:F,C142)),5,""),IF(ISNUMBER(INDEX('register map'!E:E,C142)),6,""),IF(ISNUMBER(INDEX('register map'!D:D,C142)),7,""))</f>
        <v>3</v>
      </c>
      <c r="J142" s="117" t="str">
        <f t="shared" si="29"/>
        <v>0</v>
      </c>
      <c r="K142" s="117" t="str">
        <f t="shared" si="22"/>
        <v/>
      </c>
      <c r="L142" s="117" t="str">
        <f t="shared" si="30"/>
        <v/>
      </c>
      <c r="M142" s="117" t="str">
        <f t="shared" si="32"/>
        <v/>
      </c>
      <c r="N142" s="117" t="str">
        <f>IF(ISBLANK(INDEX('register map'!M:M,'Logical Group Generator'!C142)),"No","Yes")</f>
        <v>No</v>
      </c>
      <c r="O142" s="117" t="str">
        <f>IF(NOT(ISBLANK(INDEX('register map'!N:N,'Logical Group Generator'!C142))),"Yes","")</f>
        <v>Yes</v>
      </c>
      <c r="P142" s="117" t="str">
        <f t="shared" si="23"/>
        <v/>
      </c>
      <c r="Q142" s="117" t="str">
        <f t="shared" si="24"/>
        <v/>
      </c>
      <c r="R142" s="117" t="str">
        <f t="shared" si="25"/>
        <v/>
      </c>
      <c r="S142" s="117" t="str">
        <f t="shared" si="26"/>
        <v>No</v>
      </c>
      <c r="T142" s="117" t="str">
        <f t="shared" si="27"/>
        <v/>
      </c>
      <c r="U142" s="117" t="b">
        <f t="shared" si="31"/>
        <v>0</v>
      </c>
      <c r="V142" s="157" t="b">
        <f>INDEX('register map'!P:P,C142)="yes"</f>
        <v>1</v>
      </c>
      <c r="W142" s="157" t="str">
        <f t="shared" si="28"/>
        <v>FALSE</v>
      </c>
    </row>
    <row r="143" spans="2:23">
      <c r="B143" s="157" t="str">
        <f t="array" ref="B143">IF(ROWS($3:143)&lt;=COUNTA('register map'!$L$5:$L$902),INDEX('register map'!$L$5:$L$902,SMALL(IF('register map'!$L$5:$L$902&lt;&gt;"",ROW('register map'!$L$5:$L$902)-MIN(ROW('register map'!$L$5:$L$902))+1),ROWS($3:143))),"")</f>
        <v>VTT_DIS</v>
      </c>
      <c r="C143" s="157">
        <f>IF(B143="PART_NUMBER",IF(COUNTIF($B$1:B142,"PART_NUMBER")=0,6,8),MATCH(B143,'register map'!L:L,0))</f>
        <v>156</v>
      </c>
      <c r="D143" s="117" t="str">
        <f>IF(ISBLANK(INDEX('register map'!C:C,'Logical Group Generator'!C143)),"No","Yes")</f>
        <v>No</v>
      </c>
      <c r="E143" s="117" t="str">
        <f>IF(ISBLANK(INDEX('register map'!A:A,C143)),IF(ISBLANK(INDEX('register map'!A:A,C143-1)),IF(ISBLANK(INDEX('register map'!A:A,C143-2)),IF(ISBLANK(INDEX('register map'!A:A,C143-3)),IF(ISBLANK(INDEX('register map'!A:A,C143-4)),IF(ISBLANK(INDEX('register map'!A:A,C143-5)),IF(ISBLANK(INDEX('register map'!A:A,C143-6)),IF(ISBLANK(INDEX('register map'!A:A,C143-7)),IF(ISBLANK(INDEX('register map'!A:A,C143-8)),"ERROR",INDEX('register map'!A:A,C143-8)),INDEX('register map'!A:A,C143-7)),INDEX('register map'!A:A,C143-6)),INDEX('register map'!A:A,C143-5)),INDEX('register map'!A:A,C143-4)),INDEX('register map'!A:A,C143-3)),INDEX('register map'!A:A,C143-2)),INDEX('register map'!A:A,C143-1)),INDEX('register map'!A:A,C143))</f>
        <v>0x5E</v>
      </c>
      <c r="F143" s="117" t="str">
        <f>IF(ISBLANK(INDEX('register map'!B:B,C143)),IF(ISBLANK(INDEX('register map'!B:B,C143-1)),IF(ISBLANK(INDEX('register map'!B:B,C143-2)),IF(ISBLANK(INDEX('register map'!B:B,C143-3)),IF(ISBLANK(INDEX('register map'!B:B,C143-4)),IF(ISBLANK(INDEX('register map'!B:B,C143-5)),IF(ISBLANK(INDEX('register map'!B:B,C143-6)),IF(ISBLANK(INDEX('register map'!B:B,C143-7)),IF(ISBLANK(INDEX('register map'!B:B,C143-8)),"ERROR",INDEX('register map'!B:B,C143-8)),INDEX('register map'!B:B,C143-7)),INDEX('register map'!B:B,C143-6)),INDEX('register map'!B:B,C143-5)),INDEX('register map'!B:B,C143-4)),INDEX('register map'!B:B,C143-3)),INDEX('register map'!B:B,C143-2)),INDEX('register map'!B:B,C143-1)),INDEX('register map'!B:B,C143))</f>
        <v>0x9F</v>
      </c>
      <c r="G143" s="117" t="str">
        <f>CONCATENATE(IF(ISNUMBER(INDEX('register map'!D:D,C143)),7,""),IF(ISNUMBER(INDEX('register map'!E:E,C143)),6,""),IF(ISNUMBER(INDEX('register map'!F:F,C143)),5,""),IF(ISNUMBER(INDEX('register map'!G:G,C143)),4,""),IF(ISNUMBER(INDEX('register map'!H:H,C143)),3,""),IF(ISNUMBER(INDEX('register map'!I:I,C143)),2,""),IF(ISNUMBER(INDEX('register map'!J:J,C143)),1,""),IF(ISNUMBER(INDEX('register map'!K:K,C143)),0,""))</f>
        <v>4</v>
      </c>
      <c r="H143" s="117" t="str">
        <f>RIGHT(INDEX('register map'!V:V,MATCH('Logical Group Generator'!B143,'register map'!L:L,0)),LEN(G143))</f>
        <v>0</v>
      </c>
      <c r="I143" s="117" t="str">
        <f>CONCATENATE(IF(ISNUMBER(INDEX('register map'!K:K,C143)),0,""),IF(ISNUMBER(INDEX('register map'!J:J,C143)),1,""),IF(ISNUMBER(INDEX('register map'!I:I,C143)),2,""),IF(ISNUMBER(INDEX('register map'!H:H,C143)),3,""),IF(ISNUMBER(INDEX('register map'!G:G,C143)),4,""),IF(ISNUMBER(INDEX('register map'!F:F,C143)),5,""),IF(ISNUMBER(INDEX('register map'!E:E,C143)),6,""),IF(ISNUMBER(INDEX('register map'!D:D,C143)),7,""))</f>
        <v>4</v>
      </c>
      <c r="J143" s="117" t="str">
        <f t="shared" si="29"/>
        <v>0</v>
      </c>
      <c r="K143" s="117" t="str">
        <f t="shared" si="22"/>
        <v/>
      </c>
      <c r="L143" s="117" t="str">
        <f t="shared" si="30"/>
        <v/>
      </c>
      <c r="M143" s="117" t="str">
        <f t="shared" si="32"/>
        <v/>
      </c>
      <c r="N143" s="117" t="str">
        <f>IF(ISBLANK(INDEX('register map'!M:M,'Logical Group Generator'!C143)),"No","Yes")</f>
        <v>No</v>
      </c>
      <c r="O143" s="117" t="str">
        <f>IF(NOT(ISBLANK(INDEX('register map'!N:N,'Logical Group Generator'!C143))),"Yes","")</f>
        <v/>
      </c>
      <c r="P143" s="117" t="str">
        <f t="shared" si="23"/>
        <v/>
      </c>
      <c r="Q143" s="117" t="str">
        <f t="shared" si="24"/>
        <v/>
      </c>
      <c r="R143" s="117" t="str">
        <f t="shared" si="25"/>
        <v/>
      </c>
      <c r="S143" s="117" t="str">
        <f t="shared" si="26"/>
        <v>No</v>
      </c>
      <c r="T143" s="117" t="str">
        <f t="shared" si="27"/>
        <v/>
      </c>
      <c r="U143" s="117" t="b">
        <f t="shared" si="31"/>
        <v>0</v>
      </c>
      <c r="V143" s="157" t="b">
        <f>INDEX('register map'!P:P,C143)="yes"</f>
        <v>1</v>
      </c>
      <c r="W143" s="157" t="str">
        <f t="shared" si="28"/>
        <v>FALSE</v>
      </c>
    </row>
    <row r="144" spans="2:23">
      <c r="B144" s="157" t="str">
        <f t="array" ref="B144">IF(ROWS($3:144)&lt;=COUNTA('register map'!$L$5:$L$902),INDEX('register map'!$L$5:$L$902,SMALL(IF('register map'!$L$5:$L$902&lt;&gt;"",ROW('register map'!$L$5:$L$902)-MIN(ROW('register map'!$L$5:$L$902))+1),ROWS($3:144))),"")</f>
        <v>SWA1_DIS</v>
      </c>
      <c r="C144" s="157">
        <f>IF(B144="PART_NUMBER",IF(COUNTIF($B$1:B143,"PART_NUMBER")=0,6,8),MATCH(B144,'register map'!L:L,0))</f>
        <v>157</v>
      </c>
      <c r="D144" s="117" t="str">
        <f>IF(ISBLANK(INDEX('register map'!C:C,'Logical Group Generator'!C144)),"No","Yes")</f>
        <v>No</v>
      </c>
      <c r="E144" s="117" t="str">
        <f>IF(ISBLANK(INDEX('register map'!A:A,C144)),IF(ISBLANK(INDEX('register map'!A:A,C144-1)),IF(ISBLANK(INDEX('register map'!A:A,C144-2)),IF(ISBLANK(INDEX('register map'!A:A,C144-3)),IF(ISBLANK(INDEX('register map'!A:A,C144-4)),IF(ISBLANK(INDEX('register map'!A:A,C144-5)),IF(ISBLANK(INDEX('register map'!A:A,C144-6)),IF(ISBLANK(INDEX('register map'!A:A,C144-7)),IF(ISBLANK(INDEX('register map'!A:A,C144-8)),"ERROR",INDEX('register map'!A:A,C144-8)),INDEX('register map'!A:A,C144-7)),INDEX('register map'!A:A,C144-6)),INDEX('register map'!A:A,C144-5)),INDEX('register map'!A:A,C144-4)),INDEX('register map'!A:A,C144-3)),INDEX('register map'!A:A,C144-2)),INDEX('register map'!A:A,C144-1)),INDEX('register map'!A:A,C144))</f>
        <v>0x5E</v>
      </c>
      <c r="F144" s="117" t="str">
        <f>IF(ISBLANK(INDEX('register map'!B:B,C144)),IF(ISBLANK(INDEX('register map'!B:B,C144-1)),IF(ISBLANK(INDEX('register map'!B:B,C144-2)),IF(ISBLANK(INDEX('register map'!B:B,C144-3)),IF(ISBLANK(INDEX('register map'!B:B,C144-4)),IF(ISBLANK(INDEX('register map'!B:B,C144-5)),IF(ISBLANK(INDEX('register map'!B:B,C144-6)),IF(ISBLANK(INDEX('register map'!B:B,C144-7)),IF(ISBLANK(INDEX('register map'!B:B,C144-8)),"ERROR",INDEX('register map'!B:B,C144-8)),INDEX('register map'!B:B,C144-7)),INDEX('register map'!B:B,C144-6)),INDEX('register map'!B:B,C144-5)),INDEX('register map'!B:B,C144-4)),INDEX('register map'!B:B,C144-3)),INDEX('register map'!B:B,C144-2)),INDEX('register map'!B:B,C144-1)),INDEX('register map'!B:B,C144))</f>
        <v>0x9F</v>
      </c>
      <c r="G144" s="117" t="str">
        <f>CONCATENATE(IF(ISNUMBER(INDEX('register map'!D:D,C144)),7,""),IF(ISNUMBER(INDEX('register map'!E:E,C144)),6,""),IF(ISNUMBER(INDEX('register map'!F:F,C144)),5,""),IF(ISNUMBER(INDEX('register map'!G:G,C144)),4,""),IF(ISNUMBER(INDEX('register map'!H:H,C144)),3,""),IF(ISNUMBER(INDEX('register map'!I:I,C144)),2,""),IF(ISNUMBER(INDEX('register map'!J:J,C144)),1,""),IF(ISNUMBER(INDEX('register map'!K:K,C144)),0,""))</f>
        <v>5</v>
      </c>
      <c r="H144" s="117" t="str">
        <f>RIGHT(INDEX('register map'!V:V,MATCH('Logical Group Generator'!B144,'register map'!L:L,0)),LEN(G144))</f>
        <v>0</v>
      </c>
      <c r="I144" s="117" t="str">
        <f>CONCATENATE(IF(ISNUMBER(INDEX('register map'!K:K,C144)),0,""),IF(ISNUMBER(INDEX('register map'!J:J,C144)),1,""),IF(ISNUMBER(INDEX('register map'!I:I,C144)),2,""),IF(ISNUMBER(INDEX('register map'!H:H,C144)),3,""),IF(ISNUMBER(INDEX('register map'!G:G,C144)),4,""),IF(ISNUMBER(INDEX('register map'!F:F,C144)),5,""),IF(ISNUMBER(INDEX('register map'!E:E,C144)),6,""),IF(ISNUMBER(INDEX('register map'!D:D,C144)),7,""))</f>
        <v>5</v>
      </c>
      <c r="J144" s="117" t="str">
        <f t="shared" si="29"/>
        <v>0</v>
      </c>
      <c r="K144" s="117" t="str">
        <f t="shared" si="22"/>
        <v/>
      </c>
      <c r="L144" s="117" t="str">
        <f t="shared" si="30"/>
        <v/>
      </c>
      <c r="M144" s="117" t="str">
        <f t="shared" si="32"/>
        <v/>
      </c>
      <c r="N144" s="117" t="str">
        <f>IF(ISBLANK(INDEX('register map'!M:M,'Logical Group Generator'!C144)),"No","Yes")</f>
        <v>No</v>
      </c>
      <c r="O144" s="117" t="str">
        <f>IF(NOT(ISBLANK(INDEX('register map'!N:N,'Logical Group Generator'!C144))),"Yes","")</f>
        <v/>
      </c>
      <c r="P144" s="117" t="str">
        <f t="shared" si="23"/>
        <v/>
      </c>
      <c r="Q144" s="117" t="str">
        <f t="shared" si="24"/>
        <v/>
      </c>
      <c r="R144" s="117" t="str">
        <f t="shared" si="25"/>
        <v/>
      </c>
      <c r="S144" s="117" t="str">
        <f t="shared" si="26"/>
        <v>No</v>
      </c>
      <c r="T144" s="117" t="str">
        <f t="shared" si="27"/>
        <v/>
      </c>
      <c r="U144" s="117" t="b">
        <f t="shared" si="31"/>
        <v>0</v>
      </c>
      <c r="V144" s="157" t="b">
        <f>INDEX('register map'!P:P,C144)="yes"</f>
        <v>1</v>
      </c>
      <c r="W144" s="157" t="str">
        <f t="shared" si="28"/>
        <v>FALSE</v>
      </c>
    </row>
    <row r="145" spans="2:23">
      <c r="B145" s="157" t="str">
        <f t="array" ref="B145">IF(ROWS($3:145)&lt;=COUNTA('register map'!$L$5:$L$902),INDEX('register map'!$L$5:$L$902,SMALL(IF('register map'!$L$5:$L$902&lt;&gt;"",ROW('register map'!$L$5:$L$902)-MIN(ROW('register map'!$L$5:$L$902))+1),ROWS($3:145))),"")</f>
        <v>SWB1_DIS</v>
      </c>
      <c r="C145" s="157">
        <f>IF(B145="PART_NUMBER",IF(COUNTIF($B$1:B144,"PART_NUMBER")=0,6,8),MATCH(B145,'register map'!L:L,0))</f>
        <v>158</v>
      </c>
      <c r="D145" s="117" t="str">
        <f>IF(ISBLANK(INDEX('register map'!C:C,'Logical Group Generator'!C145)),"No","Yes")</f>
        <v>No</v>
      </c>
      <c r="E145" s="117" t="str">
        <f>IF(ISBLANK(INDEX('register map'!A:A,C145)),IF(ISBLANK(INDEX('register map'!A:A,C145-1)),IF(ISBLANK(INDEX('register map'!A:A,C145-2)),IF(ISBLANK(INDEX('register map'!A:A,C145-3)),IF(ISBLANK(INDEX('register map'!A:A,C145-4)),IF(ISBLANK(INDEX('register map'!A:A,C145-5)),IF(ISBLANK(INDEX('register map'!A:A,C145-6)),IF(ISBLANK(INDEX('register map'!A:A,C145-7)),IF(ISBLANK(INDEX('register map'!A:A,C145-8)),"ERROR",INDEX('register map'!A:A,C145-8)),INDEX('register map'!A:A,C145-7)),INDEX('register map'!A:A,C145-6)),INDEX('register map'!A:A,C145-5)),INDEX('register map'!A:A,C145-4)),INDEX('register map'!A:A,C145-3)),INDEX('register map'!A:A,C145-2)),INDEX('register map'!A:A,C145-1)),INDEX('register map'!A:A,C145))</f>
        <v>0x5E</v>
      </c>
      <c r="F145" s="117" t="str">
        <f>IF(ISBLANK(INDEX('register map'!B:B,C145)),IF(ISBLANK(INDEX('register map'!B:B,C145-1)),IF(ISBLANK(INDEX('register map'!B:B,C145-2)),IF(ISBLANK(INDEX('register map'!B:B,C145-3)),IF(ISBLANK(INDEX('register map'!B:B,C145-4)),IF(ISBLANK(INDEX('register map'!B:B,C145-5)),IF(ISBLANK(INDEX('register map'!B:B,C145-6)),IF(ISBLANK(INDEX('register map'!B:B,C145-7)),IF(ISBLANK(INDEX('register map'!B:B,C145-8)),"ERROR",INDEX('register map'!B:B,C145-8)),INDEX('register map'!B:B,C145-7)),INDEX('register map'!B:B,C145-6)),INDEX('register map'!B:B,C145-5)),INDEX('register map'!B:B,C145-4)),INDEX('register map'!B:B,C145-3)),INDEX('register map'!B:B,C145-2)),INDEX('register map'!B:B,C145-1)),INDEX('register map'!B:B,C145))</f>
        <v>0x9F</v>
      </c>
      <c r="G145" s="117" t="str">
        <f>CONCATENATE(IF(ISNUMBER(INDEX('register map'!D:D,C145)),7,""),IF(ISNUMBER(INDEX('register map'!E:E,C145)),6,""),IF(ISNUMBER(INDEX('register map'!F:F,C145)),5,""),IF(ISNUMBER(INDEX('register map'!G:G,C145)),4,""),IF(ISNUMBER(INDEX('register map'!H:H,C145)),3,""),IF(ISNUMBER(INDEX('register map'!I:I,C145)),2,""),IF(ISNUMBER(INDEX('register map'!J:J,C145)),1,""),IF(ISNUMBER(INDEX('register map'!K:K,C145)),0,""))</f>
        <v>6</v>
      </c>
      <c r="H145" s="117" t="str">
        <f>RIGHT(INDEX('register map'!V:V,MATCH('Logical Group Generator'!B145,'register map'!L:L,0)),LEN(G145))</f>
        <v>0</v>
      </c>
      <c r="I145" s="117" t="str">
        <f>CONCATENATE(IF(ISNUMBER(INDEX('register map'!K:K,C145)),0,""),IF(ISNUMBER(INDEX('register map'!J:J,C145)),1,""),IF(ISNUMBER(INDEX('register map'!I:I,C145)),2,""),IF(ISNUMBER(INDEX('register map'!H:H,C145)),3,""),IF(ISNUMBER(INDEX('register map'!G:G,C145)),4,""),IF(ISNUMBER(INDEX('register map'!F:F,C145)),5,""),IF(ISNUMBER(INDEX('register map'!E:E,C145)),6,""),IF(ISNUMBER(INDEX('register map'!D:D,C145)),7,""))</f>
        <v>6</v>
      </c>
      <c r="J145" s="117" t="str">
        <f t="shared" si="29"/>
        <v>0</v>
      </c>
      <c r="K145" s="117" t="str">
        <f t="shared" si="22"/>
        <v/>
      </c>
      <c r="L145" s="117" t="str">
        <f t="shared" si="30"/>
        <v/>
      </c>
      <c r="M145" s="117" t="str">
        <f t="shared" si="32"/>
        <v/>
      </c>
      <c r="N145" s="117" t="str">
        <f>IF(ISBLANK(INDEX('register map'!M:M,'Logical Group Generator'!C145)),"No","Yes")</f>
        <v>No</v>
      </c>
      <c r="O145" s="117" t="str">
        <f>IF(NOT(ISBLANK(INDEX('register map'!N:N,'Logical Group Generator'!C145))),"Yes","")</f>
        <v/>
      </c>
      <c r="P145" s="117" t="str">
        <f t="shared" si="23"/>
        <v/>
      </c>
      <c r="Q145" s="117" t="str">
        <f t="shared" si="24"/>
        <v/>
      </c>
      <c r="R145" s="117" t="str">
        <f t="shared" si="25"/>
        <v/>
      </c>
      <c r="S145" s="117" t="str">
        <f t="shared" si="26"/>
        <v>No</v>
      </c>
      <c r="T145" s="117" t="str">
        <f t="shared" si="27"/>
        <v/>
      </c>
      <c r="U145" s="117" t="b">
        <f t="shared" si="31"/>
        <v>0</v>
      </c>
      <c r="V145" s="157" t="b">
        <f>INDEX('register map'!P:P,C145)="yes"</f>
        <v>1</v>
      </c>
      <c r="W145" s="157" t="str">
        <f t="shared" si="28"/>
        <v>FALSE</v>
      </c>
    </row>
    <row r="146" spans="2:23">
      <c r="B146" s="157" t="str">
        <f t="array" ref="B146">IF(ROWS($3:146)&lt;=COUNTA('register map'!$L$5:$L$902),INDEX('register map'!$L$5:$L$902,SMALL(IF('register map'!$L$5:$L$902&lt;&gt;"",ROW('register map'!$L$5:$L$902)-MIN(ROW('register map'!$L$5:$L$902))+1),ROWS($3:146))),"")</f>
        <v>SWB2_LDOA1_DIS</v>
      </c>
      <c r="C146" s="157">
        <f>IF(B146="PART_NUMBER",IF(COUNTIF($B$1:B145,"PART_NUMBER")=0,6,8),MATCH(B146,'register map'!L:L,0))</f>
        <v>159</v>
      </c>
      <c r="D146" s="117" t="str">
        <f>IF(ISBLANK(INDEX('register map'!C:C,'Logical Group Generator'!C146)),"No","Yes")</f>
        <v>No</v>
      </c>
      <c r="E146" s="117" t="str">
        <f>IF(ISBLANK(INDEX('register map'!A:A,C146)),IF(ISBLANK(INDEX('register map'!A:A,C146-1)),IF(ISBLANK(INDEX('register map'!A:A,C146-2)),IF(ISBLANK(INDEX('register map'!A:A,C146-3)),IF(ISBLANK(INDEX('register map'!A:A,C146-4)),IF(ISBLANK(INDEX('register map'!A:A,C146-5)),IF(ISBLANK(INDEX('register map'!A:A,C146-6)),IF(ISBLANK(INDEX('register map'!A:A,C146-7)),IF(ISBLANK(INDEX('register map'!A:A,C146-8)),"ERROR",INDEX('register map'!A:A,C146-8)),INDEX('register map'!A:A,C146-7)),INDEX('register map'!A:A,C146-6)),INDEX('register map'!A:A,C146-5)),INDEX('register map'!A:A,C146-4)),INDEX('register map'!A:A,C146-3)),INDEX('register map'!A:A,C146-2)),INDEX('register map'!A:A,C146-1)),INDEX('register map'!A:A,C146))</f>
        <v>0x5E</v>
      </c>
      <c r="F146" s="117" t="str">
        <f>IF(ISBLANK(INDEX('register map'!B:B,C146)),IF(ISBLANK(INDEX('register map'!B:B,C146-1)),IF(ISBLANK(INDEX('register map'!B:B,C146-2)),IF(ISBLANK(INDEX('register map'!B:B,C146-3)),IF(ISBLANK(INDEX('register map'!B:B,C146-4)),IF(ISBLANK(INDEX('register map'!B:B,C146-5)),IF(ISBLANK(INDEX('register map'!B:B,C146-6)),IF(ISBLANK(INDEX('register map'!B:B,C146-7)),IF(ISBLANK(INDEX('register map'!B:B,C146-8)),"ERROR",INDEX('register map'!B:B,C146-8)),INDEX('register map'!B:B,C146-7)),INDEX('register map'!B:B,C146-6)),INDEX('register map'!B:B,C146-5)),INDEX('register map'!B:B,C146-4)),INDEX('register map'!B:B,C146-3)),INDEX('register map'!B:B,C146-2)),INDEX('register map'!B:B,C146-1)),INDEX('register map'!B:B,C146))</f>
        <v>0x9F</v>
      </c>
      <c r="G146" s="117" t="str">
        <f>CONCATENATE(IF(ISNUMBER(INDEX('register map'!D:D,C146)),7,""),IF(ISNUMBER(INDEX('register map'!E:E,C146)),6,""),IF(ISNUMBER(INDEX('register map'!F:F,C146)),5,""),IF(ISNUMBER(INDEX('register map'!G:G,C146)),4,""),IF(ISNUMBER(INDEX('register map'!H:H,C146)),3,""),IF(ISNUMBER(INDEX('register map'!I:I,C146)),2,""),IF(ISNUMBER(INDEX('register map'!J:J,C146)),1,""),IF(ISNUMBER(INDEX('register map'!K:K,C146)),0,""))</f>
        <v>7</v>
      </c>
      <c r="H146" s="117" t="str">
        <f>RIGHT(INDEX('register map'!V:V,MATCH('Logical Group Generator'!B146,'register map'!L:L,0)),LEN(G146))</f>
        <v>1</v>
      </c>
      <c r="I146" s="117" t="str">
        <f>CONCATENATE(IF(ISNUMBER(INDEX('register map'!K:K,C146)),0,""),IF(ISNUMBER(INDEX('register map'!J:J,C146)),1,""),IF(ISNUMBER(INDEX('register map'!I:I,C146)),2,""),IF(ISNUMBER(INDEX('register map'!H:H,C146)),3,""),IF(ISNUMBER(INDEX('register map'!G:G,C146)),4,""),IF(ISNUMBER(INDEX('register map'!F:F,C146)),5,""),IF(ISNUMBER(INDEX('register map'!E:E,C146)),6,""),IF(ISNUMBER(INDEX('register map'!D:D,C146)),7,""))</f>
        <v>7</v>
      </c>
      <c r="J146" s="117" t="str">
        <f t="shared" si="29"/>
        <v>1</v>
      </c>
      <c r="K146" s="117" t="str">
        <f t="shared" si="22"/>
        <v/>
      </c>
      <c r="L146" s="117" t="str">
        <f t="shared" si="30"/>
        <v/>
      </c>
      <c r="M146" s="117" t="str">
        <f t="shared" si="32"/>
        <v/>
      </c>
      <c r="N146" s="117" t="str">
        <f>IF(ISBLANK(INDEX('register map'!M:M,'Logical Group Generator'!C146)),"No","Yes")</f>
        <v>No</v>
      </c>
      <c r="O146" s="117" t="str">
        <f>IF(NOT(ISBLANK(INDEX('register map'!N:N,'Logical Group Generator'!C146))),"Yes","")</f>
        <v/>
      </c>
      <c r="P146" s="117" t="str">
        <f t="shared" si="23"/>
        <v/>
      </c>
      <c r="Q146" s="117" t="str">
        <f t="shared" si="24"/>
        <v/>
      </c>
      <c r="R146" s="117" t="str">
        <f t="shared" si="25"/>
        <v/>
      </c>
      <c r="S146" s="117" t="str">
        <f t="shared" si="26"/>
        <v>No</v>
      </c>
      <c r="T146" s="117" t="str">
        <f t="shared" si="27"/>
        <v/>
      </c>
      <c r="U146" s="117" t="b">
        <f t="shared" si="31"/>
        <v>0</v>
      </c>
      <c r="V146" s="157" t="b">
        <f>INDEX('register map'!P:P,C146)="yes"</f>
        <v>1</v>
      </c>
      <c r="W146" s="157" t="str">
        <f t="shared" si="28"/>
        <v>FALSE</v>
      </c>
    </row>
    <row r="147" spans="2:23">
      <c r="B147" s="157" t="str">
        <f t="array" ref="B147">IF(ROWS($3:147)&lt;=COUNTA('register map'!$L$5:$L$902),INDEX('register map'!$L$5:$L$902,SMALL(IF('register map'!$L$5:$L$902&lt;&gt;"",ROW('register map'!$L$5:$L$902)-MIN(ROW('register map'!$L$5:$L$902))+1),ROWS($3:147))),"")</f>
        <v>I2C_RAIL_EN1</v>
      </c>
      <c r="C147" s="157">
        <f>IF(B147="PART_NUMBER",IF(COUNTIF($B$1:B146,"PART_NUMBER")=0,6,8),MATCH(B147,'register map'!L:L,0))</f>
        <v>160</v>
      </c>
      <c r="D147" s="117" t="str">
        <f>IF(ISBLANK(INDEX('register map'!C:C,'Logical Group Generator'!C147)),"No","Yes")</f>
        <v>Yes</v>
      </c>
      <c r="E147" s="117" t="str">
        <f>IF(ISBLANK(INDEX('register map'!A:A,C147)),IF(ISBLANK(INDEX('register map'!A:A,C147-1)),IF(ISBLANK(INDEX('register map'!A:A,C147-2)),IF(ISBLANK(INDEX('register map'!A:A,C147-3)),IF(ISBLANK(INDEX('register map'!A:A,C147-4)),IF(ISBLANK(INDEX('register map'!A:A,C147-5)),IF(ISBLANK(INDEX('register map'!A:A,C147-6)),IF(ISBLANK(INDEX('register map'!A:A,C147-7)),IF(ISBLANK(INDEX('register map'!A:A,C147-8)),"ERROR",INDEX('register map'!A:A,C147-8)),INDEX('register map'!A:A,C147-7)),INDEX('register map'!A:A,C147-6)),INDEX('register map'!A:A,C147-5)),INDEX('register map'!A:A,C147-4)),INDEX('register map'!A:A,C147-3)),INDEX('register map'!A:A,C147-2)),INDEX('register map'!A:A,C147-1)),INDEX('register map'!A:A,C147))</f>
        <v>0x5E</v>
      </c>
      <c r="F147" s="117" t="str">
        <f>IF(ISBLANK(INDEX('register map'!B:B,C147)),IF(ISBLANK(INDEX('register map'!B:B,C147-1)),IF(ISBLANK(INDEX('register map'!B:B,C147-2)),IF(ISBLANK(INDEX('register map'!B:B,C147-3)),IF(ISBLANK(INDEX('register map'!B:B,C147-4)),IF(ISBLANK(INDEX('register map'!B:B,C147-5)),IF(ISBLANK(INDEX('register map'!B:B,C147-6)),IF(ISBLANK(INDEX('register map'!B:B,C147-7)),IF(ISBLANK(INDEX('register map'!B:B,C147-8)),"ERROR",INDEX('register map'!B:B,C147-8)),INDEX('register map'!B:B,C147-7)),INDEX('register map'!B:B,C147-6)),INDEX('register map'!B:B,C147-5)),INDEX('register map'!B:B,C147-4)),INDEX('register map'!B:B,C147-3)),INDEX('register map'!B:B,C147-2)),INDEX('register map'!B:B,C147-1)),INDEX('register map'!B:B,C147))</f>
        <v>0xA0</v>
      </c>
      <c r="G147" s="117" t="str">
        <f>CONCATENATE(IF(ISNUMBER(INDEX('register map'!D:D,C147)),7,""),IF(ISNUMBER(INDEX('register map'!E:E,C147)),6,""),IF(ISNUMBER(INDEX('register map'!F:F,C147)),5,""),IF(ISNUMBER(INDEX('register map'!G:G,C147)),4,""),IF(ISNUMBER(INDEX('register map'!H:H,C147)),3,""),IF(ISNUMBER(INDEX('register map'!I:I,C147)),2,""),IF(ISNUMBER(INDEX('register map'!J:J,C147)),1,""),IF(ISNUMBER(INDEX('register map'!K:K,C147)),0,""))</f>
        <v/>
      </c>
      <c r="H147" s="117" t="str">
        <f>RIGHT(INDEX('register map'!V:V,MATCH('Logical Group Generator'!B147,'register map'!L:L,0)),LEN(G147))</f>
        <v/>
      </c>
      <c r="I147" s="117" t="str">
        <f>CONCATENATE(IF(ISNUMBER(INDEX('register map'!K:K,C147)),0,""),IF(ISNUMBER(INDEX('register map'!J:J,C147)),1,""),IF(ISNUMBER(INDEX('register map'!I:I,C147)),2,""),IF(ISNUMBER(INDEX('register map'!H:H,C147)),3,""),IF(ISNUMBER(INDEX('register map'!G:G,C147)),4,""),IF(ISNUMBER(INDEX('register map'!F:F,C147)),5,""),IF(ISNUMBER(INDEX('register map'!E:E,C147)),6,""),IF(ISNUMBER(INDEX('register map'!D:D,C147)),7,""))</f>
        <v/>
      </c>
      <c r="J147" s="117" t="str">
        <f t="shared" si="29"/>
        <v/>
      </c>
      <c r="K147" s="117" t="str">
        <f t="shared" si="22"/>
        <v>00001011</v>
      </c>
      <c r="L147" s="117" t="str">
        <f t="shared" si="30"/>
        <v>11010000</v>
      </c>
      <c r="M147" s="117" t="str">
        <f t="shared" si="32"/>
        <v>D0</v>
      </c>
      <c r="N147" s="117" t="str">
        <f>IF(ISBLANK(INDEX('register map'!M:M,'Logical Group Generator'!C147)),"No","Yes")</f>
        <v>No</v>
      </c>
      <c r="O147" s="117" t="str">
        <f>IF(NOT(ISBLANK(INDEX('register map'!N:N,'Logical Group Generator'!C147))),"Yes","")</f>
        <v/>
      </c>
      <c r="P147" s="117" t="str">
        <f t="shared" si="23"/>
        <v>No</v>
      </c>
      <c r="Q147" s="117" t="str">
        <f t="shared" si="24"/>
        <v>No</v>
      </c>
      <c r="R147" s="117" t="str">
        <f t="shared" si="25"/>
        <v>No</v>
      </c>
      <c r="S147" s="117" t="str">
        <f t="shared" si="26"/>
        <v/>
      </c>
      <c r="T147" s="117" t="b">
        <f t="shared" si="27"/>
        <v>1</v>
      </c>
      <c r="U147" s="117" t="b">
        <f t="shared" si="31"/>
        <v>1</v>
      </c>
      <c r="V147" s="157" t="b">
        <f>INDEX('register map'!P:P,C147)="yes"</f>
        <v>1</v>
      </c>
      <c r="W147" s="157" t="str">
        <f t="shared" si="28"/>
        <v>REGISTER</v>
      </c>
    </row>
    <row r="148" spans="2:23">
      <c r="B148" s="157" t="str">
        <f t="array" ref="B148">IF(ROWS($3:148)&lt;=COUNTA('register map'!$L$5:$L$902),INDEX('register map'!$L$5:$L$902,SMALL(IF('register map'!$L$5:$L$902&lt;&gt;"",ROW('register map'!$L$5:$L$902)-MIN(ROW('register map'!$L$5:$L$902))+1),ROWS($3:148))),"")</f>
        <v>BUCK1_EN</v>
      </c>
      <c r="C148" s="157">
        <f>IF(B148="PART_NUMBER",IF(COUNTIF($B$1:B147,"PART_NUMBER")=0,6,8),MATCH(B148,'register map'!L:L,0))</f>
        <v>161</v>
      </c>
      <c r="D148" s="117" t="str">
        <f>IF(ISBLANK(INDEX('register map'!C:C,'Logical Group Generator'!C148)),"No","Yes")</f>
        <v>No</v>
      </c>
      <c r="E148" s="117" t="str">
        <f>IF(ISBLANK(INDEX('register map'!A:A,C148)),IF(ISBLANK(INDEX('register map'!A:A,C148-1)),IF(ISBLANK(INDEX('register map'!A:A,C148-2)),IF(ISBLANK(INDEX('register map'!A:A,C148-3)),IF(ISBLANK(INDEX('register map'!A:A,C148-4)),IF(ISBLANK(INDEX('register map'!A:A,C148-5)),IF(ISBLANK(INDEX('register map'!A:A,C148-6)),IF(ISBLANK(INDEX('register map'!A:A,C148-7)),IF(ISBLANK(INDEX('register map'!A:A,C148-8)),"ERROR",INDEX('register map'!A:A,C148-8)),INDEX('register map'!A:A,C148-7)),INDEX('register map'!A:A,C148-6)),INDEX('register map'!A:A,C148-5)),INDEX('register map'!A:A,C148-4)),INDEX('register map'!A:A,C148-3)),INDEX('register map'!A:A,C148-2)),INDEX('register map'!A:A,C148-1)),INDEX('register map'!A:A,C148))</f>
        <v>0x5E</v>
      </c>
      <c r="F148" s="117" t="str">
        <f>IF(ISBLANK(INDEX('register map'!B:B,C148)),IF(ISBLANK(INDEX('register map'!B:B,C148-1)),IF(ISBLANK(INDEX('register map'!B:B,C148-2)),IF(ISBLANK(INDEX('register map'!B:B,C148-3)),IF(ISBLANK(INDEX('register map'!B:B,C148-4)),IF(ISBLANK(INDEX('register map'!B:B,C148-5)),IF(ISBLANK(INDEX('register map'!B:B,C148-6)),IF(ISBLANK(INDEX('register map'!B:B,C148-7)),IF(ISBLANK(INDEX('register map'!B:B,C148-8)),"ERROR",INDEX('register map'!B:B,C148-8)),INDEX('register map'!B:B,C148-7)),INDEX('register map'!B:B,C148-6)),INDEX('register map'!B:B,C148-5)),INDEX('register map'!B:B,C148-4)),INDEX('register map'!B:B,C148-3)),INDEX('register map'!B:B,C148-2)),INDEX('register map'!B:B,C148-1)),INDEX('register map'!B:B,C148))</f>
        <v>0xA0</v>
      </c>
      <c r="G148" s="117" t="str">
        <f>CONCATENATE(IF(ISNUMBER(INDEX('register map'!D:D,C148)),7,""),IF(ISNUMBER(INDEX('register map'!E:E,C148)),6,""),IF(ISNUMBER(INDEX('register map'!F:F,C148)),5,""),IF(ISNUMBER(INDEX('register map'!G:G,C148)),4,""),IF(ISNUMBER(INDEX('register map'!H:H,C148)),3,""),IF(ISNUMBER(INDEX('register map'!I:I,C148)),2,""),IF(ISNUMBER(INDEX('register map'!J:J,C148)),1,""),IF(ISNUMBER(INDEX('register map'!K:K,C148)),0,""))</f>
        <v>0</v>
      </c>
      <c r="H148" s="117" t="str">
        <f>RIGHT(INDEX('register map'!V:V,MATCH('Logical Group Generator'!B148,'register map'!L:L,0)),LEN(G148))</f>
        <v>0</v>
      </c>
      <c r="I148" s="117" t="str">
        <f>CONCATENATE(IF(ISNUMBER(INDEX('register map'!K:K,C148)),0,""),IF(ISNUMBER(INDEX('register map'!J:J,C148)),1,""),IF(ISNUMBER(INDEX('register map'!I:I,C148)),2,""),IF(ISNUMBER(INDEX('register map'!H:H,C148)),3,""),IF(ISNUMBER(INDEX('register map'!G:G,C148)),4,""),IF(ISNUMBER(INDEX('register map'!F:F,C148)),5,""),IF(ISNUMBER(INDEX('register map'!E:E,C148)),6,""),IF(ISNUMBER(INDEX('register map'!D:D,C148)),7,""))</f>
        <v>0</v>
      </c>
      <c r="J148" s="117" t="str">
        <f t="shared" si="29"/>
        <v>0</v>
      </c>
      <c r="K148" s="117" t="str">
        <f t="shared" si="22"/>
        <v/>
      </c>
      <c r="L148" s="117" t="str">
        <f t="shared" si="30"/>
        <v/>
      </c>
      <c r="M148" s="117" t="str">
        <f t="shared" si="32"/>
        <v/>
      </c>
      <c r="N148" s="117" t="str">
        <f>IF(ISBLANK(INDEX('register map'!M:M,'Logical Group Generator'!C148)),"No","Yes")</f>
        <v>No</v>
      </c>
      <c r="O148" s="117" t="str">
        <f>IF(NOT(ISBLANK(INDEX('register map'!N:N,'Logical Group Generator'!C148))),"Yes","")</f>
        <v/>
      </c>
      <c r="P148" s="117" t="str">
        <f t="shared" si="23"/>
        <v/>
      </c>
      <c r="Q148" s="117" t="str">
        <f t="shared" si="24"/>
        <v/>
      </c>
      <c r="R148" s="117" t="str">
        <f t="shared" si="25"/>
        <v/>
      </c>
      <c r="S148" s="117" t="str">
        <f t="shared" si="26"/>
        <v>No</v>
      </c>
      <c r="T148" s="117" t="str">
        <f t="shared" si="27"/>
        <v/>
      </c>
      <c r="U148" s="117" t="b">
        <f t="shared" si="31"/>
        <v>0</v>
      </c>
      <c r="V148" s="157" t="b">
        <f>INDEX('register map'!P:P,C148)="yes"</f>
        <v>1</v>
      </c>
      <c r="W148" s="157" t="str">
        <f t="shared" si="28"/>
        <v>FALSE</v>
      </c>
    </row>
    <row r="149" spans="2:23">
      <c r="B149" s="157" t="str">
        <f t="array" ref="B149">IF(ROWS($3:149)&lt;=COUNTA('register map'!$L$5:$L$902),INDEX('register map'!$L$5:$L$902,SMALL(IF('register map'!$L$5:$L$902&lt;&gt;"",ROW('register map'!$L$5:$L$902)-MIN(ROW('register map'!$L$5:$L$902))+1),ROWS($3:149))),"")</f>
        <v>BUCK2_EN</v>
      </c>
      <c r="C149" s="157">
        <f>IF(B149="PART_NUMBER",IF(COUNTIF($B$1:B148,"PART_NUMBER")=0,6,8),MATCH(B149,'register map'!L:L,0))</f>
        <v>162</v>
      </c>
      <c r="D149" s="117" t="str">
        <f>IF(ISBLANK(INDEX('register map'!C:C,'Logical Group Generator'!C149)),"No","Yes")</f>
        <v>No</v>
      </c>
      <c r="E149" s="117" t="str">
        <f>IF(ISBLANK(INDEX('register map'!A:A,C149)),IF(ISBLANK(INDEX('register map'!A:A,C149-1)),IF(ISBLANK(INDEX('register map'!A:A,C149-2)),IF(ISBLANK(INDEX('register map'!A:A,C149-3)),IF(ISBLANK(INDEX('register map'!A:A,C149-4)),IF(ISBLANK(INDEX('register map'!A:A,C149-5)),IF(ISBLANK(INDEX('register map'!A:A,C149-6)),IF(ISBLANK(INDEX('register map'!A:A,C149-7)),IF(ISBLANK(INDEX('register map'!A:A,C149-8)),"ERROR",INDEX('register map'!A:A,C149-8)),INDEX('register map'!A:A,C149-7)),INDEX('register map'!A:A,C149-6)),INDEX('register map'!A:A,C149-5)),INDEX('register map'!A:A,C149-4)),INDEX('register map'!A:A,C149-3)),INDEX('register map'!A:A,C149-2)),INDEX('register map'!A:A,C149-1)),INDEX('register map'!A:A,C149))</f>
        <v>0x5E</v>
      </c>
      <c r="F149" s="117" t="str">
        <f>IF(ISBLANK(INDEX('register map'!B:B,C149)),IF(ISBLANK(INDEX('register map'!B:B,C149-1)),IF(ISBLANK(INDEX('register map'!B:B,C149-2)),IF(ISBLANK(INDEX('register map'!B:B,C149-3)),IF(ISBLANK(INDEX('register map'!B:B,C149-4)),IF(ISBLANK(INDEX('register map'!B:B,C149-5)),IF(ISBLANK(INDEX('register map'!B:B,C149-6)),IF(ISBLANK(INDEX('register map'!B:B,C149-7)),IF(ISBLANK(INDEX('register map'!B:B,C149-8)),"ERROR",INDEX('register map'!B:B,C149-8)),INDEX('register map'!B:B,C149-7)),INDEX('register map'!B:B,C149-6)),INDEX('register map'!B:B,C149-5)),INDEX('register map'!B:B,C149-4)),INDEX('register map'!B:B,C149-3)),INDEX('register map'!B:B,C149-2)),INDEX('register map'!B:B,C149-1)),INDEX('register map'!B:B,C149))</f>
        <v>0xA0</v>
      </c>
      <c r="G149" s="117" t="str">
        <f>CONCATENATE(IF(ISNUMBER(INDEX('register map'!D:D,C149)),7,""),IF(ISNUMBER(INDEX('register map'!E:E,C149)),6,""),IF(ISNUMBER(INDEX('register map'!F:F,C149)),5,""),IF(ISNUMBER(INDEX('register map'!G:G,C149)),4,""),IF(ISNUMBER(INDEX('register map'!H:H,C149)),3,""),IF(ISNUMBER(INDEX('register map'!I:I,C149)),2,""),IF(ISNUMBER(INDEX('register map'!J:J,C149)),1,""),IF(ISNUMBER(INDEX('register map'!K:K,C149)),0,""))</f>
        <v>1</v>
      </c>
      <c r="H149" s="117" t="str">
        <f>RIGHT(INDEX('register map'!V:V,MATCH('Logical Group Generator'!B149,'register map'!L:L,0)),LEN(G149))</f>
        <v>0</v>
      </c>
      <c r="I149" s="117" t="str">
        <f>CONCATENATE(IF(ISNUMBER(INDEX('register map'!K:K,C149)),0,""),IF(ISNUMBER(INDEX('register map'!J:J,C149)),1,""),IF(ISNUMBER(INDEX('register map'!I:I,C149)),2,""),IF(ISNUMBER(INDEX('register map'!H:H,C149)),3,""),IF(ISNUMBER(INDEX('register map'!G:G,C149)),4,""),IF(ISNUMBER(INDEX('register map'!F:F,C149)),5,""),IF(ISNUMBER(INDEX('register map'!E:E,C149)),6,""),IF(ISNUMBER(INDEX('register map'!D:D,C149)),7,""))</f>
        <v>1</v>
      </c>
      <c r="J149" s="117" t="str">
        <f t="shared" si="29"/>
        <v>0</v>
      </c>
      <c r="K149" s="117" t="str">
        <f t="shared" si="22"/>
        <v/>
      </c>
      <c r="L149" s="117" t="str">
        <f t="shared" si="30"/>
        <v/>
      </c>
      <c r="M149" s="117" t="str">
        <f t="shared" si="32"/>
        <v/>
      </c>
      <c r="N149" s="117" t="str">
        <f>IF(ISBLANK(INDEX('register map'!M:M,'Logical Group Generator'!C149)),"No","Yes")</f>
        <v>No</v>
      </c>
      <c r="O149" s="117" t="str">
        <f>IF(NOT(ISBLANK(INDEX('register map'!N:N,'Logical Group Generator'!C149))),"Yes","")</f>
        <v/>
      </c>
      <c r="P149" s="117" t="str">
        <f t="shared" si="23"/>
        <v/>
      </c>
      <c r="Q149" s="117" t="str">
        <f t="shared" si="24"/>
        <v/>
      </c>
      <c r="R149" s="117" t="str">
        <f t="shared" si="25"/>
        <v/>
      </c>
      <c r="S149" s="117" t="str">
        <f t="shared" si="26"/>
        <v>No</v>
      </c>
      <c r="T149" s="117" t="str">
        <f t="shared" si="27"/>
        <v/>
      </c>
      <c r="U149" s="117" t="b">
        <f t="shared" si="31"/>
        <v>0</v>
      </c>
      <c r="V149" s="157" t="b">
        <f>INDEX('register map'!P:P,C149)="yes"</f>
        <v>1</v>
      </c>
      <c r="W149" s="157" t="str">
        <f t="shared" si="28"/>
        <v>FALSE</v>
      </c>
    </row>
    <row r="150" spans="2:23">
      <c r="B150" s="157" t="str">
        <f t="array" ref="B150">IF(ROWS($3:150)&lt;=COUNTA('register map'!$L$5:$L$902),INDEX('register map'!$L$5:$L$902,SMALL(IF('register map'!$L$5:$L$902&lt;&gt;"",ROW('register map'!$L$5:$L$902)-MIN(ROW('register map'!$L$5:$L$902))+1),ROWS($3:150))),"")</f>
        <v>BUCK3_EN</v>
      </c>
      <c r="C150" s="157">
        <f>IF(B150="PART_NUMBER",IF(COUNTIF($B$1:B149,"PART_NUMBER")=0,6,8),MATCH(B150,'register map'!L:L,0))</f>
        <v>163</v>
      </c>
      <c r="D150" s="117" t="str">
        <f>IF(ISBLANK(INDEX('register map'!C:C,'Logical Group Generator'!C150)),"No","Yes")</f>
        <v>No</v>
      </c>
      <c r="E150" s="117" t="str">
        <f>IF(ISBLANK(INDEX('register map'!A:A,C150)),IF(ISBLANK(INDEX('register map'!A:A,C150-1)),IF(ISBLANK(INDEX('register map'!A:A,C150-2)),IF(ISBLANK(INDEX('register map'!A:A,C150-3)),IF(ISBLANK(INDEX('register map'!A:A,C150-4)),IF(ISBLANK(INDEX('register map'!A:A,C150-5)),IF(ISBLANK(INDEX('register map'!A:A,C150-6)),IF(ISBLANK(INDEX('register map'!A:A,C150-7)),IF(ISBLANK(INDEX('register map'!A:A,C150-8)),"ERROR",INDEX('register map'!A:A,C150-8)),INDEX('register map'!A:A,C150-7)),INDEX('register map'!A:A,C150-6)),INDEX('register map'!A:A,C150-5)),INDEX('register map'!A:A,C150-4)),INDEX('register map'!A:A,C150-3)),INDEX('register map'!A:A,C150-2)),INDEX('register map'!A:A,C150-1)),INDEX('register map'!A:A,C150))</f>
        <v>0x5E</v>
      </c>
      <c r="F150" s="117" t="str">
        <f>IF(ISBLANK(INDEX('register map'!B:B,C150)),IF(ISBLANK(INDEX('register map'!B:B,C150-1)),IF(ISBLANK(INDEX('register map'!B:B,C150-2)),IF(ISBLANK(INDEX('register map'!B:B,C150-3)),IF(ISBLANK(INDEX('register map'!B:B,C150-4)),IF(ISBLANK(INDEX('register map'!B:B,C150-5)),IF(ISBLANK(INDEX('register map'!B:B,C150-6)),IF(ISBLANK(INDEX('register map'!B:B,C150-7)),IF(ISBLANK(INDEX('register map'!B:B,C150-8)),"ERROR",INDEX('register map'!B:B,C150-8)),INDEX('register map'!B:B,C150-7)),INDEX('register map'!B:B,C150-6)),INDEX('register map'!B:B,C150-5)),INDEX('register map'!B:B,C150-4)),INDEX('register map'!B:B,C150-3)),INDEX('register map'!B:B,C150-2)),INDEX('register map'!B:B,C150-1)),INDEX('register map'!B:B,C150))</f>
        <v>0xA0</v>
      </c>
      <c r="G150" s="117" t="str">
        <f>CONCATENATE(IF(ISNUMBER(INDEX('register map'!D:D,C150)),7,""),IF(ISNUMBER(INDEX('register map'!E:E,C150)),6,""),IF(ISNUMBER(INDEX('register map'!F:F,C150)),5,""),IF(ISNUMBER(INDEX('register map'!G:G,C150)),4,""),IF(ISNUMBER(INDEX('register map'!H:H,C150)),3,""),IF(ISNUMBER(INDEX('register map'!I:I,C150)),2,""),IF(ISNUMBER(INDEX('register map'!J:J,C150)),1,""),IF(ISNUMBER(INDEX('register map'!K:K,C150)),0,""))</f>
        <v>2</v>
      </c>
      <c r="H150" s="117" t="str">
        <f>RIGHT(INDEX('register map'!V:V,MATCH('Logical Group Generator'!B150,'register map'!L:L,0)),LEN(G150))</f>
        <v>0</v>
      </c>
      <c r="I150" s="117" t="str">
        <f>CONCATENATE(IF(ISNUMBER(INDEX('register map'!K:K,C150)),0,""),IF(ISNUMBER(INDEX('register map'!J:J,C150)),1,""),IF(ISNUMBER(INDEX('register map'!I:I,C150)),2,""),IF(ISNUMBER(INDEX('register map'!H:H,C150)),3,""),IF(ISNUMBER(INDEX('register map'!G:G,C150)),4,""),IF(ISNUMBER(INDEX('register map'!F:F,C150)),5,""),IF(ISNUMBER(INDEX('register map'!E:E,C150)),6,""),IF(ISNUMBER(INDEX('register map'!D:D,C150)),7,""))</f>
        <v>2</v>
      </c>
      <c r="J150" s="117" t="str">
        <f t="shared" si="29"/>
        <v>0</v>
      </c>
      <c r="K150" s="117" t="str">
        <f t="shared" si="22"/>
        <v/>
      </c>
      <c r="L150" s="117" t="str">
        <f t="shared" si="30"/>
        <v/>
      </c>
      <c r="M150" s="117" t="str">
        <f t="shared" si="32"/>
        <v/>
      </c>
      <c r="N150" s="117" t="str">
        <f>IF(ISBLANK(INDEX('register map'!M:M,'Logical Group Generator'!C150)),"No","Yes")</f>
        <v>No</v>
      </c>
      <c r="O150" s="117" t="str">
        <f>IF(NOT(ISBLANK(INDEX('register map'!N:N,'Logical Group Generator'!C150))),"Yes","")</f>
        <v/>
      </c>
      <c r="P150" s="117" t="str">
        <f t="shared" si="23"/>
        <v/>
      </c>
      <c r="Q150" s="117" t="str">
        <f t="shared" si="24"/>
        <v/>
      </c>
      <c r="R150" s="117" t="str">
        <f t="shared" si="25"/>
        <v/>
      </c>
      <c r="S150" s="117" t="str">
        <f t="shared" si="26"/>
        <v>No</v>
      </c>
      <c r="T150" s="117" t="str">
        <f t="shared" si="27"/>
        <v/>
      </c>
      <c r="U150" s="117" t="b">
        <f t="shared" si="31"/>
        <v>0</v>
      </c>
      <c r="V150" s="157" t="b">
        <f>INDEX('register map'!P:P,C150)="yes"</f>
        <v>1</v>
      </c>
      <c r="W150" s="157" t="str">
        <f t="shared" si="28"/>
        <v>FALSE</v>
      </c>
    </row>
    <row r="151" spans="2:23">
      <c r="B151" s="157" t="str">
        <f t="array" ref="B151">IF(ROWS($3:151)&lt;=COUNTA('register map'!$L$5:$L$902),INDEX('register map'!$L$5:$L$902,SMALL(IF('register map'!$L$5:$L$902&lt;&gt;"",ROW('register map'!$L$5:$L$902)-MIN(ROW('register map'!$L$5:$L$902))+1),ROWS($3:151))),"")</f>
        <v>BUCK4_EN</v>
      </c>
      <c r="C151" s="157">
        <f>IF(B151="PART_NUMBER",IF(COUNTIF($B$1:B150,"PART_NUMBER")=0,6,8),MATCH(B151,'register map'!L:L,0))</f>
        <v>164</v>
      </c>
      <c r="D151" s="117" t="str">
        <f>IF(ISBLANK(INDEX('register map'!C:C,'Logical Group Generator'!C151)),"No","Yes")</f>
        <v>No</v>
      </c>
      <c r="E151" s="117" t="str">
        <f>IF(ISBLANK(INDEX('register map'!A:A,C151)),IF(ISBLANK(INDEX('register map'!A:A,C151-1)),IF(ISBLANK(INDEX('register map'!A:A,C151-2)),IF(ISBLANK(INDEX('register map'!A:A,C151-3)),IF(ISBLANK(INDEX('register map'!A:A,C151-4)),IF(ISBLANK(INDEX('register map'!A:A,C151-5)),IF(ISBLANK(INDEX('register map'!A:A,C151-6)),IF(ISBLANK(INDEX('register map'!A:A,C151-7)),IF(ISBLANK(INDEX('register map'!A:A,C151-8)),"ERROR",INDEX('register map'!A:A,C151-8)),INDEX('register map'!A:A,C151-7)),INDEX('register map'!A:A,C151-6)),INDEX('register map'!A:A,C151-5)),INDEX('register map'!A:A,C151-4)),INDEX('register map'!A:A,C151-3)),INDEX('register map'!A:A,C151-2)),INDEX('register map'!A:A,C151-1)),INDEX('register map'!A:A,C151))</f>
        <v>0x5E</v>
      </c>
      <c r="F151" s="117" t="str">
        <f>IF(ISBLANK(INDEX('register map'!B:B,C151)),IF(ISBLANK(INDEX('register map'!B:B,C151-1)),IF(ISBLANK(INDEX('register map'!B:B,C151-2)),IF(ISBLANK(INDEX('register map'!B:B,C151-3)),IF(ISBLANK(INDEX('register map'!B:B,C151-4)),IF(ISBLANK(INDEX('register map'!B:B,C151-5)),IF(ISBLANK(INDEX('register map'!B:B,C151-6)),IF(ISBLANK(INDEX('register map'!B:B,C151-7)),IF(ISBLANK(INDEX('register map'!B:B,C151-8)),"ERROR",INDEX('register map'!B:B,C151-8)),INDEX('register map'!B:B,C151-7)),INDEX('register map'!B:B,C151-6)),INDEX('register map'!B:B,C151-5)),INDEX('register map'!B:B,C151-4)),INDEX('register map'!B:B,C151-3)),INDEX('register map'!B:B,C151-2)),INDEX('register map'!B:B,C151-1)),INDEX('register map'!B:B,C151))</f>
        <v>0xA0</v>
      </c>
      <c r="G151" s="117" t="str">
        <f>CONCATENATE(IF(ISNUMBER(INDEX('register map'!D:D,C151)),7,""),IF(ISNUMBER(INDEX('register map'!E:E,C151)),6,""),IF(ISNUMBER(INDEX('register map'!F:F,C151)),5,""),IF(ISNUMBER(INDEX('register map'!G:G,C151)),4,""),IF(ISNUMBER(INDEX('register map'!H:H,C151)),3,""),IF(ISNUMBER(INDEX('register map'!I:I,C151)),2,""),IF(ISNUMBER(INDEX('register map'!J:J,C151)),1,""),IF(ISNUMBER(INDEX('register map'!K:K,C151)),0,""))</f>
        <v>3</v>
      </c>
      <c r="H151" s="117" t="str">
        <f>RIGHT(INDEX('register map'!V:V,MATCH('Logical Group Generator'!B151,'register map'!L:L,0)),LEN(G151))</f>
        <v>0</v>
      </c>
      <c r="I151" s="117" t="str">
        <f>CONCATENATE(IF(ISNUMBER(INDEX('register map'!K:K,C151)),0,""),IF(ISNUMBER(INDEX('register map'!J:J,C151)),1,""),IF(ISNUMBER(INDEX('register map'!I:I,C151)),2,""),IF(ISNUMBER(INDEX('register map'!H:H,C151)),3,""),IF(ISNUMBER(INDEX('register map'!G:G,C151)),4,""),IF(ISNUMBER(INDEX('register map'!F:F,C151)),5,""),IF(ISNUMBER(INDEX('register map'!E:E,C151)),6,""),IF(ISNUMBER(INDEX('register map'!D:D,C151)),7,""))</f>
        <v>3</v>
      </c>
      <c r="J151" s="117" t="str">
        <f t="shared" si="29"/>
        <v>0</v>
      </c>
      <c r="K151" s="117" t="str">
        <f t="shared" si="22"/>
        <v/>
      </c>
      <c r="L151" s="117" t="str">
        <f t="shared" si="30"/>
        <v/>
      </c>
      <c r="M151" s="117" t="str">
        <f t="shared" si="32"/>
        <v/>
      </c>
      <c r="N151" s="117" t="str">
        <f>IF(ISBLANK(INDEX('register map'!M:M,'Logical Group Generator'!C151)),"No","Yes")</f>
        <v>No</v>
      </c>
      <c r="O151" s="117" t="str">
        <f>IF(NOT(ISBLANK(INDEX('register map'!N:N,'Logical Group Generator'!C151))),"Yes","")</f>
        <v/>
      </c>
      <c r="P151" s="117" t="str">
        <f t="shared" si="23"/>
        <v/>
      </c>
      <c r="Q151" s="117" t="str">
        <f t="shared" si="24"/>
        <v/>
      </c>
      <c r="R151" s="117" t="str">
        <f t="shared" si="25"/>
        <v/>
      </c>
      <c r="S151" s="117" t="str">
        <f t="shared" si="26"/>
        <v>No</v>
      </c>
      <c r="T151" s="117" t="str">
        <f t="shared" si="27"/>
        <v/>
      </c>
      <c r="U151" s="117" t="b">
        <f t="shared" si="31"/>
        <v>0</v>
      </c>
      <c r="V151" s="157" t="b">
        <f>INDEX('register map'!P:P,C151)="yes"</f>
        <v>1</v>
      </c>
      <c r="W151" s="157" t="str">
        <f t="shared" si="28"/>
        <v>FALSE</v>
      </c>
    </row>
    <row r="152" spans="2:23">
      <c r="B152" s="157" t="str">
        <f t="array" ref="B152">IF(ROWS($3:152)&lt;=COUNTA('register map'!$L$5:$L$902),INDEX('register map'!$L$5:$L$902,SMALL(IF('register map'!$L$5:$L$902&lt;&gt;"",ROW('register map'!$L$5:$L$902)-MIN(ROW('register map'!$L$5:$L$902))+1),ROWS($3:152))),"")</f>
        <v>BUCK5_EN</v>
      </c>
      <c r="C152" s="157">
        <f>IF(B152="PART_NUMBER",IF(COUNTIF($B$1:B151,"PART_NUMBER")=0,6,8),MATCH(B152,'register map'!L:L,0))</f>
        <v>165</v>
      </c>
      <c r="D152" s="117" t="str">
        <f>IF(ISBLANK(INDEX('register map'!C:C,'Logical Group Generator'!C152)),"No","Yes")</f>
        <v>No</v>
      </c>
      <c r="E152" s="117" t="str">
        <f>IF(ISBLANK(INDEX('register map'!A:A,C152)),IF(ISBLANK(INDEX('register map'!A:A,C152-1)),IF(ISBLANK(INDEX('register map'!A:A,C152-2)),IF(ISBLANK(INDEX('register map'!A:A,C152-3)),IF(ISBLANK(INDEX('register map'!A:A,C152-4)),IF(ISBLANK(INDEX('register map'!A:A,C152-5)),IF(ISBLANK(INDEX('register map'!A:A,C152-6)),IF(ISBLANK(INDEX('register map'!A:A,C152-7)),IF(ISBLANK(INDEX('register map'!A:A,C152-8)),"ERROR",INDEX('register map'!A:A,C152-8)),INDEX('register map'!A:A,C152-7)),INDEX('register map'!A:A,C152-6)),INDEX('register map'!A:A,C152-5)),INDEX('register map'!A:A,C152-4)),INDEX('register map'!A:A,C152-3)),INDEX('register map'!A:A,C152-2)),INDEX('register map'!A:A,C152-1)),INDEX('register map'!A:A,C152))</f>
        <v>0x5E</v>
      </c>
      <c r="F152" s="117" t="str">
        <f>IF(ISBLANK(INDEX('register map'!B:B,C152)),IF(ISBLANK(INDEX('register map'!B:B,C152-1)),IF(ISBLANK(INDEX('register map'!B:B,C152-2)),IF(ISBLANK(INDEX('register map'!B:B,C152-3)),IF(ISBLANK(INDEX('register map'!B:B,C152-4)),IF(ISBLANK(INDEX('register map'!B:B,C152-5)),IF(ISBLANK(INDEX('register map'!B:B,C152-6)),IF(ISBLANK(INDEX('register map'!B:B,C152-7)),IF(ISBLANK(INDEX('register map'!B:B,C152-8)),"ERROR",INDEX('register map'!B:B,C152-8)),INDEX('register map'!B:B,C152-7)),INDEX('register map'!B:B,C152-6)),INDEX('register map'!B:B,C152-5)),INDEX('register map'!B:B,C152-4)),INDEX('register map'!B:B,C152-3)),INDEX('register map'!B:B,C152-2)),INDEX('register map'!B:B,C152-1)),INDEX('register map'!B:B,C152))</f>
        <v>0xA0</v>
      </c>
      <c r="G152" s="117" t="str">
        <f>CONCATENATE(IF(ISNUMBER(INDEX('register map'!D:D,C152)),7,""),IF(ISNUMBER(INDEX('register map'!E:E,C152)),6,""),IF(ISNUMBER(INDEX('register map'!F:F,C152)),5,""),IF(ISNUMBER(INDEX('register map'!G:G,C152)),4,""),IF(ISNUMBER(INDEX('register map'!H:H,C152)),3,""),IF(ISNUMBER(INDEX('register map'!I:I,C152)),2,""),IF(ISNUMBER(INDEX('register map'!J:J,C152)),1,""),IF(ISNUMBER(INDEX('register map'!K:K,C152)),0,""))</f>
        <v>4</v>
      </c>
      <c r="H152" s="117" t="str">
        <f>RIGHT(INDEX('register map'!V:V,MATCH('Logical Group Generator'!B152,'register map'!L:L,0)),LEN(G152))</f>
        <v>1</v>
      </c>
      <c r="I152" s="117" t="str">
        <f>CONCATENATE(IF(ISNUMBER(INDEX('register map'!K:K,C152)),0,""),IF(ISNUMBER(INDEX('register map'!J:J,C152)),1,""),IF(ISNUMBER(INDEX('register map'!I:I,C152)),2,""),IF(ISNUMBER(INDEX('register map'!H:H,C152)),3,""),IF(ISNUMBER(INDEX('register map'!G:G,C152)),4,""),IF(ISNUMBER(INDEX('register map'!F:F,C152)),5,""),IF(ISNUMBER(INDEX('register map'!E:E,C152)),6,""),IF(ISNUMBER(INDEX('register map'!D:D,C152)),7,""))</f>
        <v>4</v>
      </c>
      <c r="J152" s="117" t="str">
        <f t="shared" si="29"/>
        <v>1</v>
      </c>
      <c r="K152" s="117" t="str">
        <f t="shared" si="22"/>
        <v/>
      </c>
      <c r="L152" s="117" t="str">
        <f t="shared" si="30"/>
        <v/>
      </c>
      <c r="M152" s="117" t="str">
        <f t="shared" si="32"/>
        <v/>
      </c>
      <c r="N152" s="117" t="str">
        <f>IF(ISBLANK(INDEX('register map'!M:M,'Logical Group Generator'!C152)),"No","Yes")</f>
        <v>No</v>
      </c>
      <c r="O152" s="117" t="str">
        <f>IF(NOT(ISBLANK(INDEX('register map'!N:N,'Logical Group Generator'!C152))),"Yes","")</f>
        <v/>
      </c>
      <c r="P152" s="117" t="str">
        <f t="shared" si="23"/>
        <v/>
      </c>
      <c r="Q152" s="117" t="str">
        <f t="shared" si="24"/>
        <v/>
      </c>
      <c r="R152" s="117" t="str">
        <f t="shared" si="25"/>
        <v/>
      </c>
      <c r="S152" s="117" t="str">
        <f t="shared" si="26"/>
        <v>No</v>
      </c>
      <c r="T152" s="117" t="str">
        <f t="shared" si="27"/>
        <v/>
      </c>
      <c r="U152" s="117" t="b">
        <f t="shared" si="31"/>
        <v>0</v>
      </c>
      <c r="V152" s="157" t="b">
        <f>INDEX('register map'!P:P,C152)="yes"</f>
        <v>1</v>
      </c>
      <c r="W152" s="157" t="str">
        <f t="shared" si="28"/>
        <v>FALSE</v>
      </c>
    </row>
    <row r="153" spans="2:23">
      <c r="B153" s="157" t="str">
        <f t="array" ref="B153">IF(ROWS($3:153)&lt;=COUNTA('register map'!$L$5:$L$902),INDEX('register map'!$L$5:$L$902,SMALL(IF('register map'!$L$5:$L$902&lt;&gt;"",ROW('register map'!$L$5:$L$902)-MIN(ROW('register map'!$L$5:$L$902))+1),ROWS($3:153))),"")</f>
        <v>BUCK6_EN</v>
      </c>
      <c r="C153" s="157">
        <f>IF(B153="PART_NUMBER",IF(COUNTIF($B$1:B152,"PART_NUMBER")=0,6,8),MATCH(B153,'register map'!L:L,0))</f>
        <v>166</v>
      </c>
      <c r="D153" s="117" t="str">
        <f>IF(ISBLANK(INDEX('register map'!C:C,'Logical Group Generator'!C153)),"No","Yes")</f>
        <v>No</v>
      </c>
      <c r="E153" s="117" t="str">
        <f>IF(ISBLANK(INDEX('register map'!A:A,C153)),IF(ISBLANK(INDEX('register map'!A:A,C153-1)),IF(ISBLANK(INDEX('register map'!A:A,C153-2)),IF(ISBLANK(INDEX('register map'!A:A,C153-3)),IF(ISBLANK(INDEX('register map'!A:A,C153-4)),IF(ISBLANK(INDEX('register map'!A:A,C153-5)),IF(ISBLANK(INDEX('register map'!A:A,C153-6)),IF(ISBLANK(INDEX('register map'!A:A,C153-7)),IF(ISBLANK(INDEX('register map'!A:A,C153-8)),"ERROR",INDEX('register map'!A:A,C153-8)),INDEX('register map'!A:A,C153-7)),INDEX('register map'!A:A,C153-6)),INDEX('register map'!A:A,C153-5)),INDEX('register map'!A:A,C153-4)),INDEX('register map'!A:A,C153-3)),INDEX('register map'!A:A,C153-2)),INDEX('register map'!A:A,C153-1)),INDEX('register map'!A:A,C153))</f>
        <v>0x5E</v>
      </c>
      <c r="F153" s="117" t="str">
        <f>IF(ISBLANK(INDEX('register map'!B:B,C153)),IF(ISBLANK(INDEX('register map'!B:B,C153-1)),IF(ISBLANK(INDEX('register map'!B:B,C153-2)),IF(ISBLANK(INDEX('register map'!B:B,C153-3)),IF(ISBLANK(INDEX('register map'!B:B,C153-4)),IF(ISBLANK(INDEX('register map'!B:B,C153-5)),IF(ISBLANK(INDEX('register map'!B:B,C153-6)),IF(ISBLANK(INDEX('register map'!B:B,C153-7)),IF(ISBLANK(INDEX('register map'!B:B,C153-8)),"ERROR",INDEX('register map'!B:B,C153-8)),INDEX('register map'!B:B,C153-7)),INDEX('register map'!B:B,C153-6)),INDEX('register map'!B:B,C153-5)),INDEX('register map'!B:B,C153-4)),INDEX('register map'!B:B,C153-3)),INDEX('register map'!B:B,C153-2)),INDEX('register map'!B:B,C153-1)),INDEX('register map'!B:B,C153))</f>
        <v>0xA0</v>
      </c>
      <c r="G153" s="117" t="str">
        <f>CONCATENATE(IF(ISNUMBER(INDEX('register map'!D:D,C153)),7,""),IF(ISNUMBER(INDEX('register map'!E:E,C153)),6,""),IF(ISNUMBER(INDEX('register map'!F:F,C153)),5,""),IF(ISNUMBER(INDEX('register map'!G:G,C153)),4,""),IF(ISNUMBER(INDEX('register map'!H:H,C153)),3,""),IF(ISNUMBER(INDEX('register map'!I:I,C153)),2,""),IF(ISNUMBER(INDEX('register map'!J:J,C153)),1,""),IF(ISNUMBER(INDEX('register map'!K:K,C153)),0,""))</f>
        <v>5</v>
      </c>
      <c r="H153" s="117" t="str">
        <f>RIGHT(INDEX('register map'!V:V,MATCH('Logical Group Generator'!B153,'register map'!L:L,0)),LEN(G153))</f>
        <v>0</v>
      </c>
      <c r="I153" s="117" t="str">
        <f>CONCATENATE(IF(ISNUMBER(INDEX('register map'!K:K,C153)),0,""),IF(ISNUMBER(INDEX('register map'!J:J,C153)),1,""),IF(ISNUMBER(INDEX('register map'!I:I,C153)),2,""),IF(ISNUMBER(INDEX('register map'!H:H,C153)),3,""),IF(ISNUMBER(INDEX('register map'!G:G,C153)),4,""),IF(ISNUMBER(INDEX('register map'!F:F,C153)),5,""),IF(ISNUMBER(INDEX('register map'!E:E,C153)),6,""),IF(ISNUMBER(INDEX('register map'!D:D,C153)),7,""))</f>
        <v>5</v>
      </c>
      <c r="J153" s="117" t="str">
        <f t="shared" si="29"/>
        <v>0</v>
      </c>
      <c r="K153" s="117" t="str">
        <f t="shared" si="22"/>
        <v/>
      </c>
      <c r="L153" s="117" t="str">
        <f t="shared" si="30"/>
        <v/>
      </c>
      <c r="M153" s="117" t="str">
        <f t="shared" si="32"/>
        <v/>
      </c>
      <c r="N153" s="117" t="str">
        <f>IF(ISBLANK(INDEX('register map'!M:M,'Logical Group Generator'!C153)),"No","Yes")</f>
        <v>No</v>
      </c>
      <c r="O153" s="117" t="str">
        <f>IF(NOT(ISBLANK(INDEX('register map'!N:N,'Logical Group Generator'!C153))),"Yes","")</f>
        <v/>
      </c>
      <c r="P153" s="117" t="str">
        <f t="shared" si="23"/>
        <v/>
      </c>
      <c r="Q153" s="117" t="str">
        <f t="shared" si="24"/>
        <v/>
      </c>
      <c r="R153" s="117" t="str">
        <f t="shared" si="25"/>
        <v/>
      </c>
      <c r="S153" s="117" t="str">
        <f t="shared" si="26"/>
        <v>No</v>
      </c>
      <c r="T153" s="117" t="str">
        <f t="shared" si="27"/>
        <v/>
      </c>
      <c r="U153" s="117" t="b">
        <f t="shared" si="31"/>
        <v>0</v>
      </c>
      <c r="V153" s="157" t="b">
        <f>INDEX('register map'!P:P,C153)="yes"</f>
        <v>1</v>
      </c>
      <c r="W153" s="157" t="str">
        <f t="shared" si="28"/>
        <v>FALSE</v>
      </c>
    </row>
    <row r="154" spans="2:23">
      <c r="B154" s="157" t="str">
        <f t="array" ref="B154">IF(ROWS($3:154)&lt;=COUNTA('register map'!$L$5:$L$902),INDEX('register map'!$L$5:$L$902,SMALL(IF('register map'!$L$5:$L$902&lt;&gt;"",ROW('register map'!$L$5:$L$902)-MIN(ROW('register map'!$L$5:$L$902))+1),ROWS($3:154))),"")</f>
        <v>SWA1_EN</v>
      </c>
      <c r="C154" s="157">
        <f>IF(B154="PART_NUMBER",IF(COUNTIF($B$1:B153,"PART_NUMBER")=0,6,8),MATCH(B154,'register map'!L:L,0))</f>
        <v>167</v>
      </c>
      <c r="D154" s="117" t="str">
        <f>IF(ISBLANK(INDEX('register map'!C:C,'Logical Group Generator'!C154)),"No","Yes")</f>
        <v>No</v>
      </c>
      <c r="E154" s="117" t="str">
        <f>IF(ISBLANK(INDEX('register map'!A:A,C154)),IF(ISBLANK(INDEX('register map'!A:A,C154-1)),IF(ISBLANK(INDEX('register map'!A:A,C154-2)),IF(ISBLANK(INDEX('register map'!A:A,C154-3)),IF(ISBLANK(INDEX('register map'!A:A,C154-4)),IF(ISBLANK(INDEX('register map'!A:A,C154-5)),IF(ISBLANK(INDEX('register map'!A:A,C154-6)),IF(ISBLANK(INDEX('register map'!A:A,C154-7)),IF(ISBLANK(INDEX('register map'!A:A,C154-8)),"ERROR",INDEX('register map'!A:A,C154-8)),INDEX('register map'!A:A,C154-7)),INDEX('register map'!A:A,C154-6)),INDEX('register map'!A:A,C154-5)),INDEX('register map'!A:A,C154-4)),INDEX('register map'!A:A,C154-3)),INDEX('register map'!A:A,C154-2)),INDEX('register map'!A:A,C154-1)),INDEX('register map'!A:A,C154))</f>
        <v>0x5E</v>
      </c>
      <c r="F154" s="117" t="str">
        <f>IF(ISBLANK(INDEX('register map'!B:B,C154)),IF(ISBLANK(INDEX('register map'!B:B,C154-1)),IF(ISBLANK(INDEX('register map'!B:B,C154-2)),IF(ISBLANK(INDEX('register map'!B:B,C154-3)),IF(ISBLANK(INDEX('register map'!B:B,C154-4)),IF(ISBLANK(INDEX('register map'!B:B,C154-5)),IF(ISBLANK(INDEX('register map'!B:B,C154-6)),IF(ISBLANK(INDEX('register map'!B:B,C154-7)),IF(ISBLANK(INDEX('register map'!B:B,C154-8)),"ERROR",INDEX('register map'!B:B,C154-8)),INDEX('register map'!B:B,C154-7)),INDEX('register map'!B:B,C154-6)),INDEX('register map'!B:B,C154-5)),INDEX('register map'!B:B,C154-4)),INDEX('register map'!B:B,C154-3)),INDEX('register map'!B:B,C154-2)),INDEX('register map'!B:B,C154-1)),INDEX('register map'!B:B,C154))</f>
        <v>0xA0</v>
      </c>
      <c r="G154" s="117" t="str">
        <f>CONCATENATE(IF(ISNUMBER(INDEX('register map'!D:D,C154)),7,""),IF(ISNUMBER(INDEX('register map'!E:E,C154)),6,""),IF(ISNUMBER(INDEX('register map'!F:F,C154)),5,""),IF(ISNUMBER(INDEX('register map'!G:G,C154)),4,""),IF(ISNUMBER(INDEX('register map'!H:H,C154)),3,""),IF(ISNUMBER(INDEX('register map'!I:I,C154)),2,""),IF(ISNUMBER(INDEX('register map'!J:J,C154)),1,""),IF(ISNUMBER(INDEX('register map'!K:K,C154)),0,""))</f>
        <v>6</v>
      </c>
      <c r="H154" s="117" t="str">
        <f>RIGHT(INDEX('register map'!V:V,MATCH('Logical Group Generator'!B154,'register map'!L:L,0)),LEN(G154))</f>
        <v>1</v>
      </c>
      <c r="I154" s="117" t="str">
        <f>CONCATENATE(IF(ISNUMBER(INDEX('register map'!K:K,C154)),0,""),IF(ISNUMBER(INDEX('register map'!J:J,C154)),1,""),IF(ISNUMBER(INDEX('register map'!I:I,C154)),2,""),IF(ISNUMBER(INDEX('register map'!H:H,C154)),3,""),IF(ISNUMBER(INDEX('register map'!G:G,C154)),4,""),IF(ISNUMBER(INDEX('register map'!F:F,C154)),5,""),IF(ISNUMBER(INDEX('register map'!E:E,C154)),6,""),IF(ISNUMBER(INDEX('register map'!D:D,C154)),7,""))</f>
        <v>6</v>
      </c>
      <c r="J154" s="117" t="str">
        <f t="shared" si="29"/>
        <v>1</v>
      </c>
      <c r="K154" s="117" t="str">
        <f t="shared" si="22"/>
        <v/>
      </c>
      <c r="L154" s="117" t="str">
        <f t="shared" si="30"/>
        <v/>
      </c>
      <c r="M154" s="117" t="str">
        <f t="shared" si="32"/>
        <v/>
      </c>
      <c r="N154" s="117" t="str">
        <f>IF(ISBLANK(INDEX('register map'!M:M,'Logical Group Generator'!C154)),"No","Yes")</f>
        <v>No</v>
      </c>
      <c r="O154" s="117" t="str">
        <f>IF(NOT(ISBLANK(INDEX('register map'!N:N,'Logical Group Generator'!C154))),"Yes","")</f>
        <v/>
      </c>
      <c r="P154" s="117" t="str">
        <f t="shared" si="23"/>
        <v/>
      </c>
      <c r="Q154" s="117" t="str">
        <f t="shared" si="24"/>
        <v/>
      </c>
      <c r="R154" s="117" t="str">
        <f t="shared" si="25"/>
        <v/>
      </c>
      <c r="S154" s="117" t="str">
        <f t="shared" si="26"/>
        <v>No</v>
      </c>
      <c r="T154" s="117" t="str">
        <f t="shared" si="27"/>
        <v/>
      </c>
      <c r="U154" s="117" t="b">
        <f t="shared" si="31"/>
        <v>0</v>
      </c>
      <c r="V154" s="157" t="b">
        <f>INDEX('register map'!P:P,C154)="yes"</f>
        <v>1</v>
      </c>
      <c r="W154" s="157" t="str">
        <f t="shared" si="28"/>
        <v>FALSE</v>
      </c>
    </row>
    <row r="155" spans="2:23">
      <c r="B155" s="157" t="str">
        <f t="array" ref="B155">IF(ROWS($3:155)&lt;=COUNTA('register map'!$L$5:$L$902),INDEX('register map'!$L$5:$L$902,SMALL(IF('register map'!$L$5:$L$902&lt;&gt;"",ROW('register map'!$L$5:$L$902)-MIN(ROW('register map'!$L$5:$L$902))+1),ROWS($3:155))),"")</f>
        <v>LDOA2_EN</v>
      </c>
      <c r="C155" s="157">
        <f>IF(B155="PART_NUMBER",IF(COUNTIF($B$1:B154,"PART_NUMBER")=0,6,8),MATCH(B155,'register map'!L:L,0))</f>
        <v>168</v>
      </c>
      <c r="D155" s="117" t="str">
        <f>IF(ISBLANK(INDEX('register map'!C:C,'Logical Group Generator'!C155)),"No","Yes")</f>
        <v>No</v>
      </c>
      <c r="E155" s="117" t="str">
        <f>IF(ISBLANK(INDEX('register map'!A:A,C155)),IF(ISBLANK(INDEX('register map'!A:A,C155-1)),IF(ISBLANK(INDEX('register map'!A:A,C155-2)),IF(ISBLANK(INDEX('register map'!A:A,C155-3)),IF(ISBLANK(INDEX('register map'!A:A,C155-4)),IF(ISBLANK(INDEX('register map'!A:A,C155-5)),IF(ISBLANK(INDEX('register map'!A:A,C155-6)),IF(ISBLANK(INDEX('register map'!A:A,C155-7)),IF(ISBLANK(INDEX('register map'!A:A,C155-8)),"ERROR",INDEX('register map'!A:A,C155-8)),INDEX('register map'!A:A,C155-7)),INDEX('register map'!A:A,C155-6)),INDEX('register map'!A:A,C155-5)),INDEX('register map'!A:A,C155-4)),INDEX('register map'!A:A,C155-3)),INDEX('register map'!A:A,C155-2)),INDEX('register map'!A:A,C155-1)),INDEX('register map'!A:A,C155))</f>
        <v>0x5E</v>
      </c>
      <c r="F155" s="117" t="str">
        <f>IF(ISBLANK(INDEX('register map'!B:B,C155)),IF(ISBLANK(INDEX('register map'!B:B,C155-1)),IF(ISBLANK(INDEX('register map'!B:B,C155-2)),IF(ISBLANK(INDEX('register map'!B:B,C155-3)),IF(ISBLANK(INDEX('register map'!B:B,C155-4)),IF(ISBLANK(INDEX('register map'!B:B,C155-5)),IF(ISBLANK(INDEX('register map'!B:B,C155-6)),IF(ISBLANK(INDEX('register map'!B:B,C155-7)),IF(ISBLANK(INDEX('register map'!B:B,C155-8)),"ERROR",INDEX('register map'!B:B,C155-8)),INDEX('register map'!B:B,C155-7)),INDEX('register map'!B:B,C155-6)),INDEX('register map'!B:B,C155-5)),INDEX('register map'!B:B,C155-4)),INDEX('register map'!B:B,C155-3)),INDEX('register map'!B:B,C155-2)),INDEX('register map'!B:B,C155-1)),INDEX('register map'!B:B,C155))</f>
        <v>0xA0</v>
      </c>
      <c r="G155" s="117" t="str">
        <f>CONCATENATE(IF(ISNUMBER(INDEX('register map'!D:D,C155)),7,""),IF(ISNUMBER(INDEX('register map'!E:E,C155)),6,""),IF(ISNUMBER(INDEX('register map'!F:F,C155)),5,""),IF(ISNUMBER(INDEX('register map'!G:G,C155)),4,""),IF(ISNUMBER(INDEX('register map'!H:H,C155)),3,""),IF(ISNUMBER(INDEX('register map'!I:I,C155)),2,""),IF(ISNUMBER(INDEX('register map'!J:J,C155)),1,""),IF(ISNUMBER(INDEX('register map'!K:K,C155)),0,""))</f>
        <v>7</v>
      </c>
      <c r="H155" s="117" t="str">
        <f>RIGHT(INDEX('register map'!V:V,MATCH('Logical Group Generator'!B155,'register map'!L:L,0)),LEN(G155))</f>
        <v>1</v>
      </c>
      <c r="I155" s="117" t="str">
        <f>CONCATENATE(IF(ISNUMBER(INDEX('register map'!K:K,C155)),0,""),IF(ISNUMBER(INDEX('register map'!J:J,C155)),1,""),IF(ISNUMBER(INDEX('register map'!I:I,C155)),2,""),IF(ISNUMBER(INDEX('register map'!H:H,C155)),3,""),IF(ISNUMBER(INDEX('register map'!G:G,C155)),4,""),IF(ISNUMBER(INDEX('register map'!F:F,C155)),5,""),IF(ISNUMBER(INDEX('register map'!E:E,C155)),6,""),IF(ISNUMBER(INDEX('register map'!D:D,C155)),7,""))</f>
        <v>7</v>
      </c>
      <c r="J155" s="117" t="str">
        <f t="shared" si="29"/>
        <v>1</v>
      </c>
      <c r="K155" s="117" t="str">
        <f t="shared" si="22"/>
        <v/>
      </c>
      <c r="L155" s="117" t="str">
        <f t="shared" si="30"/>
        <v/>
      </c>
      <c r="M155" s="117" t="str">
        <f t="shared" si="32"/>
        <v/>
      </c>
      <c r="N155" s="117" t="str">
        <f>IF(ISBLANK(INDEX('register map'!M:M,'Logical Group Generator'!C155)),"No","Yes")</f>
        <v>No</v>
      </c>
      <c r="O155" s="117" t="str">
        <f>IF(NOT(ISBLANK(INDEX('register map'!N:N,'Logical Group Generator'!C155))),"Yes","")</f>
        <v/>
      </c>
      <c r="P155" s="117" t="str">
        <f t="shared" si="23"/>
        <v/>
      </c>
      <c r="Q155" s="117" t="str">
        <f t="shared" si="24"/>
        <v/>
      </c>
      <c r="R155" s="117" t="str">
        <f t="shared" si="25"/>
        <v/>
      </c>
      <c r="S155" s="117" t="str">
        <f t="shared" si="26"/>
        <v>No</v>
      </c>
      <c r="T155" s="117" t="str">
        <f t="shared" si="27"/>
        <v/>
      </c>
      <c r="U155" s="117" t="b">
        <f t="shared" si="31"/>
        <v>0</v>
      </c>
      <c r="V155" s="157" t="b">
        <f>INDEX('register map'!P:P,C155)="yes"</f>
        <v>1</v>
      </c>
      <c r="W155" s="157" t="str">
        <f t="shared" si="28"/>
        <v>FALSE</v>
      </c>
    </row>
    <row r="156" spans="2:23">
      <c r="B156" s="157" t="str">
        <f t="array" ref="B156">IF(ROWS($3:156)&lt;=COUNTA('register map'!$L$5:$L$902),INDEX('register map'!$L$5:$L$902,SMALL(IF('register map'!$L$5:$L$902&lt;&gt;"",ROW('register map'!$L$5:$L$902)-MIN(ROW('register map'!$L$5:$L$902))+1),ROWS($3:156))),"")</f>
        <v>I2C_RAIL_EN2</v>
      </c>
      <c r="C156" s="157">
        <f>IF(B156="PART_NUMBER",IF(COUNTIF($B$1:B155,"PART_NUMBER")=0,6,8),MATCH(B156,'register map'!L:L,0))</f>
        <v>169</v>
      </c>
      <c r="D156" s="117" t="str">
        <f>IF(ISBLANK(INDEX('register map'!C:C,'Logical Group Generator'!C156)),"No","Yes")</f>
        <v>Yes</v>
      </c>
      <c r="E156" s="117" t="str">
        <f>IF(ISBLANK(INDEX('register map'!A:A,C156)),IF(ISBLANK(INDEX('register map'!A:A,C156-1)),IF(ISBLANK(INDEX('register map'!A:A,C156-2)),IF(ISBLANK(INDEX('register map'!A:A,C156-3)),IF(ISBLANK(INDEX('register map'!A:A,C156-4)),IF(ISBLANK(INDEX('register map'!A:A,C156-5)),IF(ISBLANK(INDEX('register map'!A:A,C156-6)),IF(ISBLANK(INDEX('register map'!A:A,C156-7)),IF(ISBLANK(INDEX('register map'!A:A,C156-8)),"ERROR",INDEX('register map'!A:A,C156-8)),INDEX('register map'!A:A,C156-7)),INDEX('register map'!A:A,C156-6)),INDEX('register map'!A:A,C156-5)),INDEX('register map'!A:A,C156-4)),INDEX('register map'!A:A,C156-3)),INDEX('register map'!A:A,C156-2)),INDEX('register map'!A:A,C156-1)),INDEX('register map'!A:A,C156))</f>
        <v>0x5E</v>
      </c>
      <c r="F156" s="117" t="str">
        <f>IF(ISBLANK(INDEX('register map'!B:B,C156)),IF(ISBLANK(INDEX('register map'!B:B,C156-1)),IF(ISBLANK(INDEX('register map'!B:B,C156-2)),IF(ISBLANK(INDEX('register map'!B:B,C156-3)),IF(ISBLANK(INDEX('register map'!B:B,C156-4)),IF(ISBLANK(INDEX('register map'!B:B,C156-5)),IF(ISBLANK(INDEX('register map'!B:B,C156-6)),IF(ISBLANK(INDEX('register map'!B:B,C156-7)),IF(ISBLANK(INDEX('register map'!B:B,C156-8)),"ERROR",INDEX('register map'!B:B,C156-8)),INDEX('register map'!B:B,C156-7)),INDEX('register map'!B:B,C156-6)),INDEX('register map'!B:B,C156-5)),INDEX('register map'!B:B,C156-4)),INDEX('register map'!B:B,C156-3)),INDEX('register map'!B:B,C156-2)),INDEX('register map'!B:B,C156-1)),INDEX('register map'!B:B,C156))</f>
        <v>0xA1</v>
      </c>
      <c r="G156" s="117" t="str">
        <f>CONCATENATE(IF(ISNUMBER(INDEX('register map'!D:D,C156)),7,""),IF(ISNUMBER(INDEX('register map'!E:E,C156)),6,""),IF(ISNUMBER(INDEX('register map'!F:F,C156)),5,""),IF(ISNUMBER(INDEX('register map'!G:G,C156)),4,""),IF(ISNUMBER(INDEX('register map'!H:H,C156)),3,""),IF(ISNUMBER(INDEX('register map'!I:I,C156)),2,""),IF(ISNUMBER(INDEX('register map'!J:J,C156)),1,""),IF(ISNUMBER(INDEX('register map'!K:K,C156)),0,""))</f>
        <v/>
      </c>
      <c r="H156" s="117" t="str">
        <f>RIGHT(INDEX('register map'!V:V,MATCH('Logical Group Generator'!B156,'register map'!L:L,0)),LEN(G156))</f>
        <v/>
      </c>
      <c r="I156" s="117" t="str">
        <f>CONCATENATE(IF(ISNUMBER(INDEX('register map'!K:K,C156)),0,""),IF(ISNUMBER(INDEX('register map'!J:J,C156)),1,""),IF(ISNUMBER(INDEX('register map'!I:I,C156)),2,""),IF(ISNUMBER(INDEX('register map'!H:H,C156)),3,""),IF(ISNUMBER(INDEX('register map'!G:G,C156)),4,""),IF(ISNUMBER(INDEX('register map'!F:F,C156)),5,""),IF(ISNUMBER(INDEX('register map'!E:E,C156)),6,""),IF(ISNUMBER(INDEX('register map'!D:D,C156)),7,""))</f>
        <v/>
      </c>
      <c r="J156" s="117" t="str">
        <f t="shared" si="29"/>
        <v/>
      </c>
      <c r="K156" s="117" t="str">
        <f t="shared" si="22"/>
        <v>01010000</v>
      </c>
      <c r="L156" s="117" t="str">
        <f t="shared" si="30"/>
        <v>00001010</v>
      </c>
      <c r="M156" s="117" t="str">
        <f t="shared" si="32"/>
        <v>0A</v>
      </c>
      <c r="N156" s="117" t="str">
        <f>IF(ISBLANK(INDEX('register map'!M:M,'Logical Group Generator'!C156)),"No","Yes")</f>
        <v>No</v>
      </c>
      <c r="O156" s="117" t="str">
        <f>IF(NOT(ISBLANK(INDEX('register map'!N:N,'Logical Group Generator'!C156))),"Yes","")</f>
        <v/>
      </c>
      <c r="P156" s="117" t="str">
        <f t="shared" si="23"/>
        <v>No</v>
      </c>
      <c r="Q156" s="117" t="str">
        <f t="shared" si="24"/>
        <v>No</v>
      </c>
      <c r="R156" s="117" t="str">
        <f t="shared" si="25"/>
        <v>No</v>
      </c>
      <c r="S156" s="117" t="str">
        <f t="shared" si="26"/>
        <v/>
      </c>
      <c r="T156" s="117" t="b">
        <f t="shared" si="27"/>
        <v>1</v>
      </c>
      <c r="U156" s="117" t="b">
        <f t="shared" si="31"/>
        <v>1</v>
      </c>
      <c r="V156" s="157" t="b">
        <f>INDEX('register map'!P:P,C156)="yes"</f>
        <v>1</v>
      </c>
      <c r="W156" s="157" t="str">
        <f t="shared" si="28"/>
        <v>REGISTER</v>
      </c>
    </row>
    <row r="157" spans="2:23">
      <c r="B157" s="157" t="str">
        <f t="array" ref="B157">IF(ROWS($3:157)&lt;=COUNTA('register map'!$L$5:$L$902),INDEX('register map'!$L$5:$L$902,SMALL(IF('register map'!$L$5:$L$902&lt;&gt;"",ROW('register map'!$L$5:$L$902)-MIN(ROW('register map'!$L$5:$L$902))+1),ROWS($3:157))),"")</f>
        <v>LDOA3_EN</v>
      </c>
      <c r="C157" s="157">
        <f>IF(B157="PART_NUMBER",IF(COUNTIF($B$1:B156,"PART_NUMBER")=0,6,8),MATCH(B157,'register map'!L:L,0))</f>
        <v>170</v>
      </c>
      <c r="D157" s="117" t="str">
        <f>IF(ISBLANK(INDEX('register map'!C:C,'Logical Group Generator'!C157)),"No","Yes")</f>
        <v>No</v>
      </c>
      <c r="E157" s="117" t="str">
        <f>IF(ISBLANK(INDEX('register map'!A:A,C157)),IF(ISBLANK(INDEX('register map'!A:A,C157-1)),IF(ISBLANK(INDEX('register map'!A:A,C157-2)),IF(ISBLANK(INDEX('register map'!A:A,C157-3)),IF(ISBLANK(INDEX('register map'!A:A,C157-4)),IF(ISBLANK(INDEX('register map'!A:A,C157-5)),IF(ISBLANK(INDEX('register map'!A:A,C157-6)),IF(ISBLANK(INDEX('register map'!A:A,C157-7)),IF(ISBLANK(INDEX('register map'!A:A,C157-8)),"ERROR",INDEX('register map'!A:A,C157-8)),INDEX('register map'!A:A,C157-7)),INDEX('register map'!A:A,C157-6)),INDEX('register map'!A:A,C157-5)),INDEX('register map'!A:A,C157-4)),INDEX('register map'!A:A,C157-3)),INDEX('register map'!A:A,C157-2)),INDEX('register map'!A:A,C157-1)),INDEX('register map'!A:A,C157))</f>
        <v>0x5E</v>
      </c>
      <c r="F157" s="117" t="str">
        <f>IF(ISBLANK(INDEX('register map'!B:B,C157)),IF(ISBLANK(INDEX('register map'!B:B,C157-1)),IF(ISBLANK(INDEX('register map'!B:B,C157-2)),IF(ISBLANK(INDEX('register map'!B:B,C157-3)),IF(ISBLANK(INDEX('register map'!B:B,C157-4)),IF(ISBLANK(INDEX('register map'!B:B,C157-5)),IF(ISBLANK(INDEX('register map'!B:B,C157-6)),IF(ISBLANK(INDEX('register map'!B:B,C157-7)),IF(ISBLANK(INDEX('register map'!B:B,C157-8)),"ERROR",INDEX('register map'!B:B,C157-8)),INDEX('register map'!B:B,C157-7)),INDEX('register map'!B:B,C157-6)),INDEX('register map'!B:B,C157-5)),INDEX('register map'!B:B,C157-4)),INDEX('register map'!B:B,C157-3)),INDEX('register map'!B:B,C157-2)),INDEX('register map'!B:B,C157-1)),INDEX('register map'!B:B,C157))</f>
        <v>0xA1</v>
      </c>
      <c r="G157" s="117" t="str">
        <f>CONCATENATE(IF(ISNUMBER(INDEX('register map'!D:D,C157)),7,""),IF(ISNUMBER(INDEX('register map'!E:E,C157)),6,""),IF(ISNUMBER(INDEX('register map'!F:F,C157)),5,""),IF(ISNUMBER(INDEX('register map'!G:G,C157)),4,""),IF(ISNUMBER(INDEX('register map'!H:H,C157)),3,""),IF(ISNUMBER(INDEX('register map'!I:I,C157)),2,""),IF(ISNUMBER(INDEX('register map'!J:J,C157)),1,""),IF(ISNUMBER(INDEX('register map'!K:K,C157)),0,""))</f>
        <v>0</v>
      </c>
      <c r="H157" s="117" t="str">
        <f>RIGHT(INDEX('register map'!V:V,MATCH('Logical Group Generator'!B157,'register map'!L:L,0)),LEN(G157))</f>
        <v>0</v>
      </c>
      <c r="I157" s="117" t="str">
        <f>CONCATENATE(IF(ISNUMBER(INDEX('register map'!K:K,C157)),0,""),IF(ISNUMBER(INDEX('register map'!J:J,C157)),1,""),IF(ISNUMBER(INDEX('register map'!I:I,C157)),2,""),IF(ISNUMBER(INDEX('register map'!H:H,C157)),3,""),IF(ISNUMBER(INDEX('register map'!G:G,C157)),4,""),IF(ISNUMBER(INDEX('register map'!F:F,C157)),5,""),IF(ISNUMBER(INDEX('register map'!E:E,C157)),6,""),IF(ISNUMBER(INDEX('register map'!D:D,C157)),7,""))</f>
        <v>0</v>
      </c>
      <c r="J157" s="117" t="str">
        <f t="shared" si="29"/>
        <v>0</v>
      </c>
      <c r="K157" s="117" t="str">
        <f t="shared" si="22"/>
        <v/>
      </c>
      <c r="L157" s="117" t="str">
        <f t="shared" si="30"/>
        <v/>
      </c>
      <c r="M157" s="117" t="str">
        <f t="shared" si="32"/>
        <v/>
      </c>
      <c r="N157" s="117" t="str">
        <f>IF(ISBLANK(INDEX('register map'!M:M,'Logical Group Generator'!C157)),"No","Yes")</f>
        <v>No</v>
      </c>
      <c r="O157" s="117" t="str">
        <f>IF(NOT(ISBLANK(INDEX('register map'!N:N,'Logical Group Generator'!C157))),"Yes","")</f>
        <v/>
      </c>
      <c r="P157" s="117" t="str">
        <f t="shared" si="23"/>
        <v/>
      </c>
      <c r="Q157" s="117" t="str">
        <f t="shared" si="24"/>
        <v/>
      </c>
      <c r="R157" s="117" t="str">
        <f t="shared" si="25"/>
        <v/>
      </c>
      <c r="S157" s="117" t="str">
        <f t="shared" si="26"/>
        <v>No</v>
      </c>
      <c r="T157" s="117" t="str">
        <f t="shared" si="27"/>
        <v/>
      </c>
      <c r="U157" s="117" t="b">
        <f t="shared" si="31"/>
        <v>0</v>
      </c>
      <c r="V157" s="157" t="b">
        <f>INDEX('register map'!P:P,C157)="yes"</f>
        <v>1</v>
      </c>
      <c r="W157" s="157" t="str">
        <f t="shared" si="28"/>
        <v>FALSE</v>
      </c>
    </row>
    <row r="158" spans="2:23">
      <c r="B158" s="157" t="str">
        <f t="array" ref="B158">IF(ROWS($3:158)&lt;=COUNTA('register map'!$L$5:$L$902),INDEX('register map'!$L$5:$L$902,SMALL(IF('register map'!$L$5:$L$902&lt;&gt;"",ROW('register map'!$L$5:$L$902)-MIN(ROW('register map'!$L$5:$L$902))+1),ROWS($3:158))),"")</f>
        <v>SWB1_EN</v>
      </c>
      <c r="C158" s="157">
        <f>IF(B158="PART_NUMBER",IF(COUNTIF($B$1:B157,"PART_NUMBER")=0,6,8),MATCH(B158,'register map'!L:L,0))</f>
        <v>171</v>
      </c>
      <c r="D158" s="117" t="str">
        <f>IF(ISBLANK(INDEX('register map'!C:C,'Logical Group Generator'!C158)),"No","Yes")</f>
        <v>No</v>
      </c>
      <c r="E158" s="117" t="str">
        <f>IF(ISBLANK(INDEX('register map'!A:A,C158)),IF(ISBLANK(INDEX('register map'!A:A,C158-1)),IF(ISBLANK(INDEX('register map'!A:A,C158-2)),IF(ISBLANK(INDEX('register map'!A:A,C158-3)),IF(ISBLANK(INDEX('register map'!A:A,C158-4)),IF(ISBLANK(INDEX('register map'!A:A,C158-5)),IF(ISBLANK(INDEX('register map'!A:A,C158-6)),IF(ISBLANK(INDEX('register map'!A:A,C158-7)),IF(ISBLANK(INDEX('register map'!A:A,C158-8)),"ERROR",INDEX('register map'!A:A,C158-8)),INDEX('register map'!A:A,C158-7)),INDEX('register map'!A:A,C158-6)),INDEX('register map'!A:A,C158-5)),INDEX('register map'!A:A,C158-4)),INDEX('register map'!A:A,C158-3)),INDEX('register map'!A:A,C158-2)),INDEX('register map'!A:A,C158-1)),INDEX('register map'!A:A,C158))</f>
        <v>0x5E</v>
      </c>
      <c r="F158" s="117" t="str">
        <f>IF(ISBLANK(INDEX('register map'!B:B,C158)),IF(ISBLANK(INDEX('register map'!B:B,C158-1)),IF(ISBLANK(INDEX('register map'!B:B,C158-2)),IF(ISBLANK(INDEX('register map'!B:B,C158-3)),IF(ISBLANK(INDEX('register map'!B:B,C158-4)),IF(ISBLANK(INDEX('register map'!B:B,C158-5)),IF(ISBLANK(INDEX('register map'!B:B,C158-6)),IF(ISBLANK(INDEX('register map'!B:B,C158-7)),IF(ISBLANK(INDEX('register map'!B:B,C158-8)),"ERROR",INDEX('register map'!B:B,C158-8)),INDEX('register map'!B:B,C158-7)),INDEX('register map'!B:B,C158-6)),INDEX('register map'!B:B,C158-5)),INDEX('register map'!B:B,C158-4)),INDEX('register map'!B:B,C158-3)),INDEX('register map'!B:B,C158-2)),INDEX('register map'!B:B,C158-1)),INDEX('register map'!B:B,C158))</f>
        <v>0xA1</v>
      </c>
      <c r="G158" s="117" t="str">
        <f>CONCATENATE(IF(ISNUMBER(INDEX('register map'!D:D,C158)),7,""),IF(ISNUMBER(INDEX('register map'!E:E,C158)),6,""),IF(ISNUMBER(INDEX('register map'!F:F,C158)),5,""),IF(ISNUMBER(INDEX('register map'!G:G,C158)),4,""),IF(ISNUMBER(INDEX('register map'!H:H,C158)),3,""),IF(ISNUMBER(INDEX('register map'!I:I,C158)),2,""),IF(ISNUMBER(INDEX('register map'!J:J,C158)),1,""),IF(ISNUMBER(INDEX('register map'!K:K,C158)),0,""))</f>
        <v>1</v>
      </c>
      <c r="H158" s="117" t="str">
        <f>RIGHT(INDEX('register map'!V:V,MATCH('Logical Group Generator'!B158,'register map'!L:L,0)),LEN(G158))</f>
        <v>1</v>
      </c>
      <c r="I158" s="117" t="str">
        <f>CONCATENATE(IF(ISNUMBER(INDEX('register map'!K:K,C158)),0,""),IF(ISNUMBER(INDEX('register map'!J:J,C158)),1,""),IF(ISNUMBER(INDEX('register map'!I:I,C158)),2,""),IF(ISNUMBER(INDEX('register map'!H:H,C158)),3,""),IF(ISNUMBER(INDEX('register map'!G:G,C158)),4,""),IF(ISNUMBER(INDEX('register map'!F:F,C158)),5,""),IF(ISNUMBER(INDEX('register map'!E:E,C158)),6,""),IF(ISNUMBER(INDEX('register map'!D:D,C158)),7,""))</f>
        <v>1</v>
      </c>
      <c r="J158" s="117" t="str">
        <f t="shared" si="29"/>
        <v>1</v>
      </c>
      <c r="K158" s="117" t="str">
        <f t="shared" si="22"/>
        <v/>
      </c>
      <c r="L158" s="117" t="str">
        <f t="shared" si="30"/>
        <v/>
      </c>
      <c r="M158" s="117" t="str">
        <f t="shared" si="32"/>
        <v/>
      </c>
      <c r="N158" s="117" t="str">
        <f>IF(ISBLANK(INDEX('register map'!M:M,'Logical Group Generator'!C158)),"No","Yes")</f>
        <v>No</v>
      </c>
      <c r="O158" s="117" t="str">
        <f>IF(NOT(ISBLANK(INDEX('register map'!N:N,'Logical Group Generator'!C158))),"Yes","")</f>
        <v/>
      </c>
      <c r="P158" s="117" t="str">
        <f t="shared" si="23"/>
        <v/>
      </c>
      <c r="Q158" s="117" t="str">
        <f t="shared" si="24"/>
        <v/>
      </c>
      <c r="R158" s="117" t="str">
        <f t="shared" si="25"/>
        <v/>
      </c>
      <c r="S158" s="117" t="str">
        <f t="shared" si="26"/>
        <v>No</v>
      </c>
      <c r="T158" s="117" t="str">
        <f t="shared" si="27"/>
        <v/>
      </c>
      <c r="U158" s="117" t="b">
        <f t="shared" si="31"/>
        <v>0</v>
      </c>
      <c r="V158" s="157" t="b">
        <f>INDEX('register map'!P:P,C158)="yes"</f>
        <v>1</v>
      </c>
      <c r="W158" s="157" t="str">
        <f t="shared" si="28"/>
        <v>FALSE</v>
      </c>
    </row>
    <row r="159" spans="2:23">
      <c r="B159" s="157" t="str">
        <f t="array" ref="B159">IF(ROWS($3:159)&lt;=COUNTA('register map'!$L$5:$L$902),INDEX('register map'!$L$5:$L$902,SMALL(IF('register map'!$L$5:$L$902&lt;&gt;"",ROW('register map'!$L$5:$L$902)-MIN(ROW('register map'!$L$5:$L$902))+1),ROWS($3:159))),"")</f>
        <v>SWB2_LDOA1_EN</v>
      </c>
      <c r="C159" s="157">
        <f>IF(B159="PART_NUMBER",IF(COUNTIF($B$1:B158,"PART_NUMBER")=0,6,8),MATCH(B159,'register map'!L:L,0))</f>
        <v>172</v>
      </c>
      <c r="D159" s="117" t="str">
        <f>IF(ISBLANK(INDEX('register map'!C:C,'Logical Group Generator'!C159)),"No","Yes")</f>
        <v>No</v>
      </c>
      <c r="E159" s="117" t="str">
        <f>IF(ISBLANK(INDEX('register map'!A:A,C159)),IF(ISBLANK(INDEX('register map'!A:A,C159-1)),IF(ISBLANK(INDEX('register map'!A:A,C159-2)),IF(ISBLANK(INDEX('register map'!A:A,C159-3)),IF(ISBLANK(INDEX('register map'!A:A,C159-4)),IF(ISBLANK(INDEX('register map'!A:A,C159-5)),IF(ISBLANK(INDEX('register map'!A:A,C159-6)),IF(ISBLANK(INDEX('register map'!A:A,C159-7)),IF(ISBLANK(INDEX('register map'!A:A,C159-8)),"ERROR",INDEX('register map'!A:A,C159-8)),INDEX('register map'!A:A,C159-7)),INDEX('register map'!A:A,C159-6)),INDEX('register map'!A:A,C159-5)),INDEX('register map'!A:A,C159-4)),INDEX('register map'!A:A,C159-3)),INDEX('register map'!A:A,C159-2)),INDEX('register map'!A:A,C159-1)),INDEX('register map'!A:A,C159))</f>
        <v>0x5E</v>
      </c>
      <c r="F159" s="117" t="str">
        <f>IF(ISBLANK(INDEX('register map'!B:B,C159)),IF(ISBLANK(INDEX('register map'!B:B,C159-1)),IF(ISBLANK(INDEX('register map'!B:B,C159-2)),IF(ISBLANK(INDEX('register map'!B:B,C159-3)),IF(ISBLANK(INDEX('register map'!B:B,C159-4)),IF(ISBLANK(INDEX('register map'!B:B,C159-5)),IF(ISBLANK(INDEX('register map'!B:B,C159-6)),IF(ISBLANK(INDEX('register map'!B:B,C159-7)),IF(ISBLANK(INDEX('register map'!B:B,C159-8)),"ERROR",INDEX('register map'!B:B,C159-8)),INDEX('register map'!B:B,C159-7)),INDEX('register map'!B:B,C159-6)),INDEX('register map'!B:B,C159-5)),INDEX('register map'!B:B,C159-4)),INDEX('register map'!B:B,C159-3)),INDEX('register map'!B:B,C159-2)),INDEX('register map'!B:B,C159-1)),INDEX('register map'!B:B,C159))</f>
        <v>0xA1</v>
      </c>
      <c r="G159" s="117" t="str">
        <f>CONCATENATE(IF(ISNUMBER(INDEX('register map'!D:D,C159)),7,""),IF(ISNUMBER(INDEX('register map'!E:E,C159)),6,""),IF(ISNUMBER(INDEX('register map'!F:F,C159)),5,""),IF(ISNUMBER(INDEX('register map'!G:G,C159)),4,""),IF(ISNUMBER(INDEX('register map'!H:H,C159)),3,""),IF(ISNUMBER(INDEX('register map'!I:I,C159)),2,""),IF(ISNUMBER(INDEX('register map'!J:J,C159)),1,""),IF(ISNUMBER(INDEX('register map'!K:K,C159)),0,""))</f>
        <v>2</v>
      </c>
      <c r="H159" s="117" t="str">
        <f>RIGHT(INDEX('register map'!V:V,MATCH('Logical Group Generator'!B159,'register map'!L:L,0)),LEN(G159))</f>
        <v>0</v>
      </c>
      <c r="I159" s="117" t="str">
        <f>CONCATENATE(IF(ISNUMBER(INDEX('register map'!K:K,C159)),0,""),IF(ISNUMBER(INDEX('register map'!J:J,C159)),1,""),IF(ISNUMBER(INDEX('register map'!I:I,C159)),2,""),IF(ISNUMBER(INDEX('register map'!H:H,C159)),3,""),IF(ISNUMBER(INDEX('register map'!G:G,C159)),4,""),IF(ISNUMBER(INDEX('register map'!F:F,C159)),5,""),IF(ISNUMBER(INDEX('register map'!E:E,C159)),6,""),IF(ISNUMBER(INDEX('register map'!D:D,C159)),7,""))</f>
        <v>2</v>
      </c>
      <c r="J159" s="117" t="str">
        <f t="shared" si="29"/>
        <v>0</v>
      </c>
      <c r="K159" s="117" t="str">
        <f t="shared" si="22"/>
        <v/>
      </c>
      <c r="L159" s="117" t="str">
        <f t="shared" si="30"/>
        <v/>
      </c>
      <c r="M159" s="117" t="str">
        <f t="shared" si="32"/>
        <v/>
      </c>
      <c r="N159" s="117" t="str">
        <f>IF(ISBLANK(INDEX('register map'!M:M,'Logical Group Generator'!C159)),"No","Yes")</f>
        <v>No</v>
      </c>
      <c r="O159" s="117" t="str">
        <f>IF(NOT(ISBLANK(INDEX('register map'!N:N,'Logical Group Generator'!C159))),"Yes","")</f>
        <v/>
      </c>
      <c r="P159" s="117" t="str">
        <f t="shared" si="23"/>
        <v/>
      </c>
      <c r="Q159" s="117" t="str">
        <f t="shared" si="24"/>
        <v/>
      </c>
      <c r="R159" s="117" t="str">
        <f t="shared" si="25"/>
        <v/>
      </c>
      <c r="S159" s="117" t="str">
        <f t="shared" si="26"/>
        <v>No</v>
      </c>
      <c r="T159" s="117" t="str">
        <f t="shared" si="27"/>
        <v/>
      </c>
      <c r="U159" s="117" t="b">
        <f t="shared" si="31"/>
        <v>0</v>
      </c>
      <c r="V159" s="157" t="b">
        <f>INDEX('register map'!P:P,C159)="yes"</f>
        <v>1</v>
      </c>
      <c r="W159" s="157" t="str">
        <f t="shared" si="28"/>
        <v>FALSE</v>
      </c>
    </row>
    <row r="160" spans="2:23">
      <c r="B160" s="157" t="str">
        <f t="array" ref="B160">IF(ROWS($3:160)&lt;=COUNTA('register map'!$L$5:$L$902),INDEX('register map'!$L$5:$L$902,SMALL(IF('register map'!$L$5:$L$902&lt;&gt;"",ROW('register map'!$L$5:$L$902)-MIN(ROW('register map'!$L$5:$L$902))+1),ROWS($3:160))),"")</f>
        <v>VTT_EN</v>
      </c>
      <c r="C160" s="157">
        <f>IF(B160="PART_NUMBER",IF(COUNTIF($B$1:B159,"PART_NUMBER")=0,6,8),MATCH(B160,'register map'!L:L,0))</f>
        <v>173</v>
      </c>
      <c r="D160" s="117" t="str">
        <f>IF(ISBLANK(INDEX('register map'!C:C,'Logical Group Generator'!C160)),"No","Yes")</f>
        <v>No</v>
      </c>
      <c r="E160" s="117" t="str">
        <f>IF(ISBLANK(INDEX('register map'!A:A,C160)),IF(ISBLANK(INDEX('register map'!A:A,C160-1)),IF(ISBLANK(INDEX('register map'!A:A,C160-2)),IF(ISBLANK(INDEX('register map'!A:A,C160-3)),IF(ISBLANK(INDEX('register map'!A:A,C160-4)),IF(ISBLANK(INDEX('register map'!A:A,C160-5)),IF(ISBLANK(INDEX('register map'!A:A,C160-6)),IF(ISBLANK(INDEX('register map'!A:A,C160-7)),IF(ISBLANK(INDEX('register map'!A:A,C160-8)),"ERROR",INDEX('register map'!A:A,C160-8)),INDEX('register map'!A:A,C160-7)),INDEX('register map'!A:A,C160-6)),INDEX('register map'!A:A,C160-5)),INDEX('register map'!A:A,C160-4)),INDEX('register map'!A:A,C160-3)),INDEX('register map'!A:A,C160-2)),INDEX('register map'!A:A,C160-1)),INDEX('register map'!A:A,C160))</f>
        <v>0x5E</v>
      </c>
      <c r="F160" s="117" t="str">
        <f>IF(ISBLANK(INDEX('register map'!B:B,C160)),IF(ISBLANK(INDEX('register map'!B:B,C160-1)),IF(ISBLANK(INDEX('register map'!B:B,C160-2)),IF(ISBLANK(INDEX('register map'!B:B,C160-3)),IF(ISBLANK(INDEX('register map'!B:B,C160-4)),IF(ISBLANK(INDEX('register map'!B:B,C160-5)),IF(ISBLANK(INDEX('register map'!B:B,C160-6)),IF(ISBLANK(INDEX('register map'!B:B,C160-7)),IF(ISBLANK(INDEX('register map'!B:B,C160-8)),"ERROR",INDEX('register map'!B:B,C160-8)),INDEX('register map'!B:B,C160-7)),INDEX('register map'!B:B,C160-6)),INDEX('register map'!B:B,C160-5)),INDEX('register map'!B:B,C160-4)),INDEX('register map'!B:B,C160-3)),INDEX('register map'!B:B,C160-2)),INDEX('register map'!B:B,C160-1)),INDEX('register map'!B:B,C160))</f>
        <v>0xA1</v>
      </c>
      <c r="G160" s="117" t="str">
        <f>CONCATENATE(IF(ISNUMBER(INDEX('register map'!D:D,C160)),7,""),IF(ISNUMBER(INDEX('register map'!E:E,C160)),6,""),IF(ISNUMBER(INDEX('register map'!F:F,C160)),5,""),IF(ISNUMBER(INDEX('register map'!G:G,C160)),4,""),IF(ISNUMBER(INDEX('register map'!H:H,C160)),3,""),IF(ISNUMBER(INDEX('register map'!I:I,C160)),2,""),IF(ISNUMBER(INDEX('register map'!J:J,C160)),1,""),IF(ISNUMBER(INDEX('register map'!K:K,C160)),0,""))</f>
        <v>3</v>
      </c>
      <c r="H160" s="117" t="str">
        <f>RIGHT(INDEX('register map'!V:V,MATCH('Logical Group Generator'!B160,'register map'!L:L,0)),LEN(G160))</f>
        <v>1</v>
      </c>
      <c r="I160" s="117" t="str">
        <f>CONCATENATE(IF(ISNUMBER(INDEX('register map'!K:K,C160)),0,""),IF(ISNUMBER(INDEX('register map'!J:J,C160)),1,""),IF(ISNUMBER(INDEX('register map'!I:I,C160)),2,""),IF(ISNUMBER(INDEX('register map'!H:H,C160)),3,""),IF(ISNUMBER(INDEX('register map'!G:G,C160)),4,""),IF(ISNUMBER(INDEX('register map'!F:F,C160)),5,""),IF(ISNUMBER(INDEX('register map'!E:E,C160)),6,""),IF(ISNUMBER(INDEX('register map'!D:D,C160)),7,""))</f>
        <v>3</v>
      </c>
      <c r="J160" s="117" t="str">
        <f t="shared" si="29"/>
        <v>1</v>
      </c>
      <c r="K160" s="117" t="str">
        <f t="shared" si="22"/>
        <v/>
      </c>
      <c r="L160" s="117" t="str">
        <f t="shared" si="30"/>
        <v/>
      </c>
      <c r="M160" s="117" t="str">
        <f t="shared" si="32"/>
        <v/>
      </c>
      <c r="N160" s="117" t="str">
        <f>IF(ISBLANK(INDEX('register map'!M:M,'Logical Group Generator'!C160)),"No","Yes")</f>
        <v>No</v>
      </c>
      <c r="O160" s="117" t="str">
        <f>IF(NOT(ISBLANK(INDEX('register map'!N:N,'Logical Group Generator'!C160))),"Yes","")</f>
        <v/>
      </c>
      <c r="P160" s="117" t="str">
        <f t="shared" si="23"/>
        <v/>
      </c>
      <c r="Q160" s="117" t="str">
        <f t="shared" si="24"/>
        <v/>
      </c>
      <c r="R160" s="117" t="str">
        <f t="shared" si="25"/>
        <v/>
      </c>
      <c r="S160" s="117" t="str">
        <f t="shared" si="26"/>
        <v>No</v>
      </c>
      <c r="T160" s="117" t="str">
        <f t="shared" si="27"/>
        <v/>
      </c>
      <c r="U160" s="117" t="b">
        <f t="shared" si="31"/>
        <v>0</v>
      </c>
      <c r="V160" s="157" t="b">
        <f>INDEX('register map'!P:P,C160)="yes"</f>
        <v>1</v>
      </c>
      <c r="W160" s="157" t="str">
        <f t="shared" si="28"/>
        <v>FALSE</v>
      </c>
    </row>
    <row r="161" spans="2:23">
      <c r="B161" s="157" t="str">
        <f t="array" ref="B161">IF(ROWS($3:161)&lt;=COUNTA('register map'!$L$5:$L$902),INDEX('register map'!$L$5:$L$902,SMALL(IF('register map'!$L$5:$L$902&lt;&gt;"",ROW('register map'!$L$5:$L$902)-MIN(ROW('register map'!$L$5:$L$902))+1),ROWS($3:161))),"")</f>
        <v>GPO1_LVL</v>
      </c>
      <c r="C161" s="157">
        <f>IF(B161="PART_NUMBER",IF(COUNTIF($B$1:B160,"PART_NUMBER")=0,6,8),MATCH(B161,'register map'!L:L,0))</f>
        <v>174</v>
      </c>
      <c r="D161" s="117" t="str">
        <f>IF(ISBLANK(INDEX('register map'!C:C,'Logical Group Generator'!C161)),"No","Yes")</f>
        <v>No</v>
      </c>
      <c r="E161" s="117" t="str">
        <f>IF(ISBLANK(INDEX('register map'!A:A,C161)),IF(ISBLANK(INDEX('register map'!A:A,C161-1)),IF(ISBLANK(INDEX('register map'!A:A,C161-2)),IF(ISBLANK(INDEX('register map'!A:A,C161-3)),IF(ISBLANK(INDEX('register map'!A:A,C161-4)),IF(ISBLANK(INDEX('register map'!A:A,C161-5)),IF(ISBLANK(INDEX('register map'!A:A,C161-6)),IF(ISBLANK(INDEX('register map'!A:A,C161-7)),IF(ISBLANK(INDEX('register map'!A:A,C161-8)),"ERROR",INDEX('register map'!A:A,C161-8)),INDEX('register map'!A:A,C161-7)),INDEX('register map'!A:A,C161-6)),INDEX('register map'!A:A,C161-5)),INDEX('register map'!A:A,C161-4)),INDEX('register map'!A:A,C161-3)),INDEX('register map'!A:A,C161-2)),INDEX('register map'!A:A,C161-1)),INDEX('register map'!A:A,C161))</f>
        <v>0x5E</v>
      </c>
      <c r="F161" s="117" t="str">
        <f>IF(ISBLANK(INDEX('register map'!B:B,C161)),IF(ISBLANK(INDEX('register map'!B:B,C161-1)),IF(ISBLANK(INDEX('register map'!B:B,C161-2)),IF(ISBLANK(INDEX('register map'!B:B,C161-3)),IF(ISBLANK(INDEX('register map'!B:B,C161-4)),IF(ISBLANK(INDEX('register map'!B:B,C161-5)),IF(ISBLANK(INDEX('register map'!B:B,C161-6)),IF(ISBLANK(INDEX('register map'!B:B,C161-7)),IF(ISBLANK(INDEX('register map'!B:B,C161-8)),"ERROR",INDEX('register map'!B:B,C161-8)),INDEX('register map'!B:B,C161-7)),INDEX('register map'!B:B,C161-6)),INDEX('register map'!B:B,C161-5)),INDEX('register map'!B:B,C161-4)),INDEX('register map'!B:B,C161-3)),INDEX('register map'!B:B,C161-2)),INDEX('register map'!B:B,C161-1)),INDEX('register map'!B:B,C161))</f>
        <v>0xA1</v>
      </c>
      <c r="G161" s="117" t="str">
        <f>CONCATENATE(IF(ISNUMBER(INDEX('register map'!D:D,C161)),7,""),IF(ISNUMBER(INDEX('register map'!E:E,C161)),6,""),IF(ISNUMBER(INDEX('register map'!F:F,C161)),5,""),IF(ISNUMBER(INDEX('register map'!G:G,C161)),4,""),IF(ISNUMBER(INDEX('register map'!H:H,C161)),3,""),IF(ISNUMBER(INDEX('register map'!I:I,C161)),2,""),IF(ISNUMBER(INDEX('register map'!J:J,C161)),1,""),IF(ISNUMBER(INDEX('register map'!K:K,C161)),0,""))</f>
        <v>4</v>
      </c>
      <c r="H161" s="117" t="str">
        <f>RIGHT(INDEX('register map'!V:V,MATCH('Logical Group Generator'!B161,'register map'!L:L,0)),LEN(G161))</f>
        <v>0</v>
      </c>
      <c r="I161" s="117" t="str">
        <f>CONCATENATE(IF(ISNUMBER(INDEX('register map'!K:K,C161)),0,""),IF(ISNUMBER(INDEX('register map'!J:J,C161)),1,""),IF(ISNUMBER(INDEX('register map'!I:I,C161)),2,""),IF(ISNUMBER(INDEX('register map'!H:H,C161)),3,""),IF(ISNUMBER(INDEX('register map'!G:G,C161)),4,""),IF(ISNUMBER(INDEX('register map'!F:F,C161)),5,""),IF(ISNUMBER(INDEX('register map'!E:E,C161)),6,""),IF(ISNUMBER(INDEX('register map'!D:D,C161)),7,""))</f>
        <v>4</v>
      </c>
      <c r="J161" s="117" t="str">
        <f t="shared" si="29"/>
        <v>0</v>
      </c>
      <c r="K161" s="117" t="str">
        <f t="shared" si="22"/>
        <v/>
      </c>
      <c r="L161" s="117" t="str">
        <f t="shared" si="30"/>
        <v/>
      </c>
      <c r="M161" s="117" t="str">
        <f t="shared" si="32"/>
        <v/>
      </c>
      <c r="N161" s="117" t="str">
        <f>IF(ISBLANK(INDEX('register map'!M:M,'Logical Group Generator'!C161)),"No","Yes")</f>
        <v>No</v>
      </c>
      <c r="O161" s="117" t="str">
        <f>IF(NOT(ISBLANK(INDEX('register map'!N:N,'Logical Group Generator'!C161))),"Yes","")</f>
        <v/>
      </c>
      <c r="P161" s="117" t="str">
        <f t="shared" si="23"/>
        <v/>
      </c>
      <c r="Q161" s="117" t="str">
        <f t="shared" si="24"/>
        <v/>
      </c>
      <c r="R161" s="117" t="str">
        <f t="shared" si="25"/>
        <v/>
      </c>
      <c r="S161" s="117" t="str">
        <f t="shared" si="26"/>
        <v>No</v>
      </c>
      <c r="T161" s="117" t="str">
        <f t="shared" si="27"/>
        <v/>
      </c>
      <c r="U161" s="117" t="b">
        <f t="shared" si="31"/>
        <v>0</v>
      </c>
      <c r="V161" s="157" t="b">
        <f>INDEX('register map'!P:P,C161)="yes"</f>
        <v>1</v>
      </c>
      <c r="W161" s="157" t="str">
        <f t="shared" si="28"/>
        <v>FALSE</v>
      </c>
    </row>
    <row r="162" spans="2:23">
      <c r="B162" s="157" t="str">
        <f t="array" ref="B162">IF(ROWS($3:162)&lt;=COUNTA('register map'!$L$5:$L$902),INDEX('register map'!$L$5:$L$902,SMALL(IF('register map'!$L$5:$L$902&lt;&gt;"",ROW('register map'!$L$5:$L$902)-MIN(ROW('register map'!$L$5:$L$902))+1),ROWS($3:162))),"")</f>
        <v>GPO2_LVL</v>
      </c>
      <c r="C162" s="157">
        <f>IF(B162="PART_NUMBER",IF(COUNTIF($B$1:B161,"PART_NUMBER")=0,6,8),MATCH(B162,'register map'!L:L,0))</f>
        <v>175</v>
      </c>
      <c r="D162" s="117" t="str">
        <f>IF(ISBLANK(INDEX('register map'!C:C,'Logical Group Generator'!C162)),"No","Yes")</f>
        <v>No</v>
      </c>
      <c r="E162" s="117" t="str">
        <f>IF(ISBLANK(INDEX('register map'!A:A,C162)),IF(ISBLANK(INDEX('register map'!A:A,C162-1)),IF(ISBLANK(INDEX('register map'!A:A,C162-2)),IF(ISBLANK(INDEX('register map'!A:A,C162-3)),IF(ISBLANK(INDEX('register map'!A:A,C162-4)),IF(ISBLANK(INDEX('register map'!A:A,C162-5)),IF(ISBLANK(INDEX('register map'!A:A,C162-6)),IF(ISBLANK(INDEX('register map'!A:A,C162-7)),IF(ISBLANK(INDEX('register map'!A:A,C162-8)),"ERROR",INDEX('register map'!A:A,C162-8)),INDEX('register map'!A:A,C162-7)),INDEX('register map'!A:A,C162-6)),INDEX('register map'!A:A,C162-5)),INDEX('register map'!A:A,C162-4)),INDEX('register map'!A:A,C162-3)),INDEX('register map'!A:A,C162-2)),INDEX('register map'!A:A,C162-1)),INDEX('register map'!A:A,C162))</f>
        <v>0x5E</v>
      </c>
      <c r="F162" s="117" t="str">
        <f>IF(ISBLANK(INDEX('register map'!B:B,C162)),IF(ISBLANK(INDEX('register map'!B:B,C162-1)),IF(ISBLANK(INDEX('register map'!B:B,C162-2)),IF(ISBLANK(INDEX('register map'!B:B,C162-3)),IF(ISBLANK(INDEX('register map'!B:B,C162-4)),IF(ISBLANK(INDEX('register map'!B:B,C162-5)),IF(ISBLANK(INDEX('register map'!B:B,C162-6)),IF(ISBLANK(INDEX('register map'!B:B,C162-7)),IF(ISBLANK(INDEX('register map'!B:B,C162-8)),"ERROR",INDEX('register map'!B:B,C162-8)),INDEX('register map'!B:B,C162-7)),INDEX('register map'!B:B,C162-6)),INDEX('register map'!B:B,C162-5)),INDEX('register map'!B:B,C162-4)),INDEX('register map'!B:B,C162-3)),INDEX('register map'!B:B,C162-2)),INDEX('register map'!B:B,C162-1)),INDEX('register map'!B:B,C162))</f>
        <v>0xA1</v>
      </c>
      <c r="G162" s="117" t="str">
        <f>CONCATENATE(IF(ISNUMBER(INDEX('register map'!D:D,C162)),7,""),IF(ISNUMBER(INDEX('register map'!E:E,C162)),6,""),IF(ISNUMBER(INDEX('register map'!F:F,C162)),5,""),IF(ISNUMBER(INDEX('register map'!G:G,C162)),4,""),IF(ISNUMBER(INDEX('register map'!H:H,C162)),3,""),IF(ISNUMBER(INDEX('register map'!I:I,C162)),2,""),IF(ISNUMBER(INDEX('register map'!J:J,C162)),1,""),IF(ISNUMBER(INDEX('register map'!K:K,C162)),0,""))</f>
        <v>5</v>
      </c>
      <c r="H162" s="117" t="str">
        <f>RIGHT(INDEX('register map'!V:V,MATCH('Logical Group Generator'!B162,'register map'!L:L,0)),LEN(G162))</f>
        <v>0</v>
      </c>
      <c r="I162" s="117" t="str">
        <f>CONCATENATE(IF(ISNUMBER(INDEX('register map'!K:K,C162)),0,""),IF(ISNUMBER(INDEX('register map'!J:J,C162)),1,""),IF(ISNUMBER(INDEX('register map'!I:I,C162)),2,""),IF(ISNUMBER(INDEX('register map'!H:H,C162)),3,""),IF(ISNUMBER(INDEX('register map'!G:G,C162)),4,""),IF(ISNUMBER(INDEX('register map'!F:F,C162)),5,""),IF(ISNUMBER(INDEX('register map'!E:E,C162)),6,""),IF(ISNUMBER(INDEX('register map'!D:D,C162)),7,""))</f>
        <v>5</v>
      </c>
      <c r="J162" s="117" t="str">
        <f t="shared" si="29"/>
        <v>0</v>
      </c>
      <c r="K162" s="117" t="str">
        <f t="shared" si="22"/>
        <v/>
      </c>
      <c r="L162" s="117" t="str">
        <f t="shared" si="30"/>
        <v/>
      </c>
      <c r="M162" s="117" t="str">
        <f t="shared" si="32"/>
        <v/>
      </c>
      <c r="N162" s="117" t="str">
        <f>IF(ISBLANK(INDEX('register map'!M:M,'Logical Group Generator'!C162)),"No","Yes")</f>
        <v>No</v>
      </c>
      <c r="O162" s="117" t="str">
        <f>IF(NOT(ISBLANK(INDEX('register map'!N:N,'Logical Group Generator'!C162))),"Yes","")</f>
        <v/>
      </c>
      <c r="P162" s="117" t="str">
        <f t="shared" si="23"/>
        <v/>
      </c>
      <c r="Q162" s="117" t="str">
        <f t="shared" si="24"/>
        <v/>
      </c>
      <c r="R162" s="117" t="str">
        <f t="shared" si="25"/>
        <v/>
      </c>
      <c r="S162" s="117" t="str">
        <f t="shared" si="26"/>
        <v>No</v>
      </c>
      <c r="T162" s="117" t="str">
        <f t="shared" si="27"/>
        <v/>
      </c>
      <c r="U162" s="117" t="b">
        <f t="shared" si="31"/>
        <v>0</v>
      </c>
      <c r="V162" s="157" t="b">
        <f>INDEX('register map'!P:P,C162)="yes"</f>
        <v>1</v>
      </c>
      <c r="W162" s="157" t="str">
        <f t="shared" si="28"/>
        <v>FALSE</v>
      </c>
    </row>
    <row r="163" spans="2:23">
      <c r="B163" s="157" t="str">
        <f t="array" ref="B163">IF(ROWS($3:163)&lt;=COUNTA('register map'!$L$5:$L$902),INDEX('register map'!$L$5:$L$902,SMALL(IF('register map'!$L$5:$L$902&lt;&gt;"",ROW('register map'!$L$5:$L$902)-MIN(ROW('register map'!$L$5:$L$902))+1),ROWS($3:163))),"")</f>
        <v>GPO3_LVL</v>
      </c>
      <c r="C163" s="157">
        <f>IF(B163="PART_NUMBER",IF(COUNTIF($B$1:B162,"PART_NUMBER")=0,6,8),MATCH(B163,'register map'!L:L,0))</f>
        <v>176</v>
      </c>
      <c r="D163" s="117" t="str">
        <f>IF(ISBLANK(INDEX('register map'!C:C,'Logical Group Generator'!C163)),"No","Yes")</f>
        <v>No</v>
      </c>
      <c r="E163" s="117" t="str">
        <f>IF(ISBLANK(INDEX('register map'!A:A,C163)),IF(ISBLANK(INDEX('register map'!A:A,C163-1)),IF(ISBLANK(INDEX('register map'!A:A,C163-2)),IF(ISBLANK(INDEX('register map'!A:A,C163-3)),IF(ISBLANK(INDEX('register map'!A:A,C163-4)),IF(ISBLANK(INDEX('register map'!A:A,C163-5)),IF(ISBLANK(INDEX('register map'!A:A,C163-6)),IF(ISBLANK(INDEX('register map'!A:A,C163-7)),IF(ISBLANK(INDEX('register map'!A:A,C163-8)),"ERROR",INDEX('register map'!A:A,C163-8)),INDEX('register map'!A:A,C163-7)),INDEX('register map'!A:A,C163-6)),INDEX('register map'!A:A,C163-5)),INDEX('register map'!A:A,C163-4)),INDEX('register map'!A:A,C163-3)),INDEX('register map'!A:A,C163-2)),INDEX('register map'!A:A,C163-1)),INDEX('register map'!A:A,C163))</f>
        <v>0x5E</v>
      </c>
      <c r="F163" s="117" t="str">
        <f>IF(ISBLANK(INDEX('register map'!B:B,C163)),IF(ISBLANK(INDEX('register map'!B:B,C163-1)),IF(ISBLANK(INDEX('register map'!B:B,C163-2)),IF(ISBLANK(INDEX('register map'!B:B,C163-3)),IF(ISBLANK(INDEX('register map'!B:B,C163-4)),IF(ISBLANK(INDEX('register map'!B:B,C163-5)),IF(ISBLANK(INDEX('register map'!B:B,C163-6)),IF(ISBLANK(INDEX('register map'!B:B,C163-7)),IF(ISBLANK(INDEX('register map'!B:B,C163-8)),"ERROR",INDEX('register map'!B:B,C163-8)),INDEX('register map'!B:B,C163-7)),INDEX('register map'!B:B,C163-6)),INDEX('register map'!B:B,C163-5)),INDEX('register map'!B:B,C163-4)),INDEX('register map'!B:B,C163-3)),INDEX('register map'!B:B,C163-2)),INDEX('register map'!B:B,C163-1)),INDEX('register map'!B:B,C163))</f>
        <v>0xA1</v>
      </c>
      <c r="G163" s="117" t="str">
        <f>CONCATENATE(IF(ISNUMBER(INDEX('register map'!D:D,C163)),7,""),IF(ISNUMBER(INDEX('register map'!E:E,C163)),6,""),IF(ISNUMBER(INDEX('register map'!F:F,C163)),5,""),IF(ISNUMBER(INDEX('register map'!G:G,C163)),4,""),IF(ISNUMBER(INDEX('register map'!H:H,C163)),3,""),IF(ISNUMBER(INDEX('register map'!I:I,C163)),2,""),IF(ISNUMBER(INDEX('register map'!J:J,C163)),1,""),IF(ISNUMBER(INDEX('register map'!K:K,C163)),0,""))</f>
        <v>6</v>
      </c>
      <c r="H163" s="117" t="str">
        <f>RIGHT(INDEX('register map'!V:V,MATCH('Logical Group Generator'!B163,'register map'!L:L,0)),LEN(G163))</f>
        <v>0</v>
      </c>
      <c r="I163" s="117" t="str">
        <f>CONCATENATE(IF(ISNUMBER(INDEX('register map'!K:K,C163)),0,""),IF(ISNUMBER(INDEX('register map'!J:J,C163)),1,""),IF(ISNUMBER(INDEX('register map'!I:I,C163)),2,""),IF(ISNUMBER(INDEX('register map'!H:H,C163)),3,""),IF(ISNUMBER(INDEX('register map'!G:G,C163)),4,""),IF(ISNUMBER(INDEX('register map'!F:F,C163)),5,""),IF(ISNUMBER(INDEX('register map'!E:E,C163)),6,""),IF(ISNUMBER(INDEX('register map'!D:D,C163)),7,""))</f>
        <v>6</v>
      </c>
      <c r="J163" s="117" t="str">
        <f t="shared" si="29"/>
        <v>0</v>
      </c>
      <c r="K163" s="117" t="str">
        <f t="shared" si="22"/>
        <v/>
      </c>
      <c r="L163" s="117" t="str">
        <f t="shared" si="30"/>
        <v/>
      </c>
      <c r="M163" s="117" t="str">
        <f t="shared" si="32"/>
        <v/>
      </c>
      <c r="N163" s="117" t="str">
        <f>IF(ISBLANK(INDEX('register map'!M:M,'Logical Group Generator'!C163)),"No","Yes")</f>
        <v>No</v>
      </c>
      <c r="O163" s="117" t="str">
        <f>IF(NOT(ISBLANK(INDEX('register map'!N:N,'Logical Group Generator'!C163))),"Yes","")</f>
        <v/>
      </c>
      <c r="P163" s="117" t="str">
        <f t="shared" si="23"/>
        <v/>
      </c>
      <c r="Q163" s="117" t="str">
        <f t="shared" si="24"/>
        <v/>
      </c>
      <c r="R163" s="117" t="str">
        <f t="shared" si="25"/>
        <v/>
      </c>
      <c r="S163" s="117" t="str">
        <f t="shared" si="26"/>
        <v>No</v>
      </c>
      <c r="T163" s="117" t="str">
        <f t="shared" si="27"/>
        <v/>
      </c>
      <c r="U163" s="117" t="b">
        <f t="shared" si="31"/>
        <v>0</v>
      </c>
      <c r="V163" s="157" t="b">
        <f>INDEX('register map'!P:P,C163)="yes"</f>
        <v>1</v>
      </c>
      <c r="W163" s="157" t="str">
        <f t="shared" si="28"/>
        <v>FALSE</v>
      </c>
    </row>
    <row r="164" spans="2:23">
      <c r="B164" s="157" t="str">
        <f t="array" ref="B164">IF(ROWS($3:164)&lt;=COUNTA('register map'!$L$5:$L$902),INDEX('register map'!$L$5:$L$902,SMALL(IF('register map'!$L$5:$L$902&lt;&gt;"",ROW('register map'!$L$5:$L$902)-MIN(ROW('register map'!$L$5:$L$902))+1),ROWS($3:164))),"")</f>
        <v>GPO4_LVL</v>
      </c>
      <c r="C164" s="157">
        <f>IF(B164="PART_NUMBER",IF(COUNTIF($B$1:B163,"PART_NUMBER")=0,6,8),MATCH(B164,'register map'!L:L,0))</f>
        <v>177</v>
      </c>
      <c r="D164" s="117" t="str">
        <f>IF(ISBLANK(INDEX('register map'!C:C,'Logical Group Generator'!C164)),"No","Yes")</f>
        <v>No</v>
      </c>
      <c r="E164" s="117" t="str">
        <f>IF(ISBLANK(INDEX('register map'!A:A,C164)),IF(ISBLANK(INDEX('register map'!A:A,C164-1)),IF(ISBLANK(INDEX('register map'!A:A,C164-2)),IF(ISBLANK(INDEX('register map'!A:A,C164-3)),IF(ISBLANK(INDEX('register map'!A:A,C164-4)),IF(ISBLANK(INDEX('register map'!A:A,C164-5)),IF(ISBLANK(INDEX('register map'!A:A,C164-6)),IF(ISBLANK(INDEX('register map'!A:A,C164-7)),IF(ISBLANK(INDEX('register map'!A:A,C164-8)),"ERROR",INDEX('register map'!A:A,C164-8)),INDEX('register map'!A:A,C164-7)),INDEX('register map'!A:A,C164-6)),INDEX('register map'!A:A,C164-5)),INDEX('register map'!A:A,C164-4)),INDEX('register map'!A:A,C164-3)),INDEX('register map'!A:A,C164-2)),INDEX('register map'!A:A,C164-1)),INDEX('register map'!A:A,C164))</f>
        <v>0x5E</v>
      </c>
      <c r="F164" s="117" t="str">
        <f>IF(ISBLANK(INDEX('register map'!B:B,C164)),IF(ISBLANK(INDEX('register map'!B:B,C164-1)),IF(ISBLANK(INDEX('register map'!B:B,C164-2)),IF(ISBLANK(INDEX('register map'!B:B,C164-3)),IF(ISBLANK(INDEX('register map'!B:B,C164-4)),IF(ISBLANK(INDEX('register map'!B:B,C164-5)),IF(ISBLANK(INDEX('register map'!B:B,C164-6)),IF(ISBLANK(INDEX('register map'!B:B,C164-7)),IF(ISBLANK(INDEX('register map'!B:B,C164-8)),"ERROR",INDEX('register map'!B:B,C164-8)),INDEX('register map'!B:B,C164-7)),INDEX('register map'!B:B,C164-6)),INDEX('register map'!B:B,C164-5)),INDEX('register map'!B:B,C164-4)),INDEX('register map'!B:B,C164-3)),INDEX('register map'!B:B,C164-2)),INDEX('register map'!B:B,C164-1)),INDEX('register map'!B:B,C164))</f>
        <v>0xA1</v>
      </c>
      <c r="G164" s="117" t="str">
        <f>CONCATENATE(IF(ISNUMBER(INDEX('register map'!D:D,C164)),7,""),IF(ISNUMBER(INDEX('register map'!E:E,C164)),6,""),IF(ISNUMBER(INDEX('register map'!F:F,C164)),5,""),IF(ISNUMBER(INDEX('register map'!G:G,C164)),4,""),IF(ISNUMBER(INDEX('register map'!H:H,C164)),3,""),IF(ISNUMBER(INDEX('register map'!I:I,C164)),2,""),IF(ISNUMBER(INDEX('register map'!J:J,C164)),1,""),IF(ISNUMBER(INDEX('register map'!K:K,C164)),0,""))</f>
        <v>7</v>
      </c>
      <c r="H164" s="117" t="str">
        <f>RIGHT(INDEX('register map'!V:V,MATCH('Logical Group Generator'!B164,'register map'!L:L,0)),LEN(G164))</f>
        <v>0</v>
      </c>
      <c r="I164" s="117" t="str">
        <f>CONCATENATE(IF(ISNUMBER(INDEX('register map'!K:K,C164)),0,""),IF(ISNUMBER(INDEX('register map'!J:J,C164)),1,""),IF(ISNUMBER(INDEX('register map'!I:I,C164)),2,""),IF(ISNUMBER(INDEX('register map'!H:H,C164)),3,""),IF(ISNUMBER(INDEX('register map'!G:G,C164)),4,""),IF(ISNUMBER(INDEX('register map'!F:F,C164)),5,""),IF(ISNUMBER(INDEX('register map'!E:E,C164)),6,""),IF(ISNUMBER(INDEX('register map'!D:D,C164)),7,""))</f>
        <v>7</v>
      </c>
      <c r="J164" s="117" t="str">
        <f t="shared" si="29"/>
        <v>0</v>
      </c>
      <c r="K164" s="117" t="str">
        <f t="shared" si="22"/>
        <v/>
      </c>
      <c r="L164" s="117" t="str">
        <f t="shared" si="30"/>
        <v/>
      </c>
      <c r="M164" s="117" t="str">
        <f t="shared" si="32"/>
        <v/>
      </c>
      <c r="N164" s="117" t="str">
        <f>IF(ISBLANK(INDEX('register map'!M:M,'Logical Group Generator'!C164)),"No","Yes")</f>
        <v>No</v>
      </c>
      <c r="O164" s="117" t="str">
        <f>IF(NOT(ISBLANK(INDEX('register map'!N:N,'Logical Group Generator'!C164))),"Yes","")</f>
        <v/>
      </c>
      <c r="P164" s="117" t="str">
        <f t="shared" si="23"/>
        <v/>
      </c>
      <c r="Q164" s="117" t="str">
        <f t="shared" si="24"/>
        <v/>
      </c>
      <c r="R164" s="117" t="str">
        <f t="shared" si="25"/>
        <v/>
      </c>
      <c r="S164" s="117" t="str">
        <f t="shared" si="26"/>
        <v>No</v>
      </c>
      <c r="T164" s="117" t="str">
        <f t="shared" si="27"/>
        <v/>
      </c>
      <c r="U164" s="117" t="b">
        <f t="shared" si="31"/>
        <v>0</v>
      </c>
      <c r="V164" s="157" t="b">
        <f>INDEX('register map'!P:P,C164)="yes"</f>
        <v>1</v>
      </c>
      <c r="W164" s="157" t="str">
        <f t="shared" si="28"/>
        <v>FALSE</v>
      </c>
    </row>
    <row r="165" spans="2:23">
      <c r="B165" s="157" t="str">
        <f t="array" ref="B165">IF(ROWS($3:165)&lt;=COUNTA('register map'!$L$5:$L$902),INDEX('register map'!$L$5:$L$902,SMALL(IF('register map'!$L$5:$L$902&lt;&gt;"",ROW('register map'!$L$5:$L$902)-MIN(ROW('register map'!$L$5:$L$902))+1),ROWS($3:165))),"")</f>
        <v>PWR_FAULT_MASK1</v>
      </c>
      <c r="C165" s="157">
        <f>IF(B165="PART_NUMBER",IF(COUNTIF($B$1:B164,"PART_NUMBER")=0,6,8),MATCH(B165,'register map'!L:L,0))</f>
        <v>178</v>
      </c>
      <c r="D165" s="117" t="str">
        <f>IF(ISBLANK(INDEX('register map'!C:C,'Logical Group Generator'!C165)),"No","Yes")</f>
        <v>Yes</v>
      </c>
      <c r="E165" s="117" t="str">
        <f>IF(ISBLANK(INDEX('register map'!A:A,C165)),IF(ISBLANK(INDEX('register map'!A:A,C165-1)),IF(ISBLANK(INDEX('register map'!A:A,C165-2)),IF(ISBLANK(INDEX('register map'!A:A,C165-3)),IF(ISBLANK(INDEX('register map'!A:A,C165-4)),IF(ISBLANK(INDEX('register map'!A:A,C165-5)),IF(ISBLANK(INDEX('register map'!A:A,C165-6)),IF(ISBLANK(INDEX('register map'!A:A,C165-7)),IF(ISBLANK(INDEX('register map'!A:A,C165-8)),"ERROR",INDEX('register map'!A:A,C165-8)),INDEX('register map'!A:A,C165-7)),INDEX('register map'!A:A,C165-6)),INDEX('register map'!A:A,C165-5)),INDEX('register map'!A:A,C165-4)),INDEX('register map'!A:A,C165-3)),INDEX('register map'!A:A,C165-2)),INDEX('register map'!A:A,C165-1)),INDEX('register map'!A:A,C165))</f>
        <v>0x5E</v>
      </c>
      <c r="F165" s="117" t="str">
        <f>IF(ISBLANK(INDEX('register map'!B:B,C165)),IF(ISBLANK(INDEX('register map'!B:B,C165-1)),IF(ISBLANK(INDEX('register map'!B:B,C165-2)),IF(ISBLANK(INDEX('register map'!B:B,C165-3)),IF(ISBLANK(INDEX('register map'!B:B,C165-4)),IF(ISBLANK(INDEX('register map'!B:B,C165-5)),IF(ISBLANK(INDEX('register map'!B:B,C165-6)),IF(ISBLANK(INDEX('register map'!B:B,C165-7)),IF(ISBLANK(INDEX('register map'!B:B,C165-8)),"ERROR",INDEX('register map'!B:B,C165-8)),INDEX('register map'!B:B,C165-7)),INDEX('register map'!B:B,C165-6)),INDEX('register map'!B:B,C165-5)),INDEX('register map'!B:B,C165-4)),INDEX('register map'!B:B,C165-3)),INDEX('register map'!B:B,C165-2)),INDEX('register map'!B:B,C165-1)),INDEX('register map'!B:B,C165))</f>
        <v>0xA2</v>
      </c>
      <c r="G165" s="117" t="str">
        <f>CONCATENATE(IF(ISNUMBER(INDEX('register map'!D:D,C165)),7,""),IF(ISNUMBER(INDEX('register map'!E:E,C165)),6,""),IF(ISNUMBER(INDEX('register map'!F:F,C165)),5,""),IF(ISNUMBER(INDEX('register map'!G:G,C165)),4,""),IF(ISNUMBER(INDEX('register map'!H:H,C165)),3,""),IF(ISNUMBER(INDEX('register map'!I:I,C165)),2,""),IF(ISNUMBER(INDEX('register map'!J:J,C165)),1,""),IF(ISNUMBER(INDEX('register map'!K:K,C165)),0,""))</f>
        <v/>
      </c>
      <c r="H165" s="117" t="str">
        <f>RIGHT(INDEX('register map'!V:V,MATCH('Logical Group Generator'!B165,'register map'!L:L,0)),LEN(G165))</f>
        <v/>
      </c>
      <c r="I165" s="117" t="str">
        <f>CONCATENATE(IF(ISNUMBER(INDEX('register map'!K:K,C165)),0,""),IF(ISNUMBER(INDEX('register map'!J:J,C165)),1,""),IF(ISNUMBER(INDEX('register map'!I:I,C165)),2,""),IF(ISNUMBER(INDEX('register map'!H:H,C165)),3,""),IF(ISNUMBER(INDEX('register map'!G:G,C165)),4,""),IF(ISNUMBER(INDEX('register map'!F:F,C165)),5,""),IF(ISNUMBER(INDEX('register map'!E:E,C165)),6,""),IF(ISNUMBER(INDEX('register map'!D:D,C165)),7,""))</f>
        <v/>
      </c>
      <c r="J165" s="117" t="str">
        <f t="shared" si="29"/>
        <v/>
      </c>
      <c r="K165" s="117" t="str">
        <f t="shared" si="22"/>
        <v>00001011</v>
      </c>
      <c r="L165" s="117" t="str">
        <f t="shared" si="30"/>
        <v>11010000</v>
      </c>
      <c r="M165" s="117" t="str">
        <f t="shared" si="32"/>
        <v>D0</v>
      </c>
      <c r="N165" s="117" t="str">
        <f>IF(ISBLANK(INDEX('register map'!M:M,'Logical Group Generator'!C165)),"No","Yes")</f>
        <v>No</v>
      </c>
      <c r="O165" s="117" t="str">
        <f>IF(NOT(ISBLANK(INDEX('register map'!N:N,'Logical Group Generator'!C165))),"Yes","")</f>
        <v/>
      </c>
      <c r="P165" s="117" t="str">
        <f t="shared" si="23"/>
        <v>No</v>
      </c>
      <c r="Q165" s="117" t="str">
        <f t="shared" si="24"/>
        <v>No</v>
      </c>
      <c r="R165" s="117" t="str">
        <f t="shared" si="25"/>
        <v>No</v>
      </c>
      <c r="S165" s="117" t="str">
        <f t="shared" si="26"/>
        <v/>
      </c>
      <c r="T165" s="117" t="b">
        <f t="shared" si="27"/>
        <v>1</v>
      </c>
      <c r="U165" s="117" t="b">
        <f t="shared" si="31"/>
        <v>1</v>
      </c>
      <c r="V165" s="157" t="b">
        <f>INDEX('register map'!P:P,C165)="yes"</f>
        <v>1</v>
      </c>
      <c r="W165" s="157" t="str">
        <f t="shared" si="28"/>
        <v>REGISTER</v>
      </c>
    </row>
    <row r="166" spans="2:23">
      <c r="B166" s="157" t="str">
        <f t="array" ref="B166">IF(ROWS($3:166)&lt;=COUNTA('register map'!$L$5:$L$902),INDEX('register map'!$L$5:$L$902,SMALL(IF('register map'!$L$5:$L$902&lt;&gt;"",ROW('register map'!$L$5:$L$902)-MIN(ROW('register map'!$L$5:$L$902))+1),ROWS($3:166))),"")</f>
        <v>BUCK1_FLTMSK</v>
      </c>
      <c r="C166" s="157">
        <f>IF(B166="PART_NUMBER",IF(COUNTIF($B$1:B165,"PART_NUMBER")=0,6,8),MATCH(B166,'register map'!L:L,0))</f>
        <v>179</v>
      </c>
      <c r="D166" s="117" t="str">
        <f>IF(ISBLANK(INDEX('register map'!C:C,'Logical Group Generator'!C166)),"No","Yes")</f>
        <v>No</v>
      </c>
      <c r="E166" s="117" t="str">
        <f>IF(ISBLANK(INDEX('register map'!A:A,C166)),IF(ISBLANK(INDEX('register map'!A:A,C166-1)),IF(ISBLANK(INDEX('register map'!A:A,C166-2)),IF(ISBLANK(INDEX('register map'!A:A,C166-3)),IF(ISBLANK(INDEX('register map'!A:A,C166-4)),IF(ISBLANK(INDEX('register map'!A:A,C166-5)),IF(ISBLANK(INDEX('register map'!A:A,C166-6)),IF(ISBLANK(INDEX('register map'!A:A,C166-7)),IF(ISBLANK(INDEX('register map'!A:A,C166-8)),"ERROR",INDEX('register map'!A:A,C166-8)),INDEX('register map'!A:A,C166-7)),INDEX('register map'!A:A,C166-6)),INDEX('register map'!A:A,C166-5)),INDEX('register map'!A:A,C166-4)),INDEX('register map'!A:A,C166-3)),INDEX('register map'!A:A,C166-2)),INDEX('register map'!A:A,C166-1)),INDEX('register map'!A:A,C166))</f>
        <v>0x5E</v>
      </c>
      <c r="F166" s="117" t="str">
        <f>IF(ISBLANK(INDEX('register map'!B:B,C166)),IF(ISBLANK(INDEX('register map'!B:B,C166-1)),IF(ISBLANK(INDEX('register map'!B:B,C166-2)),IF(ISBLANK(INDEX('register map'!B:B,C166-3)),IF(ISBLANK(INDEX('register map'!B:B,C166-4)),IF(ISBLANK(INDEX('register map'!B:B,C166-5)),IF(ISBLANK(INDEX('register map'!B:B,C166-6)),IF(ISBLANK(INDEX('register map'!B:B,C166-7)),IF(ISBLANK(INDEX('register map'!B:B,C166-8)),"ERROR",INDEX('register map'!B:B,C166-8)),INDEX('register map'!B:B,C166-7)),INDEX('register map'!B:B,C166-6)),INDEX('register map'!B:B,C166-5)),INDEX('register map'!B:B,C166-4)),INDEX('register map'!B:B,C166-3)),INDEX('register map'!B:B,C166-2)),INDEX('register map'!B:B,C166-1)),INDEX('register map'!B:B,C166))</f>
        <v>0xA2</v>
      </c>
      <c r="G166" s="117" t="str">
        <f>CONCATENATE(IF(ISNUMBER(INDEX('register map'!D:D,C166)),7,""),IF(ISNUMBER(INDEX('register map'!E:E,C166)),6,""),IF(ISNUMBER(INDEX('register map'!F:F,C166)),5,""),IF(ISNUMBER(INDEX('register map'!G:G,C166)),4,""),IF(ISNUMBER(INDEX('register map'!H:H,C166)),3,""),IF(ISNUMBER(INDEX('register map'!I:I,C166)),2,""),IF(ISNUMBER(INDEX('register map'!J:J,C166)),1,""),IF(ISNUMBER(INDEX('register map'!K:K,C166)),0,""))</f>
        <v>0</v>
      </c>
      <c r="H166" s="117" t="str">
        <f>RIGHT(INDEX('register map'!V:V,MATCH('Logical Group Generator'!B166,'register map'!L:L,0)),LEN(G166))</f>
        <v>0</v>
      </c>
      <c r="I166" s="117" t="str">
        <f>CONCATENATE(IF(ISNUMBER(INDEX('register map'!K:K,C166)),0,""),IF(ISNUMBER(INDEX('register map'!J:J,C166)),1,""),IF(ISNUMBER(INDEX('register map'!I:I,C166)),2,""),IF(ISNUMBER(INDEX('register map'!H:H,C166)),3,""),IF(ISNUMBER(INDEX('register map'!G:G,C166)),4,""),IF(ISNUMBER(INDEX('register map'!F:F,C166)),5,""),IF(ISNUMBER(INDEX('register map'!E:E,C166)),6,""),IF(ISNUMBER(INDEX('register map'!D:D,C166)),7,""))</f>
        <v>0</v>
      </c>
      <c r="J166" s="117" t="str">
        <f t="shared" si="29"/>
        <v>0</v>
      </c>
      <c r="K166" s="117" t="str">
        <f t="shared" si="22"/>
        <v/>
      </c>
      <c r="L166" s="117" t="str">
        <f t="shared" si="30"/>
        <v/>
      </c>
      <c r="M166" s="117" t="str">
        <f t="shared" si="32"/>
        <v/>
      </c>
      <c r="N166" s="117" t="str">
        <f>IF(ISBLANK(INDEX('register map'!M:M,'Logical Group Generator'!C166)),"No","Yes")</f>
        <v>No</v>
      </c>
      <c r="O166" s="117" t="str">
        <f>IF(NOT(ISBLANK(INDEX('register map'!N:N,'Logical Group Generator'!C166))),"Yes","")</f>
        <v/>
      </c>
      <c r="P166" s="117" t="str">
        <f t="shared" si="23"/>
        <v/>
      </c>
      <c r="Q166" s="117" t="str">
        <f t="shared" si="24"/>
        <v/>
      </c>
      <c r="R166" s="117" t="str">
        <f t="shared" si="25"/>
        <v/>
      </c>
      <c r="S166" s="117" t="str">
        <f t="shared" si="26"/>
        <v>No</v>
      </c>
      <c r="T166" s="117" t="str">
        <f t="shared" si="27"/>
        <v/>
      </c>
      <c r="U166" s="117" t="b">
        <f t="shared" si="31"/>
        <v>0</v>
      </c>
      <c r="V166" s="157" t="b">
        <f>INDEX('register map'!P:P,C166)="yes"</f>
        <v>1</v>
      </c>
      <c r="W166" s="157" t="str">
        <f t="shared" si="28"/>
        <v>FALSE</v>
      </c>
    </row>
    <row r="167" spans="2:23">
      <c r="B167" s="157" t="str">
        <f t="array" ref="B167">IF(ROWS($3:167)&lt;=COUNTA('register map'!$L$5:$L$902),INDEX('register map'!$L$5:$L$902,SMALL(IF('register map'!$L$5:$L$902&lt;&gt;"",ROW('register map'!$L$5:$L$902)-MIN(ROW('register map'!$L$5:$L$902))+1),ROWS($3:167))),"")</f>
        <v>BUCK2_FLTMSK</v>
      </c>
      <c r="C167" s="157">
        <f>IF(B167="PART_NUMBER",IF(COUNTIF($B$1:B166,"PART_NUMBER")=0,6,8),MATCH(B167,'register map'!L:L,0))</f>
        <v>180</v>
      </c>
      <c r="D167" s="117" t="str">
        <f>IF(ISBLANK(INDEX('register map'!C:C,'Logical Group Generator'!C167)),"No","Yes")</f>
        <v>No</v>
      </c>
      <c r="E167" s="117" t="str">
        <f>IF(ISBLANK(INDEX('register map'!A:A,C167)),IF(ISBLANK(INDEX('register map'!A:A,C167-1)),IF(ISBLANK(INDEX('register map'!A:A,C167-2)),IF(ISBLANK(INDEX('register map'!A:A,C167-3)),IF(ISBLANK(INDEX('register map'!A:A,C167-4)),IF(ISBLANK(INDEX('register map'!A:A,C167-5)),IF(ISBLANK(INDEX('register map'!A:A,C167-6)),IF(ISBLANK(INDEX('register map'!A:A,C167-7)),IF(ISBLANK(INDEX('register map'!A:A,C167-8)),"ERROR",INDEX('register map'!A:A,C167-8)),INDEX('register map'!A:A,C167-7)),INDEX('register map'!A:A,C167-6)),INDEX('register map'!A:A,C167-5)),INDEX('register map'!A:A,C167-4)),INDEX('register map'!A:A,C167-3)),INDEX('register map'!A:A,C167-2)),INDEX('register map'!A:A,C167-1)),INDEX('register map'!A:A,C167))</f>
        <v>0x5E</v>
      </c>
      <c r="F167" s="117" t="str">
        <f>IF(ISBLANK(INDEX('register map'!B:B,C167)),IF(ISBLANK(INDEX('register map'!B:B,C167-1)),IF(ISBLANK(INDEX('register map'!B:B,C167-2)),IF(ISBLANK(INDEX('register map'!B:B,C167-3)),IF(ISBLANK(INDEX('register map'!B:B,C167-4)),IF(ISBLANK(INDEX('register map'!B:B,C167-5)),IF(ISBLANK(INDEX('register map'!B:B,C167-6)),IF(ISBLANK(INDEX('register map'!B:B,C167-7)),IF(ISBLANK(INDEX('register map'!B:B,C167-8)),"ERROR",INDEX('register map'!B:B,C167-8)),INDEX('register map'!B:B,C167-7)),INDEX('register map'!B:B,C167-6)),INDEX('register map'!B:B,C167-5)),INDEX('register map'!B:B,C167-4)),INDEX('register map'!B:B,C167-3)),INDEX('register map'!B:B,C167-2)),INDEX('register map'!B:B,C167-1)),INDEX('register map'!B:B,C167))</f>
        <v>0xA2</v>
      </c>
      <c r="G167" s="117" t="str">
        <f>CONCATENATE(IF(ISNUMBER(INDEX('register map'!D:D,C167)),7,""),IF(ISNUMBER(INDEX('register map'!E:E,C167)),6,""),IF(ISNUMBER(INDEX('register map'!F:F,C167)),5,""),IF(ISNUMBER(INDEX('register map'!G:G,C167)),4,""),IF(ISNUMBER(INDEX('register map'!H:H,C167)),3,""),IF(ISNUMBER(INDEX('register map'!I:I,C167)),2,""),IF(ISNUMBER(INDEX('register map'!J:J,C167)),1,""),IF(ISNUMBER(INDEX('register map'!K:K,C167)),0,""))</f>
        <v>1</v>
      </c>
      <c r="H167" s="117" t="str">
        <f>RIGHT(INDEX('register map'!V:V,MATCH('Logical Group Generator'!B167,'register map'!L:L,0)),LEN(G167))</f>
        <v>0</v>
      </c>
      <c r="I167" s="117" t="str">
        <f>CONCATENATE(IF(ISNUMBER(INDEX('register map'!K:K,C167)),0,""),IF(ISNUMBER(INDEX('register map'!J:J,C167)),1,""),IF(ISNUMBER(INDEX('register map'!I:I,C167)),2,""),IF(ISNUMBER(INDEX('register map'!H:H,C167)),3,""),IF(ISNUMBER(INDEX('register map'!G:G,C167)),4,""),IF(ISNUMBER(INDEX('register map'!F:F,C167)),5,""),IF(ISNUMBER(INDEX('register map'!E:E,C167)),6,""),IF(ISNUMBER(INDEX('register map'!D:D,C167)),7,""))</f>
        <v>1</v>
      </c>
      <c r="J167" s="117" t="str">
        <f t="shared" si="29"/>
        <v>0</v>
      </c>
      <c r="K167" s="117" t="str">
        <f t="shared" si="22"/>
        <v/>
      </c>
      <c r="L167" s="117" t="str">
        <f t="shared" si="30"/>
        <v/>
      </c>
      <c r="M167" s="117" t="str">
        <f t="shared" si="32"/>
        <v/>
      </c>
      <c r="N167" s="117" t="str">
        <f>IF(ISBLANK(INDEX('register map'!M:M,'Logical Group Generator'!C167)),"No","Yes")</f>
        <v>No</v>
      </c>
      <c r="O167" s="117" t="str">
        <f>IF(NOT(ISBLANK(INDEX('register map'!N:N,'Logical Group Generator'!C167))),"Yes","")</f>
        <v/>
      </c>
      <c r="P167" s="117" t="str">
        <f t="shared" si="23"/>
        <v/>
      </c>
      <c r="Q167" s="117" t="str">
        <f t="shared" si="24"/>
        <v/>
      </c>
      <c r="R167" s="117" t="str">
        <f t="shared" si="25"/>
        <v/>
      </c>
      <c r="S167" s="117" t="str">
        <f t="shared" si="26"/>
        <v>No</v>
      </c>
      <c r="T167" s="117" t="str">
        <f t="shared" si="27"/>
        <v/>
      </c>
      <c r="U167" s="117" t="b">
        <f t="shared" si="31"/>
        <v>0</v>
      </c>
      <c r="V167" s="157" t="b">
        <f>INDEX('register map'!P:P,C167)="yes"</f>
        <v>1</v>
      </c>
      <c r="W167" s="157" t="str">
        <f t="shared" si="28"/>
        <v>FALSE</v>
      </c>
    </row>
    <row r="168" spans="2:23">
      <c r="B168" s="157" t="str">
        <f t="array" ref="B168">IF(ROWS($3:168)&lt;=COUNTA('register map'!$L$5:$L$902),INDEX('register map'!$L$5:$L$902,SMALL(IF('register map'!$L$5:$L$902&lt;&gt;"",ROW('register map'!$L$5:$L$902)-MIN(ROW('register map'!$L$5:$L$902))+1),ROWS($3:168))),"")</f>
        <v>BUCK3_FLTMSK</v>
      </c>
      <c r="C168" s="157">
        <f>IF(B168="PART_NUMBER",IF(COUNTIF($B$1:B167,"PART_NUMBER")=0,6,8),MATCH(B168,'register map'!L:L,0))</f>
        <v>181</v>
      </c>
      <c r="D168" s="117" t="str">
        <f>IF(ISBLANK(INDEX('register map'!C:C,'Logical Group Generator'!C168)),"No","Yes")</f>
        <v>No</v>
      </c>
      <c r="E168" s="117" t="str">
        <f>IF(ISBLANK(INDEX('register map'!A:A,C168)),IF(ISBLANK(INDEX('register map'!A:A,C168-1)),IF(ISBLANK(INDEX('register map'!A:A,C168-2)),IF(ISBLANK(INDEX('register map'!A:A,C168-3)),IF(ISBLANK(INDEX('register map'!A:A,C168-4)),IF(ISBLANK(INDEX('register map'!A:A,C168-5)),IF(ISBLANK(INDEX('register map'!A:A,C168-6)),IF(ISBLANK(INDEX('register map'!A:A,C168-7)),IF(ISBLANK(INDEX('register map'!A:A,C168-8)),"ERROR",INDEX('register map'!A:A,C168-8)),INDEX('register map'!A:A,C168-7)),INDEX('register map'!A:A,C168-6)),INDEX('register map'!A:A,C168-5)),INDEX('register map'!A:A,C168-4)),INDEX('register map'!A:A,C168-3)),INDEX('register map'!A:A,C168-2)),INDEX('register map'!A:A,C168-1)),INDEX('register map'!A:A,C168))</f>
        <v>0x5E</v>
      </c>
      <c r="F168" s="117" t="str">
        <f>IF(ISBLANK(INDEX('register map'!B:B,C168)),IF(ISBLANK(INDEX('register map'!B:B,C168-1)),IF(ISBLANK(INDEX('register map'!B:B,C168-2)),IF(ISBLANK(INDEX('register map'!B:B,C168-3)),IF(ISBLANK(INDEX('register map'!B:B,C168-4)),IF(ISBLANK(INDEX('register map'!B:B,C168-5)),IF(ISBLANK(INDEX('register map'!B:B,C168-6)),IF(ISBLANK(INDEX('register map'!B:B,C168-7)),IF(ISBLANK(INDEX('register map'!B:B,C168-8)),"ERROR",INDEX('register map'!B:B,C168-8)),INDEX('register map'!B:B,C168-7)),INDEX('register map'!B:B,C168-6)),INDEX('register map'!B:B,C168-5)),INDEX('register map'!B:B,C168-4)),INDEX('register map'!B:B,C168-3)),INDEX('register map'!B:B,C168-2)),INDEX('register map'!B:B,C168-1)),INDEX('register map'!B:B,C168))</f>
        <v>0xA2</v>
      </c>
      <c r="G168" s="117" t="str">
        <f>CONCATENATE(IF(ISNUMBER(INDEX('register map'!D:D,C168)),7,""),IF(ISNUMBER(INDEX('register map'!E:E,C168)),6,""),IF(ISNUMBER(INDEX('register map'!F:F,C168)),5,""),IF(ISNUMBER(INDEX('register map'!G:G,C168)),4,""),IF(ISNUMBER(INDEX('register map'!H:H,C168)),3,""),IF(ISNUMBER(INDEX('register map'!I:I,C168)),2,""),IF(ISNUMBER(INDEX('register map'!J:J,C168)),1,""),IF(ISNUMBER(INDEX('register map'!K:K,C168)),0,""))</f>
        <v>2</v>
      </c>
      <c r="H168" s="117" t="str">
        <f>RIGHT(INDEX('register map'!V:V,MATCH('Logical Group Generator'!B168,'register map'!L:L,0)),LEN(G168))</f>
        <v>0</v>
      </c>
      <c r="I168" s="117" t="str">
        <f>CONCATENATE(IF(ISNUMBER(INDEX('register map'!K:K,C168)),0,""),IF(ISNUMBER(INDEX('register map'!J:J,C168)),1,""),IF(ISNUMBER(INDEX('register map'!I:I,C168)),2,""),IF(ISNUMBER(INDEX('register map'!H:H,C168)),3,""),IF(ISNUMBER(INDEX('register map'!G:G,C168)),4,""),IF(ISNUMBER(INDEX('register map'!F:F,C168)),5,""),IF(ISNUMBER(INDEX('register map'!E:E,C168)),6,""),IF(ISNUMBER(INDEX('register map'!D:D,C168)),7,""))</f>
        <v>2</v>
      </c>
      <c r="J168" s="117" t="str">
        <f t="shared" si="29"/>
        <v>0</v>
      </c>
      <c r="K168" s="117" t="str">
        <f t="shared" si="22"/>
        <v/>
      </c>
      <c r="L168" s="117" t="str">
        <f t="shared" si="30"/>
        <v/>
      </c>
      <c r="M168" s="117" t="str">
        <f t="shared" si="32"/>
        <v/>
      </c>
      <c r="N168" s="117" t="str">
        <f>IF(ISBLANK(INDEX('register map'!M:M,'Logical Group Generator'!C168)),"No","Yes")</f>
        <v>No</v>
      </c>
      <c r="O168" s="117" t="str">
        <f>IF(NOT(ISBLANK(INDEX('register map'!N:N,'Logical Group Generator'!C168))),"Yes","")</f>
        <v/>
      </c>
      <c r="P168" s="117" t="str">
        <f t="shared" si="23"/>
        <v/>
      </c>
      <c r="Q168" s="117" t="str">
        <f t="shared" si="24"/>
        <v/>
      </c>
      <c r="R168" s="117" t="str">
        <f t="shared" si="25"/>
        <v/>
      </c>
      <c r="S168" s="117" t="str">
        <f t="shared" si="26"/>
        <v>No</v>
      </c>
      <c r="T168" s="117" t="str">
        <f t="shared" si="27"/>
        <v/>
      </c>
      <c r="U168" s="117" t="b">
        <f t="shared" si="31"/>
        <v>0</v>
      </c>
      <c r="V168" s="157" t="b">
        <f>INDEX('register map'!P:P,C168)="yes"</f>
        <v>1</v>
      </c>
      <c r="W168" s="157" t="str">
        <f t="shared" si="28"/>
        <v>FALSE</v>
      </c>
    </row>
    <row r="169" spans="2:23">
      <c r="B169" s="157" t="str">
        <f t="array" ref="B169">IF(ROWS($3:169)&lt;=COUNTA('register map'!$L$5:$L$902),INDEX('register map'!$L$5:$L$902,SMALL(IF('register map'!$L$5:$L$902&lt;&gt;"",ROW('register map'!$L$5:$L$902)-MIN(ROW('register map'!$L$5:$L$902))+1),ROWS($3:169))),"")</f>
        <v>BUCK4_FLTMSK</v>
      </c>
      <c r="C169" s="157">
        <f>IF(B169="PART_NUMBER",IF(COUNTIF($B$1:B168,"PART_NUMBER")=0,6,8),MATCH(B169,'register map'!L:L,0))</f>
        <v>182</v>
      </c>
      <c r="D169" s="117" t="str">
        <f>IF(ISBLANK(INDEX('register map'!C:C,'Logical Group Generator'!C169)),"No","Yes")</f>
        <v>No</v>
      </c>
      <c r="E169" s="117" t="str">
        <f>IF(ISBLANK(INDEX('register map'!A:A,C169)),IF(ISBLANK(INDEX('register map'!A:A,C169-1)),IF(ISBLANK(INDEX('register map'!A:A,C169-2)),IF(ISBLANK(INDEX('register map'!A:A,C169-3)),IF(ISBLANK(INDEX('register map'!A:A,C169-4)),IF(ISBLANK(INDEX('register map'!A:A,C169-5)),IF(ISBLANK(INDEX('register map'!A:A,C169-6)),IF(ISBLANK(INDEX('register map'!A:A,C169-7)),IF(ISBLANK(INDEX('register map'!A:A,C169-8)),"ERROR",INDEX('register map'!A:A,C169-8)),INDEX('register map'!A:A,C169-7)),INDEX('register map'!A:A,C169-6)),INDEX('register map'!A:A,C169-5)),INDEX('register map'!A:A,C169-4)),INDEX('register map'!A:A,C169-3)),INDEX('register map'!A:A,C169-2)),INDEX('register map'!A:A,C169-1)),INDEX('register map'!A:A,C169))</f>
        <v>0x5E</v>
      </c>
      <c r="F169" s="117" t="str">
        <f>IF(ISBLANK(INDEX('register map'!B:B,C169)),IF(ISBLANK(INDEX('register map'!B:B,C169-1)),IF(ISBLANK(INDEX('register map'!B:B,C169-2)),IF(ISBLANK(INDEX('register map'!B:B,C169-3)),IF(ISBLANK(INDEX('register map'!B:B,C169-4)),IF(ISBLANK(INDEX('register map'!B:B,C169-5)),IF(ISBLANK(INDEX('register map'!B:B,C169-6)),IF(ISBLANK(INDEX('register map'!B:B,C169-7)),IF(ISBLANK(INDEX('register map'!B:B,C169-8)),"ERROR",INDEX('register map'!B:B,C169-8)),INDEX('register map'!B:B,C169-7)),INDEX('register map'!B:B,C169-6)),INDEX('register map'!B:B,C169-5)),INDEX('register map'!B:B,C169-4)),INDEX('register map'!B:B,C169-3)),INDEX('register map'!B:B,C169-2)),INDEX('register map'!B:B,C169-1)),INDEX('register map'!B:B,C169))</f>
        <v>0xA2</v>
      </c>
      <c r="G169" s="117" t="str">
        <f>CONCATENATE(IF(ISNUMBER(INDEX('register map'!D:D,C169)),7,""),IF(ISNUMBER(INDEX('register map'!E:E,C169)),6,""),IF(ISNUMBER(INDEX('register map'!F:F,C169)),5,""),IF(ISNUMBER(INDEX('register map'!G:G,C169)),4,""),IF(ISNUMBER(INDEX('register map'!H:H,C169)),3,""),IF(ISNUMBER(INDEX('register map'!I:I,C169)),2,""),IF(ISNUMBER(INDEX('register map'!J:J,C169)),1,""),IF(ISNUMBER(INDEX('register map'!K:K,C169)),0,""))</f>
        <v>3</v>
      </c>
      <c r="H169" s="117" t="str">
        <f>RIGHT(INDEX('register map'!V:V,MATCH('Logical Group Generator'!B169,'register map'!L:L,0)),LEN(G169))</f>
        <v>0</v>
      </c>
      <c r="I169" s="117" t="str">
        <f>CONCATENATE(IF(ISNUMBER(INDEX('register map'!K:K,C169)),0,""),IF(ISNUMBER(INDEX('register map'!J:J,C169)),1,""),IF(ISNUMBER(INDEX('register map'!I:I,C169)),2,""),IF(ISNUMBER(INDEX('register map'!H:H,C169)),3,""),IF(ISNUMBER(INDEX('register map'!G:G,C169)),4,""),IF(ISNUMBER(INDEX('register map'!F:F,C169)),5,""),IF(ISNUMBER(INDEX('register map'!E:E,C169)),6,""),IF(ISNUMBER(INDEX('register map'!D:D,C169)),7,""))</f>
        <v>3</v>
      </c>
      <c r="J169" s="117" t="str">
        <f t="shared" si="29"/>
        <v>0</v>
      </c>
      <c r="K169" s="117" t="str">
        <f t="shared" si="22"/>
        <v/>
      </c>
      <c r="L169" s="117" t="str">
        <f t="shared" si="30"/>
        <v/>
      </c>
      <c r="M169" s="117" t="str">
        <f t="shared" si="32"/>
        <v/>
      </c>
      <c r="N169" s="117" t="str">
        <f>IF(ISBLANK(INDEX('register map'!M:M,'Logical Group Generator'!C169)),"No","Yes")</f>
        <v>No</v>
      </c>
      <c r="O169" s="117" t="str">
        <f>IF(NOT(ISBLANK(INDEX('register map'!N:N,'Logical Group Generator'!C169))),"Yes","")</f>
        <v/>
      </c>
      <c r="P169" s="117" t="str">
        <f t="shared" si="23"/>
        <v/>
      </c>
      <c r="Q169" s="117" t="str">
        <f t="shared" si="24"/>
        <v/>
      </c>
      <c r="R169" s="117" t="str">
        <f t="shared" si="25"/>
        <v/>
      </c>
      <c r="S169" s="117" t="str">
        <f t="shared" si="26"/>
        <v>No</v>
      </c>
      <c r="T169" s="117" t="str">
        <f t="shared" si="27"/>
        <v/>
      </c>
      <c r="U169" s="117" t="b">
        <f t="shared" si="31"/>
        <v>0</v>
      </c>
      <c r="V169" s="157" t="b">
        <f>INDEX('register map'!P:P,C169)="yes"</f>
        <v>1</v>
      </c>
      <c r="W169" s="157" t="str">
        <f t="shared" si="28"/>
        <v>FALSE</v>
      </c>
    </row>
    <row r="170" spans="2:23">
      <c r="B170" s="157" t="str">
        <f t="array" ref="B170">IF(ROWS($3:170)&lt;=COUNTA('register map'!$L$5:$L$902),INDEX('register map'!$L$5:$L$902,SMALL(IF('register map'!$L$5:$L$902&lt;&gt;"",ROW('register map'!$L$5:$L$902)-MIN(ROW('register map'!$L$5:$L$902))+1),ROWS($3:170))),"")</f>
        <v>BUCK5_FLTMSK</v>
      </c>
      <c r="C170" s="157">
        <f>IF(B170="PART_NUMBER",IF(COUNTIF($B$1:B169,"PART_NUMBER")=0,6,8),MATCH(B170,'register map'!L:L,0))</f>
        <v>183</v>
      </c>
      <c r="D170" s="117" t="str">
        <f>IF(ISBLANK(INDEX('register map'!C:C,'Logical Group Generator'!C170)),"No","Yes")</f>
        <v>No</v>
      </c>
      <c r="E170" s="117" t="str">
        <f>IF(ISBLANK(INDEX('register map'!A:A,C170)),IF(ISBLANK(INDEX('register map'!A:A,C170-1)),IF(ISBLANK(INDEX('register map'!A:A,C170-2)),IF(ISBLANK(INDEX('register map'!A:A,C170-3)),IF(ISBLANK(INDEX('register map'!A:A,C170-4)),IF(ISBLANK(INDEX('register map'!A:A,C170-5)),IF(ISBLANK(INDEX('register map'!A:A,C170-6)),IF(ISBLANK(INDEX('register map'!A:A,C170-7)),IF(ISBLANK(INDEX('register map'!A:A,C170-8)),"ERROR",INDEX('register map'!A:A,C170-8)),INDEX('register map'!A:A,C170-7)),INDEX('register map'!A:A,C170-6)),INDEX('register map'!A:A,C170-5)),INDEX('register map'!A:A,C170-4)),INDEX('register map'!A:A,C170-3)),INDEX('register map'!A:A,C170-2)),INDEX('register map'!A:A,C170-1)),INDEX('register map'!A:A,C170))</f>
        <v>0x5E</v>
      </c>
      <c r="F170" s="117" t="str">
        <f>IF(ISBLANK(INDEX('register map'!B:B,C170)),IF(ISBLANK(INDEX('register map'!B:B,C170-1)),IF(ISBLANK(INDEX('register map'!B:B,C170-2)),IF(ISBLANK(INDEX('register map'!B:B,C170-3)),IF(ISBLANK(INDEX('register map'!B:B,C170-4)),IF(ISBLANK(INDEX('register map'!B:B,C170-5)),IF(ISBLANK(INDEX('register map'!B:B,C170-6)),IF(ISBLANK(INDEX('register map'!B:B,C170-7)),IF(ISBLANK(INDEX('register map'!B:B,C170-8)),"ERROR",INDEX('register map'!B:B,C170-8)),INDEX('register map'!B:B,C170-7)),INDEX('register map'!B:B,C170-6)),INDEX('register map'!B:B,C170-5)),INDEX('register map'!B:B,C170-4)),INDEX('register map'!B:B,C170-3)),INDEX('register map'!B:B,C170-2)),INDEX('register map'!B:B,C170-1)),INDEX('register map'!B:B,C170))</f>
        <v>0xA2</v>
      </c>
      <c r="G170" s="117" t="str">
        <f>CONCATENATE(IF(ISNUMBER(INDEX('register map'!D:D,C170)),7,""),IF(ISNUMBER(INDEX('register map'!E:E,C170)),6,""),IF(ISNUMBER(INDEX('register map'!F:F,C170)),5,""),IF(ISNUMBER(INDEX('register map'!G:G,C170)),4,""),IF(ISNUMBER(INDEX('register map'!H:H,C170)),3,""),IF(ISNUMBER(INDEX('register map'!I:I,C170)),2,""),IF(ISNUMBER(INDEX('register map'!J:J,C170)),1,""),IF(ISNUMBER(INDEX('register map'!K:K,C170)),0,""))</f>
        <v>4</v>
      </c>
      <c r="H170" s="117" t="str">
        <f>RIGHT(INDEX('register map'!V:V,MATCH('Logical Group Generator'!B170,'register map'!L:L,0)),LEN(G170))</f>
        <v>1</v>
      </c>
      <c r="I170" s="117" t="str">
        <f>CONCATENATE(IF(ISNUMBER(INDEX('register map'!K:K,C170)),0,""),IF(ISNUMBER(INDEX('register map'!J:J,C170)),1,""),IF(ISNUMBER(INDEX('register map'!I:I,C170)),2,""),IF(ISNUMBER(INDEX('register map'!H:H,C170)),3,""),IF(ISNUMBER(INDEX('register map'!G:G,C170)),4,""),IF(ISNUMBER(INDEX('register map'!F:F,C170)),5,""),IF(ISNUMBER(INDEX('register map'!E:E,C170)),6,""),IF(ISNUMBER(INDEX('register map'!D:D,C170)),7,""))</f>
        <v>4</v>
      </c>
      <c r="J170" s="117" t="str">
        <f t="shared" si="29"/>
        <v>1</v>
      </c>
      <c r="K170" s="117" t="str">
        <f t="shared" si="22"/>
        <v/>
      </c>
      <c r="L170" s="117" t="str">
        <f t="shared" si="30"/>
        <v/>
      </c>
      <c r="M170" s="117" t="str">
        <f t="shared" si="32"/>
        <v/>
      </c>
      <c r="N170" s="117" t="str">
        <f>IF(ISBLANK(INDEX('register map'!M:M,'Logical Group Generator'!C170)),"No","Yes")</f>
        <v>No</v>
      </c>
      <c r="O170" s="117" t="str">
        <f>IF(NOT(ISBLANK(INDEX('register map'!N:N,'Logical Group Generator'!C170))),"Yes","")</f>
        <v/>
      </c>
      <c r="P170" s="117" t="str">
        <f t="shared" si="23"/>
        <v/>
      </c>
      <c r="Q170" s="117" t="str">
        <f t="shared" si="24"/>
        <v/>
      </c>
      <c r="R170" s="117" t="str">
        <f t="shared" si="25"/>
        <v/>
      </c>
      <c r="S170" s="117" t="str">
        <f t="shared" si="26"/>
        <v>No</v>
      </c>
      <c r="T170" s="117" t="str">
        <f t="shared" si="27"/>
        <v/>
      </c>
      <c r="U170" s="117" t="b">
        <f t="shared" si="31"/>
        <v>0</v>
      </c>
      <c r="V170" s="157" t="b">
        <f>INDEX('register map'!P:P,C170)="yes"</f>
        <v>1</v>
      </c>
      <c r="W170" s="157" t="str">
        <f t="shared" si="28"/>
        <v>FALSE</v>
      </c>
    </row>
    <row r="171" spans="2:23">
      <c r="B171" s="157" t="str">
        <f t="array" ref="B171">IF(ROWS($3:171)&lt;=COUNTA('register map'!$L$5:$L$902),INDEX('register map'!$L$5:$L$902,SMALL(IF('register map'!$L$5:$L$902&lt;&gt;"",ROW('register map'!$L$5:$L$902)-MIN(ROW('register map'!$L$5:$L$902))+1),ROWS($3:171))),"")</f>
        <v>BUCK6_FLTMSK</v>
      </c>
      <c r="C171" s="157">
        <f>IF(B171="PART_NUMBER",IF(COUNTIF($B$1:B170,"PART_NUMBER")=0,6,8),MATCH(B171,'register map'!L:L,0))</f>
        <v>184</v>
      </c>
      <c r="D171" s="117" t="str">
        <f>IF(ISBLANK(INDEX('register map'!C:C,'Logical Group Generator'!C171)),"No","Yes")</f>
        <v>No</v>
      </c>
      <c r="E171" s="117" t="str">
        <f>IF(ISBLANK(INDEX('register map'!A:A,C171)),IF(ISBLANK(INDEX('register map'!A:A,C171-1)),IF(ISBLANK(INDEX('register map'!A:A,C171-2)),IF(ISBLANK(INDEX('register map'!A:A,C171-3)),IF(ISBLANK(INDEX('register map'!A:A,C171-4)),IF(ISBLANK(INDEX('register map'!A:A,C171-5)),IF(ISBLANK(INDEX('register map'!A:A,C171-6)),IF(ISBLANK(INDEX('register map'!A:A,C171-7)),IF(ISBLANK(INDEX('register map'!A:A,C171-8)),"ERROR",INDEX('register map'!A:A,C171-8)),INDEX('register map'!A:A,C171-7)),INDEX('register map'!A:A,C171-6)),INDEX('register map'!A:A,C171-5)),INDEX('register map'!A:A,C171-4)),INDEX('register map'!A:A,C171-3)),INDEX('register map'!A:A,C171-2)),INDEX('register map'!A:A,C171-1)),INDEX('register map'!A:A,C171))</f>
        <v>0x5E</v>
      </c>
      <c r="F171" s="117" t="str">
        <f>IF(ISBLANK(INDEX('register map'!B:B,C171)),IF(ISBLANK(INDEX('register map'!B:B,C171-1)),IF(ISBLANK(INDEX('register map'!B:B,C171-2)),IF(ISBLANK(INDEX('register map'!B:B,C171-3)),IF(ISBLANK(INDEX('register map'!B:B,C171-4)),IF(ISBLANK(INDEX('register map'!B:B,C171-5)),IF(ISBLANK(INDEX('register map'!B:B,C171-6)),IF(ISBLANK(INDEX('register map'!B:B,C171-7)),IF(ISBLANK(INDEX('register map'!B:B,C171-8)),"ERROR",INDEX('register map'!B:B,C171-8)),INDEX('register map'!B:B,C171-7)),INDEX('register map'!B:B,C171-6)),INDEX('register map'!B:B,C171-5)),INDEX('register map'!B:B,C171-4)),INDEX('register map'!B:B,C171-3)),INDEX('register map'!B:B,C171-2)),INDEX('register map'!B:B,C171-1)),INDEX('register map'!B:B,C171))</f>
        <v>0xA2</v>
      </c>
      <c r="G171" s="117" t="str">
        <f>CONCATENATE(IF(ISNUMBER(INDEX('register map'!D:D,C171)),7,""),IF(ISNUMBER(INDEX('register map'!E:E,C171)),6,""),IF(ISNUMBER(INDEX('register map'!F:F,C171)),5,""),IF(ISNUMBER(INDEX('register map'!G:G,C171)),4,""),IF(ISNUMBER(INDEX('register map'!H:H,C171)),3,""),IF(ISNUMBER(INDEX('register map'!I:I,C171)),2,""),IF(ISNUMBER(INDEX('register map'!J:J,C171)),1,""),IF(ISNUMBER(INDEX('register map'!K:K,C171)),0,""))</f>
        <v>5</v>
      </c>
      <c r="H171" s="117" t="str">
        <f>RIGHT(INDEX('register map'!V:V,MATCH('Logical Group Generator'!B171,'register map'!L:L,0)),LEN(G171))</f>
        <v>0</v>
      </c>
      <c r="I171" s="117" t="str">
        <f>CONCATENATE(IF(ISNUMBER(INDEX('register map'!K:K,C171)),0,""),IF(ISNUMBER(INDEX('register map'!J:J,C171)),1,""),IF(ISNUMBER(INDEX('register map'!I:I,C171)),2,""),IF(ISNUMBER(INDEX('register map'!H:H,C171)),3,""),IF(ISNUMBER(INDEX('register map'!G:G,C171)),4,""),IF(ISNUMBER(INDEX('register map'!F:F,C171)),5,""),IF(ISNUMBER(INDEX('register map'!E:E,C171)),6,""),IF(ISNUMBER(INDEX('register map'!D:D,C171)),7,""))</f>
        <v>5</v>
      </c>
      <c r="J171" s="117" t="str">
        <f t="shared" si="29"/>
        <v>0</v>
      </c>
      <c r="K171" s="117" t="str">
        <f t="shared" si="22"/>
        <v/>
      </c>
      <c r="L171" s="117" t="str">
        <f t="shared" si="30"/>
        <v/>
      </c>
      <c r="M171" s="117" t="str">
        <f t="shared" si="32"/>
        <v/>
      </c>
      <c r="N171" s="117" t="str">
        <f>IF(ISBLANK(INDEX('register map'!M:M,'Logical Group Generator'!C171)),"No","Yes")</f>
        <v>No</v>
      </c>
      <c r="O171" s="117" t="str">
        <f>IF(NOT(ISBLANK(INDEX('register map'!N:N,'Logical Group Generator'!C171))),"Yes","")</f>
        <v/>
      </c>
      <c r="P171" s="117" t="str">
        <f t="shared" si="23"/>
        <v/>
      </c>
      <c r="Q171" s="117" t="str">
        <f t="shared" si="24"/>
        <v/>
      </c>
      <c r="R171" s="117" t="str">
        <f t="shared" si="25"/>
        <v/>
      </c>
      <c r="S171" s="117" t="str">
        <f t="shared" si="26"/>
        <v>No</v>
      </c>
      <c r="T171" s="117" t="str">
        <f t="shared" si="27"/>
        <v/>
      </c>
      <c r="U171" s="117" t="b">
        <f t="shared" si="31"/>
        <v>0</v>
      </c>
      <c r="V171" s="157" t="b">
        <f>INDEX('register map'!P:P,C171)="yes"</f>
        <v>1</v>
      </c>
      <c r="W171" s="157" t="str">
        <f t="shared" si="28"/>
        <v>FALSE</v>
      </c>
    </row>
    <row r="172" spans="2:23">
      <c r="B172" s="157" t="str">
        <f t="array" ref="B172">IF(ROWS($3:172)&lt;=COUNTA('register map'!$L$5:$L$902),INDEX('register map'!$L$5:$L$902,SMALL(IF('register map'!$L$5:$L$902&lt;&gt;"",ROW('register map'!$L$5:$L$902)-MIN(ROW('register map'!$L$5:$L$902))+1),ROWS($3:172))),"")</f>
        <v>SWA1_FLTMSK</v>
      </c>
      <c r="C172" s="157">
        <f>IF(B172="PART_NUMBER",IF(COUNTIF($B$1:B171,"PART_NUMBER")=0,6,8),MATCH(B172,'register map'!L:L,0))</f>
        <v>185</v>
      </c>
      <c r="D172" s="117" t="str">
        <f>IF(ISBLANK(INDEX('register map'!C:C,'Logical Group Generator'!C172)),"No","Yes")</f>
        <v>No</v>
      </c>
      <c r="E172" s="117" t="str">
        <f>IF(ISBLANK(INDEX('register map'!A:A,C172)),IF(ISBLANK(INDEX('register map'!A:A,C172-1)),IF(ISBLANK(INDEX('register map'!A:A,C172-2)),IF(ISBLANK(INDEX('register map'!A:A,C172-3)),IF(ISBLANK(INDEX('register map'!A:A,C172-4)),IF(ISBLANK(INDEX('register map'!A:A,C172-5)),IF(ISBLANK(INDEX('register map'!A:A,C172-6)),IF(ISBLANK(INDEX('register map'!A:A,C172-7)),IF(ISBLANK(INDEX('register map'!A:A,C172-8)),"ERROR",INDEX('register map'!A:A,C172-8)),INDEX('register map'!A:A,C172-7)),INDEX('register map'!A:A,C172-6)),INDEX('register map'!A:A,C172-5)),INDEX('register map'!A:A,C172-4)),INDEX('register map'!A:A,C172-3)),INDEX('register map'!A:A,C172-2)),INDEX('register map'!A:A,C172-1)),INDEX('register map'!A:A,C172))</f>
        <v>0x5E</v>
      </c>
      <c r="F172" s="117" t="str">
        <f>IF(ISBLANK(INDEX('register map'!B:B,C172)),IF(ISBLANK(INDEX('register map'!B:B,C172-1)),IF(ISBLANK(INDEX('register map'!B:B,C172-2)),IF(ISBLANK(INDEX('register map'!B:B,C172-3)),IF(ISBLANK(INDEX('register map'!B:B,C172-4)),IF(ISBLANK(INDEX('register map'!B:B,C172-5)),IF(ISBLANK(INDEX('register map'!B:B,C172-6)),IF(ISBLANK(INDEX('register map'!B:B,C172-7)),IF(ISBLANK(INDEX('register map'!B:B,C172-8)),"ERROR",INDEX('register map'!B:B,C172-8)),INDEX('register map'!B:B,C172-7)),INDEX('register map'!B:B,C172-6)),INDEX('register map'!B:B,C172-5)),INDEX('register map'!B:B,C172-4)),INDEX('register map'!B:B,C172-3)),INDEX('register map'!B:B,C172-2)),INDEX('register map'!B:B,C172-1)),INDEX('register map'!B:B,C172))</f>
        <v>0xA2</v>
      </c>
      <c r="G172" s="117" t="str">
        <f>CONCATENATE(IF(ISNUMBER(INDEX('register map'!D:D,C172)),7,""),IF(ISNUMBER(INDEX('register map'!E:E,C172)),6,""),IF(ISNUMBER(INDEX('register map'!F:F,C172)),5,""),IF(ISNUMBER(INDEX('register map'!G:G,C172)),4,""),IF(ISNUMBER(INDEX('register map'!H:H,C172)),3,""),IF(ISNUMBER(INDEX('register map'!I:I,C172)),2,""),IF(ISNUMBER(INDEX('register map'!J:J,C172)),1,""),IF(ISNUMBER(INDEX('register map'!K:K,C172)),0,""))</f>
        <v>6</v>
      </c>
      <c r="H172" s="117" t="str">
        <f>RIGHT(INDEX('register map'!V:V,MATCH('Logical Group Generator'!B172,'register map'!L:L,0)),LEN(G172))</f>
        <v>1</v>
      </c>
      <c r="I172" s="117" t="str">
        <f>CONCATENATE(IF(ISNUMBER(INDEX('register map'!K:K,C172)),0,""),IF(ISNUMBER(INDEX('register map'!J:J,C172)),1,""),IF(ISNUMBER(INDEX('register map'!I:I,C172)),2,""),IF(ISNUMBER(INDEX('register map'!H:H,C172)),3,""),IF(ISNUMBER(INDEX('register map'!G:G,C172)),4,""),IF(ISNUMBER(INDEX('register map'!F:F,C172)),5,""),IF(ISNUMBER(INDEX('register map'!E:E,C172)),6,""),IF(ISNUMBER(INDEX('register map'!D:D,C172)),7,""))</f>
        <v>6</v>
      </c>
      <c r="J172" s="117" t="str">
        <f t="shared" si="29"/>
        <v>1</v>
      </c>
      <c r="K172" s="117" t="str">
        <f t="shared" si="22"/>
        <v/>
      </c>
      <c r="L172" s="117" t="str">
        <f t="shared" si="30"/>
        <v/>
      </c>
      <c r="M172" s="117" t="str">
        <f t="shared" si="32"/>
        <v/>
      </c>
      <c r="N172" s="117" t="str">
        <f>IF(ISBLANK(INDEX('register map'!M:M,'Logical Group Generator'!C172)),"No","Yes")</f>
        <v>No</v>
      </c>
      <c r="O172" s="117" t="str">
        <f>IF(NOT(ISBLANK(INDEX('register map'!N:N,'Logical Group Generator'!C172))),"Yes","")</f>
        <v/>
      </c>
      <c r="P172" s="117" t="str">
        <f t="shared" si="23"/>
        <v/>
      </c>
      <c r="Q172" s="117" t="str">
        <f t="shared" si="24"/>
        <v/>
      </c>
      <c r="R172" s="117" t="str">
        <f t="shared" si="25"/>
        <v/>
      </c>
      <c r="S172" s="117" t="str">
        <f t="shared" si="26"/>
        <v>No</v>
      </c>
      <c r="T172" s="117" t="str">
        <f t="shared" si="27"/>
        <v/>
      </c>
      <c r="U172" s="117" t="b">
        <f t="shared" si="31"/>
        <v>0</v>
      </c>
      <c r="V172" s="157" t="b">
        <f>INDEX('register map'!P:P,C172)="yes"</f>
        <v>1</v>
      </c>
      <c r="W172" s="157" t="str">
        <f t="shared" si="28"/>
        <v>FALSE</v>
      </c>
    </row>
    <row r="173" spans="2:23">
      <c r="B173" s="157" t="str">
        <f t="array" ref="B173">IF(ROWS($3:173)&lt;=COUNTA('register map'!$L$5:$L$902),INDEX('register map'!$L$5:$L$902,SMALL(IF('register map'!$L$5:$L$902&lt;&gt;"",ROW('register map'!$L$5:$L$902)-MIN(ROW('register map'!$L$5:$L$902))+1),ROWS($3:173))),"")</f>
        <v>LDOA2_FLTMSK</v>
      </c>
      <c r="C173" s="157">
        <f>IF(B173="PART_NUMBER",IF(COUNTIF($B$1:B172,"PART_NUMBER")=0,6,8),MATCH(B173,'register map'!L:L,0))</f>
        <v>186</v>
      </c>
      <c r="D173" s="117" t="str">
        <f>IF(ISBLANK(INDEX('register map'!C:C,'Logical Group Generator'!C173)),"No","Yes")</f>
        <v>No</v>
      </c>
      <c r="E173" s="117" t="str">
        <f>IF(ISBLANK(INDEX('register map'!A:A,C173)),IF(ISBLANK(INDEX('register map'!A:A,C173-1)),IF(ISBLANK(INDEX('register map'!A:A,C173-2)),IF(ISBLANK(INDEX('register map'!A:A,C173-3)),IF(ISBLANK(INDEX('register map'!A:A,C173-4)),IF(ISBLANK(INDEX('register map'!A:A,C173-5)),IF(ISBLANK(INDEX('register map'!A:A,C173-6)),IF(ISBLANK(INDEX('register map'!A:A,C173-7)),IF(ISBLANK(INDEX('register map'!A:A,C173-8)),"ERROR",INDEX('register map'!A:A,C173-8)),INDEX('register map'!A:A,C173-7)),INDEX('register map'!A:A,C173-6)),INDEX('register map'!A:A,C173-5)),INDEX('register map'!A:A,C173-4)),INDEX('register map'!A:A,C173-3)),INDEX('register map'!A:A,C173-2)),INDEX('register map'!A:A,C173-1)),INDEX('register map'!A:A,C173))</f>
        <v>0x5E</v>
      </c>
      <c r="F173" s="117" t="str">
        <f>IF(ISBLANK(INDEX('register map'!B:B,C173)),IF(ISBLANK(INDEX('register map'!B:B,C173-1)),IF(ISBLANK(INDEX('register map'!B:B,C173-2)),IF(ISBLANK(INDEX('register map'!B:B,C173-3)),IF(ISBLANK(INDEX('register map'!B:B,C173-4)),IF(ISBLANK(INDEX('register map'!B:B,C173-5)),IF(ISBLANK(INDEX('register map'!B:B,C173-6)),IF(ISBLANK(INDEX('register map'!B:B,C173-7)),IF(ISBLANK(INDEX('register map'!B:B,C173-8)),"ERROR",INDEX('register map'!B:B,C173-8)),INDEX('register map'!B:B,C173-7)),INDEX('register map'!B:B,C173-6)),INDEX('register map'!B:B,C173-5)),INDEX('register map'!B:B,C173-4)),INDEX('register map'!B:B,C173-3)),INDEX('register map'!B:B,C173-2)),INDEX('register map'!B:B,C173-1)),INDEX('register map'!B:B,C173))</f>
        <v>0xA2</v>
      </c>
      <c r="G173" s="117" t="str">
        <f>CONCATENATE(IF(ISNUMBER(INDEX('register map'!D:D,C173)),7,""),IF(ISNUMBER(INDEX('register map'!E:E,C173)),6,""),IF(ISNUMBER(INDEX('register map'!F:F,C173)),5,""),IF(ISNUMBER(INDEX('register map'!G:G,C173)),4,""),IF(ISNUMBER(INDEX('register map'!H:H,C173)),3,""),IF(ISNUMBER(INDEX('register map'!I:I,C173)),2,""),IF(ISNUMBER(INDEX('register map'!J:J,C173)),1,""),IF(ISNUMBER(INDEX('register map'!K:K,C173)),0,""))</f>
        <v>7</v>
      </c>
      <c r="H173" s="117" t="str">
        <f>RIGHT(INDEX('register map'!V:V,MATCH('Logical Group Generator'!B173,'register map'!L:L,0)),LEN(G173))</f>
        <v>1</v>
      </c>
      <c r="I173" s="117" t="str">
        <f>CONCATENATE(IF(ISNUMBER(INDEX('register map'!K:K,C173)),0,""),IF(ISNUMBER(INDEX('register map'!J:J,C173)),1,""),IF(ISNUMBER(INDEX('register map'!I:I,C173)),2,""),IF(ISNUMBER(INDEX('register map'!H:H,C173)),3,""),IF(ISNUMBER(INDEX('register map'!G:G,C173)),4,""),IF(ISNUMBER(INDEX('register map'!F:F,C173)),5,""),IF(ISNUMBER(INDEX('register map'!E:E,C173)),6,""),IF(ISNUMBER(INDEX('register map'!D:D,C173)),7,""))</f>
        <v>7</v>
      </c>
      <c r="J173" s="117" t="str">
        <f t="shared" si="29"/>
        <v>1</v>
      </c>
      <c r="K173" s="117" t="str">
        <f t="shared" si="22"/>
        <v/>
      </c>
      <c r="L173" s="117" t="str">
        <f t="shared" si="30"/>
        <v/>
      </c>
      <c r="M173" s="117" t="str">
        <f t="shared" si="32"/>
        <v/>
      </c>
      <c r="N173" s="117" t="str">
        <f>IF(ISBLANK(INDEX('register map'!M:M,'Logical Group Generator'!C173)),"No","Yes")</f>
        <v>No</v>
      </c>
      <c r="O173" s="117" t="str">
        <f>IF(NOT(ISBLANK(INDEX('register map'!N:N,'Logical Group Generator'!C173))),"Yes","")</f>
        <v/>
      </c>
      <c r="P173" s="117" t="str">
        <f t="shared" si="23"/>
        <v/>
      </c>
      <c r="Q173" s="117" t="str">
        <f t="shared" si="24"/>
        <v/>
      </c>
      <c r="R173" s="117" t="str">
        <f t="shared" si="25"/>
        <v/>
      </c>
      <c r="S173" s="117" t="str">
        <f t="shared" si="26"/>
        <v>No</v>
      </c>
      <c r="T173" s="117" t="str">
        <f t="shared" si="27"/>
        <v/>
      </c>
      <c r="U173" s="117" t="b">
        <f t="shared" si="31"/>
        <v>0</v>
      </c>
      <c r="V173" s="157" t="b">
        <f>INDEX('register map'!P:P,C173)="yes"</f>
        <v>1</v>
      </c>
      <c r="W173" s="157" t="str">
        <f t="shared" si="28"/>
        <v>FALSE</v>
      </c>
    </row>
    <row r="174" spans="2:23">
      <c r="B174" s="157" t="str">
        <f t="array" ref="B174">IF(ROWS($3:174)&lt;=COUNTA('register map'!$L$5:$L$902),INDEX('register map'!$L$5:$L$902,SMALL(IF('register map'!$L$5:$L$902&lt;&gt;"",ROW('register map'!$L$5:$L$902)-MIN(ROW('register map'!$L$5:$L$902))+1),ROWS($3:174))),"")</f>
        <v>PWR_FAULT_MASK2</v>
      </c>
      <c r="C174" s="157">
        <f>IF(B174="PART_NUMBER",IF(COUNTIF($B$1:B173,"PART_NUMBER")=0,6,8),MATCH(B174,'register map'!L:L,0))</f>
        <v>187</v>
      </c>
      <c r="D174" s="117" t="str">
        <f>IF(ISBLANK(INDEX('register map'!C:C,'Logical Group Generator'!C174)),"No","Yes")</f>
        <v>Yes</v>
      </c>
      <c r="E174" s="117" t="str">
        <f>IF(ISBLANK(INDEX('register map'!A:A,C174)),IF(ISBLANK(INDEX('register map'!A:A,C174-1)),IF(ISBLANK(INDEX('register map'!A:A,C174-2)),IF(ISBLANK(INDEX('register map'!A:A,C174-3)),IF(ISBLANK(INDEX('register map'!A:A,C174-4)),IF(ISBLANK(INDEX('register map'!A:A,C174-5)),IF(ISBLANK(INDEX('register map'!A:A,C174-6)),IF(ISBLANK(INDEX('register map'!A:A,C174-7)),IF(ISBLANK(INDEX('register map'!A:A,C174-8)),"ERROR",INDEX('register map'!A:A,C174-8)),INDEX('register map'!A:A,C174-7)),INDEX('register map'!A:A,C174-6)),INDEX('register map'!A:A,C174-5)),INDEX('register map'!A:A,C174-4)),INDEX('register map'!A:A,C174-3)),INDEX('register map'!A:A,C174-2)),INDEX('register map'!A:A,C174-1)),INDEX('register map'!A:A,C174))</f>
        <v>0x5E</v>
      </c>
      <c r="F174" s="117" t="str">
        <f>IF(ISBLANK(INDEX('register map'!B:B,C174)),IF(ISBLANK(INDEX('register map'!B:B,C174-1)),IF(ISBLANK(INDEX('register map'!B:B,C174-2)),IF(ISBLANK(INDEX('register map'!B:B,C174-3)),IF(ISBLANK(INDEX('register map'!B:B,C174-4)),IF(ISBLANK(INDEX('register map'!B:B,C174-5)),IF(ISBLANK(INDEX('register map'!B:B,C174-6)),IF(ISBLANK(INDEX('register map'!B:B,C174-7)),IF(ISBLANK(INDEX('register map'!B:B,C174-8)),"ERROR",INDEX('register map'!B:B,C174-8)),INDEX('register map'!B:B,C174-7)),INDEX('register map'!B:B,C174-6)),INDEX('register map'!B:B,C174-5)),INDEX('register map'!B:B,C174-4)),INDEX('register map'!B:B,C174-3)),INDEX('register map'!B:B,C174-2)),INDEX('register map'!B:B,C174-1)),INDEX('register map'!B:B,C174))</f>
        <v>0xA3</v>
      </c>
      <c r="G174" s="117" t="str">
        <f>CONCATENATE(IF(ISNUMBER(INDEX('register map'!D:D,C174)),7,""),IF(ISNUMBER(INDEX('register map'!E:E,C174)),6,""),IF(ISNUMBER(INDEX('register map'!F:F,C174)),5,""),IF(ISNUMBER(INDEX('register map'!G:G,C174)),4,""),IF(ISNUMBER(INDEX('register map'!H:H,C174)),3,""),IF(ISNUMBER(INDEX('register map'!I:I,C174)),2,""),IF(ISNUMBER(INDEX('register map'!J:J,C174)),1,""),IF(ISNUMBER(INDEX('register map'!K:K,C174)),0,""))</f>
        <v/>
      </c>
      <c r="H174" s="117" t="str">
        <f>RIGHT(INDEX('register map'!V:V,MATCH('Logical Group Generator'!B174,'register map'!L:L,0)),LEN(G174))</f>
        <v/>
      </c>
      <c r="I174" s="117" t="str">
        <f>CONCATENATE(IF(ISNUMBER(INDEX('register map'!K:K,C174)),0,""),IF(ISNUMBER(INDEX('register map'!J:J,C174)),1,""),IF(ISNUMBER(INDEX('register map'!I:I,C174)),2,""),IF(ISNUMBER(INDEX('register map'!H:H,C174)),3,""),IF(ISNUMBER(INDEX('register map'!G:G,C174)),4,""),IF(ISNUMBER(INDEX('register map'!F:F,C174)),5,""),IF(ISNUMBER(INDEX('register map'!E:E,C174)),6,""),IF(ISNUMBER(INDEX('register map'!D:D,C174)),7,""))</f>
        <v/>
      </c>
      <c r="J174" s="117" t="str">
        <f t="shared" si="29"/>
        <v/>
      </c>
      <c r="K174" s="117" t="str">
        <f t="shared" si="22"/>
        <v>01110100</v>
      </c>
      <c r="L174" s="117" t="str">
        <f t="shared" si="30"/>
        <v>00101110</v>
      </c>
      <c r="M174" s="117" t="str">
        <f t="shared" si="32"/>
        <v>2E</v>
      </c>
      <c r="N174" s="117" t="str">
        <f>IF(ISBLANK(INDEX('register map'!M:M,'Logical Group Generator'!C174)),"No","Yes")</f>
        <v>No</v>
      </c>
      <c r="O174" s="117" t="str">
        <f>IF(NOT(ISBLANK(INDEX('register map'!N:N,'Logical Group Generator'!C174))),"Yes","")</f>
        <v/>
      </c>
      <c r="P174" s="117" t="str">
        <f t="shared" si="23"/>
        <v>No</v>
      </c>
      <c r="Q174" s="117" t="str">
        <f t="shared" si="24"/>
        <v>No</v>
      </c>
      <c r="R174" s="117" t="str">
        <f t="shared" si="25"/>
        <v>No</v>
      </c>
      <c r="S174" s="117" t="str">
        <f t="shared" si="26"/>
        <v/>
      </c>
      <c r="T174" s="117" t="b">
        <f t="shared" si="27"/>
        <v>1</v>
      </c>
      <c r="U174" s="117" t="b">
        <f t="shared" si="31"/>
        <v>1</v>
      </c>
      <c r="V174" s="157" t="b">
        <f>INDEX('register map'!P:P,C174)="yes"</f>
        <v>1</v>
      </c>
      <c r="W174" s="157" t="str">
        <f t="shared" si="28"/>
        <v>REGISTER</v>
      </c>
    </row>
    <row r="175" spans="2:23">
      <c r="B175" s="157" t="str">
        <f t="array" ref="B175">IF(ROWS($3:175)&lt;=COUNTA('register map'!$L$5:$L$902),INDEX('register map'!$L$5:$L$902,SMALL(IF('register map'!$L$5:$L$902&lt;&gt;"",ROW('register map'!$L$5:$L$902)-MIN(ROW('register map'!$L$5:$L$902))+1),ROWS($3:175))),"")</f>
        <v>LDOA3_FLTMSK</v>
      </c>
      <c r="C175" s="157">
        <f>IF(B175="PART_NUMBER",IF(COUNTIF($B$1:B174,"PART_NUMBER")=0,6,8),MATCH(B175,'register map'!L:L,0))</f>
        <v>188</v>
      </c>
      <c r="D175" s="117" t="str">
        <f>IF(ISBLANK(INDEX('register map'!C:C,'Logical Group Generator'!C175)),"No","Yes")</f>
        <v>No</v>
      </c>
      <c r="E175" s="117" t="str">
        <f>IF(ISBLANK(INDEX('register map'!A:A,C175)),IF(ISBLANK(INDEX('register map'!A:A,C175-1)),IF(ISBLANK(INDEX('register map'!A:A,C175-2)),IF(ISBLANK(INDEX('register map'!A:A,C175-3)),IF(ISBLANK(INDEX('register map'!A:A,C175-4)),IF(ISBLANK(INDEX('register map'!A:A,C175-5)),IF(ISBLANK(INDEX('register map'!A:A,C175-6)),IF(ISBLANK(INDEX('register map'!A:A,C175-7)),IF(ISBLANK(INDEX('register map'!A:A,C175-8)),"ERROR",INDEX('register map'!A:A,C175-8)),INDEX('register map'!A:A,C175-7)),INDEX('register map'!A:A,C175-6)),INDEX('register map'!A:A,C175-5)),INDEX('register map'!A:A,C175-4)),INDEX('register map'!A:A,C175-3)),INDEX('register map'!A:A,C175-2)),INDEX('register map'!A:A,C175-1)),INDEX('register map'!A:A,C175))</f>
        <v>0x5E</v>
      </c>
      <c r="F175" s="117" t="str">
        <f>IF(ISBLANK(INDEX('register map'!B:B,C175)),IF(ISBLANK(INDEX('register map'!B:B,C175-1)),IF(ISBLANK(INDEX('register map'!B:B,C175-2)),IF(ISBLANK(INDEX('register map'!B:B,C175-3)),IF(ISBLANK(INDEX('register map'!B:B,C175-4)),IF(ISBLANK(INDEX('register map'!B:B,C175-5)),IF(ISBLANK(INDEX('register map'!B:B,C175-6)),IF(ISBLANK(INDEX('register map'!B:B,C175-7)),IF(ISBLANK(INDEX('register map'!B:B,C175-8)),"ERROR",INDEX('register map'!B:B,C175-8)),INDEX('register map'!B:B,C175-7)),INDEX('register map'!B:B,C175-6)),INDEX('register map'!B:B,C175-5)),INDEX('register map'!B:B,C175-4)),INDEX('register map'!B:B,C175-3)),INDEX('register map'!B:B,C175-2)),INDEX('register map'!B:B,C175-1)),INDEX('register map'!B:B,C175))</f>
        <v>0xA3</v>
      </c>
      <c r="G175" s="117" t="str">
        <f>CONCATENATE(IF(ISNUMBER(INDEX('register map'!D:D,C175)),7,""),IF(ISNUMBER(INDEX('register map'!E:E,C175)),6,""),IF(ISNUMBER(INDEX('register map'!F:F,C175)),5,""),IF(ISNUMBER(INDEX('register map'!G:G,C175)),4,""),IF(ISNUMBER(INDEX('register map'!H:H,C175)),3,""),IF(ISNUMBER(INDEX('register map'!I:I,C175)),2,""),IF(ISNUMBER(INDEX('register map'!J:J,C175)),1,""),IF(ISNUMBER(INDEX('register map'!K:K,C175)),0,""))</f>
        <v>0</v>
      </c>
      <c r="H175" s="117" t="str">
        <f>RIGHT(INDEX('register map'!V:V,MATCH('Logical Group Generator'!B175,'register map'!L:L,0)),LEN(G175))</f>
        <v>0</v>
      </c>
      <c r="I175" s="117" t="str">
        <f>CONCATENATE(IF(ISNUMBER(INDEX('register map'!K:K,C175)),0,""),IF(ISNUMBER(INDEX('register map'!J:J,C175)),1,""),IF(ISNUMBER(INDEX('register map'!I:I,C175)),2,""),IF(ISNUMBER(INDEX('register map'!H:H,C175)),3,""),IF(ISNUMBER(INDEX('register map'!G:G,C175)),4,""),IF(ISNUMBER(INDEX('register map'!F:F,C175)),5,""),IF(ISNUMBER(INDEX('register map'!E:E,C175)),6,""),IF(ISNUMBER(INDEX('register map'!D:D,C175)),7,""))</f>
        <v>0</v>
      </c>
      <c r="J175" s="117" t="str">
        <f t="shared" si="29"/>
        <v>0</v>
      </c>
      <c r="K175" s="117" t="str">
        <f t="shared" si="22"/>
        <v/>
      </c>
      <c r="L175" s="117" t="str">
        <f t="shared" si="30"/>
        <v/>
      </c>
      <c r="M175" s="117" t="str">
        <f t="shared" si="32"/>
        <v/>
      </c>
      <c r="N175" s="117" t="str">
        <f>IF(ISBLANK(INDEX('register map'!M:M,'Logical Group Generator'!C175)),"No","Yes")</f>
        <v>No</v>
      </c>
      <c r="O175" s="117" t="str">
        <f>IF(NOT(ISBLANK(INDEX('register map'!N:N,'Logical Group Generator'!C175))),"Yes","")</f>
        <v/>
      </c>
      <c r="P175" s="117" t="str">
        <f t="shared" si="23"/>
        <v/>
      </c>
      <c r="Q175" s="117" t="str">
        <f t="shared" si="24"/>
        <v/>
      </c>
      <c r="R175" s="117" t="str">
        <f t="shared" si="25"/>
        <v/>
      </c>
      <c r="S175" s="117" t="str">
        <f t="shared" si="26"/>
        <v>No</v>
      </c>
      <c r="T175" s="117" t="str">
        <f t="shared" si="27"/>
        <v/>
      </c>
      <c r="U175" s="117" t="b">
        <f t="shared" si="31"/>
        <v>0</v>
      </c>
      <c r="V175" s="157" t="b">
        <f>INDEX('register map'!P:P,C175)="yes"</f>
        <v>1</v>
      </c>
      <c r="W175" s="157" t="str">
        <f t="shared" si="28"/>
        <v>FALSE</v>
      </c>
    </row>
    <row r="176" spans="2:23">
      <c r="B176" s="157" t="str">
        <f t="array" ref="B176">IF(ROWS($3:176)&lt;=COUNTA('register map'!$L$5:$L$902),INDEX('register map'!$L$5:$L$902,SMALL(IF('register map'!$L$5:$L$902&lt;&gt;"",ROW('register map'!$L$5:$L$902)-MIN(ROW('register map'!$L$5:$L$902))+1),ROWS($3:176))),"")</f>
        <v>SWB1_FLTMSK</v>
      </c>
      <c r="C176" s="157">
        <f>IF(B176="PART_NUMBER",IF(COUNTIF($B$1:B175,"PART_NUMBER")=0,6,8),MATCH(B176,'register map'!L:L,0))</f>
        <v>189</v>
      </c>
      <c r="D176" s="117" t="str">
        <f>IF(ISBLANK(INDEX('register map'!C:C,'Logical Group Generator'!C176)),"No","Yes")</f>
        <v>No</v>
      </c>
      <c r="E176" s="117" t="str">
        <f>IF(ISBLANK(INDEX('register map'!A:A,C176)),IF(ISBLANK(INDEX('register map'!A:A,C176-1)),IF(ISBLANK(INDEX('register map'!A:A,C176-2)),IF(ISBLANK(INDEX('register map'!A:A,C176-3)),IF(ISBLANK(INDEX('register map'!A:A,C176-4)),IF(ISBLANK(INDEX('register map'!A:A,C176-5)),IF(ISBLANK(INDEX('register map'!A:A,C176-6)),IF(ISBLANK(INDEX('register map'!A:A,C176-7)),IF(ISBLANK(INDEX('register map'!A:A,C176-8)),"ERROR",INDEX('register map'!A:A,C176-8)),INDEX('register map'!A:A,C176-7)),INDEX('register map'!A:A,C176-6)),INDEX('register map'!A:A,C176-5)),INDEX('register map'!A:A,C176-4)),INDEX('register map'!A:A,C176-3)),INDEX('register map'!A:A,C176-2)),INDEX('register map'!A:A,C176-1)),INDEX('register map'!A:A,C176))</f>
        <v>0x5E</v>
      </c>
      <c r="F176" s="117" t="str">
        <f>IF(ISBLANK(INDEX('register map'!B:B,C176)),IF(ISBLANK(INDEX('register map'!B:B,C176-1)),IF(ISBLANK(INDEX('register map'!B:B,C176-2)),IF(ISBLANK(INDEX('register map'!B:B,C176-3)),IF(ISBLANK(INDEX('register map'!B:B,C176-4)),IF(ISBLANK(INDEX('register map'!B:B,C176-5)),IF(ISBLANK(INDEX('register map'!B:B,C176-6)),IF(ISBLANK(INDEX('register map'!B:B,C176-7)),IF(ISBLANK(INDEX('register map'!B:B,C176-8)),"ERROR",INDEX('register map'!B:B,C176-8)),INDEX('register map'!B:B,C176-7)),INDEX('register map'!B:B,C176-6)),INDEX('register map'!B:B,C176-5)),INDEX('register map'!B:B,C176-4)),INDEX('register map'!B:B,C176-3)),INDEX('register map'!B:B,C176-2)),INDEX('register map'!B:B,C176-1)),INDEX('register map'!B:B,C176))</f>
        <v>0xA3</v>
      </c>
      <c r="G176" s="117" t="str">
        <f>CONCATENATE(IF(ISNUMBER(INDEX('register map'!D:D,C176)),7,""),IF(ISNUMBER(INDEX('register map'!E:E,C176)),6,""),IF(ISNUMBER(INDEX('register map'!F:F,C176)),5,""),IF(ISNUMBER(INDEX('register map'!G:G,C176)),4,""),IF(ISNUMBER(INDEX('register map'!H:H,C176)),3,""),IF(ISNUMBER(INDEX('register map'!I:I,C176)),2,""),IF(ISNUMBER(INDEX('register map'!J:J,C176)),1,""),IF(ISNUMBER(INDEX('register map'!K:K,C176)),0,""))</f>
        <v>1</v>
      </c>
      <c r="H176" s="117" t="str">
        <f>RIGHT(INDEX('register map'!V:V,MATCH('Logical Group Generator'!B176,'register map'!L:L,0)),LEN(G176))</f>
        <v>1</v>
      </c>
      <c r="I176" s="117" t="str">
        <f>CONCATENATE(IF(ISNUMBER(INDEX('register map'!K:K,C176)),0,""),IF(ISNUMBER(INDEX('register map'!J:J,C176)),1,""),IF(ISNUMBER(INDEX('register map'!I:I,C176)),2,""),IF(ISNUMBER(INDEX('register map'!H:H,C176)),3,""),IF(ISNUMBER(INDEX('register map'!G:G,C176)),4,""),IF(ISNUMBER(INDEX('register map'!F:F,C176)),5,""),IF(ISNUMBER(INDEX('register map'!E:E,C176)),6,""),IF(ISNUMBER(INDEX('register map'!D:D,C176)),7,""))</f>
        <v>1</v>
      </c>
      <c r="J176" s="117" t="str">
        <f t="shared" si="29"/>
        <v>1</v>
      </c>
      <c r="K176" s="117" t="str">
        <f t="shared" si="22"/>
        <v/>
      </c>
      <c r="L176" s="117" t="str">
        <f t="shared" si="30"/>
        <v/>
      </c>
      <c r="M176" s="117" t="str">
        <f t="shared" si="32"/>
        <v/>
      </c>
      <c r="N176" s="117" t="str">
        <f>IF(ISBLANK(INDEX('register map'!M:M,'Logical Group Generator'!C176)),"No","Yes")</f>
        <v>No</v>
      </c>
      <c r="O176" s="117" t="str">
        <f>IF(NOT(ISBLANK(INDEX('register map'!N:N,'Logical Group Generator'!C176))),"Yes","")</f>
        <v/>
      </c>
      <c r="P176" s="117" t="str">
        <f t="shared" si="23"/>
        <v/>
      </c>
      <c r="Q176" s="117" t="str">
        <f t="shared" si="24"/>
        <v/>
      </c>
      <c r="R176" s="117" t="str">
        <f t="shared" si="25"/>
        <v/>
      </c>
      <c r="S176" s="117" t="str">
        <f t="shared" si="26"/>
        <v>No</v>
      </c>
      <c r="T176" s="117" t="str">
        <f t="shared" si="27"/>
        <v/>
      </c>
      <c r="U176" s="117" t="b">
        <f t="shared" si="31"/>
        <v>0</v>
      </c>
      <c r="V176" s="157" t="b">
        <f>INDEX('register map'!P:P,C176)="yes"</f>
        <v>1</v>
      </c>
      <c r="W176" s="157" t="str">
        <f t="shared" si="28"/>
        <v>FALSE</v>
      </c>
    </row>
    <row r="177" spans="2:23">
      <c r="B177" s="157" t="str">
        <f t="array" ref="B177">IF(ROWS($3:177)&lt;=COUNTA('register map'!$L$5:$L$902),INDEX('register map'!$L$5:$L$902,SMALL(IF('register map'!$L$5:$L$902&lt;&gt;"",ROW('register map'!$L$5:$L$902)-MIN(ROW('register map'!$L$5:$L$902))+1),ROWS($3:177))),"")</f>
        <v>SWB2_FLTMSK</v>
      </c>
      <c r="C177" s="157">
        <f>IF(B177="PART_NUMBER",IF(COUNTIF($B$1:B176,"PART_NUMBER")=0,6,8),MATCH(B177,'register map'!L:L,0))</f>
        <v>190</v>
      </c>
      <c r="D177" s="117" t="str">
        <f>IF(ISBLANK(INDEX('register map'!C:C,'Logical Group Generator'!C177)),"No","Yes")</f>
        <v>No</v>
      </c>
      <c r="E177" s="117" t="str">
        <f>IF(ISBLANK(INDEX('register map'!A:A,C177)),IF(ISBLANK(INDEX('register map'!A:A,C177-1)),IF(ISBLANK(INDEX('register map'!A:A,C177-2)),IF(ISBLANK(INDEX('register map'!A:A,C177-3)),IF(ISBLANK(INDEX('register map'!A:A,C177-4)),IF(ISBLANK(INDEX('register map'!A:A,C177-5)),IF(ISBLANK(INDEX('register map'!A:A,C177-6)),IF(ISBLANK(INDEX('register map'!A:A,C177-7)),IF(ISBLANK(INDEX('register map'!A:A,C177-8)),"ERROR",INDEX('register map'!A:A,C177-8)),INDEX('register map'!A:A,C177-7)),INDEX('register map'!A:A,C177-6)),INDEX('register map'!A:A,C177-5)),INDEX('register map'!A:A,C177-4)),INDEX('register map'!A:A,C177-3)),INDEX('register map'!A:A,C177-2)),INDEX('register map'!A:A,C177-1)),INDEX('register map'!A:A,C177))</f>
        <v>0x5E</v>
      </c>
      <c r="F177" s="117" t="str">
        <f>IF(ISBLANK(INDEX('register map'!B:B,C177)),IF(ISBLANK(INDEX('register map'!B:B,C177-1)),IF(ISBLANK(INDEX('register map'!B:B,C177-2)),IF(ISBLANK(INDEX('register map'!B:B,C177-3)),IF(ISBLANK(INDEX('register map'!B:B,C177-4)),IF(ISBLANK(INDEX('register map'!B:B,C177-5)),IF(ISBLANK(INDEX('register map'!B:B,C177-6)),IF(ISBLANK(INDEX('register map'!B:B,C177-7)),IF(ISBLANK(INDEX('register map'!B:B,C177-8)),"ERROR",INDEX('register map'!B:B,C177-8)),INDEX('register map'!B:B,C177-7)),INDEX('register map'!B:B,C177-6)),INDEX('register map'!B:B,C177-5)),INDEX('register map'!B:B,C177-4)),INDEX('register map'!B:B,C177-3)),INDEX('register map'!B:B,C177-2)),INDEX('register map'!B:B,C177-1)),INDEX('register map'!B:B,C177))</f>
        <v>0xA3</v>
      </c>
      <c r="G177" s="117" t="str">
        <f>CONCATENATE(IF(ISNUMBER(INDEX('register map'!D:D,C177)),7,""),IF(ISNUMBER(INDEX('register map'!E:E,C177)),6,""),IF(ISNUMBER(INDEX('register map'!F:F,C177)),5,""),IF(ISNUMBER(INDEX('register map'!G:G,C177)),4,""),IF(ISNUMBER(INDEX('register map'!H:H,C177)),3,""),IF(ISNUMBER(INDEX('register map'!I:I,C177)),2,""),IF(ISNUMBER(INDEX('register map'!J:J,C177)),1,""),IF(ISNUMBER(INDEX('register map'!K:K,C177)),0,""))</f>
        <v>2</v>
      </c>
      <c r="H177" s="117" t="str">
        <f>RIGHT(INDEX('register map'!V:V,MATCH('Logical Group Generator'!B177,'register map'!L:L,0)),LEN(G177))</f>
        <v>1</v>
      </c>
      <c r="I177" s="117" t="str">
        <f>CONCATENATE(IF(ISNUMBER(INDEX('register map'!K:K,C177)),0,""),IF(ISNUMBER(INDEX('register map'!J:J,C177)),1,""),IF(ISNUMBER(INDEX('register map'!I:I,C177)),2,""),IF(ISNUMBER(INDEX('register map'!H:H,C177)),3,""),IF(ISNUMBER(INDEX('register map'!G:G,C177)),4,""),IF(ISNUMBER(INDEX('register map'!F:F,C177)),5,""),IF(ISNUMBER(INDEX('register map'!E:E,C177)),6,""),IF(ISNUMBER(INDEX('register map'!D:D,C177)),7,""))</f>
        <v>2</v>
      </c>
      <c r="J177" s="117" t="str">
        <f t="shared" si="29"/>
        <v>1</v>
      </c>
      <c r="K177" s="117" t="str">
        <f t="shared" si="22"/>
        <v/>
      </c>
      <c r="L177" s="117" t="str">
        <f t="shared" si="30"/>
        <v/>
      </c>
      <c r="M177" s="117" t="str">
        <f t="shared" si="32"/>
        <v/>
      </c>
      <c r="N177" s="117" t="str">
        <f>IF(ISBLANK(INDEX('register map'!M:M,'Logical Group Generator'!C177)),"No","Yes")</f>
        <v>No</v>
      </c>
      <c r="O177" s="117" t="str">
        <f>IF(NOT(ISBLANK(INDEX('register map'!N:N,'Logical Group Generator'!C177))),"Yes","")</f>
        <v/>
      </c>
      <c r="P177" s="117" t="str">
        <f t="shared" si="23"/>
        <v/>
      </c>
      <c r="Q177" s="117" t="str">
        <f t="shared" si="24"/>
        <v/>
      </c>
      <c r="R177" s="117" t="str">
        <f t="shared" si="25"/>
        <v/>
      </c>
      <c r="S177" s="117" t="str">
        <f t="shared" si="26"/>
        <v>No</v>
      </c>
      <c r="T177" s="117" t="str">
        <f t="shared" si="27"/>
        <v/>
      </c>
      <c r="U177" s="117" t="b">
        <f t="shared" si="31"/>
        <v>0</v>
      </c>
      <c r="V177" s="157" t="b">
        <f>INDEX('register map'!P:P,C177)="yes"</f>
        <v>1</v>
      </c>
      <c r="W177" s="157" t="str">
        <f t="shared" si="28"/>
        <v>FALSE</v>
      </c>
    </row>
    <row r="178" spans="2:23">
      <c r="B178" s="157" t="str">
        <f t="array" ref="B178">IF(ROWS($3:178)&lt;=COUNTA('register map'!$L$5:$L$902),INDEX('register map'!$L$5:$L$902,SMALL(IF('register map'!$L$5:$L$902&lt;&gt;"",ROW('register map'!$L$5:$L$902)-MIN(ROW('register map'!$L$5:$L$902))+1),ROWS($3:178))),"")</f>
        <v>VTT_FLTMSK</v>
      </c>
      <c r="C178" s="157">
        <f>IF(B178="PART_NUMBER",IF(COUNTIF($B$1:B177,"PART_NUMBER")=0,6,8),MATCH(B178,'register map'!L:L,0))</f>
        <v>191</v>
      </c>
      <c r="D178" s="117" t="str">
        <f>IF(ISBLANK(INDEX('register map'!C:C,'Logical Group Generator'!C178)),"No","Yes")</f>
        <v>No</v>
      </c>
      <c r="E178" s="117" t="str">
        <f>IF(ISBLANK(INDEX('register map'!A:A,C178)),IF(ISBLANK(INDEX('register map'!A:A,C178-1)),IF(ISBLANK(INDEX('register map'!A:A,C178-2)),IF(ISBLANK(INDEX('register map'!A:A,C178-3)),IF(ISBLANK(INDEX('register map'!A:A,C178-4)),IF(ISBLANK(INDEX('register map'!A:A,C178-5)),IF(ISBLANK(INDEX('register map'!A:A,C178-6)),IF(ISBLANK(INDEX('register map'!A:A,C178-7)),IF(ISBLANK(INDEX('register map'!A:A,C178-8)),"ERROR",INDEX('register map'!A:A,C178-8)),INDEX('register map'!A:A,C178-7)),INDEX('register map'!A:A,C178-6)),INDEX('register map'!A:A,C178-5)),INDEX('register map'!A:A,C178-4)),INDEX('register map'!A:A,C178-3)),INDEX('register map'!A:A,C178-2)),INDEX('register map'!A:A,C178-1)),INDEX('register map'!A:A,C178))</f>
        <v>0x5E</v>
      </c>
      <c r="F178" s="117" t="str">
        <f>IF(ISBLANK(INDEX('register map'!B:B,C178)),IF(ISBLANK(INDEX('register map'!B:B,C178-1)),IF(ISBLANK(INDEX('register map'!B:B,C178-2)),IF(ISBLANK(INDEX('register map'!B:B,C178-3)),IF(ISBLANK(INDEX('register map'!B:B,C178-4)),IF(ISBLANK(INDEX('register map'!B:B,C178-5)),IF(ISBLANK(INDEX('register map'!B:B,C178-6)),IF(ISBLANK(INDEX('register map'!B:B,C178-7)),IF(ISBLANK(INDEX('register map'!B:B,C178-8)),"ERROR",INDEX('register map'!B:B,C178-8)),INDEX('register map'!B:B,C178-7)),INDEX('register map'!B:B,C178-6)),INDEX('register map'!B:B,C178-5)),INDEX('register map'!B:B,C178-4)),INDEX('register map'!B:B,C178-3)),INDEX('register map'!B:B,C178-2)),INDEX('register map'!B:B,C178-1)),INDEX('register map'!B:B,C178))</f>
        <v>0xA3</v>
      </c>
      <c r="G178" s="117" t="str">
        <f>CONCATENATE(IF(ISNUMBER(INDEX('register map'!D:D,C178)),7,""),IF(ISNUMBER(INDEX('register map'!E:E,C178)),6,""),IF(ISNUMBER(INDEX('register map'!F:F,C178)),5,""),IF(ISNUMBER(INDEX('register map'!G:G,C178)),4,""),IF(ISNUMBER(INDEX('register map'!H:H,C178)),3,""),IF(ISNUMBER(INDEX('register map'!I:I,C178)),2,""),IF(ISNUMBER(INDEX('register map'!J:J,C178)),1,""),IF(ISNUMBER(INDEX('register map'!K:K,C178)),0,""))</f>
        <v>3</v>
      </c>
      <c r="H178" s="117" t="str">
        <f>RIGHT(INDEX('register map'!V:V,MATCH('Logical Group Generator'!B178,'register map'!L:L,0)),LEN(G178))</f>
        <v>1</v>
      </c>
      <c r="I178" s="117" t="str">
        <f>CONCATENATE(IF(ISNUMBER(INDEX('register map'!K:K,C178)),0,""),IF(ISNUMBER(INDEX('register map'!J:J,C178)),1,""),IF(ISNUMBER(INDEX('register map'!I:I,C178)),2,""),IF(ISNUMBER(INDEX('register map'!H:H,C178)),3,""),IF(ISNUMBER(INDEX('register map'!G:G,C178)),4,""),IF(ISNUMBER(INDEX('register map'!F:F,C178)),5,""),IF(ISNUMBER(INDEX('register map'!E:E,C178)),6,""),IF(ISNUMBER(INDEX('register map'!D:D,C178)),7,""))</f>
        <v>3</v>
      </c>
      <c r="J178" s="117" t="str">
        <f t="shared" si="29"/>
        <v>1</v>
      </c>
      <c r="K178" s="117" t="str">
        <f t="shared" si="22"/>
        <v/>
      </c>
      <c r="L178" s="117" t="str">
        <f t="shared" si="30"/>
        <v/>
      </c>
      <c r="M178" s="117" t="str">
        <f t="shared" si="32"/>
        <v/>
      </c>
      <c r="N178" s="117" t="str">
        <f>IF(ISBLANK(INDEX('register map'!M:M,'Logical Group Generator'!C178)),"No","Yes")</f>
        <v>No</v>
      </c>
      <c r="O178" s="117" t="str">
        <f>IF(NOT(ISBLANK(INDEX('register map'!N:N,'Logical Group Generator'!C178))),"Yes","")</f>
        <v/>
      </c>
      <c r="P178" s="117" t="str">
        <f t="shared" si="23"/>
        <v/>
      </c>
      <c r="Q178" s="117" t="str">
        <f t="shared" si="24"/>
        <v/>
      </c>
      <c r="R178" s="117" t="str">
        <f t="shared" si="25"/>
        <v/>
      </c>
      <c r="S178" s="117" t="str">
        <f t="shared" si="26"/>
        <v>No</v>
      </c>
      <c r="T178" s="117" t="str">
        <f t="shared" si="27"/>
        <v/>
      </c>
      <c r="U178" s="117" t="b">
        <f t="shared" si="31"/>
        <v>0</v>
      </c>
      <c r="V178" s="157" t="b">
        <f>INDEX('register map'!P:P,C178)="yes"</f>
        <v>1</v>
      </c>
      <c r="W178" s="157" t="str">
        <f t="shared" si="28"/>
        <v>FALSE</v>
      </c>
    </row>
    <row r="179" spans="2:23">
      <c r="B179" s="157" t="str">
        <f t="array" ref="B179">IF(ROWS($3:179)&lt;=COUNTA('register map'!$L$5:$L$902),INDEX('register map'!$L$5:$L$902,SMALL(IF('register map'!$L$5:$L$902&lt;&gt;"",ROW('register map'!$L$5:$L$902)-MIN(ROW('register map'!$L$5:$L$902))+1),ROWS($3:179))),"")</f>
        <v>LDOA1_FLTMSK</v>
      </c>
      <c r="C179" s="157">
        <f>IF(B179="PART_NUMBER",IF(COUNTIF($B$1:B178,"PART_NUMBER")=0,6,8),MATCH(B179,'register map'!L:L,0))</f>
        <v>192</v>
      </c>
      <c r="D179" s="117" t="str">
        <f>IF(ISBLANK(INDEX('register map'!C:C,'Logical Group Generator'!C179)),"No","Yes")</f>
        <v>No</v>
      </c>
      <c r="E179" s="117" t="str">
        <f>IF(ISBLANK(INDEX('register map'!A:A,C179)),IF(ISBLANK(INDEX('register map'!A:A,C179-1)),IF(ISBLANK(INDEX('register map'!A:A,C179-2)),IF(ISBLANK(INDEX('register map'!A:A,C179-3)),IF(ISBLANK(INDEX('register map'!A:A,C179-4)),IF(ISBLANK(INDEX('register map'!A:A,C179-5)),IF(ISBLANK(INDEX('register map'!A:A,C179-6)),IF(ISBLANK(INDEX('register map'!A:A,C179-7)),IF(ISBLANK(INDEX('register map'!A:A,C179-8)),"ERROR",INDEX('register map'!A:A,C179-8)),INDEX('register map'!A:A,C179-7)),INDEX('register map'!A:A,C179-6)),INDEX('register map'!A:A,C179-5)),INDEX('register map'!A:A,C179-4)),INDEX('register map'!A:A,C179-3)),INDEX('register map'!A:A,C179-2)),INDEX('register map'!A:A,C179-1)),INDEX('register map'!A:A,C179))</f>
        <v>0x5E</v>
      </c>
      <c r="F179" s="117" t="str">
        <f>IF(ISBLANK(INDEX('register map'!B:B,C179)),IF(ISBLANK(INDEX('register map'!B:B,C179-1)),IF(ISBLANK(INDEX('register map'!B:B,C179-2)),IF(ISBLANK(INDEX('register map'!B:B,C179-3)),IF(ISBLANK(INDEX('register map'!B:B,C179-4)),IF(ISBLANK(INDEX('register map'!B:B,C179-5)),IF(ISBLANK(INDEX('register map'!B:B,C179-6)),IF(ISBLANK(INDEX('register map'!B:B,C179-7)),IF(ISBLANK(INDEX('register map'!B:B,C179-8)),"ERROR",INDEX('register map'!B:B,C179-8)),INDEX('register map'!B:B,C179-7)),INDEX('register map'!B:B,C179-6)),INDEX('register map'!B:B,C179-5)),INDEX('register map'!B:B,C179-4)),INDEX('register map'!B:B,C179-3)),INDEX('register map'!B:B,C179-2)),INDEX('register map'!B:B,C179-1)),INDEX('register map'!B:B,C179))</f>
        <v>0xA3</v>
      </c>
      <c r="G179" s="117" t="str">
        <f>CONCATENATE(IF(ISNUMBER(INDEX('register map'!D:D,C179)),7,""),IF(ISNUMBER(INDEX('register map'!E:E,C179)),6,""),IF(ISNUMBER(INDEX('register map'!F:F,C179)),5,""),IF(ISNUMBER(INDEX('register map'!G:G,C179)),4,""),IF(ISNUMBER(INDEX('register map'!H:H,C179)),3,""),IF(ISNUMBER(INDEX('register map'!I:I,C179)),2,""),IF(ISNUMBER(INDEX('register map'!J:J,C179)),1,""),IF(ISNUMBER(INDEX('register map'!K:K,C179)),0,""))</f>
        <v>4</v>
      </c>
      <c r="H179" s="117" t="str">
        <f>RIGHT(INDEX('register map'!V:V,MATCH('Logical Group Generator'!B179,'register map'!L:L,0)),LEN(G179))</f>
        <v>0</v>
      </c>
      <c r="I179" s="117" t="str">
        <f>CONCATENATE(IF(ISNUMBER(INDEX('register map'!K:K,C179)),0,""),IF(ISNUMBER(INDEX('register map'!J:J,C179)),1,""),IF(ISNUMBER(INDEX('register map'!I:I,C179)),2,""),IF(ISNUMBER(INDEX('register map'!H:H,C179)),3,""),IF(ISNUMBER(INDEX('register map'!G:G,C179)),4,""),IF(ISNUMBER(INDEX('register map'!F:F,C179)),5,""),IF(ISNUMBER(INDEX('register map'!E:E,C179)),6,""),IF(ISNUMBER(INDEX('register map'!D:D,C179)),7,""))</f>
        <v>4</v>
      </c>
      <c r="J179" s="117" t="str">
        <f t="shared" si="29"/>
        <v>0</v>
      </c>
      <c r="K179" s="117" t="str">
        <f t="shared" si="22"/>
        <v/>
      </c>
      <c r="L179" s="117" t="str">
        <f t="shared" si="30"/>
        <v/>
      </c>
      <c r="M179" s="117" t="str">
        <f t="shared" si="32"/>
        <v/>
      </c>
      <c r="N179" s="117" t="str">
        <f>IF(ISBLANK(INDEX('register map'!M:M,'Logical Group Generator'!C179)),"No","Yes")</f>
        <v>No</v>
      </c>
      <c r="O179" s="117" t="str">
        <f>IF(NOT(ISBLANK(INDEX('register map'!N:N,'Logical Group Generator'!C179))),"Yes","")</f>
        <v/>
      </c>
      <c r="P179" s="117" t="str">
        <f t="shared" si="23"/>
        <v/>
      </c>
      <c r="Q179" s="117" t="str">
        <f t="shared" si="24"/>
        <v/>
      </c>
      <c r="R179" s="117" t="str">
        <f t="shared" si="25"/>
        <v/>
      </c>
      <c r="S179" s="117" t="str">
        <f t="shared" si="26"/>
        <v>No</v>
      </c>
      <c r="T179" s="117" t="str">
        <f t="shared" si="27"/>
        <v/>
      </c>
      <c r="U179" s="117" t="b">
        <f t="shared" si="31"/>
        <v>0</v>
      </c>
      <c r="V179" s="157" t="b">
        <f>INDEX('register map'!P:P,C179)="yes"</f>
        <v>1</v>
      </c>
      <c r="W179" s="157" t="str">
        <f t="shared" si="28"/>
        <v>FALSE</v>
      </c>
    </row>
    <row r="180" spans="2:23">
      <c r="B180" s="157" t="str">
        <f t="array" ref="B180">IF(ROWS($3:180)&lt;=COUNTA('register map'!$L$5:$L$902),INDEX('register map'!$L$5:$L$902,SMALL(IF('register map'!$L$5:$L$902&lt;&gt;"",ROW('register map'!$L$5:$L$902)-MIN(ROW('register map'!$L$5:$L$902))+1),ROWS($3:180))),"")</f>
        <v>V5ANA_FLTMSK</v>
      </c>
      <c r="C180" s="157">
        <f>IF(B180="PART_NUMBER",IF(COUNTIF($B$1:B179,"PART_NUMBER")=0,6,8),MATCH(B180,'register map'!L:L,0))</f>
        <v>193</v>
      </c>
      <c r="D180" s="117" t="str">
        <f>IF(ISBLANK(INDEX('register map'!C:C,'Logical Group Generator'!C180)),"No","Yes")</f>
        <v>No</v>
      </c>
      <c r="E180" s="117" t="str">
        <f>IF(ISBLANK(INDEX('register map'!A:A,C180)),IF(ISBLANK(INDEX('register map'!A:A,C180-1)),IF(ISBLANK(INDEX('register map'!A:A,C180-2)),IF(ISBLANK(INDEX('register map'!A:A,C180-3)),IF(ISBLANK(INDEX('register map'!A:A,C180-4)),IF(ISBLANK(INDEX('register map'!A:A,C180-5)),IF(ISBLANK(INDEX('register map'!A:A,C180-6)),IF(ISBLANK(INDEX('register map'!A:A,C180-7)),IF(ISBLANK(INDEX('register map'!A:A,C180-8)),"ERROR",INDEX('register map'!A:A,C180-8)),INDEX('register map'!A:A,C180-7)),INDEX('register map'!A:A,C180-6)),INDEX('register map'!A:A,C180-5)),INDEX('register map'!A:A,C180-4)),INDEX('register map'!A:A,C180-3)),INDEX('register map'!A:A,C180-2)),INDEX('register map'!A:A,C180-1)),INDEX('register map'!A:A,C180))</f>
        <v>0x5E</v>
      </c>
      <c r="F180" s="117" t="str">
        <f>IF(ISBLANK(INDEX('register map'!B:B,C180)),IF(ISBLANK(INDEX('register map'!B:B,C180-1)),IF(ISBLANK(INDEX('register map'!B:B,C180-2)),IF(ISBLANK(INDEX('register map'!B:B,C180-3)),IF(ISBLANK(INDEX('register map'!B:B,C180-4)),IF(ISBLANK(INDEX('register map'!B:B,C180-5)),IF(ISBLANK(INDEX('register map'!B:B,C180-6)),IF(ISBLANK(INDEX('register map'!B:B,C180-7)),IF(ISBLANK(INDEX('register map'!B:B,C180-8)),"ERROR",INDEX('register map'!B:B,C180-8)),INDEX('register map'!B:B,C180-7)),INDEX('register map'!B:B,C180-6)),INDEX('register map'!B:B,C180-5)),INDEX('register map'!B:B,C180-4)),INDEX('register map'!B:B,C180-3)),INDEX('register map'!B:B,C180-2)),INDEX('register map'!B:B,C180-1)),INDEX('register map'!B:B,C180))</f>
        <v>0xA3</v>
      </c>
      <c r="G180" s="117" t="str">
        <f>CONCATENATE(IF(ISNUMBER(INDEX('register map'!D:D,C180)),7,""),IF(ISNUMBER(INDEX('register map'!E:E,C180)),6,""),IF(ISNUMBER(INDEX('register map'!F:F,C180)),5,""),IF(ISNUMBER(INDEX('register map'!G:G,C180)),4,""),IF(ISNUMBER(INDEX('register map'!H:H,C180)),3,""),IF(ISNUMBER(INDEX('register map'!I:I,C180)),2,""),IF(ISNUMBER(INDEX('register map'!J:J,C180)),1,""),IF(ISNUMBER(INDEX('register map'!K:K,C180)),0,""))</f>
        <v>5</v>
      </c>
      <c r="H180" s="117" t="str">
        <f>RIGHT(INDEX('register map'!V:V,MATCH('Logical Group Generator'!B180,'register map'!L:L,0)),LEN(G180))</f>
        <v>1</v>
      </c>
      <c r="I180" s="117" t="str">
        <f>CONCATENATE(IF(ISNUMBER(INDEX('register map'!K:K,C180)),0,""),IF(ISNUMBER(INDEX('register map'!J:J,C180)),1,""),IF(ISNUMBER(INDEX('register map'!I:I,C180)),2,""),IF(ISNUMBER(INDEX('register map'!H:H,C180)),3,""),IF(ISNUMBER(INDEX('register map'!G:G,C180)),4,""),IF(ISNUMBER(INDEX('register map'!F:F,C180)),5,""),IF(ISNUMBER(INDEX('register map'!E:E,C180)),6,""),IF(ISNUMBER(INDEX('register map'!D:D,C180)),7,""))</f>
        <v>5</v>
      </c>
      <c r="J180" s="117" t="str">
        <f t="shared" si="29"/>
        <v>1</v>
      </c>
      <c r="K180" s="117" t="str">
        <f t="shared" si="22"/>
        <v/>
      </c>
      <c r="L180" s="117" t="str">
        <f t="shared" si="30"/>
        <v/>
      </c>
      <c r="M180" s="117" t="str">
        <f t="shared" si="32"/>
        <v/>
      </c>
      <c r="N180" s="117" t="str">
        <f>IF(ISBLANK(INDEX('register map'!M:M,'Logical Group Generator'!C180)),"No","Yes")</f>
        <v>No</v>
      </c>
      <c r="O180" s="117" t="str">
        <f>IF(NOT(ISBLANK(INDEX('register map'!N:N,'Logical Group Generator'!C180))),"Yes","")</f>
        <v/>
      </c>
      <c r="P180" s="117" t="str">
        <f t="shared" si="23"/>
        <v/>
      </c>
      <c r="Q180" s="117" t="str">
        <f t="shared" si="24"/>
        <v/>
      </c>
      <c r="R180" s="117" t="str">
        <f t="shared" si="25"/>
        <v/>
      </c>
      <c r="S180" s="117" t="str">
        <f t="shared" si="26"/>
        <v>No</v>
      </c>
      <c r="T180" s="117" t="str">
        <f t="shared" si="27"/>
        <v/>
      </c>
      <c r="U180" s="117" t="b">
        <f t="shared" si="31"/>
        <v>0</v>
      </c>
      <c r="V180" s="157" t="b">
        <f>INDEX('register map'!P:P,C180)="yes"</f>
        <v>1</v>
      </c>
      <c r="W180" s="157" t="str">
        <f t="shared" si="28"/>
        <v>FALSE</v>
      </c>
    </row>
    <row r="181" spans="2:23">
      <c r="B181" s="157" t="str">
        <f t="array" ref="B181">IF(ROWS($3:181)&lt;=COUNTA('register map'!$L$5:$L$902),INDEX('register map'!$L$5:$L$902,SMALL(IF('register map'!$L$5:$L$902&lt;&gt;"",ROW('register map'!$L$5:$L$902)-MIN(ROW('register map'!$L$5:$L$902))+1),ROWS($3:181))),"")</f>
        <v>OTP_RSVD_5E_A3_6</v>
      </c>
      <c r="C181" s="157">
        <f>IF(B181="PART_NUMBER",IF(COUNTIF($B$1:B180,"PART_NUMBER")=0,6,8),MATCH(B181,'register map'!L:L,0))</f>
        <v>194</v>
      </c>
      <c r="D181" s="117" t="str">
        <f>IF(ISBLANK(INDEX('register map'!C:C,'Logical Group Generator'!C181)),"No","Yes")</f>
        <v>No</v>
      </c>
      <c r="E181" s="117" t="str">
        <f>IF(ISBLANK(INDEX('register map'!A:A,C181)),IF(ISBLANK(INDEX('register map'!A:A,C181-1)),IF(ISBLANK(INDEX('register map'!A:A,C181-2)),IF(ISBLANK(INDEX('register map'!A:A,C181-3)),IF(ISBLANK(INDEX('register map'!A:A,C181-4)),IF(ISBLANK(INDEX('register map'!A:A,C181-5)),IF(ISBLANK(INDEX('register map'!A:A,C181-6)),IF(ISBLANK(INDEX('register map'!A:A,C181-7)),IF(ISBLANK(INDEX('register map'!A:A,C181-8)),"ERROR",INDEX('register map'!A:A,C181-8)),INDEX('register map'!A:A,C181-7)),INDEX('register map'!A:A,C181-6)),INDEX('register map'!A:A,C181-5)),INDEX('register map'!A:A,C181-4)),INDEX('register map'!A:A,C181-3)),INDEX('register map'!A:A,C181-2)),INDEX('register map'!A:A,C181-1)),INDEX('register map'!A:A,C181))</f>
        <v>0x5E</v>
      </c>
      <c r="F181" s="117" t="str">
        <f>IF(ISBLANK(INDEX('register map'!B:B,C181)),IF(ISBLANK(INDEX('register map'!B:B,C181-1)),IF(ISBLANK(INDEX('register map'!B:B,C181-2)),IF(ISBLANK(INDEX('register map'!B:B,C181-3)),IF(ISBLANK(INDEX('register map'!B:B,C181-4)),IF(ISBLANK(INDEX('register map'!B:B,C181-5)),IF(ISBLANK(INDEX('register map'!B:B,C181-6)),IF(ISBLANK(INDEX('register map'!B:B,C181-7)),IF(ISBLANK(INDEX('register map'!B:B,C181-8)),"ERROR",INDEX('register map'!B:B,C181-8)),INDEX('register map'!B:B,C181-7)),INDEX('register map'!B:B,C181-6)),INDEX('register map'!B:B,C181-5)),INDEX('register map'!B:B,C181-4)),INDEX('register map'!B:B,C181-3)),INDEX('register map'!B:B,C181-2)),INDEX('register map'!B:B,C181-1)),INDEX('register map'!B:B,C181))</f>
        <v>0xA3</v>
      </c>
      <c r="G181" s="117" t="str">
        <f>CONCATENATE(IF(ISNUMBER(INDEX('register map'!D:D,C181)),7,""),IF(ISNUMBER(INDEX('register map'!E:E,C181)),6,""),IF(ISNUMBER(INDEX('register map'!F:F,C181)),5,""),IF(ISNUMBER(INDEX('register map'!G:G,C181)),4,""),IF(ISNUMBER(INDEX('register map'!H:H,C181)),3,""),IF(ISNUMBER(INDEX('register map'!I:I,C181)),2,""),IF(ISNUMBER(INDEX('register map'!J:J,C181)),1,""),IF(ISNUMBER(INDEX('register map'!K:K,C181)),0,""))</f>
        <v>6</v>
      </c>
      <c r="H181" s="117" t="str">
        <f>RIGHT(INDEX('register map'!V:V,MATCH('Logical Group Generator'!B181,'register map'!L:L,0)),LEN(G181))</f>
        <v>0</v>
      </c>
      <c r="I181" s="117" t="str">
        <f>CONCATENATE(IF(ISNUMBER(INDEX('register map'!K:K,C181)),0,""),IF(ISNUMBER(INDEX('register map'!J:J,C181)),1,""),IF(ISNUMBER(INDEX('register map'!I:I,C181)),2,""),IF(ISNUMBER(INDEX('register map'!H:H,C181)),3,""),IF(ISNUMBER(INDEX('register map'!G:G,C181)),4,""),IF(ISNUMBER(INDEX('register map'!F:F,C181)),5,""),IF(ISNUMBER(INDEX('register map'!E:E,C181)),6,""),IF(ISNUMBER(INDEX('register map'!D:D,C181)),7,""))</f>
        <v>6</v>
      </c>
      <c r="J181" s="117" t="str">
        <f t="shared" si="29"/>
        <v>0</v>
      </c>
      <c r="K181" s="117" t="str">
        <f t="shared" si="22"/>
        <v/>
      </c>
      <c r="L181" s="117" t="str">
        <f t="shared" si="30"/>
        <v/>
      </c>
      <c r="M181" s="117" t="str">
        <f t="shared" si="32"/>
        <v/>
      </c>
      <c r="N181" s="117" t="str">
        <f>IF(ISBLANK(INDEX('register map'!M:M,'Logical Group Generator'!C181)),"No","Yes")</f>
        <v>No</v>
      </c>
      <c r="O181" s="117" t="str">
        <f>IF(NOT(ISBLANK(INDEX('register map'!N:N,'Logical Group Generator'!C181))),"Yes","")</f>
        <v/>
      </c>
      <c r="P181" s="117" t="str">
        <f t="shared" si="23"/>
        <v/>
      </c>
      <c r="Q181" s="117" t="str">
        <f t="shared" si="24"/>
        <v/>
      </c>
      <c r="R181" s="117" t="str">
        <f t="shared" si="25"/>
        <v/>
      </c>
      <c r="S181" s="117" t="str">
        <f t="shared" si="26"/>
        <v>No</v>
      </c>
      <c r="T181" s="117" t="str">
        <f t="shared" si="27"/>
        <v/>
      </c>
      <c r="U181" s="117" t="b">
        <f t="shared" si="31"/>
        <v>0</v>
      </c>
      <c r="V181" s="157" t="b">
        <f>INDEX('register map'!P:P,C181)="yes"</f>
        <v>1</v>
      </c>
      <c r="W181" s="157" t="str">
        <f t="shared" si="28"/>
        <v>FALSE</v>
      </c>
    </row>
    <row r="182" spans="2:23">
      <c r="B182" s="157" t="str">
        <f t="array" ref="B182">IF(ROWS($3:182)&lt;=COUNTA('register map'!$L$5:$L$902),INDEX('register map'!$L$5:$L$902,SMALL(IF('register map'!$L$5:$L$902&lt;&gt;"",ROW('register map'!$L$5:$L$902)-MIN(ROW('register map'!$L$5:$L$902))+1),ROWS($3:182))),"")</f>
        <v>OTP_RSVD_5E_A3_7</v>
      </c>
      <c r="C182" s="157">
        <f>IF(B182="PART_NUMBER",IF(COUNTIF($B$1:B181,"PART_NUMBER")=0,6,8),MATCH(B182,'register map'!L:L,0))</f>
        <v>195</v>
      </c>
      <c r="D182" s="117" t="str">
        <f>IF(ISBLANK(INDEX('register map'!C:C,'Logical Group Generator'!C182)),"No","Yes")</f>
        <v>No</v>
      </c>
      <c r="E182" s="117" t="str">
        <f>IF(ISBLANK(INDEX('register map'!A:A,C182)),IF(ISBLANK(INDEX('register map'!A:A,C182-1)),IF(ISBLANK(INDEX('register map'!A:A,C182-2)),IF(ISBLANK(INDEX('register map'!A:A,C182-3)),IF(ISBLANK(INDEX('register map'!A:A,C182-4)),IF(ISBLANK(INDEX('register map'!A:A,C182-5)),IF(ISBLANK(INDEX('register map'!A:A,C182-6)),IF(ISBLANK(INDEX('register map'!A:A,C182-7)),IF(ISBLANK(INDEX('register map'!A:A,C182-8)),"ERROR",INDEX('register map'!A:A,C182-8)),INDEX('register map'!A:A,C182-7)),INDEX('register map'!A:A,C182-6)),INDEX('register map'!A:A,C182-5)),INDEX('register map'!A:A,C182-4)),INDEX('register map'!A:A,C182-3)),INDEX('register map'!A:A,C182-2)),INDEX('register map'!A:A,C182-1)),INDEX('register map'!A:A,C182))</f>
        <v>0x5E</v>
      </c>
      <c r="F182" s="117" t="str">
        <f>IF(ISBLANK(INDEX('register map'!B:B,C182)),IF(ISBLANK(INDEX('register map'!B:B,C182-1)),IF(ISBLANK(INDEX('register map'!B:B,C182-2)),IF(ISBLANK(INDEX('register map'!B:B,C182-3)),IF(ISBLANK(INDEX('register map'!B:B,C182-4)),IF(ISBLANK(INDEX('register map'!B:B,C182-5)),IF(ISBLANK(INDEX('register map'!B:B,C182-6)),IF(ISBLANK(INDEX('register map'!B:B,C182-7)),IF(ISBLANK(INDEX('register map'!B:B,C182-8)),"ERROR",INDEX('register map'!B:B,C182-8)),INDEX('register map'!B:B,C182-7)),INDEX('register map'!B:B,C182-6)),INDEX('register map'!B:B,C182-5)),INDEX('register map'!B:B,C182-4)),INDEX('register map'!B:B,C182-3)),INDEX('register map'!B:B,C182-2)),INDEX('register map'!B:B,C182-1)),INDEX('register map'!B:B,C182))</f>
        <v>0xA3</v>
      </c>
      <c r="G182" s="117" t="str">
        <f>CONCATENATE(IF(ISNUMBER(INDEX('register map'!D:D,C182)),7,""),IF(ISNUMBER(INDEX('register map'!E:E,C182)),6,""),IF(ISNUMBER(INDEX('register map'!F:F,C182)),5,""),IF(ISNUMBER(INDEX('register map'!G:G,C182)),4,""),IF(ISNUMBER(INDEX('register map'!H:H,C182)),3,""),IF(ISNUMBER(INDEX('register map'!I:I,C182)),2,""),IF(ISNUMBER(INDEX('register map'!J:J,C182)),1,""),IF(ISNUMBER(INDEX('register map'!K:K,C182)),0,""))</f>
        <v>7</v>
      </c>
      <c r="H182" s="117" t="str">
        <f>RIGHT(INDEX('register map'!V:V,MATCH('Logical Group Generator'!B182,'register map'!L:L,0)),LEN(G182))</f>
        <v>0</v>
      </c>
      <c r="I182" s="117" t="str">
        <f>CONCATENATE(IF(ISNUMBER(INDEX('register map'!K:K,C182)),0,""),IF(ISNUMBER(INDEX('register map'!J:J,C182)),1,""),IF(ISNUMBER(INDEX('register map'!I:I,C182)),2,""),IF(ISNUMBER(INDEX('register map'!H:H,C182)),3,""),IF(ISNUMBER(INDEX('register map'!G:G,C182)),4,""),IF(ISNUMBER(INDEX('register map'!F:F,C182)),5,""),IF(ISNUMBER(INDEX('register map'!E:E,C182)),6,""),IF(ISNUMBER(INDEX('register map'!D:D,C182)),7,""))</f>
        <v>7</v>
      </c>
      <c r="J182" s="117" t="str">
        <f t="shared" si="29"/>
        <v>0</v>
      </c>
      <c r="K182" s="117" t="str">
        <f t="shared" si="22"/>
        <v/>
      </c>
      <c r="L182" s="117" t="str">
        <f t="shared" si="30"/>
        <v/>
      </c>
      <c r="M182" s="117" t="str">
        <f t="shared" si="32"/>
        <v/>
      </c>
      <c r="N182" s="117" t="str">
        <f>IF(ISBLANK(INDEX('register map'!M:M,'Logical Group Generator'!C182)),"No","Yes")</f>
        <v>No</v>
      </c>
      <c r="O182" s="117" t="str">
        <f>IF(NOT(ISBLANK(INDEX('register map'!N:N,'Logical Group Generator'!C182))),"Yes","")</f>
        <v/>
      </c>
      <c r="P182" s="117" t="str">
        <f t="shared" si="23"/>
        <v/>
      </c>
      <c r="Q182" s="117" t="str">
        <f t="shared" si="24"/>
        <v/>
      </c>
      <c r="R182" s="117" t="str">
        <f t="shared" si="25"/>
        <v/>
      </c>
      <c r="S182" s="117" t="str">
        <f t="shared" si="26"/>
        <v>No</v>
      </c>
      <c r="T182" s="117" t="str">
        <f t="shared" si="27"/>
        <v/>
      </c>
      <c r="U182" s="117" t="b">
        <f t="shared" si="31"/>
        <v>0</v>
      </c>
      <c r="V182" s="157" t="b">
        <f>INDEX('register map'!P:P,C182)="yes"</f>
        <v>1</v>
      </c>
      <c r="W182" s="157" t="str">
        <f t="shared" si="28"/>
        <v>FALSE</v>
      </c>
    </row>
    <row r="183" spans="2:23">
      <c r="B183" s="157" t="str">
        <f t="array" ref="B183">IF(ROWS($3:183)&lt;=COUNTA('register map'!$L$5:$L$902),INDEX('register map'!$L$5:$L$902,SMALL(IF('register map'!$L$5:$L$902&lt;&gt;"",ROW('register map'!$L$5:$L$902)-MIN(ROW('register map'!$L$5:$L$902))+1),ROWS($3:183))),"")</f>
        <v>GPO1PG_CTRL1</v>
      </c>
      <c r="C183" s="157">
        <f>IF(B183="PART_NUMBER",IF(COUNTIF($B$1:B182,"PART_NUMBER")=0,6,8),MATCH(B183,'register map'!L:L,0))</f>
        <v>196</v>
      </c>
      <c r="D183" s="117" t="str">
        <f>IF(ISBLANK(INDEX('register map'!C:C,'Logical Group Generator'!C183)),"No","Yes")</f>
        <v>Yes</v>
      </c>
      <c r="E183" s="117" t="str">
        <f>IF(ISBLANK(INDEX('register map'!A:A,C183)),IF(ISBLANK(INDEX('register map'!A:A,C183-1)),IF(ISBLANK(INDEX('register map'!A:A,C183-2)),IF(ISBLANK(INDEX('register map'!A:A,C183-3)),IF(ISBLANK(INDEX('register map'!A:A,C183-4)),IF(ISBLANK(INDEX('register map'!A:A,C183-5)),IF(ISBLANK(INDEX('register map'!A:A,C183-6)),IF(ISBLANK(INDEX('register map'!A:A,C183-7)),IF(ISBLANK(INDEX('register map'!A:A,C183-8)),"ERROR",INDEX('register map'!A:A,C183-8)),INDEX('register map'!A:A,C183-7)),INDEX('register map'!A:A,C183-6)),INDEX('register map'!A:A,C183-5)),INDEX('register map'!A:A,C183-4)),INDEX('register map'!A:A,C183-3)),INDEX('register map'!A:A,C183-2)),INDEX('register map'!A:A,C183-1)),INDEX('register map'!A:A,C183))</f>
        <v>0x5E</v>
      </c>
      <c r="F183" s="117" t="str">
        <f>IF(ISBLANK(INDEX('register map'!B:B,C183)),IF(ISBLANK(INDEX('register map'!B:B,C183-1)),IF(ISBLANK(INDEX('register map'!B:B,C183-2)),IF(ISBLANK(INDEX('register map'!B:B,C183-3)),IF(ISBLANK(INDEX('register map'!B:B,C183-4)),IF(ISBLANK(INDEX('register map'!B:B,C183-5)),IF(ISBLANK(INDEX('register map'!B:B,C183-6)),IF(ISBLANK(INDEX('register map'!B:B,C183-7)),IF(ISBLANK(INDEX('register map'!B:B,C183-8)),"ERROR",INDEX('register map'!B:B,C183-8)),INDEX('register map'!B:B,C183-7)),INDEX('register map'!B:B,C183-6)),INDEX('register map'!B:B,C183-5)),INDEX('register map'!B:B,C183-4)),INDEX('register map'!B:B,C183-3)),INDEX('register map'!B:B,C183-2)),INDEX('register map'!B:B,C183-1)),INDEX('register map'!B:B,C183))</f>
        <v>0xA4</v>
      </c>
      <c r="G183" s="117" t="str">
        <f>CONCATENATE(IF(ISNUMBER(INDEX('register map'!D:D,C183)),7,""),IF(ISNUMBER(INDEX('register map'!E:E,C183)),6,""),IF(ISNUMBER(INDEX('register map'!F:F,C183)),5,""),IF(ISNUMBER(INDEX('register map'!G:G,C183)),4,""),IF(ISNUMBER(INDEX('register map'!H:H,C183)),3,""),IF(ISNUMBER(INDEX('register map'!I:I,C183)),2,""),IF(ISNUMBER(INDEX('register map'!J:J,C183)),1,""),IF(ISNUMBER(INDEX('register map'!K:K,C183)),0,""))</f>
        <v/>
      </c>
      <c r="H183" s="117" t="str">
        <f>RIGHT(INDEX('register map'!V:V,MATCH('Logical Group Generator'!B183,'register map'!L:L,0)),LEN(G183))</f>
        <v/>
      </c>
      <c r="I183" s="117" t="str">
        <f>CONCATENATE(IF(ISNUMBER(INDEX('register map'!K:K,C183)),0,""),IF(ISNUMBER(INDEX('register map'!J:J,C183)),1,""),IF(ISNUMBER(INDEX('register map'!I:I,C183)),2,""),IF(ISNUMBER(INDEX('register map'!H:H,C183)),3,""),IF(ISNUMBER(INDEX('register map'!G:G,C183)),4,""),IF(ISNUMBER(INDEX('register map'!F:F,C183)),5,""),IF(ISNUMBER(INDEX('register map'!E:E,C183)),6,""),IF(ISNUMBER(INDEX('register map'!D:D,C183)),7,""))</f>
        <v/>
      </c>
      <c r="J183" s="117" t="str">
        <f t="shared" si="29"/>
        <v/>
      </c>
      <c r="K183" s="117" t="str">
        <f t="shared" si="22"/>
        <v>01001111</v>
      </c>
      <c r="L183" s="117" t="str">
        <f t="shared" si="30"/>
        <v>11110010</v>
      </c>
      <c r="M183" s="117" t="str">
        <f t="shared" si="32"/>
        <v>F2</v>
      </c>
      <c r="N183" s="117" t="str">
        <f>IF(ISBLANK(INDEX('register map'!M:M,'Logical Group Generator'!C183)),"No","Yes")</f>
        <v>No</v>
      </c>
      <c r="O183" s="117" t="str">
        <f>IF(NOT(ISBLANK(INDEX('register map'!N:N,'Logical Group Generator'!C183))),"Yes","")</f>
        <v/>
      </c>
      <c r="P183" s="117" t="str">
        <f t="shared" si="23"/>
        <v>No</v>
      </c>
      <c r="Q183" s="117" t="str">
        <f t="shared" si="24"/>
        <v>No</v>
      </c>
      <c r="R183" s="117" t="str">
        <f t="shared" si="25"/>
        <v>No</v>
      </c>
      <c r="S183" s="117" t="str">
        <f t="shared" si="26"/>
        <v/>
      </c>
      <c r="T183" s="117" t="b">
        <f t="shared" si="27"/>
        <v>1</v>
      </c>
      <c r="U183" s="117" t="b">
        <f t="shared" si="31"/>
        <v>1</v>
      </c>
      <c r="V183" s="157" t="b">
        <f>INDEX('register map'!P:P,C183)="yes"</f>
        <v>1</v>
      </c>
      <c r="W183" s="157" t="str">
        <f t="shared" si="28"/>
        <v>REGISTER</v>
      </c>
    </row>
    <row r="184" spans="2:23">
      <c r="B184" s="157" t="str">
        <f t="array" ref="B184">IF(ROWS($3:184)&lt;=COUNTA('register map'!$L$5:$L$902),INDEX('register map'!$L$5:$L$902,SMALL(IF('register map'!$L$5:$L$902&lt;&gt;"",ROW('register map'!$L$5:$L$902)-MIN(ROW('register map'!$L$5:$L$902))+1),ROWS($3:184))),"")</f>
        <v>BUCK1_GPO1_MSK</v>
      </c>
      <c r="C184" s="157">
        <f>IF(B184="PART_NUMBER",IF(COUNTIF($B$1:B183,"PART_NUMBER")=0,6,8),MATCH(B184,'register map'!L:L,0))</f>
        <v>197</v>
      </c>
      <c r="D184" s="117" t="str">
        <f>IF(ISBLANK(INDEX('register map'!C:C,'Logical Group Generator'!C184)),"No","Yes")</f>
        <v>No</v>
      </c>
      <c r="E184" s="117" t="str">
        <f>IF(ISBLANK(INDEX('register map'!A:A,C184)),IF(ISBLANK(INDEX('register map'!A:A,C184-1)),IF(ISBLANK(INDEX('register map'!A:A,C184-2)),IF(ISBLANK(INDEX('register map'!A:A,C184-3)),IF(ISBLANK(INDEX('register map'!A:A,C184-4)),IF(ISBLANK(INDEX('register map'!A:A,C184-5)),IF(ISBLANK(INDEX('register map'!A:A,C184-6)),IF(ISBLANK(INDEX('register map'!A:A,C184-7)),IF(ISBLANK(INDEX('register map'!A:A,C184-8)),"ERROR",INDEX('register map'!A:A,C184-8)),INDEX('register map'!A:A,C184-7)),INDEX('register map'!A:A,C184-6)),INDEX('register map'!A:A,C184-5)),INDEX('register map'!A:A,C184-4)),INDEX('register map'!A:A,C184-3)),INDEX('register map'!A:A,C184-2)),INDEX('register map'!A:A,C184-1)),INDEX('register map'!A:A,C184))</f>
        <v>0x5E</v>
      </c>
      <c r="F184" s="117" t="str">
        <f>IF(ISBLANK(INDEX('register map'!B:B,C184)),IF(ISBLANK(INDEX('register map'!B:B,C184-1)),IF(ISBLANK(INDEX('register map'!B:B,C184-2)),IF(ISBLANK(INDEX('register map'!B:B,C184-3)),IF(ISBLANK(INDEX('register map'!B:B,C184-4)),IF(ISBLANK(INDEX('register map'!B:B,C184-5)),IF(ISBLANK(INDEX('register map'!B:B,C184-6)),IF(ISBLANK(INDEX('register map'!B:B,C184-7)),IF(ISBLANK(INDEX('register map'!B:B,C184-8)),"ERROR",INDEX('register map'!B:B,C184-8)),INDEX('register map'!B:B,C184-7)),INDEX('register map'!B:B,C184-6)),INDEX('register map'!B:B,C184-5)),INDEX('register map'!B:B,C184-4)),INDEX('register map'!B:B,C184-3)),INDEX('register map'!B:B,C184-2)),INDEX('register map'!B:B,C184-1)),INDEX('register map'!B:B,C184))</f>
        <v>0xA4</v>
      </c>
      <c r="G184" s="117" t="str">
        <f>CONCATENATE(IF(ISNUMBER(INDEX('register map'!D:D,C184)),7,""),IF(ISNUMBER(INDEX('register map'!E:E,C184)),6,""),IF(ISNUMBER(INDEX('register map'!F:F,C184)),5,""),IF(ISNUMBER(INDEX('register map'!G:G,C184)),4,""),IF(ISNUMBER(INDEX('register map'!H:H,C184)),3,""),IF(ISNUMBER(INDEX('register map'!I:I,C184)),2,""),IF(ISNUMBER(INDEX('register map'!J:J,C184)),1,""),IF(ISNUMBER(INDEX('register map'!K:K,C184)),0,""))</f>
        <v>0</v>
      </c>
      <c r="H184" s="117" t="str">
        <f>RIGHT(INDEX('register map'!V:V,MATCH('Logical Group Generator'!B184,'register map'!L:L,0)),LEN(G184))</f>
        <v>0</v>
      </c>
      <c r="I184" s="117" t="str">
        <f>CONCATENATE(IF(ISNUMBER(INDEX('register map'!K:K,C184)),0,""),IF(ISNUMBER(INDEX('register map'!J:J,C184)),1,""),IF(ISNUMBER(INDEX('register map'!I:I,C184)),2,""),IF(ISNUMBER(INDEX('register map'!H:H,C184)),3,""),IF(ISNUMBER(INDEX('register map'!G:G,C184)),4,""),IF(ISNUMBER(INDEX('register map'!F:F,C184)),5,""),IF(ISNUMBER(INDEX('register map'!E:E,C184)),6,""),IF(ISNUMBER(INDEX('register map'!D:D,C184)),7,""))</f>
        <v>0</v>
      </c>
      <c r="J184" s="117" t="str">
        <f t="shared" si="29"/>
        <v>0</v>
      </c>
      <c r="K184" s="117" t="str">
        <f t="shared" si="22"/>
        <v/>
      </c>
      <c r="L184" s="117" t="str">
        <f t="shared" si="30"/>
        <v/>
      </c>
      <c r="M184" s="117" t="str">
        <f t="shared" si="32"/>
        <v/>
      </c>
      <c r="N184" s="117" t="str">
        <f>IF(ISBLANK(INDEX('register map'!M:M,'Logical Group Generator'!C184)),"No","Yes")</f>
        <v>No</v>
      </c>
      <c r="O184" s="117" t="str">
        <f>IF(NOT(ISBLANK(INDEX('register map'!N:N,'Logical Group Generator'!C184))),"Yes","")</f>
        <v/>
      </c>
      <c r="P184" s="117" t="str">
        <f t="shared" si="23"/>
        <v/>
      </c>
      <c r="Q184" s="117" t="str">
        <f t="shared" si="24"/>
        <v/>
      </c>
      <c r="R184" s="117" t="str">
        <f t="shared" si="25"/>
        <v/>
      </c>
      <c r="S184" s="117" t="str">
        <f t="shared" si="26"/>
        <v>No</v>
      </c>
      <c r="T184" s="117" t="str">
        <f t="shared" si="27"/>
        <v/>
      </c>
      <c r="U184" s="117" t="b">
        <f t="shared" si="31"/>
        <v>0</v>
      </c>
      <c r="V184" s="157" t="b">
        <f>INDEX('register map'!P:P,C184)="yes"</f>
        <v>1</v>
      </c>
      <c r="W184" s="157" t="str">
        <f t="shared" si="28"/>
        <v>FALSE</v>
      </c>
    </row>
    <row r="185" spans="2:23">
      <c r="B185" s="157" t="str">
        <f t="array" ref="B185">IF(ROWS($3:185)&lt;=COUNTA('register map'!$L$5:$L$902),INDEX('register map'!$L$5:$L$902,SMALL(IF('register map'!$L$5:$L$902&lt;&gt;"",ROW('register map'!$L$5:$L$902)-MIN(ROW('register map'!$L$5:$L$902))+1),ROWS($3:185))),"")</f>
        <v>BUCK2_GPO1_MSK</v>
      </c>
      <c r="C185" s="157">
        <f>IF(B185="PART_NUMBER",IF(COUNTIF($B$1:B184,"PART_NUMBER")=0,6,8),MATCH(B185,'register map'!L:L,0))</f>
        <v>198</v>
      </c>
      <c r="D185" s="117" t="str">
        <f>IF(ISBLANK(INDEX('register map'!C:C,'Logical Group Generator'!C185)),"No","Yes")</f>
        <v>No</v>
      </c>
      <c r="E185" s="117" t="str">
        <f>IF(ISBLANK(INDEX('register map'!A:A,C185)),IF(ISBLANK(INDEX('register map'!A:A,C185-1)),IF(ISBLANK(INDEX('register map'!A:A,C185-2)),IF(ISBLANK(INDEX('register map'!A:A,C185-3)),IF(ISBLANK(INDEX('register map'!A:A,C185-4)),IF(ISBLANK(INDEX('register map'!A:A,C185-5)),IF(ISBLANK(INDEX('register map'!A:A,C185-6)),IF(ISBLANK(INDEX('register map'!A:A,C185-7)),IF(ISBLANK(INDEX('register map'!A:A,C185-8)),"ERROR",INDEX('register map'!A:A,C185-8)),INDEX('register map'!A:A,C185-7)),INDEX('register map'!A:A,C185-6)),INDEX('register map'!A:A,C185-5)),INDEX('register map'!A:A,C185-4)),INDEX('register map'!A:A,C185-3)),INDEX('register map'!A:A,C185-2)),INDEX('register map'!A:A,C185-1)),INDEX('register map'!A:A,C185))</f>
        <v>0x5E</v>
      </c>
      <c r="F185" s="117" t="str">
        <f>IF(ISBLANK(INDEX('register map'!B:B,C185)),IF(ISBLANK(INDEX('register map'!B:B,C185-1)),IF(ISBLANK(INDEX('register map'!B:B,C185-2)),IF(ISBLANK(INDEX('register map'!B:B,C185-3)),IF(ISBLANK(INDEX('register map'!B:B,C185-4)),IF(ISBLANK(INDEX('register map'!B:B,C185-5)),IF(ISBLANK(INDEX('register map'!B:B,C185-6)),IF(ISBLANK(INDEX('register map'!B:B,C185-7)),IF(ISBLANK(INDEX('register map'!B:B,C185-8)),"ERROR",INDEX('register map'!B:B,C185-8)),INDEX('register map'!B:B,C185-7)),INDEX('register map'!B:B,C185-6)),INDEX('register map'!B:B,C185-5)),INDEX('register map'!B:B,C185-4)),INDEX('register map'!B:B,C185-3)),INDEX('register map'!B:B,C185-2)),INDEX('register map'!B:B,C185-1)),INDEX('register map'!B:B,C185))</f>
        <v>0xA4</v>
      </c>
      <c r="G185" s="117" t="str">
        <f>CONCATENATE(IF(ISNUMBER(INDEX('register map'!D:D,C185)),7,""),IF(ISNUMBER(INDEX('register map'!E:E,C185)),6,""),IF(ISNUMBER(INDEX('register map'!F:F,C185)),5,""),IF(ISNUMBER(INDEX('register map'!G:G,C185)),4,""),IF(ISNUMBER(INDEX('register map'!H:H,C185)),3,""),IF(ISNUMBER(INDEX('register map'!I:I,C185)),2,""),IF(ISNUMBER(INDEX('register map'!J:J,C185)),1,""),IF(ISNUMBER(INDEX('register map'!K:K,C185)),0,""))</f>
        <v>1</v>
      </c>
      <c r="H185" s="117" t="str">
        <f>RIGHT(INDEX('register map'!V:V,MATCH('Logical Group Generator'!B185,'register map'!L:L,0)),LEN(G185))</f>
        <v>1</v>
      </c>
      <c r="I185" s="117" t="str">
        <f>CONCATENATE(IF(ISNUMBER(INDEX('register map'!K:K,C185)),0,""),IF(ISNUMBER(INDEX('register map'!J:J,C185)),1,""),IF(ISNUMBER(INDEX('register map'!I:I,C185)),2,""),IF(ISNUMBER(INDEX('register map'!H:H,C185)),3,""),IF(ISNUMBER(INDEX('register map'!G:G,C185)),4,""),IF(ISNUMBER(INDEX('register map'!F:F,C185)),5,""),IF(ISNUMBER(INDEX('register map'!E:E,C185)),6,""),IF(ISNUMBER(INDEX('register map'!D:D,C185)),7,""))</f>
        <v>1</v>
      </c>
      <c r="J185" s="117" t="str">
        <f t="shared" si="29"/>
        <v>1</v>
      </c>
      <c r="K185" s="117" t="str">
        <f t="shared" si="22"/>
        <v/>
      </c>
      <c r="L185" s="117" t="str">
        <f t="shared" si="30"/>
        <v/>
      </c>
      <c r="M185" s="117" t="str">
        <f t="shared" si="32"/>
        <v/>
      </c>
      <c r="N185" s="117" t="str">
        <f>IF(ISBLANK(INDEX('register map'!M:M,'Logical Group Generator'!C185)),"No","Yes")</f>
        <v>No</v>
      </c>
      <c r="O185" s="117" t="str">
        <f>IF(NOT(ISBLANK(INDEX('register map'!N:N,'Logical Group Generator'!C185))),"Yes","")</f>
        <v/>
      </c>
      <c r="P185" s="117" t="str">
        <f t="shared" si="23"/>
        <v/>
      </c>
      <c r="Q185" s="117" t="str">
        <f t="shared" si="24"/>
        <v/>
      </c>
      <c r="R185" s="117" t="str">
        <f t="shared" si="25"/>
        <v/>
      </c>
      <c r="S185" s="117" t="str">
        <f t="shared" si="26"/>
        <v>No</v>
      </c>
      <c r="T185" s="117" t="str">
        <f t="shared" si="27"/>
        <v/>
      </c>
      <c r="U185" s="117" t="b">
        <f t="shared" si="31"/>
        <v>0</v>
      </c>
      <c r="V185" s="157" t="b">
        <f>INDEX('register map'!P:P,C185)="yes"</f>
        <v>1</v>
      </c>
      <c r="W185" s="157" t="str">
        <f t="shared" si="28"/>
        <v>FALSE</v>
      </c>
    </row>
    <row r="186" spans="2:23">
      <c r="B186" s="157" t="str">
        <f t="array" ref="B186">IF(ROWS($3:186)&lt;=COUNTA('register map'!$L$5:$L$902),INDEX('register map'!$L$5:$L$902,SMALL(IF('register map'!$L$5:$L$902&lt;&gt;"",ROW('register map'!$L$5:$L$902)-MIN(ROW('register map'!$L$5:$L$902))+1),ROWS($3:186))),"")</f>
        <v>BUCK3_GPO1_MSK</v>
      </c>
      <c r="C186" s="157">
        <f>IF(B186="PART_NUMBER",IF(COUNTIF($B$1:B185,"PART_NUMBER")=0,6,8),MATCH(B186,'register map'!L:L,0))</f>
        <v>199</v>
      </c>
      <c r="D186" s="117" t="str">
        <f>IF(ISBLANK(INDEX('register map'!C:C,'Logical Group Generator'!C186)),"No","Yes")</f>
        <v>No</v>
      </c>
      <c r="E186" s="117" t="str">
        <f>IF(ISBLANK(INDEX('register map'!A:A,C186)),IF(ISBLANK(INDEX('register map'!A:A,C186-1)),IF(ISBLANK(INDEX('register map'!A:A,C186-2)),IF(ISBLANK(INDEX('register map'!A:A,C186-3)),IF(ISBLANK(INDEX('register map'!A:A,C186-4)),IF(ISBLANK(INDEX('register map'!A:A,C186-5)),IF(ISBLANK(INDEX('register map'!A:A,C186-6)),IF(ISBLANK(INDEX('register map'!A:A,C186-7)),IF(ISBLANK(INDEX('register map'!A:A,C186-8)),"ERROR",INDEX('register map'!A:A,C186-8)),INDEX('register map'!A:A,C186-7)),INDEX('register map'!A:A,C186-6)),INDEX('register map'!A:A,C186-5)),INDEX('register map'!A:A,C186-4)),INDEX('register map'!A:A,C186-3)),INDEX('register map'!A:A,C186-2)),INDEX('register map'!A:A,C186-1)),INDEX('register map'!A:A,C186))</f>
        <v>0x5E</v>
      </c>
      <c r="F186" s="117" t="str">
        <f>IF(ISBLANK(INDEX('register map'!B:B,C186)),IF(ISBLANK(INDEX('register map'!B:B,C186-1)),IF(ISBLANK(INDEX('register map'!B:B,C186-2)),IF(ISBLANK(INDEX('register map'!B:B,C186-3)),IF(ISBLANK(INDEX('register map'!B:B,C186-4)),IF(ISBLANK(INDEX('register map'!B:B,C186-5)),IF(ISBLANK(INDEX('register map'!B:B,C186-6)),IF(ISBLANK(INDEX('register map'!B:B,C186-7)),IF(ISBLANK(INDEX('register map'!B:B,C186-8)),"ERROR",INDEX('register map'!B:B,C186-8)),INDEX('register map'!B:B,C186-7)),INDEX('register map'!B:B,C186-6)),INDEX('register map'!B:B,C186-5)),INDEX('register map'!B:B,C186-4)),INDEX('register map'!B:B,C186-3)),INDEX('register map'!B:B,C186-2)),INDEX('register map'!B:B,C186-1)),INDEX('register map'!B:B,C186))</f>
        <v>0xA4</v>
      </c>
      <c r="G186" s="117" t="str">
        <f>CONCATENATE(IF(ISNUMBER(INDEX('register map'!D:D,C186)),7,""),IF(ISNUMBER(INDEX('register map'!E:E,C186)),6,""),IF(ISNUMBER(INDEX('register map'!F:F,C186)),5,""),IF(ISNUMBER(INDEX('register map'!G:G,C186)),4,""),IF(ISNUMBER(INDEX('register map'!H:H,C186)),3,""),IF(ISNUMBER(INDEX('register map'!I:I,C186)),2,""),IF(ISNUMBER(INDEX('register map'!J:J,C186)),1,""),IF(ISNUMBER(INDEX('register map'!K:K,C186)),0,""))</f>
        <v>2</v>
      </c>
      <c r="H186" s="117" t="str">
        <f>RIGHT(INDEX('register map'!V:V,MATCH('Logical Group Generator'!B186,'register map'!L:L,0)),LEN(G186))</f>
        <v>0</v>
      </c>
      <c r="I186" s="117" t="str">
        <f>CONCATENATE(IF(ISNUMBER(INDEX('register map'!K:K,C186)),0,""),IF(ISNUMBER(INDEX('register map'!J:J,C186)),1,""),IF(ISNUMBER(INDEX('register map'!I:I,C186)),2,""),IF(ISNUMBER(INDEX('register map'!H:H,C186)),3,""),IF(ISNUMBER(INDEX('register map'!G:G,C186)),4,""),IF(ISNUMBER(INDEX('register map'!F:F,C186)),5,""),IF(ISNUMBER(INDEX('register map'!E:E,C186)),6,""),IF(ISNUMBER(INDEX('register map'!D:D,C186)),7,""))</f>
        <v>2</v>
      </c>
      <c r="J186" s="117" t="str">
        <f t="shared" si="29"/>
        <v>0</v>
      </c>
      <c r="K186" s="117" t="str">
        <f t="shared" si="22"/>
        <v/>
      </c>
      <c r="L186" s="117" t="str">
        <f t="shared" si="30"/>
        <v/>
      </c>
      <c r="M186" s="117" t="str">
        <f t="shared" si="32"/>
        <v/>
      </c>
      <c r="N186" s="117" t="str">
        <f>IF(ISBLANK(INDEX('register map'!M:M,'Logical Group Generator'!C186)),"No","Yes")</f>
        <v>No</v>
      </c>
      <c r="O186" s="117" t="str">
        <f>IF(NOT(ISBLANK(INDEX('register map'!N:N,'Logical Group Generator'!C186))),"Yes","")</f>
        <v/>
      </c>
      <c r="P186" s="117" t="str">
        <f t="shared" si="23"/>
        <v/>
      </c>
      <c r="Q186" s="117" t="str">
        <f t="shared" si="24"/>
        <v/>
      </c>
      <c r="R186" s="117" t="str">
        <f t="shared" si="25"/>
        <v/>
      </c>
      <c r="S186" s="117" t="str">
        <f t="shared" si="26"/>
        <v>No</v>
      </c>
      <c r="T186" s="117" t="str">
        <f t="shared" si="27"/>
        <v/>
      </c>
      <c r="U186" s="117" t="b">
        <f t="shared" si="31"/>
        <v>0</v>
      </c>
      <c r="V186" s="157" t="b">
        <f>INDEX('register map'!P:P,C186)="yes"</f>
        <v>1</v>
      </c>
      <c r="W186" s="157" t="str">
        <f t="shared" si="28"/>
        <v>FALSE</v>
      </c>
    </row>
    <row r="187" spans="2:23">
      <c r="B187" s="157" t="str">
        <f t="array" ref="B187">IF(ROWS($3:187)&lt;=COUNTA('register map'!$L$5:$L$902),INDEX('register map'!$L$5:$L$902,SMALL(IF('register map'!$L$5:$L$902&lt;&gt;"",ROW('register map'!$L$5:$L$902)-MIN(ROW('register map'!$L$5:$L$902))+1),ROWS($3:187))),"")</f>
        <v>BUCK4_GPO1_MSK</v>
      </c>
      <c r="C187" s="157">
        <f>IF(B187="PART_NUMBER",IF(COUNTIF($B$1:B186,"PART_NUMBER")=0,6,8),MATCH(B187,'register map'!L:L,0))</f>
        <v>200</v>
      </c>
      <c r="D187" s="117" t="str">
        <f>IF(ISBLANK(INDEX('register map'!C:C,'Logical Group Generator'!C187)),"No","Yes")</f>
        <v>No</v>
      </c>
      <c r="E187" s="117" t="str">
        <f>IF(ISBLANK(INDEX('register map'!A:A,C187)),IF(ISBLANK(INDEX('register map'!A:A,C187-1)),IF(ISBLANK(INDEX('register map'!A:A,C187-2)),IF(ISBLANK(INDEX('register map'!A:A,C187-3)),IF(ISBLANK(INDEX('register map'!A:A,C187-4)),IF(ISBLANK(INDEX('register map'!A:A,C187-5)),IF(ISBLANK(INDEX('register map'!A:A,C187-6)),IF(ISBLANK(INDEX('register map'!A:A,C187-7)),IF(ISBLANK(INDEX('register map'!A:A,C187-8)),"ERROR",INDEX('register map'!A:A,C187-8)),INDEX('register map'!A:A,C187-7)),INDEX('register map'!A:A,C187-6)),INDEX('register map'!A:A,C187-5)),INDEX('register map'!A:A,C187-4)),INDEX('register map'!A:A,C187-3)),INDEX('register map'!A:A,C187-2)),INDEX('register map'!A:A,C187-1)),INDEX('register map'!A:A,C187))</f>
        <v>0x5E</v>
      </c>
      <c r="F187" s="117" t="str">
        <f>IF(ISBLANK(INDEX('register map'!B:B,C187)),IF(ISBLANK(INDEX('register map'!B:B,C187-1)),IF(ISBLANK(INDEX('register map'!B:B,C187-2)),IF(ISBLANK(INDEX('register map'!B:B,C187-3)),IF(ISBLANK(INDEX('register map'!B:B,C187-4)),IF(ISBLANK(INDEX('register map'!B:B,C187-5)),IF(ISBLANK(INDEX('register map'!B:B,C187-6)),IF(ISBLANK(INDEX('register map'!B:B,C187-7)),IF(ISBLANK(INDEX('register map'!B:B,C187-8)),"ERROR",INDEX('register map'!B:B,C187-8)),INDEX('register map'!B:B,C187-7)),INDEX('register map'!B:B,C187-6)),INDEX('register map'!B:B,C187-5)),INDEX('register map'!B:B,C187-4)),INDEX('register map'!B:B,C187-3)),INDEX('register map'!B:B,C187-2)),INDEX('register map'!B:B,C187-1)),INDEX('register map'!B:B,C187))</f>
        <v>0xA4</v>
      </c>
      <c r="G187" s="117" t="str">
        <f>CONCATENATE(IF(ISNUMBER(INDEX('register map'!D:D,C187)),7,""),IF(ISNUMBER(INDEX('register map'!E:E,C187)),6,""),IF(ISNUMBER(INDEX('register map'!F:F,C187)),5,""),IF(ISNUMBER(INDEX('register map'!G:G,C187)),4,""),IF(ISNUMBER(INDEX('register map'!H:H,C187)),3,""),IF(ISNUMBER(INDEX('register map'!I:I,C187)),2,""),IF(ISNUMBER(INDEX('register map'!J:J,C187)),1,""),IF(ISNUMBER(INDEX('register map'!K:K,C187)),0,""))</f>
        <v>3</v>
      </c>
      <c r="H187" s="117" t="str">
        <f>RIGHT(INDEX('register map'!V:V,MATCH('Logical Group Generator'!B187,'register map'!L:L,0)),LEN(G187))</f>
        <v>0</v>
      </c>
      <c r="I187" s="117" t="str">
        <f>CONCATENATE(IF(ISNUMBER(INDEX('register map'!K:K,C187)),0,""),IF(ISNUMBER(INDEX('register map'!J:J,C187)),1,""),IF(ISNUMBER(INDEX('register map'!I:I,C187)),2,""),IF(ISNUMBER(INDEX('register map'!H:H,C187)),3,""),IF(ISNUMBER(INDEX('register map'!G:G,C187)),4,""),IF(ISNUMBER(INDEX('register map'!F:F,C187)),5,""),IF(ISNUMBER(INDEX('register map'!E:E,C187)),6,""),IF(ISNUMBER(INDEX('register map'!D:D,C187)),7,""))</f>
        <v>3</v>
      </c>
      <c r="J187" s="117" t="str">
        <f t="shared" si="29"/>
        <v>0</v>
      </c>
      <c r="K187" s="117" t="str">
        <f t="shared" si="22"/>
        <v/>
      </c>
      <c r="L187" s="117" t="str">
        <f t="shared" si="30"/>
        <v/>
      </c>
      <c r="M187" s="117" t="str">
        <f t="shared" si="32"/>
        <v/>
      </c>
      <c r="N187" s="117" t="str">
        <f>IF(ISBLANK(INDEX('register map'!M:M,'Logical Group Generator'!C187)),"No","Yes")</f>
        <v>No</v>
      </c>
      <c r="O187" s="117" t="str">
        <f>IF(NOT(ISBLANK(INDEX('register map'!N:N,'Logical Group Generator'!C187))),"Yes","")</f>
        <v/>
      </c>
      <c r="P187" s="117" t="str">
        <f t="shared" si="23"/>
        <v/>
      </c>
      <c r="Q187" s="117" t="str">
        <f t="shared" si="24"/>
        <v/>
      </c>
      <c r="R187" s="117" t="str">
        <f t="shared" si="25"/>
        <v/>
      </c>
      <c r="S187" s="117" t="str">
        <f t="shared" si="26"/>
        <v>No</v>
      </c>
      <c r="T187" s="117" t="str">
        <f t="shared" si="27"/>
        <v/>
      </c>
      <c r="U187" s="117" t="b">
        <f t="shared" si="31"/>
        <v>0</v>
      </c>
      <c r="V187" s="157" t="b">
        <f>INDEX('register map'!P:P,C187)="yes"</f>
        <v>1</v>
      </c>
      <c r="W187" s="157" t="str">
        <f t="shared" si="28"/>
        <v>FALSE</v>
      </c>
    </row>
    <row r="188" spans="2:23">
      <c r="B188" s="157" t="str">
        <f t="array" ref="B188">IF(ROWS($3:188)&lt;=COUNTA('register map'!$L$5:$L$902),INDEX('register map'!$L$5:$L$902,SMALL(IF('register map'!$L$5:$L$902&lt;&gt;"",ROW('register map'!$L$5:$L$902)-MIN(ROW('register map'!$L$5:$L$902))+1),ROWS($3:188))),"")</f>
        <v>BUCK5_GPO1_MSK</v>
      </c>
      <c r="C188" s="157">
        <f>IF(B188="PART_NUMBER",IF(COUNTIF($B$1:B187,"PART_NUMBER")=0,6,8),MATCH(B188,'register map'!L:L,0))</f>
        <v>201</v>
      </c>
      <c r="D188" s="117" t="str">
        <f>IF(ISBLANK(INDEX('register map'!C:C,'Logical Group Generator'!C188)),"No","Yes")</f>
        <v>No</v>
      </c>
      <c r="E188" s="117" t="str">
        <f>IF(ISBLANK(INDEX('register map'!A:A,C188)),IF(ISBLANK(INDEX('register map'!A:A,C188-1)),IF(ISBLANK(INDEX('register map'!A:A,C188-2)),IF(ISBLANK(INDEX('register map'!A:A,C188-3)),IF(ISBLANK(INDEX('register map'!A:A,C188-4)),IF(ISBLANK(INDEX('register map'!A:A,C188-5)),IF(ISBLANK(INDEX('register map'!A:A,C188-6)),IF(ISBLANK(INDEX('register map'!A:A,C188-7)),IF(ISBLANK(INDEX('register map'!A:A,C188-8)),"ERROR",INDEX('register map'!A:A,C188-8)),INDEX('register map'!A:A,C188-7)),INDEX('register map'!A:A,C188-6)),INDEX('register map'!A:A,C188-5)),INDEX('register map'!A:A,C188-4)),INDEX('register map'!A:A,C188-3)),INDEX('register map'!A:A,C188-2)),INDEX('register map'!A:A,C188-1)),INDEX('register map'!A:A,C188))</f>
        <v>0x5E</v>
      </c>
      <c r="F188" s="117" t="str">
        <f>IF(ISBLANK(INDEX('register map'!B:B,C188)),IF(ISBLANK(INDEX('register map'!B:B,C188-1)),IF(ISBLANK(INDEX('register map'!B:B,C188-2)),IF(ISBLANK(INDEX('register map'!B:B,C188-3)),IF(ISBLANK(INDEX('register map'!B:B,C188-4)),IF(ISBLANK(INDEX('register map'!B:B,C188-5)),IF(ISBLANK(INDEX('register map'!B:B,C188-6)),IF(ISBLANK(INDEX('register map'!B:B,C188-7)),IF(ISBLANK(INDEX('register map'!B:B,C188-8)),"ERROR",INDEX('register map'!B:B,C188-8)),INDEX('register map'!B:B,C188-7)),INDEX('register map'!B:B,C188-6)),INDEX('register map'!B:B,C188-5)),INDEX('register map'!B:B,C188-4)),INDEX('register map'!B:B,C188-3)),INDEX('register map'!B:B,C188-2)),INDEX('register map'!B:B,C188-1)),INDEX('register map'!B:B,C188))</f>
        <v>0xA4</v>
      </c>
      <c r="G188" s="117" t="str">
        <f>CONCATENATE(IF(ISNUMBER(INDEX('register map'!D:D,C188)),7,""),IF(ISNUMBER(INDEX('register map'!E:E,C188)),6,""),IF(ISNUMBER(INDEX('register map'!F:F,C188)),5,""),IF(ISNUMBER(INDEX('register map'!G:G,C188)),4,""),IF(ISNUMBER(INDEX('register map'!H:H,C188)),3,""),IF(ISNUMBER(INDEX('register map'!I:I,C188)),2,""),IF(ISNUMBER(INDEX('register map'!J:J,C188)),1,""),IF(ISNUMBER(INDEX('register map'!K:K,C188)),0,""))</f>
        <v>4</v>
      </c>
      <c r="H188" s="117" t="str">
        <f>RIGHT(INDEX('register map'!V:V,MATCH('Logical Group Generator'!B188,'register map'!L:L,0)),LEN(G188))</f>
        <v>1</v>
      </c>
      <c r="I188" s="117" t="str">
        <f>CONCATENATE(IF(ISNUMBER(INDEX('register map'!K:K,C188)),0,""),IF(ISNUMBER(INDEX('register map'!J:J,C188)),1,""),IF(ISNUMBER(INDEX('register map'!I:I,C188)),2,""),IF(ISNUMBER(INDEX('register map'!H:H,C188)),3,""),IF(ISNUMBER(INDEX('register map'!G:G,C188)),4,""),IF(ISNUMBER(INDEX('register map'!F:F,C188)),5,""),IF(ISNUMBER(INDEX('register map'!E:E,C188)),6,""),IF(ISNUMBER(INDEX('register map'!D:D,C188)),7,""))</f>
        <v>4</v>
      </c>
      <c r="J188" s="117" t="str">
        <f t="shared" si="29"/>
        <v>1</v>
      </c>
      <c r="K188" s="117" t="str">
        <f t="shared" si="22"/>
        <v/>
      </c>
      <c r="L188" s="117" t="str">
        <f t="shared" si="30"/>
        <v/>
      </c>
      <c r="M188" s="117" t="str">
        <f t="shared" si="32"/>
        <v/>
      </c>
      <c r="N188" s="117" t="str">
        <f>IF(ISBLANK(INDEX('register map'!M:M,'Logical Group Generator'!C188)),"No","Yes")</f>
        <v>No</v>
      </c>
      <c r="O188" s="117" t="str">
        <f>IF(NOT(ISBLANK(INDEX('register map'!N:N,'Logical Group Generator'!C188))),"Yes","")</f>
        <v/>
      </c>
      <c r="P188" s="117" t="str">
        <f t="shared" si="23"/>
        <v/>
      </c>
      <c r="Q188" s="117" t="str">
        <f t="shared" si="24"/>
        <v/>
      </c>
      <c r="R188" s="117" t="str">
        <f t="shared" si="25"/>
        <v/>
      </c>
      <c r="S188" s="117" t="str">
        <f t="shared" si="26"/>
        <v>No</v>
      </c>
      <c r="T188" s="117" t="str">
        <f t="shared" si="27"/>
        <v/>
      </c>
      <c r="U188" s="117" t="b">
        <f t="shared" si="31"/>
        <v>0</v>
      </c>
      <c r="V188" s="157" t="b">
        <f>INDEX('register map'!P:P,C188)="yes"</f>
        <v>1</v>
      </c>
      <c r="W188" s="157" t="str">
        <f t="shared" si="28"/>
        <v>FALSE</v>
      </c>
    </row>
    <row r="189" spans="2:23">
      <c r="B189" s="157" t="str">
        <f t="array" ref="B189">IF(ROWS($3:189)&lt;=COUNTA('register map'!$L$5:$L$902),INDEX('register map'!$L$5:$L$902,SMALL(IF('register map'!$L$5:$L$902&lt;&gt;"",ROW('register map'!$L$5:$L$902)-MIN(ROW('register map'!$L$5:$L$902))+1),ROWS($3:189))),"")</f>
        <v>BUCK6_GPO1_MSK</v>
      </c>
      <c r="C189" s="157">
        <f>IF(B189="PART_NUMBER",IF(COUNTIF($B$1:B188,"PART_NUMBER")=0,6,8),MATCH(B189,'register map'!L:L,0))</f>
        <v>202</v>
      </c>
      <c r="D189" s="117" t="str">
        <f>IF(ISBLANK(INDEX('register map'!C:C,'Logical Group Generator'!C189)),"No","Yes")</f>
        <v>No</v>
      </c>
      <c r="E189" s="117" t="str">
        <f>IF(ISBLANK(INDEX('register map'!A:A,C189)),IF(ISBLANK(INDEX('register map'!A:A,C189-1)),IF(ISBLANK(INDEX('register map'!A:A,C189-2)),IF(ISBLANK(INDEX('register map'!A:A,C189-3)),IF(ISBLANK(INDEX('register map'!A:A,C189-4)),IF(ISBLANK(INDEX('register map'!A:A,C189-5)),IF(ISBLANK(INDEX('register map'!A:A,C189-6)),IF(ISBLANK(INDEX('register map'!A:A,C189-7)),IF(ISBLANK(INDEX('register map'!A:A,C189-8)),"ERROR",INDEX('register map'!A:A,C189-8)),INDEX('register map'!A:A,C189-7)),INDEX('register map'!A:A,C189-6)),INDEX('register map'!A:A,C189-5)),INDEX('register map'!A:A,C189-4)),INDEX('register map'!A:A,C189-3)),INDEX('register map'!A:A,C189-2)),INDEX('register map'!A:A,C189-1)),INDEX('register map'!A:A,C189))</f>
        <v>0x5E</v>
      </c>
      <c r="F189" s="117" t="str">
        <f>IF(ISBLANK(INDEX('register map'!B:B,C189)),IF(ISBLANK(INDEX('register map'!B:B,C189-1)),IF(ISBLANK(INDEX('register map'!B:B,C189-2)),IF(ISBLANK(INDEX('register map'!B:B,C189-3)),IF(ISBLANK(INDEX('register map'!B:B,C189-4)),IF(ISBLANK(INDEX('register map'!B:B,C189-5)),IF(ISBLANK(INDEX('register map'!B:B,C189-6)),IF(ISBLANK(INDEX('register map'!B:B,C189-7)),IF(ISBLANK(INDEX('register map'!B:B,C189-8)),"ERROR",INDEX('register map'!B:B,C189-8)),INDEX('register map'!B:B,C189-7)),INDEX('register map'!B:B,C189-6)),INDEX('register map'!B:B,C189-5)),INDEX('register map'!B:B,C189-4)),INDEX('register map'!B:B,C189-3)),INDEX('register map'!B:B,C189-2)),INDEX('register map'!B:B,C189-1)),INDEX('register map'!B:B,C189))</f>
        <v>0xA4</v>
      </c>
      <c r="G189" s="117" t="str">
        <f>CONCATENATE(IF(ISNUMBER(INDEX('register map'!D:D,C189)),7,""),IF(ISNUMBER(INDEX('register map'!E:E,C189)),6,""),IF(ISNUMBER(INDEX('register map'!F:F,C189)),5,""),IF(ISNUMBER(INDEX('register map'!G:G,C189)),4,""),IF(ISNUMBER(INDEX('register map'!H:H,C189)),3,""),IF(ISNUMBER(INDEX('register map'!I:I,C189)),2,""),IF(ISNUMBER(INDEX('register map'!J:J,C189)),1,""),IF(ISNUMBER(INDEX('register map'!K:K,C189)),0,""))</f>
        <v>5</v>
      </c>
      <c r="H189" s="117" t="str">
        <f>RIGHT(INDEX('register map'!V:V,MATCH('Logical Group Generator'!B189,'register map'!L:L,0)),LEN(G189))</f>
        <v>1</v>
      </c>
      <c r="I189" s="117" t="str">
        <f>CONCATENATE(IF(ISNUMBER(INDEX('register map'!K:K,C189)),0,""),IF(ISNUMBER(INDEX('register map'!J:J,C189)),1,""),IF(ISNUMBER(INDEX('register map'!I:I,C189)),2,""),IF(ISNUMBER(INDEX('register map'!H:H,C189)),3,""),IF(ISNUMBER(INDEX('register map'!G:G,C189)),4,""),IF(ISNUMBER(INDEX('register map'!F:F,C189)),5,""),IF(ISNUMBER(INDEX('register map'!E:E,C189)),6,""),IF(ISNUMBER(INDEX('register map'!D:D,C189)),7,""))</f>
        <v>5</v>
      </c>
      <c r="J189" s="117" t="str">
        <f t="shared" si="29"/>
        <v>1</v>
      </c>
      <c r="K189" s="117" t="str">
        <f t="shared" si="22"/>
        <v/>
      </c>
      <c r="L189" s="117" t="str">
        <f t="shared" si="30"/>
        <v/>
      </c>
      <c r="M189" s="117" t="str">
        <f t="shared" si="32"/>
        <v/>
      </c>
      <c r="N189" s="117" t="str">
        <f>IF(ISBLANK(INDEX('register map'!M:M,'Logical Group Generator'!C189)),"No","Yes")</f>
        <v>No</v>
      </c>
      <c r="O189" s="117" t="str">
        <f>IF(NOT(ISBLANK(INDEX('register map'!N:N,'Logical Group Generator'!C189))),"Yes","")</f>
        <v/>
      </c>
      <c r="P189" s="117" t="str">
        <f t="shared" si="23"/>
        <v/>
      </c>
      <c r="Q189" s="117" t="str">
        <f t="shared" si="24"/>
        <v/>
      </c>
      <c r="R189" s="117" t="str">
        <f t="shared" si="25"/>
        <v/>
      </c>
      <c r="S189" s="117" t="str">
        <f t="shared" si="26"/>
        <v>No</v>
      </c>
      <c r="T189" s="117" t="str">
        <f t="shared" si="27"/>
        <v/>
      </c>
      <c r="U189" s="117" t="b">
        <f t="shared" si="31"/>
        <v>0</v>
      </c>
      <c r="V189" s="157" t="b">
        <f>INDEX('register map'!P:P,C189)="yes"</f>
        <v>1</v>
      </c>
      <c r="W189" s="157" t="str">
        <f t="shared" si="28"/>
        <v>FALSE</v>
      </c>
    </row>
    <row r="190" spans="2:23">
      <c r="B190" s="157" t="str">
        <f t="array" ref="B190">IF(ROWS($3:190)&lt;=COUNTA('register map'!$L$5:$L$902),INDEX('register map'!$L$5:$L$902,SMALL(IF('register map'!$L$5:$L$902&lt;&gt;"",ROW('register map'!$L$5:$L$902)-MIN(ROW('register map'!$L$5:$L$902))+1),ROWS($3:190))),"")</f>
        <v>SWA1_GPO1_MSK</v>
      </c>
      <c r="C190" s="157">
        <f>IF(B190="PART_NUMBER",IF(COUNTIF($B$1:B189,"PART_NUMBER")=0,6,8),MATCH(B190,'register map'!L:L,0))</f>
        <v>203</v>
      </c>
      <c r="D190" s="117" t="str">
        <f>IF(ISBLANK(INDEX('register map'!C:C,'Logical Group Generator'!C190)),"No","Yes")</f>
        <v>No</v>
      </c>
      <c r="E190" s="117" t="str">
        <f>IF(ISBLANK(INDEX('register map'!A:A,C190)),IF(ISBLANK(INDEX('register map'!A:A,C190-1)),IF(ISBLANK(INDEX('register map'!A:A,C190-2)),IF(ISBLANK(INDEX('register map'!A:A,C190-3)),IF(ISBLANK(INDEX('register map'!A:A,C190-4)),IF(ISBLANK(INDEX('register map'!A:A,C190-5)),IF(ISBLANK(INDEX('register map'!A:A,C190-6)),IF(ISBLANK(INDEX('register map'!A:A,C190-7)),IF(ISBLANK(INDEX('register map'!A:A,C190-8)),"ERROR",INDEX('register map'!A:A,C190-8)),INDEX('register map'!A:A,C190-7)),INDEX('register map'!A:A,C190-6)),INDEX('register map'!A:A,C190-5)),INDEX('register map'!A:A,C190-4)),INDEX('register map'!A:A,C190-3)),INDEX('register map'!A:A,C190-2)),INDEX('register map'!A:A,C190-1)),INDEX('register map'!A:A,C190))</f>
        <v>0x5E</v>
      </c>
      <c r="F190" s="117" t="str">
        <f>IF(ISBLANK(INDEX('register map'!B:B,C190)),IF(ISBLANK(INDEX('register map'!B:B,C190-1)),IF(ISBLANK(INDEX('register map'!B:B,C190-2)),IF(ISBLANK(INDEX('register map'!B:B,C190-3)),IF(ISBLANK(INDEX('register map'!B:B,C190-4)),IF(ISBLANK(INDEX('register map'!B:B,C190-5)),IF(ISBLANK(INDEX('register map'!B:B,C190-6)),IF(ISBLANK(INDEX('register map'!B:B,C190-7)),IF(ISBLANK(INDEX('register map'!B:B,C190-8)),"ERROR",INDEX('register map'!B:B,C190-8)),INDEX('register map'!B:B,C190-7)),INDEX('register map'!B:B,C190-6)),INDEX('register map'!B:B,C190-5)),INDEX('register map'!B:B,C190-4)),INDEX('register map'!B:B,C190-3)),INDEX('register map'!B:B,C190-2)),INDEX('register map'!B:B,C190-1)),INDEX('register map'!B:B,C190))</f>
        <v>0xA4</v>
      </c>
      <c r="G190" s="117" t="str">
        <f>CONCATENATE(IF(ISNUMBER(INDEX('register map'!D:D,C190)),7,""),IF(ISNUMBER(INDEX('register map'!E:E,C190)),6,""),IF(ISNUMBER(INDEX('register map'!F:F,C190)),5,""),IF(ISNUMBER(INDEX('register map'!G:G,C190)),4,""),IF(ISNUMBER(INDEX('register map'!H:H,C190)),3,""),IF(ISNUMBER(INDEX('register map'!I:I,C190)),2,""),IF(ISNUMBER(INDEX('register map'!J:J,C190)),1,""),IF(ISNUMBER(INDEX('register map'!K:K,C190)),0,""))</f>
        <v>6</v>
      </c>
      <c r="H190" s="117" t="str">
        <f>RIGHT(INDEX('register map'!V:V,MATCH('Logical Group Generator'!B190,'register map'!L:L,0)),LEN(G190))</f>
        <v>1</v>
      </c>
      <c r="I190" s="117" t="str">
        <f>CONCATENATE(IF(ISNUMBER(INDEX('register map'!K:K,C190)),0,""),IF(ISNUMBER(INDEX('register map'!J:J,C190)),1,""),IF(ISNUMBER(INDEX('register map'!I:I,C190)),2,""),IF(ISNUMBER(INDEX('register map'!H:H,C190)),3,""),IF(ISNUMBER(INDEX('register map'!G:G,C190)),4,""),IF(ISNUMBER(INDEX('register map'!F:F,C190)),5,""),IF(ISNUMBER(INDEX('register map'!E:E,C190)),6,""),IF(ISNUMBER(INDEX('register map'!D:D,C190)),7,""))</f>
        <v>6</v>
      </c>
      <c r="J190" s="117" t="str">
        <f t="shared" si="29"/>
        <v>1</v>
      </c>
      <c r="K190" s="117" t="str">
        <f t="shared" si="22"/>
        <v/>
      </c>
      <c r="L190" s="117" t="str">
        <f t="shared" si="30"/>
        <v/>
      </c>
      <c r="M190" s="117" t="str">
        <f t="shared" si="32"/>
        <v/>
      </c>
      <c r="N190" s="117" t="str">
        <f>IF(ISBLANK(INDEX('register map'!M:M,'Logical Group Generator'!C190)),"No","Yes")</f>
        <v>No</v>
      </c>
      <c r="O190" s="117" t="str">
        <f>IF(NOT(ISBLANK(INDEX('register map'!N:N,'Logical Group Generator'!C190))),"Yes","")</f>
        <v/>
      </c>
      <c r="P190" s="117" t="str">
        <f t="shared" si="23"/>
        <v/>
      </c>
      <c r="Q190" s="117" t="str">
        <f t="shared" si="24"/>
        <v/>
      </c>
      <c r="R190" s="117" t="str">
        <f t="shared" si="25"/>
        <v/>
      </c>
      <c r="S190" s="117" t="str">
        <f t="shared" si="26"/>
        <v>No</v>
      </c>
      <c r="T190" s="117" t="str">
        <f t="shared" si="27"/>
        <v/>
      </c>
      <c r="U190" s="117" t="b">
        <f t="shared" si="31"/>
        <v>0</v>
      </c>
      <c r="V190" s="157" t="b">
        <f>INDEX('register map'!P:P,C190)="yes"</f>
        <v>1</v>
      </c>
      <c r="W190" s="157" t="str">
        <f t="shared" si="28"/>
        <v>FALSE</v>
      </c>
    </row>
    <row r="191" spans="2:23">
      <c r="B191" s="157" t="str">
        <f t="array" ref="B191">IF(ROWS($3:191)&lt;=COUNTA('register map'!$L$5:$L$902),INDEX('register map'!$L$5:$L$902,SMALL(IF('register map'!$L$5:$L$902&lt;&gt;"",ROW('register map'!$L$5:$L$902)-MIN(ROW('register map'!$L$5:$L$902))+1),ROWS($3:191))),"")</f>
        <v>LDOA2_GPO1_MSK</v>
      </c>
      <c r="C191" s="157">
        <f>IF(B191="PART_NUMBER",IF(COUNTIF($B$1:B190,"PART_NUMBER")=0,6,8),MATCH(B191,'register map'!L:L,0))</f>
        <v>204</v>
      </c>
      <c r="D191" s="117" t="str">
        <f>IF(ISBLANK(INDEX('register map'!C:C,'Logical Group Generator'!C191)),"No","Yes")</f>
        <v>No</v>
      </c>
      <c r="E191" s="117" t="str">
        <f>IF(ISBLANK(INDEX('register map'!A:A,C191)),IF(ISBLANK(INDEX('register map'!A:A,C191-1)),IF(ISBLANK(INDEX('register map'!A:A,C191-2)),IF(ISBLANK(INDEX('register map'!A:A,C191-3)),IF(ISBLANK(INDEX('register map'!A:A,C191-4)),IF(ISBLANK(INDEX('register map'!A:A,C191-5)),IF(ISBLANK(INDEX('register map'!A:A,C191-6)),IF(ISBLANK(INDEX('register map'!A:A,C191-7)),IF(ISBLANK(INDEX('register map'!A:A,C191-8)),"ERROR",INDEX('register map'!A:A,C191-8)),INDEX('register map'!A:A,C191-7)),INDEX('register map'!A:A,C191-6)),INDEX('register map'!A:A,C191-5)),INDEX('register map'!A:A,C191-4)),INDEX('register map'!A:A,C191-3)),INDEX('register map'!A:A,C191-2)),INDEX('register map'!A:A,C191-1)),INDEX('register map'!A:A,C191))</f>
        <v>0x5E</v>
      </c>
      <c r="F191" s="117" t="str">
        <f>IF(ISBLANK(INDEX('register map'!B:B,C191)),IF(ISBLANK(INDEX('register map'!B:B,C191-1)),IF(ISBLANK(INDEX('register map'!B:B,C191-2)),IF(ISBLANK(INDEX('register map'!B:B,C191-3)),IF(ISBLANK(INDEX('register map'!B:B,C191-4)),IF(ISBLANK(INDEX('register map'!B:B,C191-5)),IF(ISBLANK(INDEX('register map'!B:B,C191-6)),IF(ISBLANK(INDEX('register map'!B:B,C191-7)),IF(ISBLANK(INDEX('register map'!B:B,C191-8)),"ERROR",INDEX('register map'!B:B,C191-8)),INDEX('register map'!B:B,C191-7)),INDEX('register map'!B:B,C191-6)),INDEX('register map'!B:B,C191-5)),INDEX('register map'!B:B,C191-4)),INDEX('register map'!B:B,C191-3)),INDEX('register map'!B:B,C191-2)),INDEX('register map'!B:B,C191-1)),INDEX('register map'!B:B,C191))</f>
        <v>0xA4</v>
      </c>
      <c r="G191" s="117" t="str">
        <f>CONCATENATE(IF(ISNUMBER(INDEX('register map'!D:D,C191)),7,""),IF(ISNUMBER(INDEX('register map'!E:E,C191)),6,""),IF(ISNUMBER(INDEX('register map'!F:F,C191)),5,""),IF(ISNUMBER(INDEX('register map'!G:G,C191)),4,""),IF(ISNUMBER(INDEX('register map'!H:H,C191)),3,""),IF(ISNUMBER(INDEX('register map'!I:I,C191)),2,""),IF(ISNUMBER(INDEX('register map'!J:J,C191)),1,""),IF(ISNUMBER(INDEX('register map'!K:K,C191)),0,""))</f>
        <v>7</v>
      </c>
      <c r="H191" s="117" t="str">
        <f>RIGHT(INDEX('register map'!V:V,MATCH('Logical Group Generator'!B191,'register map'!L:L,0)),LEN(G191))</f>
        <v>1</v>
      </c>
      <c r="I191" s="117" t="str">
        <f>CONCATENATE(IF(ISNUMBER(INDEX('register map'!K:K,C191)),0,""),IF(ISNUMBER(INDEX('register map'!J:J,C191)),1,""),IF(ISNUMBER(INDEX('register map'!I:I,C191)),2,""),IF(ISNUMBER(INDEX('register map'!H:H,C191)),3,""),IF(ISNUMBER(INDEX('register map'!G:G,C191)),4,""),IF(ISNUMBER(INDEX('register map'!F:F,C191)),5,""),IF(ISNUMBER(INDEX('register map'!E:E,C191)),6,""),IF(ISNUMBER(INDEX('register map'!D:D,C191)),7,""))</f>
        <v>7</v>
      </c>
      <c r="J191" s="117" t="str">
        <f t="shared" si="29"/>
        <v>1</v>
      </c>
      <c r="K191" s="117" t="str">
        <f t="shared" si="22"/>
        <v/>
      </c>
      <c r="L191" s="117" t="str">
        <f t="shared" si="30"/>
        <v/>
      </c>
      <c r="M191" s="117" t="str">
        <f t="shared" si="32"/>
        <v/>
      </c>
      <c r="N191" s="117" t="str">
        <f>IF(ISBLANK(INDEX('register map'!M:M,'Logical Group Generator'!C191)),"No","Yes")</f>
        <v>No</v>
      </c>
      <c r="O191" s="117" t="str">
        <f>IF(NOT(ISBLANK(INDEX('register map'!N:N,'Logical Group Generator'!C191))),"Yes","")</f>
        <v/>
      </c>
      <c r="P191" s="117" t="str">
        <f t="shared" si="23"/>
        <v/>
      </c>
      <c r="Q191" s="117" t="str">
        <f t="shared" si="24"/>
        <v/>
      </c>
      <c r="R191" s="117" t="str">
        <f t="shared" si="25"/>
        <v/>
      </c>
      <c r="S191" s="117" t="str">
        <f t="shared" si="26"/>
        <v>No</v>
      </c>
      <c r="T191" s="117" t="str">
        <f t="shared" si="27"/>
        <v/>
      </c>
      <c r="U191" s="117" t="b">
        <f t="shared" si="31"/>
        <v>0</v>
      </c>
      <c r="V191" s="157" t="b">
        <f>INDEX('register map'!P:P,C191)="yes"</f>
        <v>1</v>
      </c>
      <c r="W191" s="157" t="str">
        <f t="shared" si="28"/>
        <v>FALSE</v>
      </c>
    </row>
    <row r="192" spans="2:23">
      <c r="B192" s="157" t="str">
        <f t="array" ref="B192">IF(ROWS($3:192)&lt;=COUNTA('register map'!$L$5:$L$902),INDEX('register map'!$L$5:$L$902,SMALL(IF('register map'!$L$5:$L$902&lt;&gt;"",ROW('register map'!$L$5:$L$902)-MIN(ROW('register map'!$L$5:$L$902))+1),ROWS($3:192))),"")</f>
        <v>GPO1PG_CTRL2</v>
      </c>
      <c r="C192" s="157">
        <f>IF(B192="PART_NUMBER",IF(COUNTIF($B$1:B191,"PART_NUMBER")=0,6,8),MATCH(B192,'register map'!L:L,0))</f>
        <v>205</v>
      </c>
      <c r="D192" s="117" t="str">
        <f>IF(ISBLANK(INDEX('register map'!C:C,'Logical Group Generator'!C192)),"No","Yes")</f>
        <v>Yes</v>
      </c>
      <c r="E192" s="117" t="str">
        <f>IF(ISBLANK(INDEX('register map'!A:A,C192)),IF(ISBLANK(INDEX('register map'!A:A,C192-1)),IF(ISBLANK(INDEX('register map'!A:A,C192-2)),IF(ISBLANK(INDEX('register map'!A:A,C192-3)),IF(ISBLANK(INDEX('register map'!A:A,C192-4)),IF(ISBLANK(INDEX('register map'!A:A,C192-5)),IF(ISBLANK(INDEX('register map'!A:A,C192-6)),IF(ISBLANK(INDEX('register map'!A:A,C192-7)),IF(ISBLANK(INDEX('register map'!A:A,C192-8)),"ERROR",INDEX('register map'!A:A,C192-8)),INDEX('register map'!A:A,C192-7)),INDEX('register map'!A:A,C192-6)),INDEX('register map'!A:A,C192-5)),INDEX('register map'!A:A,C192-4)),INDEX('register map'!A:A,C192-3)),INDEX('register map'!A:A,C192-2)),INDEX('register map'!A:A,C192-1)),INDEX('register map'!A:A,C192))</f>
        <v>0x5E</v>
      </c>
      <c r="F192" s="117" t="str">
        <f>IF(ISBLANK(INDEX('register map'!B:B,C192)),IF(ISBLANK(INDEX('register map'!B:B,C192-1)),IF(ISBLANK(INDEX('register map'!B:B,C192-2)),IF(ISBLANK(INDEX('register map'!B:B,C192-3)),IF(ISBLANK(INDEX('register map'!B:B,C192-4)),IF(ISBLANK(INDEX('register map'!B:B,C192-5)),IF(ISBLANK(INDEX('register map'!B:B,C192-6)),IF(ISBLANK(INDEX('register map'!B:B,C192-7)),IF(ISBLANK(INDEX('register map'!B:B,C192-8)),"ERROR",INDEX('register map'!B:B,C192-8)),INDEX('register map'!B:B,C192-7)),INDEX('register map'!B:B,C192-6)),INDEX('register map'!B:B,C192-5)),INDEX('register map'!B:B,C192-4)),INDEX('register map'!B:B,C192-3)),INDEX('register map'!B:B,C192-2)),INDEX('register map'!B:B,C192-1)),INDEX('register map'!B:B,C192))</f>
        <v>0xA5</v>
      </c>
      <c r="G192" s="117" t="str">
        <f>CONCATENATE(IF(ISNUMBER(INDEX('register map'!D:D,C192)),7,""),IF(ISNUMBER(INDEX('register map'!E:E,C192)),6,""),IF(ISNUMBER(INDEX('register map'!F:F,C192)),5,""),IF(ISNUMBER(INDEX('register map'!G:G,C192)),4,""),IF(ISNUMBER(INDEX('register map'!H:H,C192)),3,""),IF(ISNUMBER(INDEX('register map'!I:I,C192)),2,""),IF(ISNUMBER(INDEX('register map'!J:J,C192)),1,""),IF(ISNUMBER(INDEX('register map'!K:K,C192)),0,""))</f>
        <v/>
      </c>
      <c r="H192" s="117" t="str">
        <f>RIGHT(INDEX('register map'!V:V,MATCH('Logical Group Generator'!B192,'register map'!L:L,0)),LEN(G192))</f>
        <v/>
      </c>
      <c r="I192" s="117" t="str">
        <f>CONCATENATE(IF(ISNUMBER(INDEX('register map'!K:K,C192)),0,""),IF(ISNUMBER(INDEX('register map'!J:J,C192)),1,""),IF(ISNUMBER(INDEX('register map'!I:I,C192)),2,""),IF(ISNUMBER(INDEX('register map'!H:H,C192)),3,""),IF(ISNUMBER(INDEX('register map'!G:G,C192)),4,""),IF(ISNUMBER(INDEX('register map'!F:F,C192)),5,""),IF(ISNUMBER(INDEX('register map'!E:E,C192)),6,""),IF(ISNUMBER(INDEX('register map'!D:D,C192)),7,""))</f>
        <v/>
      </c>
      <c r="J192" s="117" t="str">
        <f t="shared" si="29"/>
        <v/>
      </c>
      <c r="K192" s="117" t="str">
        <f t="shared" si="22"/>
        <v>11111111</v>
      </c>
      <c r="L192" s="117" t="str">
        <f t="shared" si="30"/>
        <v>11111111</v>
      </c>
      <c r="M192" s="117" t="str">
        <f t="shared" si="32"/>
        <v>FF</v>
      </c>
      <c r="N192" s="117" t="str">
        <f>IF(ISBLANK(INDEX('register map'!M:M,'Logical Group Generator'!C192)),"No","Yes")</f>
        <v>No</v>
      </c>
      <c r="O192" s="117" t="str">
        <f>IF(NOT(ISBLANK(INDEX('register map'!N:N,'Logical Group Generator'!C192))),"Yes","")</f>
        <v/>
      </c>
      <c r="P192" s="117" t="str">
        <f t="shared" si="23"/>
        <v>No</v>
      </c>
      <c r="Q192" s="117" t="str">
        <f t="shared" si="24"/>
        <v>No</v>
      </c>
      <c r="R192" s="117" t="str">
        <f t="shared" si="25"/>
        <v>No</v>
      </c>
      <c r="S192" s="117" t="str">
        <f t="shared" si="26"/>
        <v/>
      </c>
      <c r="T192" s="117" t="b">
        <f t="shared" si="27"/>
        <v>1</v>
      </c>
      <c r="U192" s="117" t="b">
        <f t="shared" si="31"/>
        <v>1</v>
      </c>
      <c r="V192" s="157" t="b">
        <f>INDEX('register map'!P:P,C192)="yes"</f>
        <v>1</v>
      </c>
      <c r="W192" s="157" t="str">
        <f t="shared" si="28"/>
        <v>REGISTER</v>
      </c>
    </row>
    <row r="193" spans="2:23">
      <c r="B193" s="157" t="str">
        <f t="array" ref="B193">IF(ROWS($3:193)&lt;=COUNTA('register map'!$L$5:$L$902),INDEX('register map'!$L$5:$L$902,SMALL(IF('register map'!$L$5:$L$902&lt;&gt;"",ROW('register map'!$L$5:$L$902)-MIN(ROW('register map'!$L$5:$L$902))+1),ROWS($3:193))),"")</f>
        <v>LDOA3_GPO1_MSK</v>
      </c>
      <c r="C193" s="157">
        <f>IF(B193="PART_NUMBER",IF(COUNTIF($B$1:B192,"PART_NUMBER")=0,6,8),MATCH(B193,'register map'!L:L,0))</f>
        <v>206</v>
      </c>
      <c r="D193" s="117" t="str">
        <f>IF(ISBLANK(INDEX('register map'!C:C,'Logical Group Generator'!C193)),"No","Yes")</f>
        <v>No</v>
      </c>
      <c r="E193" s="117" t="str">
        <f>IF(ISBLANK(INDEX('register map'!A:A,C193)),IF(ISBLANK(INDEX('register map'!A:A,C193-1)),IF(ISBLANK(INDEX('register map'!A:A,C193-2)),IF(ISBLANK(INDEX('register map'!A:A,C193-3)),IF(ISBLANK(INDEX('register map'!A:A,C193-4)),IF(ISBLANK(INDEX('register map'!A:A,C193-5)),IF(ISBLANK(INDEX('register map'!A:A,C193-6)),IF(ISBLANK(INDEX('register map'!A:A,C193-7)),IF(ISBLANK(INDEX('register map'!A:A,C193-8)),"ERROR",INDEX('register map'!A:A,C193-8)),INDEX('register map'!A:A,C193-7)),INDEX('register map'!A:A,C193-6)),INDEX('register map'!A:A,C193-5)),INDEX('register map'!A:A,C193-4)),INDEX('register map'!A:A,C193-3)),INDEX('register map'!A:A,C193-2)),INDEX('register map'!A:A,C193-1)),INDEX('register map'!A:A,C193))</f>
        <v>0x5E</v>
      </c>
      <c r="F193" s="117" t="str">
        <f>IF(ISBLANK(INDEX('register map'!B:B,C193)),IF(ISBLANK(INDEX('register map'!B:B,C193-1)),IF(ISBLANK(INDEX('register map'!B:B,C193-2)),IF(ISBLANK(INDEX('register map'!B:B,C193-3)),IF(ISBLANK(INDEX('register map'!B:B,C193-4)),IF(ISBLANK(INDEX('register map'!B:B,C193-5)),IF(ISBLANK(INDEX('register map'!B:B,C193-6)),IF(ISBLANK(INDEX('register map'!B:B,C193-7)),IF(ISBLANK(INDEX('register map'!B:B,C193-8)),"ERROR",INDEX('register map'!B:B,C193-8)),INDEX('register map'!B:B,C193-7)),INDEX('register map'!B:B,C193-6)),INDEX('register map'!B:B,C193-5)),INDEX('register map'!B:B,C193-4)),INDEX('register map'!B:B,C193-3)),INDEX('register map'!B:B,C193-2)),INDEX('register map'!B:B,C193-1)),INDEX('register map'!B:B,C193))</f>
        <v>0xA5</v>
      </c>
      <c r="G193" s="117" t="str">
        <f>CONCATENATE(IF(ISNUMBER(INDEX('register map'!D:D,C193)),7,""),IF(ISNUMBER(INDEX('register map'!E:E,C193)),6,""),IF(ISNUMBER(INDEX('register map'!F:F,C193)),5,""),IF(ISNUMBER(INDEX('register map'!G:G,C193)),4,""),IF(ISNUMBER(INDEX('register map'!H:H,C193)),3,""),IF(ISNUMBER(INDEX('register map'!I:I,C193)),2,""),IF(ISNUMBER(INDEX('register map'!J:J,C193)),1,""),IF(ISNUMBER(INDEX('register map'!K:K,C193)),0,""))</f>
        <v>0</v>
      </c>
      <c r="H193" s="117" t="str">
        <f>RIGHT(INDEX('register map'!V:V,MATCH('Logical Group Generator'!B193,'register map'!L:L,0)),LEN(G193))</f>
        <v>1</v>
      </c>
      <c r="I193" s="117" t="str">
        <f>CONCATENATE(IF(ISNUMBER(INDEX('register map'!K:K,C193)),0,""),IF(ISNUMBER(INDEX('register map'!J:J,C193)),1,""),IF(ISNUMBER(INDEX('register map'!I:I,C193)),2,""),IF(ISNUMBER(INDEX('register map'!H:H,C193)),3,""),IF(ISNUMBER(INDEX('register map'!G:G,C193)),4,""),IF(ISNUMBER(INDEX('register map'!F:F,C193)),5,""),IF(ISNUMBER(INDEX('register map'!E:E,C193)),6,""),IF(ISNUMBER(INDEX('register map'!D:D,C193)),7,""))</f>
        <v>0</v>
      </c>
      <c r="J193" s="117" t="str">
        <f t="shared" si="29"/>
        <v>1</v>
      </c>
      <c r="K193" s="117" t="str">
        <f t="shared" si="22"/>
        <v/>
      </c>
      <c r="L193" s="117" t="str">
        <f t="shared" si="30"/>
        <v/>
      </c>
      <c r="M193" s="117" t="str">
        <f t="shared" si="32"/>
        <v/>
      </c>
      <c r="N193" s="117" t="str">
        <f>IF(ISBLANK(INDEX('register map'!M:M,'Logical Group Generator'!C193)),"No","Yes")</f>
        <v>No</v>
      </c>
      <c r="O193" s="117" t="str">
        <f>IF(NOT(ISBLANK(INDEX('register map'!N:N,'Logical Group Generator'!C193))),"Yes","")</f>
        <v/>
      </c>
      <c r="P193" s="117" t="str">
        <f t="shared" si="23"/>
        <v/>
      </c>
      <c r="Q193" s="117" t="str">
        <f t="shared" si="24"/>
        <v/>
      </c>
      <c r="R193" s="117" t="str">
        <f t="shared" si="25"/>
        <v/>
      </c>
      <c r="S193" s="117" t="str">
        <f t="shared" si="26"/>
        <v>No</v>
      </c>
      <c r="T193" s="117" t="str">
        <f t="shared" si="27"/>
        <v/>
      </c>
      <c r="U193" s="117" t="b">
        <f t="shared" si="31"/>
        <v>0</v>
      </c>
      <c r="V193" s="157" t="b">
        <f>INDEX('register map'!P:P,C193)="yes"</f>
        <v>1</v>
      </c>
      <c r="W193" s="157" t="str">
        <f t="shared" si="28"/>
        <v>FALSE</v>
      </c>
    </row>
    <row r="194" spans="2:23">
      <c r="B194" s="157" t="str">
        <f t="array" ref="B194">IF(ROWS($3:194)&lt;=COUNTA('register map'!$L$5:$L$902),INDEX('register map'!$L$5:$L$902,SMALL(IF('register map'!$L$5:$L$902&lt;&gt;"",ROW('register map'!$L$5:$L$902)-MIN(ROW('register map'!$L$5:$L$902))+1),ROWS($3:194))),"")</f>
        <v>SWB1_GPO1_MSK</v>
      </c>
      <c r="C194" s="157">
        <f>IF(B194="PART_NUMBER",IF(COUNTIF($B$1:B193,"PART_NUMBER")=0,6,8),MATCH(B194,'register map'!L:L,0))</f>
        <v>207</v>
      </c>
      <c r="D194" s="117" t="str">
        <f>IF(ISBLANK(INDEX('register map'!C:C,'Logical Group Generator'!C194)),"No","Yes")</f>
        <v>No</v>
      </c>
      <c r="E194" s="117" t="str">
        <f>IF(ISBLANK(INDEX('register map'!A:A,C194)),IF(ISBLANK(INDEX('register map'!A:A,C194-1)),IF(ISBLANK(INDEX('register map'!A:A,C194-2)),IF(ISBLANK(INDEX('register map'!A:A,C194-3)),IF(ISBLANK(INDEX('register map'!A:A,C194-4)),IF(ISBLANK(INDEX('register map'!A:A,C194-5)),IF(ISBLANK(INDEX('register map'!A:A,C194-6)),IF(ISBLANK(INDEX('register map'!A:A,C194-7)),IF(ISBLANK(INDEX('register map'!A:A,C194-8)),"ERROR",INDEX('register map'!A:A,C194-8)),INDEX('register map'!A:A,C194-7)),INDEX('register map'!A:A,C194-6)),INDEX('register map'!A:A,C194-5)),INDEX('register map'!A:A,C194-4)),INDEX('register map'!A:A,C194-3)),INDEX('register map'!A:A,C194-2)),INDEX('register map'!A:A,C194-1)),INDEX('register map'!A:A,C194))</f>
        <v>0x5E</v>
      </c>
      <c r="F194" s="117" t="str">
        <f>IF(ISBLANK(INDEX('register map'!B:B,C194)),IF(ISBLANK(INDEX('register map'!B:B,C194-1)),IF(ISBLANK(INDEX('register map'!B:B,C194-2)),IF(ISBLANK(INDEX('register map'!B:B,C194-3)),IF(ISBLANK(INDEX('register map'!B:B,C194-4)),IF(ISBLANK(INDEX('register map'!B:B,C194-5)),IF(ISBLANK(INDEX('register map'!B:B,C194-6)),IF(ISBLANK(INDEX('register map'!B:B,C194-7)),IF(ISBLANK(INDEX('register map'!B:B,C194-8)),"ERROR",INDEX('register map'!B:B,C194-8)),INDEX('register map'!B:B,C194-7)),INDEX('register map'!B:B,C194-6)),INDEX('register map'!B:B,C194-5)),INDEX('register map'!B:B,C194-4)),INDEX('register map'!B:B,C194-3)),INDEX('register map'!B:B,C194-2)),INDEX('register map'!B:B,C194-1)),INDEX('register map'!B:B,C194))</f>
        <v>0xA5</v>
      </c>
      <c r="G194" s="117" t="str">
        <f>CONCATENATE(IF(ISNUMBER(INDEX('register map'!D:D,C194)),7,""),IF(ISNUMBER(INDEX('register map'!E:E,C194)),6,""),IF(ISNUMBER(INDEX('register map'!F:F,C194)),5,""),IF(ISNUMBER(INDEX('register map'!G:G,C194)),4,""),IF(ISNUMBER(INDEX('register map'!H:H,C194)),3,""),IF(ISNUMBER(INDEX('register map'!I:I,C194)),2,""),IF(ISNUMBER(INDEX('register map'!J:J,C194)),1,""),IF(ISNUMBER(INDEX('register map'!K:K,C194)),0,""))</f>
        <v>1</v>
      </c>
      <c r="H194" s="117" t="str">
        <f>RIGHT(INDEX('register map'!V:V,MATCH('Logical Group Generator'!B194,'register map'!L:L,0)),LEN(G194))</f>
        <v>1</v>
      </c>
      <c r="I194" s="117" t="str">
        <f>CONCATENATE(IF(ISNUMBER(INDEX('register map'!K:K,C194)),0,""),IF(ISNUMBER(INDEX('register map'!J:J,C194)),1,""),IF(ISNUMBER(INDEX('register map'!I:I,C194)),2,""),IF(ISNUMBER(INDEX('register map'!H:H,C194)),3,""),IF(ISNUMBER(INDEX('register map'!G:G,C194)),4,""),IF(ISNUMBER(INDEX('register map'!F:F,C194)),5,""),IF(ISNUMBER(INDEX('register map'!E:E,C194)),6,""),IF(ISNUMBER(INDEX('register map'!D:D,C194)),7,""))</f>
        <v>1</v>
      </c>
      <c r="J194" s="117" t="str">
        <f t="shared" si="29"/>
        <v>1</v>
      </c>
      <c r="K194" s="117" t="str">
        <f t="shared" si="22"/>
        <v/>
      </c>
      <c r="L194" s="117" t="str">
        <f t="shared" si="30"/>
        <v/>
      </c>
      <c r="M194" s="117" t="str">
        <f t="shared" si="32"/>
        <v/>
      </c>
      <c r="N194" s="117" t="str">
        <f>IF(ISBLANK(INDEX('register map'!M:M,'Logical Group Generator'!C194)),"No","Yes")</f>
        <v>No</v>
      </c>
      <c r="O194" s="117" t="str">
        <f>IF(NOT(ISBLANK(INDEX('register map'!N:N,'Logical Group Generator'!C194))),"Yes","")</f>
        <v/>
      </c>
      <c r="P194" s="117" t="str">
        <f t="shared" si="23"/>
        <v/>
      </c>
      <c r="Q194" s="117" t="str">
        <f t="shared" si="24"/>
        <v/>
      </c>
      <c r="R194" s="117" t="str">
        <f t="shared" si="25"/>
        <v/>
      </c>
      <c r="S194" s="117" t="str">
        <f t="shared" si="26"/>
        <v>No</v>
      </c>
      <c r="T194" s="117" t="str">
        <f t="shared" si="27"/>
        <v/>
      </c>
      <c r="U194" s="117" t="b">
        <f t="shared" si="31"/>
        <v>0</v>
      </c>
      <c r="V194" s="157" t="b">
        <f>INDEX('register map'!P:P,C194)="yes"</f>
        <v>1</v>
      </c>
      <c r="W194" s="157" t="str">
        <f t="shared" si="28"/>
        <v>FALSE</v>
      </c>
    </row>
    <row r="195" spans="2:23">
      <c r="B195" s="157" t="str">
        <f t="array" ref="B195">IF(ROWS($3:195)&lt;=COUNTA('register map'!$L$5:$L$902),INDEX('register map'!$L$5:$L$902,SMALL(IF('register map'!$L$5:$L$902&lt;&gt;"",ROW('register map'!$L$5:$L$902)-MIN(ROW('register map'!$L$5:$L$902))+1),ROWS($3:195))),"")</f>
        <v>SWB2_LDOA1_GPO1_MSK</v>
      </c>
      <c r="C195" s="157">
        <f>IF(B195="PART_NUMBER",IF(COUNTIF($B$1:B194,"PART_NUMBER")=0,6,8),MATCH(B195,'register map'!L:L,0))</f>
        <v>208</v>
      </c>
      <c r="D195" s="117" t="str">
        <f>IF(ISBLANK(INDEX('register map'!C:C,'Logical Group Generator'!C195)),"No","Yes")</f>
        <v>No</v>
      </c>
      <c r="E195" s="117" t="str">
        <f>IF(ISBLANK(INDEX('register map'!A:A,C195)),IF(ISBLANK(INDEX('register map'!A:A,C195-1)),IF(ISBLANK(INDEX('register map'!A:A,C195-2)),IF(ISBLANK(INDEX('register map'!A:A,C195-3)),IF(ISBLANK(INDEX('register map'!A:A,C195-4)),IF(ISBLANK(INDEX('register map'!A:A,C195-5)),IF(ISBLANK(INDEX('register map'!A:A,C195-6)),IF(ISBLANK(INDEX('register map'!A:A,C195-7)),IF(ISBLANK(INDEX('register map'!A:A,C195-8)),"ERROR",INDEX('register map'!A:A,C195-8)),INDEX('register map'!A:A,C195-7)),INDEX('register map'!A:A,C195-6)),INDEX('register map'!A:A,C195-5)),INDEX('register map'!A:A,C195-4)),INDEX('register map'!A:A,C195-3)),INDEX('register map'!A:A,C195-2)),INDEX('register map'!A:A,C195-1)),INDEX('register map'!A:A,C195))</f>
        <v>0x5E</v>
      </c>
      <c r="F195" s="117" t="str">
        <f>IF(ISBLANK(INDEX('register map'!B:B,C195)),IF(ISBLANK(INDEX('register map'!B:B,C195-1)),IF(ISBLANK(INDEX('register map'!B:B,C195-2)),IF(ISBLANK(INDEX('register map'!B:B,C195-3)),IF(ISBLANK(INDEX('register map'!B:B,C195-4)),IF(ISBLANK(INDEX('register map'!B:B,C195-5)),IF(ISBLANK(INDEX('register map'!B:B,C195-6)),IF(ISBLANK(INDEX('register map'!B:B,C195-7)),IF(ISBLANK(INDEX('register map'!B:B,C195-8)),"ERROR",INDEX('register map'!B:B,C195-8)),INDEX('register map'!B:B,C195-7)),INDEX('register map'!B:B,C195-6)),INDEX('register map'!B:B,C195-5)),INDEX('register map'!B:B,C195-4)),INDEX('register map'!B:B,C195-3)),INDEX('register map'!B:B,C195-2)),INDEX('register map'!B:B,C195-1)),INDEX('register map'!B:B,C195))</f>
        <v>0xA5</v>
      </c>
      <c r="G195" s="117" t="str">
        <f>CONCATENATE(IF(ISNUMBER(INDEX('register map'!D:D,C195)),7,""),IF(ISNUMBER(INDEX('register map'!E:E,C195)),6,""),IF(ISNUMBER(INDEX('register map'!F:F,C195)),5,""),IF(ISNUMBER(INDEX('register map'!G:G,C195)),4,""),IF(ISNUMBER(INDEX('register map'!H:H,C195)),3,""),IF(ISNUMBER(INDEX('register map'!I:I,C195)),2,""),IF(ISNUMBER(INDEX('register map'!J:J,C195)),1,""),IF(ISNUMBER(INDEX('register map'!K:K,C195)),0,""))</f>
        <v>2</v>
      </c>
      <c r="H195" s="117" t="str">
        <f>RIGHT(INDEX('register map'!V:V,MATCH('Logical Group Generator'!B195,'register map'!L:L,0)),LEN(G195))</f>
        <v>1</v>
      </c>
      <c r="I195" s="117" t="str">
        <f>CONCATENATE(IF(ISNUMBER(INDEX('register map'!K:K,C195)),0,""),IF(ISNUMBER(INDEX('register map'!J:J,C195)),1,""),IF(ISNUMBER(INDEX('register map'!I:I,C195)),2,""),IF(ISNUMBER(INDEX('register map'!H:H,C195)),3,""),IF(ISNUMBER(INDEX('register map'!G:G,C195)),4,""),IF(ISNUMBER(INDEX('register map'!F:F,C195)),5,""),IF(ISNUMBER(INDEX('register map'!E:E,C195)),6,""),IF(ISNUMBER(INDEX('register map'!D:D,C195)),7,""))</f>
        <v>2</v>
      </c>
      <c r="J195" s="117" t="str">
        <f t="shared" si="29"/>
        <v>1</v>
      </c>
      <c r="K195" s="117" t="str">
        <f t="shared" ref="K195:K258" si="33">IF(D195="Yes",CONCATENATE(IF(F196=F195,J196,""),IF(F197=F195,J197,""),IF(F198=F195,J198,""),IF(F199=F195,J199,""),IF(F200=F195,J200,""),IF(F201=F195,J201,""),IF(F202=F195,J202,""),IF(F203=F195,J203,"")),"")</f>
        <v/>
      </c>
      <c r="L195" s="117" t="str">
        <f t="shared" si="30"/>
        <v/>
      </c>
      <c r="M195" s="117" t="str">
        <f t="shared" si="32"/>
        <v/>
      </c>
      <c r="N195" s="117" t="str">
        <f>IF(ISBLANK(INDEX('register map'!M:M,'Logical Group Generator'!C195)),"No","Yes")</f>
        <v>No</v>
      </c>
      <c r="O195" s="117" t="str">
        <f>IF(NOT(ISBLANK(INDEX('register map'!N:N,'Logical Group Generator'!C195))),"Yes","")</f>
        <v/>
      </c>
      <c r="P195" s="117" t="str">
        <f t="shared" ref="P195:P258" si="34">IF(D195="Yes",IF(OR(AND(F196=F195,N196="Yes"),AND(F197=F195,N197="Yes"),AND(F198=F195,N198="Yes"),AND(F199=F195,N199="Yes"),AND(F200=F195,N200="Yes"),AND(F201=F195,N201="Yes"),AND(F202=F195,N202="Yes"),AND(F203=F195,N203="Yes")),"Yes","No"),"")</f>
        <v/>
      </c>
      <c r="Q195" s="117" t="str">
        <f t="shared" ref="Q195:Q258" si="35">IF(D195="Yes",IF(AND(IF(F196=F195,OR(N196="Yes",O196="Yes"),TRUE),IF(F197=F195,OR(N197="Yes",O197="Yes"),TRUE),IF(F198=F195,OR(N198="Yes",O198="Yes"),TRUE),IF(F199=F195,OR(N199="Yes",O199="Yes"),TRUE),IF(F200=F195,OR(N200="Yes",O200="Yes"),TRUE),IF(F201=F195,OR(N201="Yes",O201="Yes"),TRUE),IF(F202=F195,OR(N202="Yes",O202="Yes"),TRUE),IF(F203=F195,OR(N203="Yes",O203="Yes"),TRUE)),"Yes","No"),"")</f>
        <v/>
      </c>
      <c r="R195" s="117" t="str">
        <f t="shared" ref="R195:R258" si="36">IF(D195="Yes",IF(AND(P195="Yes",Q195="No"),"Yes","No"),"")</f>
        <v/>
      </c>
      <c r="S195" s="117" t="str">
        <f t="shared" ref="S195:S258" si="37">IF(D195="No",IF(AND(N195="No",NOT(O195="Yes"),INDEX(R:R,MATCH(F195,F:F,0))="Yes"),"Yes","No"),"")</f>
        <v>No</v>
      </c>
      <c r="T195" s="117" t="str">
        <f t="shared" ref="T195:T258" si="38">IF(D195="Yes",LEN(L195)=8,"")</f>
        <v/>
      </c>
      <c r="U195" s="117" t="b">
        <f t="shared" si="31"/>
        <v>0</v>
      </c>
      <c r="V195" s="157" t="b">
        <f>INDEX('register map'!P:P,C195)="yes"</f>
        <v>1</v>
      </c>
      <c r="W195" s="157" t="str">
        <f t="shared" ref="W195:W258" si="39">IF(AND(D195="Yes",P195="No",Q195="No",V195),"REGISTER",IF(AND(D195="No",S195="Yes",V195),"BIT","FALSE"))</f>
        <v>FALSE</v>
      </c>
    </row>
    <row r="196" spans="2:23">
      <c r="B196" s="157" t="str">
        <f t="array" ref="B196">IF(ROWS($3:196)&lt;=COUNTA('register map'!$L$5:$L$902),INDEX('register map'!$L$5:$L$902,SMALL(IF('register map'!$L$5:$L$902&lt;&gt;"",ROW('register map'!$L$5:$L$902)-MIN(ROW('register map'!$L$5:$L$902))+1),ROWS($3:196))),"")</f>
        <v>VTT_GPO1_MSK</v>
      </c>
      <c r="C196" s="157">
        <f>IF(B196="PART_NUMBER",IF(COUNTIF($B$1:B195,"PART_NUMBER")=0,6,8),MATCH(B196,'register map'!L:L,0))</f>
        <v>209</v>
      </c>
      <c r="D196" s="117" t="str">
        <f>IF(ISBLANK(INDEX('register map'!C:C,'Logical Group Generator'!C196)),"No","Yes")</f>
        <v>No</v>
      </c>
      <c r="E196" s="117" t="str">
        <f>IF(ISBLANK(INDEX('register map'!A:A,C196)),IF(ISBLANK(INDEX('register map'!A:A,C196-1)),IF(ISBLANK(INDEX('register map'!A:A,C196-2)),IF(ISBLANK(INDEX('register map'!A:A,C196-3)),IF(ISBLANK(INDEX('register map'!A:A,C196-4)),IF(ISBLANK(INDEX('register map'!A:A,C196-5)),IF(ISBLANK(INDEX('register map'!A:A,C196-6)),IF(ISBLANK(INDEX('register map'!A:A,C196-7)),IF(ISBLANK(INDEX('register map'!A:A,C196-8)),"ERROR",INDEX('register map'!A:A,C196-8)),INDEX('register map'!A:A,C196-7)),INDEX('register map'!A:A,C196-6)),INDEX('register map'!A:A,C196-5)),INDEX('register map'!A:A,C196-4)),INDEX('register map'!A:A,C196-3)),INDEX('register map'!A:A,C196-2)),INDEX('register map'!A:A,C196-1)),INDEX('register map'!A:A,C196))</f>
        <v>0x5E</v>
      </c>
      <c r="F196" s="117" t="str">
        <f>IF(ISBLANK(INDEX('register map'!B:B,C196)),IF(ISBLANK(INDEX('register map'!B:B,C196-1)),IF(ISBLANK(INDEX('register map'!B:B,C196-2)),IF(ISBLANK(INDEX('register map'!B:B,C196-3)),IF(ISBLANK(INDEX('register map'!B:B,C196-4)),IF(ISBLANK(INDEX('register map'!B:B,C196-5)),IF(ISBLANK(INDEX('register map'!B:B,C196-6)),IF(ISBLANK(INDEX('register map'!B:B,C196-7)),IF(ISBLANK(INDEX('register map'!B:B,C196-8)),"ERROR",INDEX('register map'!B:B,C196-8)),INDEX('register map'!B:B,C196-7)),INDEX('register map'!B:B,C196-6)),INDEX('register map'!B:B,C196-5)),INDEX('register map'!B:B,C196-4)),INDEX('register map'!B:B,C196-3)),INDEX('register map'!B:B,C196-2)),INDEX('register map'!B:B,C196-1)),INDEX('register map'!B:B,C196))</f>
        <v>0xA5</v>
      </c>
      <c r="G196" s="117" t="str">
        <f>CONCATENATE(IF(ISNUMBER(INDEX('register map'!D:D,C196)),7,""),IF(ISNUMBER(INDEX('register map'!E:E,C196)),6,""),IF(ISNUMBER(INDEX('register map'!F:F,C196)),5,""),IF(ISNUMBER(INDEX('register map'!G:G,C196)),4,""),IF(ISNUMBER(INDEX('register map'!H:H,C196)),3,""),IF(ISNUMBER(INDEX('register map'!I:I,C196)),2,""),IF(ISNUMBER(INDEX('register map'!J:J,C196)),1,""),IF(ISNUMBER(INDEX('register map'!K:K,C196)),0,""))</f>
        <v>3</v>
      </c>
      <c r="H196" s="117" t="str">
        <f>RIGHT(INDEX('register map'!V:V,MATCH('Logical Group Generator'!B196,'register map'!L:L,0)),LEN(G196))</f>
        <v>1</v>
      </c>
      <c r="I196" s="117" t="str">
        <f>CONCATENATE(IF(ISNUMBER(INDEX('register map'!K:K,C196)),0,""),IF(ISNUMBER(INDEX('register map'!J:J,C196)),1,""),IF(ISNUMBER(INDEX('register map'!I:I,C196)),2,""),IF(ISNUMBER(INDEX('register map'!H:H,C196)),3,""),IF(ISNUMBER(INDEX('register map'!G:G,C196)),4,""),IF(ISNUMBER(INDEX('register map'!F:F,C196)),5,""),IF(ISNUMBER(INDEX('register map'!E:E,C196)),6,""),IF(ISNUMBER(INDEX('register map'!D:D,C196)),7,""))</f>
        <v>3</v>
      </c>
      <c r="J196" s="117" t="str">
        <f t="shared" ref="J196:J259" si="40">MID(H196,20,1) &amp; MID(H196,19,1) &amp; MID(H196,18,1) &amp; MID(H196,17,1) &amp; MID(H196,16,1) &amp; MID(H196,15,1) &amp; MID(H196,14,1) &amp; MID(H196,13,1) &amp; MID(H196,12,1) &amp; MID(H196,11,1) &amp; MID(H196,10,1) &amp; MID(H196,9,1) &amp; MID(H196,8,1) &amp; MID(H196,7,1) &amp; MID(H196,6,1) &amp; MID(H196,5,1) &amp; MID(H196,4,1) &amp; MID(H196,3,1) &amp; MID(H196,2,1) &amp; MID(H196,1,1)</f>
        <v>1</v>
      </c>
      <c r="K196" s="117" t="str">
        <f t="shared" si="33"/>
        <v/>
      </c>
      <c r="L196" s="117" t="str">
        <f t="shared" ref="L196:L259" si="41">MID(K196,20,1) &amp; MID(K196,19,1) &amp; MID(K196,18,1) &amp; MID(K196,17,1) &amp; MID(K196,16,1) &amp; MID(K196,15,1) &amp; MID(K196,14,1) &amp; MID(K196,13,1) &amp; MID(K196,12,1) &amp; MID(K196,11,1) &amp; MID(K196,10,1) &amp; MID(K196,9,1) &amp; MID(K196,8,1) &amp; MID(K196,7,1) &amp; MID(K196,6,1) &amp; MID(K196,5,1) &amp; MID(K196,4,1) &amp; MID(K196,3,1) &amp; MID(K196,2,1) &amp; MID(K196,1,1)</f>
        <v/>
      </c>
      <c r="M196" s="117" t="str">
        <f t="shared" si="32"/>
        <v/>
      </c>
      <c r="N196" s="117" t="str">
        <f>IF(ISBLANK(INDEX('register map'!M:M,'Logical Group Generator'!C196)),"No","Yes")</f>
        <v>No</v>
      </c>
      <c r="O196" s="117" t="str">
        <f>IF(NOT(ISBLANK(INDEX('register map'!N:N,'Logical Group Generator'!C196))),"Yes","")</f>
        <v/>
      </c>
      <c r="P196" s="117" t="str">
        <f t="shared" si="34"/>
        <v/>
      </c>
      <c r="Q196" s="117" t="str">
        <f t="shared" si="35"/>
        <v/>
      </c>
      <c r="R196" s="117" t="str">
        <f t="shared" si="36"/>
        <v/>
      </c>
      <c r="S196" s="117" t="str">
        <f t="shared" si="37"/>
        <v>No</v>
      </c>
      <c r="T196" s="117" t="str">
        <f t="shared" si="38"/>
        <v/>
      </c>
      <c r="U196" s="117" t="b">
        <f t="shared" ref="U196:U259" si="42">OR(P196="No",S196="Yes")</f>
        <v>0</v>
      </c>
      <c r="V196" s="157" t="b">
        <f>INDEX('register map'!P:P,C196)="yes"</f>
        <v>1</v>
      </c>
      <c r="W196" s="157" t="str">
        <f t="shared" si="39"/>
        <v>FALSE</v>
      </c>
    </row>
    <row r="197" spans="2:23">
      <c r="B197" s="157" t="str">
        <f t="array" ref="B197">IF(ROWS($3:197)&lt;=COUNTA('register map'!$L$5:$L$902),INDEX('register map'!$L$5:$L$902,SMALL(IF('register map'!$L$5:$L$902&lt;&gt;"",ROW('register map'!$L$5:$L$902)-MIN(ROW('register map'!$L$5:$L$902))+1),ROWS($3:197))),"")</f>
        <v>CTL1_GPO1_MSK</v>
      </c>
      <c r="C197" s="157">
        <f>IF(B197="PART_NUMBER",IF(COUNTIF($B$1:B196,"PART_NUMBER")=0,6,8),MATCH(B197,'register map'!L:L,0))</f>
        <v>210</v>
      </c>
      <c r="D197" s="117" t="str">
        <f>IF(ISBLANK(INDEX('register map'!C:C,'Logical Group Generator'!C197)),"No","Yes")</f>
        <v>No</v>
      </c>
      <c r="E197" s="117" t="str">
        <f>IF(ISBLANK(INDEX('register map'!A:A,C197)),IF(ISBLANK(INDEX('register map'!A:A,C197-1)),IF(ISBLANK(INDEX('register map'!A:A,C197-2)),IF(ISBLANK(INDEX('register map'!A:A,C197-3)),IF(ISBLANK(INDEX('register map'!A:A,C197-4)),IF(ISBLANK(INDEX('register map'!A:A,C197-5)),IF(ISBLANK(INDEX('register map'!A:A,C197-6)),IF(ISBLANK(INDEX('register map'!A:A,C197-7)),IF(ISBLANK(INDEX('register map'!A:A,C197-8)),"ERROR",INDEX('register map'!A:A,C197-8)),INDEX('register map'!A:A,C197-7)),INDEX('register map'!A:A,C197-6)),INDEX('register map'!A:A,C197-5)),INDEX('register map'!A:A,C197-4)),INDEX('register map'!A:A,C197-3)),INDEX('register map'!A:A,C197-2)),INDEX('register map'!A:A,C197-1)),INDEX('register map'!A:A,C197))</f>
        <v>0x5E</v>
      </c>
      <c r="F197" s="117" t="str">
        <f>IF(ISBLANK(INDEX('register map'!B:B,C197)),IF(ISBLANK(INDEX('register map'!B:B,C197-1)),IF(ISBLANK(INDEX('register map'!B:B,C197-2)),IF(ISBLANK(INDEX('register map'!B:B,C197-3)),IF(ISBLANK(INDEX('register map'!B:B,C197-4)),IF(ISBLANK(INDEX('register map'!B:B,C197-5)),IF(ISBLANK(INDEX('register map'!B:B,C197-6)),IF(ISBLANK(INDEX('register map'!B:B,C197-7)),IF(ISBLANK(INDEX('register map'!B:B,C197-8)),"ERROR",INDEX('register map'!B:B,C197-8)),INDEX('register map'!B:B,C197-7)),INDEX('register map'!B:B,C197-6)),INDEX('register map'!B:B,C197-5)),INDEX('register map'!B:B,C197-4)),INDEX('register map'!B:B,C197-3)),INDEX('register map'!B:B,C197-2)),INDEX('register map'!B:B,C197-1)),INDEX('register map'!B:B,C197))</f>
        <v>0xA5</v>
      </c>
      <c r="G197" s="117" t="str">
        <f>CONCATENATE(IF(ISNUMBER(INDEX('register map'!D:D,C197)),7,""),IF(ISNUMBER(INDEX('register map'!E:E,C197)),6,""),IF(ISNUMBER(INDEX('register map'!F:F,C197)),5,""),IF(ISNUMBER(INDEX('register map'!G:G,C197)),4,""),IF(ISNUMBER(INDEX('register map'!H:H,C197)),3,""),IF(ISNUMBER(INDEX('register map'!I:I,C197)),2,""),IF(ISNUMBER(INDEX('register map'!J:J,C197)),1,""),IF(ISNUMBER(INDEX('register map'!K:K,C197)),0,""))</f>
        <v>4</v>
      </c>
      <c r="H197" s="117" t="str">
        <f>RIGHT(INDEX('register map'!V:V,MATCH('Logical Group Generator'!B197,'register map'!L:L,0)),LEN(G197))</f>
        <v>1</v>
      </c>
      <c r="I197" s="117" t="str">
        <f>CONCATENATE(IF(ISNUMBER(INDEX('register map'!K:K,C197)),0,""),IF(ISNUMBER(INDEX('register map'!J:J,C197)),1,""),IF(ISNUMBER(INDEX('register map'!I:I,C197)),2,""),IF(ISNUMBER(INDEX('register map'!H:H,C197)),3,""),IF(ISNUMBER(INDEX('register map'!G:G,C197)),4,""),IF(ISNUMBER(INDEX('register map'!F:F,C197)),5,""),IF(ISNUMBER(INDEX('register map'!E:E,C197)),6,""),IF(ISNUMBER(INDEX('register map'!D:D,C197)),7,""))</f>
        <v>4</v>
      </c>
      <c r="J197" s="117" t="str">
        <f t="shared" si="40"/>
        <v>1</v>
      </c>
      <c r="K197" s="117" t="str">
        <f t="shared" si="33"/>
        <v/>
      </c>
      <c r="L197" s="117" t="str">
        <f t="shared" si="41"/>
        <v/>
      </c>
      <c r="M197" s="117" t="str">
        <f t="shared" ref="M197:M260" si="43">IF(L197="","",BIN2HEX(L197,2))</f>
        <v/>
      </c>
      <c r="N197" s="117" t="str">
        <f>IF(ISBLANK(INDEX('register map'!M:M,'Logical Group Generator'!C197)),"No","Yes")</f>
        <v>No</v>
      </c>
      <c r="O197" s="117" t="str">
        <f>IF(NOT(ISBLANK(INDEX('register map'!N:N,'Logical Group Generator'!C197))),"Yes","")</f>
        <v/>
      </c>
      <c r="P197" s="117" t="str">
        <f t="shared" si="34"/>
        <v/>
      </c>
      <c r="Q197" s="117" t="str">
        <f t="shared" si="35"/>
        <v/>
      </c>
      <c r="R197" s="117" t="str">
        <f t="shared" si="36"/>
        <v/>
      </c>
      <c r="S197" s="117" t="str">
        <f t="shared" si="37"/>
        <v>No</v>
      </c>
      <c r="T197" s="117" t="str">
        <f t="shared" si="38"/>
        <v/>
      </c>
      <c r="U197" s="117" t="b">
        <f t="shared" si="42"/>
        <v>0</v>
      </c>
      <c r="V197" s="157" t="b">
        <f>INDEX('register map'!P:P,C197)="yes"</f>
        <v>1</v>
      </c>
      <c r="W197" s="157" t="str">
        <f t="shared" si="39"/>
        <v>FALSE</v>
      </c>
    </row>
    <row r="198" spans="2:23">
      <c r="B198" s="157" t="str">
        <f t="array" ref="B198">IF(ROWS($3:198)&lt;=COUNTA('register map'!$L$5:$L$902),INDEX('register map'!$L$5:$L$902,SMALL(IF('register map'!$L$5:$L$902&lt;&gt;"",ROW('register map'!$L$5:$L$902)-MIN(ROW('register map'!$L$5:$L$902))+1),ROWS($3:198))),"")</f>
        <v>CTL2_GPO1_MSK</v>
      </c>
      <c r="C198" s="157">
        <f>IF(B198="PART_NUMBER",IF(COUNTIF($B$1:B197,"PART_NUMBER")=0,6,8),MATCH(B198,'register map'!L:L,0))</f>
        <v>211</v>
      </c>
      <c r="D198" s="117" t="str">
        <f>IF(ISBLANK(INDEX('register map'!C:C,'Logical Group Generator'!C198)),"No","Yes")</f>
        <v>No</v>
      </c>
      <c r="E198" s="117" t="str">
        <f>IF(ISBLANK(INDEX('register map'!A:A,C198)),IF(ISBLANK(INDEX('register map'!A:A,C198-1)),IF(ISBLANK(INDEX('register map'!A:A,C198-2)),IF(ISBLANK(INDEX('register map'!A:A,C198-3)),IF(ISBLANK(INDEX('register map'!A:A,C198-4)),IF(ISBLANK(INDEX('register map'!A:A,C198-5)),IF(ISBLANK(INDEX('register map'!A:A,C198-6)),IF(ISBLANK(INDEX('register map'!A:A,C198-7)),IF(ISBLANK(INDEX('register map'!A:A,C198-8)),"ERROR",INDEX('register map'!A:A,C198-8)),INDEX('register map'!A:A,C198-7)),INDEX('register map'!A:A,C198-6)),INDEX('register map'!A:A,C198-5)),INDEX('register map'!A:A,C198-4)),INDEX('register map'!A:A,C198-3)),INDEX('register map'!A:A,C198-2)),INDEX('register map'!A:A,C198-1)),INDEX('register map'!A:A,C198))</f>
        <v>0x5E</v>
      </c>
      <c r="F198" s="117" t="str">
        <f>IF(ISBLANK(INDEX('register map'!B:B,C198)),IF(ISBLANK(INDEX('register map'!B:B,C198-1)),IF(ISBLANK(INDEX('register map'!B:B,C198-2)),IF(ISBLANK(INDEX('register map'!B:B,C198-3)),IF(ISBLANK(INDEX('register map'!B:B,C198-4)),IF(ISBLANK(INDEX('register map'!B:B,C198-5)),IF(ISBLANK(INDEX('register map'!B:B,C198-6)),IF(ISBLANK(INDEX('register map'!B:B,C198-7)),IF(ISBLANK(INDEX('register map'!B:B,C198-8)),"ERROR",INDEX('register map'!B:B,C198-8)),INDEX('register map'!B:B,C198-7)),INDEX('register map'!B:B,C198-6)),INDEX('register map'!B:B,C198-5)),INDEX('register map'!B:B,C198-4)),INDEX('register map'!B:B,C198-3)),INDEX('register map'!B:B,C198-2)),INDEX('register map'!B:B,C198-1)),INDEX('register map'!B:B,C198))</f>
        <v>0xA5</v>
      </c>
      <c r="G198" s="117" t="str">
        <f>CONCATENATE(IF(ISNUMBER(INDEX('register map'!D:D,C198)),7,""),IF(ISNUMBER(INDEX('register map'!E:E,C198)),6,""),IF(ISNUMBER(INDEX('register map'!F:F,C198)),5,""),IF(ISNUMBER(INDEX('register map'!G:G,C198)),4,""),IF(ISNUMBER(INDEX('register map'!H:H,C198)),3,""),IF(ISNUMBER(INDEX('register map'!I:I,C198)),2,""),IF(ISNUMBER(INDEX('register map'!J:J,C198)),1,""),IF(ISNUMBER(INDEX('register map'!K:K,C198)),0,""))</f>
        <v>5</v>
      </c>
      <c r="H198" s="117" t="str">
        <f>RIGHT(INDEX('register map'!V:V,MATCH('Logical Group Generator'!B198,'register map'!L:L,0)),LEN(G198))</f>
        <v>1</v>
      </c>
      <c r="I198" s="117" t="str">
        <f>CONCATENATE(IF(ISNUMBER(INDEX('register map'!K:K,C198)),0,""),IF(ISNUMBER(INDEX('register map'!J:J,C198)),1,""),IF(ISNUMBER(INDEX('register map'!I:I,C198)),2,""),IF(ISNUMBER(INDEX('register map'!H:H,C198)),3,""),IF(ISNUMBER(INDEX('register map'!G:G,C198)),4,""),IF(ISNUMBER(INDEX('register map'!F:F,C198)),5,""),IF(ISNUMBER(INDEX('register map'!E:E,C198)),6,""),IF(ISNUMBER(INDEX('register map'!D:D,C198)),7,""))</f>
        <v>5</v>
      </c>
      <c r="J198" s="117" t="str">
        <f t="shared" si="40"/>
        <v>1</v>
      </c>
      <c r="K198" s="117" t="str">
        <f t="shared" si="33"/>
        <v/>
      </c>
      <c r="L198" s="117" t="str">
        <f t="shared" si="41"/>
        <v/>
      </c>
      <c r="M198" s="117" t="str">
        <f t="shared" si="43"/>
        <v/>
      </c>
      <c r="N198" s="117" t="str">
        <f>IF(ISBLANK(INDEX('register map'!M:M,'Logical Group Generator'!C198)),"No","Yes")</f>
        <v>No</v>
      </c>
      <c r="O198" s="117" t="str">
        <f>IF(NOT(ISBLANK(INDEX('register map'!N:N,'Logical Group Generator'!C198))),"Yes","")</f>
        <v/>
      </c>
      <c r="P198" s="117" t="str">
        <f t="shared" si="34"/>
        <v/>
      </c>
      <c r="Q198" s="117" t="str">
        <f t="shared" si="35"/>
        <v/>
      </c>
      <c r="R198" s="117" t="str">
        <f t="shared" si="36"/>
        <v/>
      </c>
      <c r="S198" s="117" t="str">
        <f t="shared" si="37"/>
        <v>No</v>
      </c>
      <c r="T198" s="117" t="str">
        <f t="shared" si="38"/>
        <v/>
      </c>
      <c r="U198" s="117" t="b">
        <f t="shared" si="42"/>
        <v>0</v>
      </c>
      <c r="V198" s="157" t="b">
        <f>INDEX('register map'!P:P,C198)="yes"</f>
        <v>1</v>
      </c>
      <c r="W198" s="157" t="str">
        <f t="shared" si="39"/>
        <v>FALSE</v>
      </c>
    </row>
    <row r="199" spans="2:23">
      <c r="B199" s="157" t="str">
        <f t="array" ref="B199">IF(ROWS($3:199)&lt;=COUNTA('register map'!$L$5:$L$902),INDEX('register map'!$L$5:$L$902,SMALL(IF('register map'!$L$5:$L$902&lt;&gt;"",ROW('register map'!$L$5:$L$902)-MIN(ROW('register map'!$L$5:$L$902))+1),ROWS($3:199))),"")</f>
        <v>CTL4_GPO1_MSK</v>
      </c>
      <c r="C199" s="157">
        <f>IF(B199="PART_NUMBER",IF(COUNTIF($B$1:B198,"PART_NUMBER")=0,6,8),MATCH(B199,'register map'!L:L,0))</f>
        <v>212</v>
      </c>
      <c r="D199" s="117" t="str">
        <f>IF(ISBLANK(INDEX('register map'!C:C,'Logical Group Generator'!C199)),"No","Yes")</f>
        <v>No</v>
      </c>
      <c r="E199" s="117" t="str">
        <f>IF(ISBLANK(INDEX('register map'!A:A,C199)),IF(ISBLANK(INDEX('register map'!A:A,C199-1)),IF(ISBLANK(INDEX('register map'!A:A,C199-2)),IF(ISBLANK(INDEX('register map'!A:A,C199-3)),IF(ISBLANK(INDEX('register map'!A:A,C199-4)),IF(ISBLANK(INDEX('register map'!A:A,C199-5)),IF(ISBLANK(INDEX('register map'!A:A,C199-6)),IF(ISBLANK(INDEX('register map'!A:A,C199-7)),IF(ISBLANK(INDEX('register map'!A:A,C199-8)),"ERROR",INDEX('register map'!A:A,C199-8)),INDEX('register map'!A:A,C199-7)),INDEX('register map'!A:A,C199-6)),INDEX('register map'!A:A,C199-5)),INDEX('register map'!A:A,C199-4)),INDEX('register map'!A:A,C199-3)),INDEX('register map'!A:A,C199-2)),INDEX('register map'!A:A,C199-1)),INDEX('register map'!A:A,C199))</f>
        <v>0x5E</v>
      </c>
      <c r="F199" s="117" t="str">
        <f>IF(ISBLANK(INDEX('register map'!B:B,C199)),IF(ISBLANK(INDEX('register map'!B:B,C199-1)),IF(ISBLANK(INDEX('register map'!B:B,C199-2)),IF(ISBLANK(INDEX('register map'!B:B,C199-3)),IF(ISBLANK(INDEX('register map'!B:B,C199-4)),IF(ISBLANK(INDEX('register map'!B:B,C199-5)),IF(ISBLANK(INDEX('register map'!B:B,C199-6)),IF(ISBLANK(INDEX('register map'!B:B,C199-7)),IF(ISBLANK(INDEX('register map'!B:B,C199-8)),"ERROR",INDEX('register map'!B:B,C199-8)),INDEX('register map'!B:B,C199-7)),INDEX('register map'!B:B,C199-6)),INDEX('register map'!B:B,C199-5)),INDEX('register map'!B:B,C199-4)),INDEX('register map'!B:B,C199-3)),INDEX('register map'!B:B,C199-2)),INDEX('register map'!B:B,C199-1)),INDEX('register map'!B:B,C199))</f>
        <v>0xA5</v>
      </c>
      <c r="G199" s="117" t="str">
        <f>CONCATENATE(IF(ISNUMBER(INDEX('register map'!D:D,C199)),7,""),IF(ISNUMBER(INDEX('register map'!E:E,C199)),6,""),IF(ISNUMBER(INDEX('register map'!F:F,C199)),5,""),IF(ISNUMBER(INDEX('register map'!G:G,C199)),4,""),IF(ISNUMBER(INDEX('register map'!H:H,C199)),3,""),IF(ISNUMBER(INDEX('register map'!I:I,C199)),2,""),IF(ISNUMBER(INDEX('register map'!J:J,C199)),1,""),IF(ISNUMBER(INDEX('register map'!K:K,C199)),0,""))</f>
        <v>6</v>
      </c>
      <c r="H199" s="117" t="str">
        <f>RIGHT(INDEX('register map'!V:V,MATCH('Logical Group Generator'!B199,'register map'!L:L,0)),LEN(G199))</f>
        <v>1</v>
      </c>
      <c r="I199" s="117" t="str">
        <f>CONCATENATE(IF(ISNUMBER(INDEX('register map'!K:K,C199)),0,""),IF(ISNUMBER(INDEX('register map'!J:J,C199)),1,""),IF(ISNUMBER(INDEX('register map'!I:I,C199)),2,""),IF(ISNUMBER(INDEX('register map'!H:H,C199)),3,""),IF(ISNUMBER(INDEX('register map'!G:G,C199)),4,""),IF(ISNUMBER(INDEX('register map'!F:F,C199)),5,""),IF(ISNUMBER(INDEX('register map'!E:E,C199)),6,""),IF(ISNUMBER(INDEX('register map'!D:D,C199)),7,""))</f>
        <v>6</v>
      </c>
      <c r="J199" s="117" t="str">
        <f t="shared" si="40"/>
        <v>1</v>
      </c>
      <c r="K199" s="117" t="str">
        <f t="shared" si="33"/>
        <v/>
      </c>
      <c r="L199" s="117" t="str">
        <f t="shared" si="41"/>
        <v/>
      </c>
      <c r="M199" s="117" t="str">
        <f t="shared" si="43"/>
        <v/>
      </c>
      <c r="N199" s="117" t="str">
        <f>IF(ISBLANK(INDEX('register map'!M:M,'Logical Group Generator'!C199)),"No","Yes")</f>
        <v>No</v>
      </c>
      <c r="O199" s="117" t="str">
        <f>IF(NOT(ISBLANK(INDEX('register map'!N:N,'Logical Group Generator'!C199))),"Yes","")</f>
        <v/>
      </c>
      <c r="P199" s="117" t="str">
        <f t="shared" si="34"/>
        <v/>
      </c>
      <c r="Q199" s="117" t="str">
        <f t="shared" si="35"/>
        <v/>
      </c>
      <c r="R199" s="117" t="str">
        <f t="shared" si="36"/>
        <v/>
      </c>
      <c r="S199" s="117" t="str">
        <f t="shared" si="37"/>
        <v>No</v>
      </c>
      <c r="T199" s="117" t="str">
        <f t="shared" si="38"/>
        <v/>
      </c>
      <c r="U199" s="117" t="b">
        <f t="shared" si="42"/>
        <v>0</v>
      </c>
      <c r="V199" s="157" t="b">
        <f>INDEX('register map'!P:P,C199)="yes"</f>
        <v>1</v>
      </c>
      <c r="W199" s="157" t="str">
        <f t="shared" si="39"/>
        <v>FALSE</v>
      </c>
    </row>
    <row r="200" spans="2:23">
      <c r="B200" s="157" t="str">
        <f t="array" ref="B200">IF(ROWS($3:200)&lt;=COUNTA('register map'!$L$5:$L$902),INDEX('register map'!$L$5:$L$902,SMALL(IF('register map'!$L$5:$L$902&lt;&gt;"",ROW('register map'!$L$5:$L$902)-MIN(ROW('register map'!$L$5:$L$902))+1),ROWS($3:200))),"")</f>
        <v>CTL5_GPO1_MSK</v>
      </c>
      <c r="C200" s="157">
        <f>IF(B200="PART_NUMBER",IF(COUNTIF($B$1:B199,"PART_NUMBER")=0,6,8),MATCH(B200,'register map'!L:L,0))</f>
        <v>213</v>
      </c>
      <c r="D200" s="117" t="str">
        <f>IF(ISBLANK(INDEX('register map'!C:C,'Logical Group Generator'!C200)),"No","Yes")</f>
        <v>No</v>
      </c>
      <c r="E200" s="117" t="str">
        <f>IF(ISBLANK(INDEX('register map'!A:A,C200)),IF(ISBLANK(INDEX('register map'!A:A,C200-1)),IF(ISBLANK(INDEX('register map'!A:A,C200-2)),IF(ISBLANK(INDEX('register map'!A:A,C200-3)),IF(ISBLANK(INDEX('register map'!A:A,C200-4)),IF(ISBLANK(INDEX('register map'!A:A,C200-5)),IF(ISBLANK(INDEX('register map'!A:A,C200-6)),IF(ISBLANK(INDEX('register map'!A:A,C200-7)),IF(ISBLANK(INDEX('register map'!A:A,C200-8)),"ERROR",INDEX('register map'!A:A,C200-8)),INDEX('register map'!A:A,C200-7)),INDEX('register map'!A:A,C200-6)),INDEX('register map'!A:A,C200-5)),INDEX('register map'!A:A,C200-4)),INDEX('register map'!A:A,C200-3)),INDEX('register map'!A:A,C200-2)),INDEX('register map'!A:A,C200-1)),INDEX('register map'!A:A,C200))</f>
        <v>0x5E</v>
      </c>
      <c r="F200" s="117" t="str">
        <f>IF(ISBLANK(INDEX('register map'!B:B,C200)),IF(ISBLANK(INDEX('register map'!B:B,C200-1)),IF(ISBLANK(INDEX('register map'!B:B,C200-2)),IF(ISBLANK(INDEX('register map'!B:B,C200-3)),IF(ISBLANK(INDEX('register map'!B:B,C200-4)),IF(ISBLANK(INDEX('register map'!B:B,C200-5)),IF(ISBLANK(INDEX('register map'!B:B,C200-6)),IF(ISBLANK(INDEX('register map'!B:B,C200-7)),IF(ISBLANK(INDEX('register map'!B:B,C200-8)),"ERROR",INDEX('register map'!B:B,C200-8)),INDEX('register map'!B:B,C200-7)),INDEX('register map'!B:B,C200-6)),INDEX('register map'!B:B,C200-5)),INDEX('register map'!B:B,C200-4)),INDEX('register map'!B:B,C200-3)),INDEX('register map'!B:B,C200-2)),INDEX('register map'!B:B,C200-1)),INDEX('register map'!B:B,C200))</f>
        <v>0xA5</v>
      </c>
      <c r="G200" s="117" t="str">
        <f>CONCATENATE(IF(ISNUMBER(INDEX('register map'!D:D,C200)),7,""),IF(ISNUMBER(INDEX('register map'!E:E,C200)),6,""),IF(ISNUMBER(INDEX('register map'!F:F,C200)),5,""),IF(ISNUMBER(INDEX('register map'!G:G,C200)),4,""),IF(ISNUMBER(INDEX('register map'!H:H,C200)),3,""),IF(ISNUMBER(INDEX('register map'!I:I,C200)),2,""),IF(ISNUMBER(INDEX('register map'!J:J,C200)),1,""),IF(ISNUMBER(INDEX('register map'!K:K,C200)),0,""))</f>
        <v>7</v>
      </c>
      <c r="H200" s="117" t="str">
        <f>RIGHT(INDEX('register map'!V:V,MATCH('Logical Group Generator'!B200,'register map'!L:L,0)),LEN(G200))</f>
        <v>1</v>
      </c>
      <c r="I200" s="117" t="str">
        <f>CONCATENATE(IF(ISNUMBER(INDEX('register map'!K:K,C200)),0,""),IF(ISNUMBER(INDEX('register map'!J:J,C200)),1,""),IF(ISNUMBER(INDEX('register map'!I:I,C200)),2,""),IF(ISNUMBER(INDEX('register map'!H:H,C200)),3,""),IF(ISNUMBER(INDEX('register map'!G:G,C200)),4,""),IF(ISNUMBER(INDEX('register map'!F:F,C200)),5,""),IF(ISNUMBER(INDEX('register map'!E:E,C200)),6,""),IF(ISNUMBER(INDEX('register map'!D:D,C200)),7,""))</f>
        <v>7</v>
      </c>
      <c r="J200" s="117" t="str">
        <f t="shared" si="40"/>
        <v>1</v>
      </c>
      <c r="K200" s="117" t="str">
        <f t="shared" si="33"/>
        <v/>
      </c>
      <c r="L200" s="117" t="str">
        <f t="shared" si="41"/>
        <v/>
      </c>
      <c r="M200" s="117" t="str">
        <f t="shared" si="43"/>
        <v/>
      </c>
      <c r="N200" s="117" t="str">
        <f>IF(ISBLANK(INDEX('register map'!M:M,'Logical Group Generator'!C200)),"No","Yes")</f>
        <v>No</v>
      </c>
      <c r="O200" s="117" t="str">
        <f>IF(NOT(ISBLANK(INDEX('register map'!N:N,'Logical Group Generator'!C200))),"Yes","")</f>
        <v/>
      </c>
      <c r="P200" s="117" t="str">
        <f t="shared" si="34"/>
        <v/>
      </c>
      <c r="Q200" s="117" t="str">
        <f t="shared" si="35"/>
        <v/>
      </c>
      <c r="R200" s="117" t="str">
        <f t="shared" si="36"/>
        <v/>
      </c>
      <c r="S200" s="117" t="str">
        <f t="shared" si="37"/>
        <v>No</v>
      </c>
      <c r="T200" s="117" t="str">
        <f t="shared" si="38"/>
        <v/>
      </c>
      <c r="U200" s="117" t="b">
        <f t="shared" si="42"/>
        <v>0</v>
      </c>
      <c r="V200" s="157" t="b">
        <f>INDEX('register map'!P:P,C200)="yes"</f>
        <v>1</v>
      </c>
      <c r="W200" s="157" t="str">
        <f t="shared" si="39"/>
        <v>FALSE</v>
      </c>
    </row>
    <row r="201" spans="2:23">
      <c r="B201" s="157" t="str">
        <f t="array" ref="B201">IF(ROWS($3:201)&lt;=COUNTA('register map'!$L$5:$L$902),INDEX('register map'!$L$5:$L$902,SMALL(IF('register map'!$L$5:$L$902&lt;&gt;"",ROW('register map'!$L$5:$L$902)-MIN(ROW('register map'!$L$5:$L$902))+1),ROWS($3:201))),"")</f>
        <v>GPO4PG_CTRL1</v>
      </c>
      <c r="C201" s="157">
        <f>IF(B201="PART_NUMBER",IF(COUNTIF($B$1:B200,"PART_NUMBER")=0,6,8),MATCH(B201,'register map'!L:L,0))</f>
        <v>214</v>
      </c>
      <c r="D201" s="117" t="str">
        <f>IF(ISBLANK(INDEX('register map'!C:C,'Logical Group Generator'!C201)),"No","Yes")</f>
        <v>Yes</v>
      </c>
      <c r="E201" s="117" t="str">
        <f>IF(ISBLANK(INDEX('register map'!A:A,C201)),IF(ISBLANK(INDEX('register map'!A:A,C201-1)),IF(ISBLANK(INDEX('register map'!A:A,C201-2)),IF(ISBLANK(INDEX('register map'!A:A,C201-3)),IF(ISBLANK(INDEX('register map'!A:A,C201-4)),IF(ISBLANK(INDEX('register map'!A:A,C201-5)),IF(ISBLANK(INDEX('register map'!A:A,C201-6)),IF(ISBLANK(INDEX('register map'!A:A,C201-7)),IF(ISBLANK(INDEX('register map'!A:A,C201-8)),"ERROR",INDEX('register map'!A:A,C201-8)),INDEX('register map'!A:A,C201-7)),INDEX('register map'!A:A,C201-6)),INDEX('register map'!A:A,C201-5)),INDEX('register map'!A:A,C201-4)),INDEX('register map'!A:A,C201-3)),INDEX('register map'!A:A,C201-2)),INDEX('register map'!A:A,C201-1)),INDEX('register map'!A:A,C201))</f>
        <v>0x5E</v>
      </c>
      <c r="F201" s="117" t="str">
        <f>IF(ISBLANK(INDEX('register map'!B:B,C201)),IF(ISBLANK(INDEX('register map'!B:B,C201-1)),IF(ISBLANK(INDEX('register map'!B:B,C201-2)),IF(ISBLANK(INDEX('register map'!B:B,C201-3)),IF(ISBLANK(INDEX('register map'!B:B,C201-4)),IF(ISBLANK(INDEX('register map'!B:B,C201-5)),IF(ISBLANK(INDEX('register map'!B:B,C201-6)),IF(ISBLANK(INDEX('register map'!B:B,C201-7)),IF(ISBLANK(INDEX('register map'!B:B,C201-8)),"ERROR",INDEX('register map'!B:B,C201-8)),INDEX('register map'!B:B,C201-7)),INDEX('register map'!B:B,C201-6)),INDEX('register map'!B:B,C201-5)),INDEX('register map'!B:B,C201-4)),INDEX('register map'!B:B,C201-3)),INDEX('register map'!B:B,C201-2)),INDEX('register map'!B:B,C201-1)),INDEX('register map'!B:B,C201))</f>
        <v>0xA6</v>
      </c>
      <c r="G201" s="117" t="str">
        <f>CONCATENATE(IF(ISNUMBER(INDEX('register map'!D:D,C201)),7,""),IF(ISNUMBER(INDEX('register map'!E:E,C201)),6,""),IF(ISNUMBER(INDEX('register map'!F:F,C201)),5,""),IF(ISNUMBER(INDEX('register map'!G:G,C201)),4,""),IF(ISNUMBER(INDEX('register map'!H:H,C201)),3,""),IF(ISNUMBER(INDEX('register map'!I:I,C201)),2,""),IF(ISNUMBER(INDEX('register map'!J:J,C201)),1,""),IF(ISNUMBER(INDEX('register map'!K:K,C201)),0,""))</f>
        <v/>
      </c>
      <c r="H201" s="117" t="str">
        <f>RIGHT(INDEX('register map'!V:V,MATCH('Logical Group Generator'!B201,'register map'!L:L,0)),LEN(G201))</f>
        <v/>
      </c>
      <c r="I201" s="117" t="str">
        <f>CONCATENATE(IF(ISNUMBER(INDEX('register map'!K:K,C201)),0,""),IF(ISNUMBER(INDEX('register map'!J:J,C201)),1,""),IF(ISNUMBER(INDEX('register map'!I:I,C201)),2,""),IF(ISNUMBER(INDEX('register map'!H:H,C201)),3,""),IF(ISNUMBER(INDEX('register map'!G:G,C201)),4,""),IF(ISNUMBER(INDEX('register map'!F:F,C201)),5,""),IF(ISNUMBER(INDEX('register map'!E:E,C201)),6,""),IF(ISNUMBER(INDEX('register map'!D:D,C201)),7,""))</f>
        <v/>
      </c>
      <c r="J201" s="117" t="str">
        <f t="shared" si="40"/>
        <v/>
      </c>
      <c r="K201" s="117" t="str">
        <f t="shared" si="33"/>
        <v>11111011</v>
      </c>
      <c r="L201" s="117" t="str">
        <f t="shared" si="41"/>
        <v>11011111</v>
      </c>
      <c r="M201" s="117" t="str">
        <f t="shared" si="43"/>
        <v>DF</v>
      </c>
      <c r="N201" s="117" t="str">
        <f>IF(ISBLANK(INDEX('register map'!M:M,'Logical Group Generator'!C201)),"No","Yes")</f>
        <v>No</v>
      </c>
      <c r="O201" s="117" t="str">
        <f>IF(NOT(ISBLANK(INDEX('register map'!N:N,'Logical Group Generator'!C201))),"Yes","")</f>
        <v/>
      </c>
      <c r="P201" s="117" t="str">
        <f t="shared" si="34"/>
        <v>No</v>
      </c>
      <c r="Q201" s="117" t="str">
        <f t="shared" si="35"/>
        <v>No</v>
      </c>
      <c r="R201" s="117" t="str">
        <f t="shared" si="36"/>
        <v>No</v>
      </c>
      <c r="S201" s="117" t="str">
        <f t="shared" si="37"/>
        <v/>
      </c>
      <c r="T201" s="117" t="b">
        <f t="shared" si="38"/>
        <v>1</v>
      </c>
      <c r="U201" s="117" t="b">
        <f t="shared" si="42"/>
        <v>1</v>
      </c>
      <c r="V201" s="157" t="b">
        <f>INDEX('register map'!P:P,C201)="yes"</f>
        <v>1</v>
      </c>
      <c r="W201" s="157" t="str">
        <f t="shared" si="39"/>
        <v>REGISTER</v>
      </c>
    </row>
    <row r="202" spans="2:23">
      <c r="B202" s="157" t="str">
        <f t="array" ref="B202">IF(ROWS($3:202)&lt;=COUNTA('register map'!$L$5:$L$902),INDEX('register map'!$L$5:$L$902,SMALL(IF('register map'!$L$5:$L$902&lt;&gt;"",ROW('register map'!$L$5:$L$902)-MIN(ROW('register map'!$L$5:$L$902))+1),ROWS($3:202))),"")</f>
        <v>BUCK1_GPO4_MSK</v>
      </c>
      <c r="C202" s="157">
        <f>IF(B202="PART_NUMBER",IF(COUNTIF($B$1:B201,"PART_NUMBER")=0,6,8),MATCH(B202,'register map'!L:L,0))</f>
        <v>215</v>
      </c>
      <c r="D202" s="117" t="str">
        <f>IF(ISBLANK(INDEX('register map'!C:C,'Logical Group Generator'!C202)),"No","Yes")</f>
        <v>No</v>
      </c>
      <c r="E202" s="117" t="str">
        <f>IF(ISBLANK(INDEX('register map'!A:A,C202)),IF(ISBLANK(INDEX('register map'!A:A,C202-1)),IF(ISBLANK(INDEX('register map'!A:A,C202-2)),IF(ISBLANK(INDEX('register map'!A:A,C202-3)),IF(ISBLANK(INDEX('register map'!A:A,C202-4)),IF(ISBLANK(INDEX('register map'!A:A,C202-5)),IF(ISBLANK(INDEX('register map'!A:A,C202-6)),IF(ISBLANK(INDEX('register map'!A:A,C202-7)),IF(ISBLANK(INDEX('register map'!A:A,C202-8)),"ERROR",INDEX('register map'!A:A,C202-8)),INDEX('register map'!A:A,C202-7)),INDEX('register map'!A:A,C202-6)),INDEX('register map'!A:A,C202-5)),INDEX('register map'!A:A,C202-4)),INDEX('register map'!A:A,C202-3)),INDEX('register map'!A:A,C202-2)),INDEX('register map'!A:A,C202-1)),INDEX('register map'!A:A,C202))</f>
        <v>0x5E</v>
      </c>
      <c r="F202" s="117" t="str">
        <f>IF(ISBLANK(INDEX('register map'!B:B,C202)),IF(ISBLANK(INDEX('register map'!B:B,C202-1)),IF(ISBLANK(INDEX('register map'!B:B,C202-2)),IF(ISBLANK(INDEX('register map'!B:B,C202-3)),IF(ISBLANK(INDEX('register map'!B:B,C202-4)),IF(ISBLANK(INDEX('register map'!B:B,C202-5)),IF(ISBLANK(INDEX('register map'!B:B,C202-6)),IF(ISBLANK(INDEX('register map'!B:B,C202-7)),IF(ISBLANK(INDEX('register map'!B:B,C202-8)),"ERROR",INDEX('register map'!B:B,C202-8)),INDEX('register map'!B:B,C202-7)),INDEX('register map'!B:B,C202-6)),INDEX('register map'!B:B,C202-5)),INDEX('register map'!B:B,C202-4)),INDEX('register map'!B:B,C202-3)),INDEX('register map'!B:B,C202-2)),INDEX('register map'!B:B,C202-1)),INDEX('register map'!B:B,C202))</f>
        <v>0xA6</v>
      </c>
      <c r="G202" s="117" t="str">
        <f>CONCATENATE(IF(ISNUMBER(INDEX('register map'!D:D,C202)),7,""),IF(ISNUMBER(INDEX('register map'!E:E,C202)),6,""),IF(ISNUMBER(INDEX('register map'!F:F,C202)),5,""),IF(ISNUMBER(INDEX('register map'!G:G,C202)),4,""),IF(ISNUMBER(INDEX('register map'!H:H,C202)),3,""),IF(ISNUMBER(INDEX('register map'!I:I,C202)),2,""),IF(ISNUMBER(INDEX('register map'!J:J,C202)),1,""),IF(ISNUMBER(INDEX('register map'!K:K,C202)),0,""))</f>
        <v>0</v>
      </c>
      <c r="H202" s="117" t="str">
        <f>RIGHT(INDEX('register map'!V:V,MATCH('Logical Group Generator'!B202,'register map'!L:L,0)),LEN(G202))</f>
        <v>1</v>
      </c>
      <c r="I202" s="117" t="str">
        <f>CONCATENATE(IF(ISNUMBER(INDEX('register map'!K:K,C202)),0,""),IF(ISNUMBER(INDEX('register map'!J:J,C202)),1,""),IF(ISNUMBER(INDEX('register map'!I:I,C202)),2,""),IF(ISNUMBER(INDEX('register map'!H:H,C202)),3,""),IF(ISNUMBER(INDEX('register map'!G:G,C202)),4,""),IF(ISNUMBER(INDEX('register map'!F:F,C202)),5,""),IF(ISNUMBER(INDEX('register map'!E:E,C202)),6,""),IF(ISNUMBER(INDEX('register map'!D:D,C202)),7,""))</f>
        <v>0</v>
      </c>
      <c r="J202" s="117" t="str">
        <f t="shared" si="40"/>
        <v>1</v>
      </c>
      <c r="K202" s="117" t="str">
        <f t="shared" si="33"/>
        <v/>
      </c>
      <c r="L202" s="117" t="str">
        <f t="shared" si="41"/>
        <v/>
      </c>
      <c r="M202" s="117" t="str">
        <f t="shared" si="43"/>
        <v/>
      </c>
      <c r="N202" s="117" t="str">
        <f>IF(ISBLANK(INDEX('register map'!M:M,'Logical Group Generator'!C202)),"No","Yes")</f>
        <v>No</v>
      </c>
      <c r="O202" s="117" t="str">
        <f>IF(NOT(ISBLANK(INDEX('register map'!N:N,'Logical Group Generator'!C202))),"Yes","")</f>
        <v/>
      </c>
      <c r="P202" s="117" t="str">
        <f t="shared" si="34"/>
        <v/>
      </c>
      <c r="Q202" s="117" t="str">
        <f t="shared" si="35"/>
        <v/>
      </c>
      <c r="R202" s="117" t="str">
        <f t="shared" si="36"/>
        <v/>
      </c>
      <c r="S202" s="117" t="str">
        <f t="shared" si="37"/>
        <v>No</v>
      </c>
      <c r="T202" s="117" t="str">
        <f t="shared" si="38"/>
        <v/>
      </c>
      <c r="U202" s="117" t="b">
        <f t="shared" si="42"/>
        <v>0</v>
      </c>
      <c r="V202" s="157" t="b">
        <f>INDEX('register map'!P:P,C202)="yes"</f>
        <v>1</v>
      </c>
      <c r="W202" s="157" t="str">
        <f t="shared" si="39"/>
        <v>FALSE</v>
      </c>
    </row>
    <row r="203" spans="2:23">
      <c r="B203" s="157" t="str">
        <f t="array" ref="B203">IF(ROWS($3:203)&lt;=COUNTA('register map'!$L$5:$L$902),INDEX('register map'!$L$5:$L$902,SMALL(IF('register map'!$L$5:$L$902&lt;&gt;"",ROW('register map'!$L$5:$L$902)-MIN(ROW('register map'!$L$5:$L$902))+1),ROWS($3:203))),"")</f>
        <v>BUCK2_GPO4_MSK</v>
      </c>
      <c r="C203" s="157">
        <f>IF(B203="PART_NUMBER",IF(COUNTIF($B$1:B202,"PART_NUMBER")=0,6,8),MATCH(B203,'register map'!L:L,0))</f>
        <v>216</v>
      </c>
      <c r="D203" s="117" t="str">
        <f>IF(ISBLANK(INDEX('register map'!C:C,'Logical Group Generator'!C203)),"No","Yes")</f>
        <v>No</v>
      </c>
      <c r="E203" s="117" t="str">
        <f>IF(ISBLANK(INDEX('register map'!A:A,C203)),IF(ISBLANK(INDEX('register map'!A:A,C203-1)),IF(ISBLANK(INDEX('register map'!A:A,C203-2)),IF(ISBLANK(INDEX('register map'!A:A,C203-3)),IF(ISBLANK(INDEX('register map'!A:A,C203-4)),IF(ISBLANK(INDEX('register map'!A:A,C203-5)),IF(ISBLANK(INDEX('register map'!A:A,C203-6)),IF(ISBLANK(INDEX('register map'!A:A,C203-7)),IF(ISBLANK(INDEX('register map'!A:A,C203-8)),"ERROR",INDEX('register map'!A:A,C203-8)),INDEX('register map'!A:A,C203-7)),INDEX('register map'!A:A,C203-6)),INDEX('register map'!A:A,C203-5)),INDEX('register map'!A:A,C203-4)),INDEX('register map'!A:A,C203-3)),INDEX('register map'!A:A,C203-2)),INDEX('register map'!A:A,C203-1)),INDEX('register map'!A:A,C203))</f>
        <v>0x5E</v>
      </c>
      <c r="F203" s="117" t="str">
        <f>IF(ISBLANK(INDEX('register map'!B:B,C203)),IF(ISBLANK(INDEX('register map'!B:B,C203-1)),IF(ISBLANK(INDEX('register map'!B:B,C203-2)),IF(ISBLANK(INDEX('register map'!B:B,C203-3)),IF(ISBLANK(INDEX('register map'!B:B,C203-4)),IF(ISBLANK(INDEX('register map'!B:B,C203-5)),IF(ISBLANK(INDEX('register map'!B:B,C203-6)),IF(ISBLANK(INDEX('register map'!B:B,C203-7)),IF(ISBLANK(INDEX('register map'!B:B,C203-8)),"ERROR",INDEX('register map'!B:B,C203-8)),INDEX('register map'!B:B,C203-7)),INDEX('register map'!B:B,C203-6)),INDEX('register map'!B:B,C203-5)),INDEX('register map'!B:B,C203-4)),INDEX('register map'!B:B,C203-3)),INDEX('register map'!B:B,C203-2)),INDEX('register map'!B:B,C203-1)),INDEX('register map'!B:B,C203))</f>
        <v>0xA6</v>
      </c>
      <c r="G203" s="117" t="str">
        <f>CONCATENATE(IF(ISNUMBER(INDEX('register map'!D:D,C203)),7,""),IF(ISNUMBER(INDEX('register map'!E:E,C203)),6,""),IF(ISNUMBER(INDEX('register map'!F:F,C203)),5,""),IF(ISNUMBER(INDEX('register map'!G:G,C203)),4,""),IF(ISNUMBER(INDEX('register map'!H:H,C203)),3,""),IF(ISNUMBER(INDEX('register map'!I:I,C203)),2,""),IF(ISNUMBER(INDEX('register map'!J:J,C203)),1,""),IF(ISNUMBER(INDEX('register map'!K:K,C203)),0,""))</f>
        <v>1</v>
      </c>
      <c r="H203" s="117" t="str">
        <f>RIGHT(INDEX('register map'!V:V,MATCH('Logical Group Generator'!B203,'register map'!L:L,0)),LEN(G203))</f>
        <v>1</v>
      </c>
      <c r="I203" s="117" t="str">
        <f>CONCATENATE(IF(ISNUMBER(INDEX('register map'!K:K,C203)),0,""),IF(ISNUMBER(INDEX('register map'!J:J,C203)),1,""),IF(ISNUMBER(INDEX('register map'!I:I,C203)),2,""),IF(ISNUMBER(INDEX('register map'!H:H,C203)),3,""),IF(ISNUMBER(INDEX('register map'!G:G,C203)),4,""),IF(ISNUMBER(INDEX('register map'!F:F,C203)),5,""),IF(ISNUMBER(INDEX('register map'!E:E,C203)),6,""),IF(ISNUMBER(INDEX('register map'!D:D,C203)),7,""))</f>
        <v>1</v>
      </c>
      <c r="J203" s="117" t="str">
        <f t="shared" si="40"/>
        <v>1</v>
      </c>
      <c r="K203" s="117" t="str">
        <f t="shared" si="33"/>
        <v/>
      </c>
      <c r="L203" s="117" t="str">
        <f t="shared" si="41"/>
        <v/>
      </c>
      <c r="M203" s="117" t="str">
        <f t="shared" si="43"/>
        <v/>
      </c>
      <c r="N203" s="117" t="str">
        <f>IF(ISBLANK(INDEX('register map'!M:M,'Logical Group Generator'!C203)),"No","Yes")</f>
        <v>No</v>
      </c>
      <c r="O203" s="117" t="str">
        <f>IF(NOT(ISBLANK(INDEX('register map'!N:N,'Logical Group Generator'!C203))),"Yes","")</f>
        <v/>
      </c>
      <c r="P203" s="117" t="str">
        <f t="shared" si="34"/>
        <v/>
      </c>
      <c r="Q203" s="117" t="str">
        <f t="shared" si="35"/>
        <v/>
      </c>
      <c r="R203" s="117" t="str">
        <f t="shared" si="36"/>
        <v/>
      </c>
      <c r="S203" s="117" t="str">
        <f t="shared" si="37"/>
        <v>No</v>
      </c>
      <c r="T203" s="117" t="str">
        <f t="shared" si="38"/>
        <v/>
      </c>
      <c r="U203" s="117" t="b">
        <f t="shared" si="42"/>
        <v>0</v>
      </c>
      <c r="V203" s="157" t="b">
        <f>INDEX('register map'!P:P,C203)="yes"</f>
        <v>1</v>
      </c>
      <c r="W203" s="157" t="str">
        <f t="shared" si="39"/>
        <v>FALSE</v>
      </c>
    </row>
    <row r="204" spans="2:23">
      <c r="B204" s="157" t="str">
        <f t="array" ref="B204">IF(ROWS($3:204)&lt;=COUNTA('register map'!$L$5:$L$902),INDEX('register map'!$L$5:$L$902,SMALL(IF('register map'!$L$5:$L$902&lt;&gt;"",ROW('register map'!$L$5:$L$902)-MIN(ROW('register map'!$L$5:$L$902))+1),ROWS($3:204))),"")</f>
        <v>BUCK3_GPO4_MSK</v>
      </c>
      <c r="C204" s="157">
        <f>IF(B204="PART_NUMBER",IF(COUNTIF($B$1:B203,"PART_NUMBER")=0,6,8),MATCH(B204,'register map'!L:L,0))</f>
        <v>217</v>
      </c>
      <c r="D204" s="117" t="str">
        <f>IF(ISBLANK(INDEX('register map'!C:C,'Logical Group Generator'!C204)),"No","Yes")</f>
        <v>No</v>
      </c>
      <c r="E204" s="117" t="str">
        <f>IF(ISBLANK(INDEX('register map'!A:A,C204)),IF(ISBLANK(INDEX('register map'!A:A,C204-1)),IF(ISBLANK(INDEX('register map'!A:A,C204-2)),IF(ISBLANK(INDEX('register map'!A:A,C204-3)),IF(ISBLANK(INDEX('register map'!A:A,C204-4)),IF(ISBLANK(INDEX('register map'!A:A,C204-5)),IF(ISBLANK(INDEX('register map'!A:A,C204-6)),IF(ISBLANK(INDEX('register map'!A:A,C204-7)),IF(ISBLANK(INDEX('register map'!A:A,C204-8)),"ERROR",INDEX('register map'!A:A,C204-8)),INDEX('register map'!A:A,C204-7)),INDEX('register map'!A:A,C204-6)),INDEX('register map'!A:A,C204-5)),INDEX('register map'!A:A,C204-4)),INDEX('register map'!A:A,C204-3)),INDEX('register map'!A:A,C204-2)),INDEX('register map'!A:A,C204-1)),INDEX('register map'!A:A,C204))</f>
        <v>0x5E</v>
      </c>
      <c r="F204" s="117" t="str">
        <f>IF(ISBLANK(INDEX('register map'!B:B,C204)),IF(ISBLANK(INDEX('register map'!B:B,C204-1)),IF(ISBLANK(INDEX('register map'!B:B,C204-2)),IF(ISBLANK(INDEX('register map'!B:B,C204-3)),IF(ISBLANK(INDEX('register map'!B:B,C204-4)),IF(ISBLANK(INDEX('register map'!B:B,C204-5)),IF(ISBLANK(INDEX('register map'!B:B,C204-6)),IF(ISBLANK(INDEX('register map'!B:B,C204-7)),IF(ISBLANK(INDEX('register map'!B:B,C204-8)),"ERROR",INDEX('register map'!B:B,C204-8)),INDEX('register map'!B:B,C204-7)),INDEX('register map'!B:B,C204-6)),INDEX('register map'!B:B,C204-5)),INDEX('register map'!B:B,C204-4)),INDEX('register map'!B:B,C204-3)),INDEX('register map'!B:B,C204-2)),INDEX('register map'!B:B,C204-1)),INDEX('register map'!B:B,C204))</f>
        <v>0xA6</v>
      </c>
      <c r="G204" s="117" t="str">
        <f>CONCATENATE(IF(ISNUMBER(INDEX('register map'!D:D,C204)),7,""),IF(ISNUMBER(INDEX('register map'!E:E,C204)),6,""),IF(ISNUMBER(INDEX('register map'!F:F,C204)),5,""),IF(ISNUMBER(INDEX('register map'!G:G,C204)),4,""),IF(ISNUMBER(INDEX('register map'!H:H,C204)),3,""),IF(ISNUMBER(INDEX('register map'!I:I,C204)),2,""),IF(ISNUMBER(INDEX('register map'!J:J,C204)),1,""),IF(ISNUMBER(INDEX('register map'!K:K,C204)),0,""))</f>
        <v>2</v>
      </c>
      <c r="H204" s="117" t="str">
        <f>RIGHT(INDEX('register map'!V:V,MATCH('Logical Group Generator'!B204,'register map'!L:L,0)),LEN(G204))</f>
        <v>1</v>
      </c>
      <c r="I204" s="117" t="str">
        <f>CONCATENATE(IF(ISNUMBER(INDEX('register map'!K:K,C204)),0,""),IF(ISNUMBER(INDEX('register map'!J:J,C204)),1,""),IF(ISNUMBER(INDEX('register map'!I:I,C204)),2,""),IF(ISNUMBER(INDEX('register map'!H:H,C204)),3,""),IF(ISNUMBER(INDEX('register map'!G:G,C204)),4,""),IF(ISNUMBER(INDEX('register map'!F:F,C204)),5,""),IF(ISNUMBER(INDEX('register map'!E:E,C204)),6,""),IF(ISNUMBER(INDEX('register map'!D:D,C204)),7,""))</f>
        <v>2</v>
      </c>
      <c r="J204" s="117" t="str">
        <f t="shared" si="40"/>
        <v>1</v>
      </c>
      <c r="K204" s="117" t="str">
        <f t="shared" si="33"/>
        <v/>
      </c>
      <c r="L204" s="117" t="str">
        <f t="shared" si="41"/>
        <v/>
      </c>
      <c r="M204" s="117" t="str">
        <f t="shared" si="43"/>
        <v/>
      </c>
      <c r="N204" s="117" t="str">
        <f>IF(ISBLANK(INDEX('register map'!M:M,'Logical Group Generator'!C204)),"No","Yes")</f>
        <v>No</v>
      </c>
      <c r="O204" s="117" t="str">
        <f>IF(NOT(ISBLANK(INDEX('register map'!N:N,'Logical Group Generator'!C204))),"Yes","")</f>
        <v/>
      </c>
      <c r="P204" s="117" t="str">
        <f t="shared" si="34"/>
        <v/>
      </c>
      <c r="Q204" s="117" t="str">
        <f t="shared" si="35"/>
        <v/>
      </c>
      <c r="R204" s="117" t="str">
        <f t="shared" si="36"/>
        <v/>
      </c>
      <c r="S204" s="117" t="str">
        <f t="shared" si="37"/>
        <v>No</v>
      </c>
      <c r="T204" s="117" t="str">
        <f t="shared" si="38"/>
        <v/>
      </c>
      <c r="U204" s="117" t="b">
        <f t="shared" si="42"/>
        <v>0</v>
      </c>
      <c r="V204" s="157" t="b">
        <f>INDEX('register map'!P:P,C204)="yes"</f>
        <v>1</v>
      </c>
      <c r="W204" s="157" t="str">
        <f t="shared" si="39"/>
        <v>FALSE</v>
      </c>
    </row>
    <row r="205" spans="2:23">
      <c r="B205" s="157" t="str">
        <f t="array" ref="B205">IF(ROWS($3:205)&lt;=COUNTA('register map'!$L$5:$L$902),INDEX('register map'!$L$5:$L$902,SMALL(IF('register map'!$L$5:$L$902&lt;&gt;"",ROW('register map'!$L$5:$L$902)-MIN(ROW('register map'!$L$5:$L$902))+1),ROWS($3:205))),"")</f>
        <v>BUCK4_GPO4_MSK</v>
      </c>
      <c r="C205" s="157">
        <f>IF(B205="PART_NUMBER",IF(COUNTIF($B$1:B204,"PART_NUMBER")=0,6,8),MATCH(B205,'register map'!L:L,0))</f>
        <v>218</v>
      </c>
      <c r="D205" s="117" t="str">
        <f>IF(ISBLANK(INDEX('register map'!C:C,'Logical Group Generator'!C205)),"No","Yes")</f>
        <v>No</v>
      </c>
      <c r="E205" s="117" t="str">
        <f>IF(ISBLANK(INDEX('register map'!A:A,C205)),IF(ISBLANK(INDEX('register map'!A:A,C205-1)),IF(ISBLANK(INDEX('register map'!A:A,C205-2)),IF(ISBLANK(INDEX('register map'!A:A,C205-3)),IF(ISBLANK(INDEX('register map'!A:A,C205-4)),IF(ISBLANK(INDEX('register map'!A:A,C205-5)),IF(ISBLANK(INDEX('register map'!A:A,C205-6)),IF(ISBLANK(INDEX('register map'!A:A,C205-7)),IF(ISBLANK(INDEX('register map'!A:A,C205-8)),"ERROR",INDEX('register map'!A:A,C205-8)),INDEX('register map'!A:A,C205-7)),INDEX('register map'!A:A,C205-6)),INDEX('register map'!A:A,C205-5)),INDEX('register map'!A:A,C205-4)),INDEX('register map'!A:A,C205-3)),INDEX('register map'!A:A,C205-2)),INDEX('register map'!A:A,C205-1)),INDEX('register map'!A:A,C205))</f>
        <v>0x5E</v>
      </c>
      <c r="F205" s="117" t="str">
        <f>IF(ISBLANK(INDEX('register map'!B:B,C205)),IF(ISBLANK(INDEX('register map'!B:B,C205-1)),IF(ISBLANK(INDEX('register map'!B:B,C205-2)),IF(ISBLANK(INDEX('register map'!B:B,C205-3)),IF(ISBLANK(INDEX('register map'!B:B,C205-4)),IF(ISBLANK(INDEX('register map'!B:B,C205-5)),IF(ISBLANK(INDEX('register map'!B:B,C205-6)),IF(ISBLANK(INDEX('register map'!B:B,C205-7)),IF(ISBLANK(INDEX('register map'!B:B,C205-8)),"ERROR",INDEX('register map'!B:B,C205-8)),INDEX('register map'!B:B,C205-7)),INDEX('register map'!B:B,C205-6)),INDEX('register map'!B:B,C205-5)),INDEX('register map'!B:B,C205-4)),INDEX('register map'!B:B,C205-3)),INDEX('register map'!B:B,C205-2)),INDEX('register map'!B:B,C205-1)),INDEX('register map'!B:B,C205))</f>
        <v>0xA6</v>
      </c>
      <c r="G205" s="117" t="str">
        <f>CONCATENATE(IF(ISNUMBER(INDEX('register map'!D:D,C205)),7,""),IF(ISNUMBER(INDEX('register map'!E:E,C205)),6,""),IF(ISNUMBER(INDEX('register map'!F:F,C205)),5,""),IF(ISNUMBER(INDEX('register map'!G:G,C205)),4,""),IF(ISNUMBER(INDEX('register map'!H:H,C205)),3,""),IF(ISNUMBER(INDEX('register map'!I:I,C205)),2,""),IF(ISNUMBER(INDEX('register map'!J:J,C205)),1,""),IF(ISNUMBER(INDEX('register map'!K:K,C205)),0,""))</f>
        <v>3</v>
      </c>
      <c r="H205" s="117" t="str">
        <f>RIGHT(INDEX('register map'!V:V,MATCH('Logical Group Generator'!B205,'register map'!L:L,0)),LEN(G205))</f>
        <v>1</v>
      </c>
      <c r="I205" s="117" t="str">
        <f>CONCATENATE(IF(ISNUMBER(INDEX('register map'!K:K,C205)),0,""),IF(ISNUMBER(INDEX('register map'!J:J,C205)),1,""),IF(ISNUMBER(INDEX('register map'!I:I,C205)),2,""),IF(ISNUMBER(INDEX('register map'!H:H,C205)),3,""),IF(ISNUMBER(INDEX('register map'!G:G,C205)),4,""),IF(ISNUMBER(INDEX('register map'!F:F,C205)),5,""),IF(ISNUMBER(INDEX('register map'!E:E,C205)),6,""),IF(ISNUMBER(INDEX('register map'!D:D,C205)),7,""))</f>
        <v>3</v>
      </c>
      <c r="J205" s="117" t="str">
        <f t="shared" si="40"/>
        <v>1</v>
      </c>
      <c r="K205" s="117" t="str">
        <f t="shared" si="33"/>
        <v/>
      </c>
      <c r="L205" s="117" t="str">
        <f t="shared" si="41"/>
        <v/>
      </c>
      <c r="M205" s="117" t="str">
        <f t="shared" si="43"/>
        <v/>
      </c>
      <c r="N205" s="117" t="str">
        <f>IF(ISBLANK(INDEX('register map'!M:M,'Logical Group Generator'!C205)),"No","Yes")</f>
        <v>No</v>
      </c>
      <c r="O205" s="117" t="str">
        <f>IF(NOT(ISBLANK(INDEX('register map'!N:N,'Logical Group Generator'!C205))),"Yes","")</f>
        <v/>
      </c>
      <c r="P205" s="117" t="str">
        <f t="shared" si="34"/>
        <v/>
      </c>
      <c r="Q205" s="117" t="str">
        <f t="shared" si="35"/>
        <v/>
      </c>
      <c r="R205" s="117" t="str">
        <f t="shared" si="36"/>
        <v/>
      </c>
      <c r="S205" s="117" t="str">
        <f t="shared" si="37"/>
        <v>No</v>
      </c>
      <c r="T205" s="117" t="str">
        <f t="shared" si="38"/>
        <v/>
      </c>
      <c r="U205" s="117" t="b">
        <f t="shared" si="42"/>
        <v>0</v>
      </c>
      <c r="V205" s="157" t="b">
        <f>INDEX('register map'!P:P,C205)="yes"</f>
        <v>1</v>
      </c>
      <c r="W205" s="157" t="str">
        <f t="shared" si="39"/>
        <v>FALSE</v>
      </c>
    </row>
    <row r="206" spans="2:23">
      <c r="B206" s="157" t="str">
        <f t="array" ref="B206">IF(ROWS($3:206)&lt;=COUNTA('register map'!$L$5:$L$902),INDEX('register map'!$L$5:$L$902,SMALL(IF('register map'!$L$5:$L$902&lt;&gt;"",ROW('register map'!$L$5:$L$902)-MIN(ROW('register map'!$L$5:$L$902))+1),ROWS($3:206))),"")</f>
        <v>BUCK5_GPO4_MSK</v>
      </c>
      <c r="C206" s="157">
        <f>IF(B206="PART_NUMBER",IF(COUNTIF($B$1:B205,"PART_NUMBER")=0,6,8),MATCH(B206,'register map'!L:L,0))</f>
        <v>219</v>
      </c>
      <c r="D206" s="117" t="str">
        <f>IF(ISBLANK(INDEX('register map'!C:C,'Logical Group Generator'!C206)),"No","Yes")</f>
        <v>No</v>
      </c>
      <c r="E206" s="117" t="str">
        <f>IF(ISBLANK(INDEX('register map'!A:A,C206)),IF(ISBLANK(INDEX('register map'!A:A,C206-1)),IF(ISBLANK(INDEX('register map'!A:A,C206-2)),IF(ISBLANK(INDEX('register map'!A:A,C206-3)),IF(ISBLANK(INDEX('register map'!A:A,C206-4)),IF(ISBLANK(INDEX('register map'!A:A,C206-5)),IF(ISBLANK(INDEX('register map'!A:A,C206-6)),IF(ISBLANK(INDEX('register map'!A:A,C206-7)),IF(ISBLANK(INDEX('register map'!A:A,C206-8)),"ERROR",INDEX('register map'!A:A,C206-8)),INDEX('register map'!A:A,C206-7)),INDEX('register map'!A:A,C206-6)),INDEX('register map'!A:A,C206-5)),INDEX('register map'!A:A,C206-4)),INDEX('register map'!A:A,C206-3)),INDEX('register map'!A:A,C206-2)),INDEX('register map'!A:A,C206-1)),INDEX('register map'!A:A,C206))</f>
        <v>0x5E</v>
      </c>
      <c r="F206" s="117" t="str">
        <f>IF(ISBLANK(INDEX('register map'!B:B,C206)),IF(ISBLANK(INDEX('register map'!B:B,C206-1)),IF(ISBLANK(INDEX('register map'!B:B,C206-2)),IF(ISBLANK(INDEX('register map'!B:B,C206-3)),IF(ISBLANK(INDEX('register map'!B:B,C206-4)),IF(ISBLANK(INDEX('register map'!B:B,C206-5)),IF(ISBLANK(INDEX('register map'!B:B,C206-6)),IF(ISBLANK(INDEX('register map'!B:B,C206-7)),IF(ISBLANK(INDEX('register map'!B:B,C206-8)),"ERROR",INDEX('register map'!B:B,C206-8)),INDEX('register map'!B:B,C206-7)),INDEX('register map'!B:B,C206-6)),INDEX('register map'!B:B,C206-5)),INDEX('register map'!B:B,C206-4)),INDEX('register map'!B:B,C206-3)),INDEX('register map'!B:B,C206-2)),INDEX('register map'!B:B,C206-1)),INDEX('register map'!B:B,C206))</f>
        <v>0xA6</v>
      </c>
      <c r="G206" s="117" t="str">
        <f>CONCATENATE(IF(ISNUMBER(INDEX('register map'!D:D,C206)),7,""),IF(ISNUMBER(INDEX('register map'!E:E,C206)),6,""),IF(ISNUMBER(INDEX('register map'!F:F,C206)),5,""),IF(ISNUMBER(INDEX('register map'!G:G,C206)),4,""),IF(ISNUMBER(INDEX('register map'!H:H,C206)),3,""),IF(ISNUMBER(INDEX('register map'!I:I,C206)),2,""),IF(ISNUMBER(INDEX('register map'!J:J,C206)),1,""),IF(ISNUMBER(INDEX('register map'!K:K,C206)),0,""))</f>
        <v>4</v>
      </c>
      <c r="H206" s="117" t="str">
        <f>RIGHT(INDEX('register map'!V:V,MATCH('Logical Group Generator'!B206,'register map'!L:L,0)),LEN(G206))</f>
        <v>1</v>
      </c>
      <c r="I206" s="117" t="str">
        <f>CONCATENATE(IF(ISNUMBER(INDEX('register map'!K:K,C206)),0,""),IF(ISNUMBER(INDEX('register map'!J:J,C206)),1,""),IF(ISNUMBER(INDEX('register map'!I:I,C206)),2,""),IF(ISNUMBER(INDEX('register map'!H:H,C206)),3,""),IF(ISNUMBER(INDEX('register map'!G:G,C206)),4,""),IF(ISNUMBER(INDEX('register map'!F:F,C206)),5,""),IF(ISNUMBER(INDEX('register map'!E:E,C206)),6,""),IF(ISNUMBER(INDEX('register map'!D:D,C206)),7,""))</f>
        <v>4</v>
      </c>
      <c r="J206" s="117" t="str">
        <f t="shared" si="40"/>
        <v>1</v>
      </c>
      <c r="K206" s="117" t="str">
        <f t="shared" si="33"/>
        <v/>
      </c>
      <c r="L206" s="117" t="str">
        <f t="shared" si="41"/>
        <v/>
      </c>
      <c r="M206" s="117" t="str">
        <f t="shared" si="43"/>
        <v/>
      </c>
      <c r="N206" s="117" t="str">
        <f>IF(ISBLANK(INDEX('register map'!M:M,'Logical Group Generator'!C206)),"No","Yes")</f>
        <v>No</v>
      </c>
      <c r="O206" s="117" t="str">
        <f>IF(NOT(ISBLANK(INDEX('register map'!N:N,'Logical Group Generator'!C206))),"Yes","")</f>
        <v/>
      </c>
      <c r="P206" s="117" t="str">
        <f t="shared" si="34"/>
        <v/>
      </c>
      <c r="Q206" s="117" t="str">
        <f t="shared" si="35"/>
        <v/>
      </c>
      <c r="R206" s="117" t="str">
        <f t="shared" si="36"/>
        <v/>
      </c>
      <c r="S206" s="117" t="str">
        <f t="shared" si="37"/>
        <v>No</v>
      </c>
      <c r="T206" s="117" t="str">
        <f t="shared" si="38"/>
        <v/>
      </c>
      <c r="U206" s="117" t="b">
        <f t="shared" si="42"/>
        <v>0</v>
      </c>
      <c r="V206" s="157" t="b">
        <f>INDEX('register map'!P:P,C206)="yes"</f>
        <v>1</v>
      </c>
      <c r="W206" s="157" t="str">
        <f t="shared" si="39"/>
        <v>FALSE</v>
      </c>
    </row>
    <row r="207" spans="2:23">
      <c r="B207" s="157" t="str">
        <f t="array" ref="B207">IF(ROWS($3:207)&lt;=COUNTA('register map'!$L$5:$L$902),INDEX('register map'!$L$5:$L$902,SMALL(IF('register map'!$L$5:$L$902&lt;&gt;"",ROW('register map'!$L$5:$L$902)-MIN(ROW('register map'!$L$5:$L$902))+1),ROWS($3:207))),"")</f>
        <v>BUCK6_GPO4_MSK</v>
      </c>
      <c r="C207" s="157">
        <f>IF(B207="PART_NUMBER",IF(COUNTIF($B$1:B206,"PART_NUMBER")=0,6,8),MATCH(B207,'register map'!L:L,0))</f>
        <v>220</v>
      </c>
      <c r="D207" s="117" t="str">
        <f>IF(ISBLANK(INDEX('register map'!C:C,'Logical Group Generator'!C207)),"No","Yes")</f>
        <v>No</v>
      </c>
      <c r="E207" s="117" t="str">
        <f>IF(ISBLANK(INDEX('register map'!A:A,C207)),IF(ISBLANK(INDEX('register map'!A:A,C207-1)),IF(ISBLANK(INDEX('register map'!A:A,C207-2)),IF(ISBLANK(INDEX('register map'!A:A,C207-3)),IF(ISBLANK(INDEX('register map'!A:A,C207-4)),IF(ISBLANK(INDEX('register map'!A:A,C207-5)),IF(ISBLANK(INDEX('register map'!A:A,C207-6)),IF(ISBLANK(INDEX('register map'!A:A,C207-7)),IF(ISBLANK(INDEX('register map'!A:A,C207-8)),"ERROR",INDEX('register map'!A:A,C207-8)),INDEX('register map'!A:A,C207-7)),INDEX('register map'!A:A,C207-6)),INDEX('register map'!A:A,C207-5)),INDEX('register map'!A:A,C207-4)),INDEX('register map'!A:A,C207-3)),INDEX('register map'!A:A,C207-2)),INDEX('register map'!A:A,C207-1)),INDEX('register map'!A:A,C207))</f>
        <v>0x5E</v>
      </c>
      <c r="F207" s="117" t="str">
        <f>IF(ISBLANK(INDEX('register map'!B:B,C207)),IF(ISBLANK(INDEX('register map'!B:B,C207-1)),IF(ISBLANK(INDEX('register map'!B:B,C207-2)),IF(ISBLANK(INDEX('register map'!B:B,C207-3)),IF(ISBLANK(INDEX('register map'!B:B,C207-4)),IF(ISBLANK(INDEX('register map'!B:B,C207-5)),IF(ISBLANK(INDEX('register map'!B:B,C207-6)),IF(ISBLANK(INDEX('register map'!B:B,C207-7)),IF(ISBLANK(INDEX('register map'!B:B,C207-8)),"ERROR",INDEX('register map'!B:B,C207-8)),INDEX('register map'!B:B,C207-7)),INDEX('register map'!B:B,C207-6)),INDEX('register map'!B:B,C207-5)),INDEX('register map'!B:B,C207-4)),INDEX('register map'!B:B,C207-3)),INDEX('register map'!B:B,C207-2)),INDEX('register map'!B:B,C207-1)),INDEX('register map'!B:B,C207))</f>
        <v>0xA6</v>
      </c>
      <c r="G207" s="117" t="str">
        <f>CONCATENATE(IF(ISNUMBER(INDEX('register map'!D:D,C207)),7,""),IF(ISNUMBER(INDEX('register map'!E:E,C207)),6,""),IF(ISNUMBER(INDEX('register map'!F:F,C207)),5,""),IF(ISNUMBER(INDEX('register map'!G:G,C207)),4,""),IF(ISNUMBER(INDEX('register map'!H:H,C207)),3,""),IF(ISNUMBER(INDEX('register map'!I:I,C207)),2,""),IF(ISNUMBER(INDEX('register map'!J:J,C207)),1,""),IF(ISNUMBER(INDEX('register map'!K:K,C207)),0,""))</f>
        <v>5</v>
      </c>
      <c r="H207" s="117" t="str">
        <f>RIGHT(INDEX('register map'!V:V,MATCH('Logical Group Generator'!B207,'register map'!L:L,0)),LEN(G207))</f>
        <v>0</v>
      </c>
      <c r="I207" s="117" t="str">
        <f>CONCATENATE(IF(ISNUMBER(INDEX('register map'!K:K,C207)),0,""),IF(ISNUMBER(INDEX('register map'!J:J,C207)),1,""),IF(ISNUMBER(INDEX('register map'!I:I,C207)),2,""),IF(ISNUMBER(INDEX('register map'!H:H,C207)),3,""),IF(ISNUMBER(INDEX('register map'!G:G,C207)),4,""),IF(ISNUMBER(INDEX('register map'!F:F,C207)),5,""),IF(ISNUMBER(INDEX('register map'!E:E,C207)),6,""),IF(ISNUMBER(INDEX('register map'!D:D,C207)),7,""))</f>
        <v>5</v>
      </c>
      <c r="J207" s="117" t="str">
        <f t="shared" si="40"/>
        <v>0</v>
      </c>
      <c r="K207" s="117" t="str">
        <f t="shared" si="33"/>
        <v/>
      </c>
      <c r="L207" s="117" t="str">
        <f t="shared" si="41"/>
        <v/>
      </c>
      <c r="M207" s="117" t="str">
        <f t="shared" si="43"/>
        <v/>
      </c>
      <c r="N207" s="117" t="str">
        <f>IF(ISBLANK(INDEX('register map'!M:M,'Logical Group Generator'!C207)),"No","Yes")</f>
        <v>No</v>
      </c>
      <c r="O207" s="117" t="str">
        <f>IF(NOT(ISBLANK(INDEX('register map'!N:N,'Logical Group Generator'!C207))),"Yes","")</f>
        <v/>
      </c>
      <c r="P207" s="117" t="str">
        <f t="shared" si="34"/>
        <v/>
      </c>
      <c r="Q207" s="117" t="str">
        <f t="shared" si="35"/>
        <v/>
      </c>
      <c r="R207" s="117" t="str">
        <f t="shared" si="36"/>
        <v/>
      </c>
      <c r="S207" s="117" t="str">
        <f t="shared" si="37"/>
        <v>No</v>
      </c>
      <c r="T207" s="117" t="str">
        <f t="shared" si="38"/>
        <v/>
      </c>
      <c r="U207" s="117" t="b">
        <f t="shared" si="42"/>
        <v>0</v>
      </c>
      <c r="V207" s="157" t="b">
        <f>INDEX('register map'!P:P,C207)="yes"</f>
        <v>1</v>
      </c>
      <c r="W207" s="157" t="str">
        <f t="shared" si="39"/>
        <v>FALSE</v>
      </c>
    </row>
    <row r="208" spans="2:23">
      <c r="B208" s="157" t="str">
        <f t="array" ref="B208">IF(ROWS($3:208)&lt;=COUNTA('register map'!$L$5:$L$902),INDEX('register map'!$L$5:$L$902,SMALL(IF('register map'!$L$5:$L$902&lt;&gt;"",ROW('register map'!$L$5:$L$902)-MIN(ROW('register map'!$L$5:$L$902))+1),ROWS($3:208))),"")</f>
        <v>SWA1_GPO4_MSK</v>
      </c>
      <c r="C208" s="157">
        <f>IF(B208="PART_NUMBER",IF(COUNTIF($B$1:B207,"PART_NUMBER")=0,6,8),MATCH(B208,'register map'!L:L,0))</f>
        <v>221</v>
      </c>
      <c r="D208" s="117" t="str">
        <f>IF(ISBLANK(INDEX('register map'!C:C,'Logical Group Generator'!C208)),"No","Yes")</f>
        <v>No</v>
      </c>
      <c r="E208" s="117" t="str">
        <f>IF(ISBLANK(INDEX('register map'!A:A,C208)),IF(ISBLANK(INDEX('register map'!A:A,C208-1)),IF(ISBLANK(INDEX('register map'!A:A,C208-2)),IF(ISBLANK(INDEX('register map'!A:A,C208-3)),IF(ISBLANK(INDEX('register map'!A:A,C208-4)),IF(ISBLANK(INDEX('register map'!A:A,C208-5)),IF(ISBLANK(INDEX('register map'!A:A,C208-6)),IF(ISBLANK(INDEX('register map'!A:A,C208-7)),IF(ISBLANK(INDEX('register map'!A:A,C208-8)),"ERROR",INDEX('register map'!A:A,C208-8)),INDEX('register map'!A:A,C208-7)),INDEX('register map'!A:A,C208-6)),INDEX('register map'!A:A,C208-5)),INDEX('register map'!A:A,C208-4)),INDEX('register map'!A:A,C208-3)),INDEX('register map'!A:A,C208-2)),INDEX('register map'!A:A,C208-1)),INDEX('register map'!A:A,C208))</f>
        <v>0x5E</v>
      </c>
      <c r="F208" s="117" t="str">
        <f>IF(ISBLANK(INDEX('register map'!B:B,C208)),IF(ISBLANK(INDEX('register map'!B:B,C208-1)),IF(ISBLANK(INDEX('register map'!B:B,C208-2)),IF(ISBLANK(INDEX('register map'!B:B,C208-3)),IF(ISBLANK(INDEX('register map'!B:B,C208-4)),IF(ISBLANK(INDEX('register map'!B:B,C208-5)),IF(ISBLANK(INDEX('register map'!B:B,C208-6)),IF(ISBLANK(INDEX('register map'!B:B,C208-7)),IF(ISBLANK(INDEX('register map'!B:B,C208-8)),"ERROR",INDEX('register map'!B:B,C208-8)),INDEX('register map'!B:B,C208-7)),INDEX('register map'!B:B,C208-6)),INDEX('register map'!B:B,C208-5)),INDEX('register map'!B:B,C208-4)),INDEX('register map'!B:B,C208-3)),INDEX('register map'!B:B,C208-2)),INDEX('register map'!B:B,C208-1)),INDEX('register map'!B:B,C208))</f>
        <v>0xA6</v>
      </c>
      <c r="G208" s="117" t="str">
        <f>CONCATENATE(IF(ISNUMBER(INDEX('register map'!D:D,C208)),7,""),IF(ISNUMBER(INDEX('register map'!E:E,C208)),6,""),IF(ISNUMBER(INDEX('register map'!F:F,C208)),5,""),IF(ISNUMBER(INDEX('register map'!G:G,C208)),4,""),IF(ISNUMBER(INDEX('register map'!H:H,C208)),3,""),IF(ISNUMBER(INDEX('register map'!I:I,C208)),2,""),IF(ISNUMBER(INDEX('register map'!J:J,C208)),1,""),IF(ISNUMBER(INDEX('register map'!K:K,C208)),0,""))</f>
        <v>6</v>
      </c>
      <c r="H208" s="117" t="str">
        <f>RIGHT(INDEX('register map'!V:V,MATCH('Logical Group Generator'!B208,'register map'!L:L,0)),LEN(G208))</f>
        <v>1</v>
      </c>
      <c r="I208" s="117" t="str">
        <f>CONCATENATE(IF(ISNUMBER(INDEX('register map'!K:K,C208)),0,""),IF(ISNUMBER(INDEX('register map'!J:J,C208)),1,""),IF(ISNUMBER(INDEX('register map'!I:I,C208)),2,""),IF(ISNUMBER(INDEX('register map'!H:H,C208)),3,""),IF(ISNUMBER(INDEX('register map'!G:G,C208)),4,""),IF(ISNUMBER(INDEX('register map'!F:F,C208)),5,""),IF(ISNUMBER(INDEX('register map'!E:E,C208)),6,""),IF(ISNUMBER(INDEX('register map'!D:D,C208)),7,""))</f>
        <v>6</v>
      </c>
      <c r="J208" s="117" t="str">
        <f t="shared" si="40"/>
        <v>1</v>
      </c>
      <c r="K208" s="117" t="str">
        <f t="shared" si="33"/>
        <v/>
      </c>
      <c r="L208" s="117" t="str">
        <f t="shared" si="41"/>
        <v/>
      </c>
      <c r="M208" s="117" t="str">
        <f t="shared" si="43"/>
        <v/>
      </c>
      <c r="N208" s="117" t="str">
        <f>IF(ISBLANK(INDEX('register map'!M:M,'Logical Group Generator'!C208)),"No","Yes")</f>
        <v>No</v>
      </c>
      <c r="O208" s="117" t="str">
        <f>IF(NOT(ISBLANK(INDEX('register map'!N:N,'Logical Group Generator'!C208))),"Yes","")</f>
        <v/>
      </c>
      <c r="P208" s="117" t="str">
        <f t="shared" si="34"/>
        <v/>
      </c>
      <c r="Q208" s="117" t="str">
        <f t="shared" si="35"/>
        <v/>
      </c>
      <c r="R208" s="117" t="str">
        <f t="shared" si="36"/>
        <v/>
      </c>
      <c r="S208" s="117" t="str">
        <f t="shared" si="37"/>
        <v>No</v>
      </c>
      <c r="T208" s="117" t="str">
        <f t="shared" si="38"/>
        <v/>
      </c>
      <c r="U208" s="117" t="b">
        <f t="shared" si="42"/>
        <v>0</v>
      </c>
      <c r="V208" s="157" t="b">
        <f>INDEX('register map'!P:P,C208)="yes"</f>
        <v>1</v>
      </c>
      <c r="W208" s="157" t="str">
        <f t="shared" si="39"/>
        <v>FALSE</v>
      </c>
    </row>
    <row r="209" spans="2:23">
      <c r="B209" s="157" t="str">
        <f t="array" ref="B209">IF(ROWS($3:209)&lt;=COUNTA('register map'!$L$5:$L$902),INDEX('register map'!$L$5:$L$902,SMALL(IF('register map'!$L$5:$L$902&lt;&gt;"",ROW('register map'!$L$5:$L$902)-MIN(ROW('register map'!$L$5:$L$902))+1),ROWS($3:209))),"")</f>
        <v>LDOA2_GPO4_MSK</v>
      </c>
      <c r="C209" s="157">
        <f>IF(B209="PART_NUMBER",IF(COUNTIF($B$1:B208,"PART_NUMBER")=0,6,8),MATCH(B209,'register map'!L:L,0))</f>
        <v>222</v>
      </c>
      <c r="D209" s="117" t="str">
        <f>IF(ISBLANK(INDEX('register map'!C:C,'Logical Group Generator'!C209)),"No","Yes")</f>
        <v>No</v>
      </c>
      <c r="E209" s="117" t="str">
        <f>IF(ISBLANK(INDEX('register map'!A:A,C209)),IF(ISBLANK(INDEX('register map'!A:A,C209-1)),IF(ISBLANK(INDEX('register map'!A:A,C209-2)),IF(ISBLANK(INDEX('register map'!A:A,C209-3)),IF(ISBLANK(INDEX('register map'!A:A,C209-4)),IF(ISBLANK(INDEX('register map'!A:A,C209-5)),IF(ISBLANK(INDEX('register map'!A:A,C209-6)),IF(ISBLANK(INDEX('register map'!A:A,C209-7)),IF(ISBLANK(INDEX('register map'!A:A,C209-8)),"ERROR",INDEX('register map'!A:A,C209-8)),INDEX('register map'!A:A,C209-7)),INDEX('register map'!A:A,C209-6)),INDEX('register map'!A:A,C209-5)),INDEX('register map'!A:A,C209-4)),INDEX('register map'!A:A,C209-3)),INDEX('register map'!A:A,C209-2)),INDEX('register map'!A:A,C209-1)),INDEX('register map'!A:A,C209))</f>
        <v>0x5E</v>
      </c>
      <c r="F209" s="117" t="str">
        <f>IF(ISBLANK(INDEX('register map'!B:B,C209)),IF(ISBLANK(INDEX('register map'!B:B,C209-1)),IF(ISBLANK(INDEX('register map'!B:B,C209-2)),IF(ISBLANK(INDEX('register map'!B:B,C209-3)),IF(ISBLANK(INDEX('register map'!B:B,C209-4)),IF(ISBLANK(INDEX('register map'!B:B,C209-5)),IF(ISBLANK(INDEX('register map'!B:B,C209-6)),IF(ISBLANK(INDEX('register map'!B:B,C209-7)),IF(ISBLANK(INDEX('register map'!B:B,C209-8)),"ERROR",INDEX('register map'!B:B,C209-8)),INDEX('register map'!B:B,C209-7)),INDEX('register map'!B:B,C209-6)),INDEX('register map'!B:B,C209-5)),INDEX('register map'!B:B,C209-4)),INDEX('register map'!B:B,C209-3)),INDEX('register map'!B:B,C209-2)),INDEX('register map'!B:B,C209-1)),INDEX('register map'!B:B,C209))</f>
        <v>0xA6</v>
      </c>
      <c r="G209" s="117" t="str">
        <f>CONCATENATE(IF(ISNUMBER(INDEX('register map'!D:D,C209)),7,""),IF(ISNUMBER(INDEX('register map'!E:E,C209)),6,""),IF(ISNUMBER(INDEX('register map'!F:F,C209)),5,""),IF(ISNUMBER(INDEX('register map'!G:G,C209)),4,""),IF(ISNUMBER(INDEX('register map'!H:H,C209)),3,""),IF(ISNUMBER(INDEX('register map'!I:I,C209)),2,""),IF(ISNUMBER(INDEX('register map'!J:J,C209)),1,""),IF(ISNUMBER(INDEX('register map'!K:K,C209)),0,""))</f>
        <v>7</v>
      </c>
      <c r="H209" s="117" t="str">
        <f>RIGHT(INDEX('register map'!V:V,MATCH('Logical Group Generator'!B209,'register map'!L:L,0)),LEN(G209))</f>
        <v>1</v>
      </c>
      <c r="I209" s="117" t="str">
        <f>CONCATENATE(IF(ISNUMBER(INDEX('register map'!K:K,C209)),0,""),IF(ISNUMBER(INDEX('register map'!J:J,C209)),1,""),IF(ISNUMBER(INDEX('register map'!I:I,C209)),2,""),IF(ISNUMBER(INDEX('register map'!H:H,C209)),3,""),IF(ISNUMBER(INDEX('register map'!G:G,C209)),4,""),IF(ISNUMBER(INDEX('register map'!F:F,C209)),5,""),IF(ISNUMBER(INDEX('register map'!E:E,C209)),6,""),IF(ISNUMBER(INDEX('register map'!D:D,C209)),7,""))</f>
        <v>7</v>
      </c>
      <c r="J209" s="117" t="str">
        <f t="shared" si="40"/>
        <v>1</v>
      </c>
      <c r="K209" s="117" t="str">
        <f t="shared" si="33"/>
        <v/>
      </c>
      <c r="L209" s="117" t="str">
        <f t="shared" si="41"/>
        <v/>
      </c>
      <c r="M209" s="117" t="str">
        <f t="shared" si="43"/>
        <v/>
      </c>
      <c r="N209" s="117" t="str">
        <f>IF(ISBLANK(INDEX('register map'!M:M,'Logical Group Generator'!C209)),"No","Yes")</f>
        <v>No</v>
      </c>
      <c r="O209" s="117" t="str">
        <f>IF(NOT(ISBLANK(INDEX('register map'!N:N,'Logical Group Generator'!C209))),"Yes","")</f>
        <v/>
      </c>
      <c r="P209" s="117" t="str">
        <f t="shared" si="34"/>
        <v/>
      </c>
      <c r="Q209" s="117" t="str">
        <f t="shared" si="35"/>
        <v/>
      </c>
      <c r="R209" s="117" t="str">
        <f t="shared" si="36"/>
        <v/>
      </c>
      <c r="S209" s="117" t="str">
        <f t="shared" si="37"/>
        <v>No</v>
      </c>
      <c r="T209" s="117" t="str">
        <f t="shared" si="38"/>
        <v/>
      </c>
      <c r="U209" s="117" t="b">
        <f t="shared" si="42"/>
        <v>0</v>
      </c>
      <c r="V209" s="157" t="b">
        <f>INDEX('register map'!P:P,C209)="yes"</f>
        <v>1</v>
      </c>
      <c r="W209" s="157" t="str">
        <f t="shared" si="39"/>
        <v>FALSE</v>
      </c>
    </row>
    <row r="210" spans="2:23">
      <c r="B210" s="157" t="str">
        <f t="array" ref="B210">IF(ROWS($3:210)&lt;=COUNTA('register map'!$L$5:$L$902),INDEX('register map'!$L$5:$L$902,SMALL(IF('register map'!$L$5:$L$902&lt;&gt;"",ROW('register map'!$L$5:$L$902)-MIN(ROW('register map'!$L$5:$L$902))+1),ROWS($3:210))),"")</f>
        <v>GPO4PG_CTRL2</v>
      </c>
      <c r="C210" s="157">
        <f>IF(B210="PART_NUMBER",IF(COUNTIF($B$1:B209,"PART_NUMBER")=0,6,8),MATCH(B210,'register map'!L:L,0))</f>
        <v>223</v>
      </c>
      <c r="D210" s="117" t="str">
        <f>IF(ISBLANK(INDEX('register map'!C:C,'Logical Group Generator'!C210)),"No","Yes")</f>
        <v>Yes</v>
      </c>
      <c r="E210" s="117" t="str">
        <f>IF(ISBLANK(INDEX('register map'!A:A,C210)),IF(ISBLANK(INDEX('register map'!A:A,C210-1)),IF(ISBLANK(INDEX('register map'!A:A,C210-2)),IF(ISBLANK(INDEX('register map'!A:A,C210-3)),IF(ISBLANK(INDEX('register map'!A:A,C210-4)),IF(ISBLANK(INDEX('register map'!A:A,C210-5)),IF(ISBLANK(INDEX('register map'!A:A,C210-6)),IF(ISBLANK(INDEX('register map'!A:A,C210-7)),IF(ISBLANK(INDEX('register map'!A:A,C210-8)),"ERROR",INDEX('register map'!A:A,C210-8)),INDEX('register map'!A:A,C210-7)),INDEX('register map'!A:A,C210-6)),INDEX('register map'!A:A,C210-5)),INDEX('register map'!A:A,C210-4)),INDEX('register map'!A:A,C210-3)),INDEX('register map'!A:A,C210-2)),INDEX('register map'!A:A,C210-1)),INDEX('register map'!A:A,C210))</f>
        <v>0x5E</v>
      </c>
      <c r="F210" s="117" t="str">
        <f>IF(ISBLANK(INDEX('register map'!B:B,C210)),IF(ISBLANK(INDEX('register map'!B:B,C210-1)),IF(ISBLANK(INDEX('register map'!B:B,C210-2)),IF(ISBLANK(INDEX('register map'!B:B,C210-3)),IF(ISBLANK(INDEX('register map'!B:B,C210-4)),IF(ISBLANK(INDEX('register map'!B:B,C210-5)),IF(ISBLANK(INDEX('register map'!B:B,C210-6)),IF(ISBLANK(INDEX('register map'!B:B,C210-7)),IF(ISBLANK(INDEX('register map'!B:B,C210-8)),"ERROR",INDEX('register map'!B:B,C210-8)),INDEX('register map'!B:B,C210-7)),INDEX('register map'!B:B,C210-6)),INDEX('register map'!B:B,C210-5)),INDEX('register map'!B:B,C210-4)),INDEX('register map'!B:B,C210-3)),INDEX('register map'!B:B,C210-2)),INDEX('register map'!B:B,C210-1)),INDEX('register map'!B:B,C210))</f>
        <v>0xA7</v>
      </c>
      <c r="G210" s="117" t="str">
        <f>CONCATENATE(IF(ISNUMBER(INDEX('register map'!D:D,C210)),7,""),IF(ISNUMBER(INDEX('register map'!E:E,C210)),6,""),IF(ISNUMBER(INDEX('register map'!F:F,C210)),5,""),IF(ISNUMBER(INDEX('register map'!G:G,C210)),4,""),IF(ISNUMBER(INDEX('register map'!H:H,C210)),3,""),IF(ISNUMBER(INDEX('register map'!I:I,C210)),2,""),IF(ISNUMBER(INDEX('register map'!J:J,C210)),1,""),IF(ISNUMBER(INDEX('register map'!K:K,C210)),0,""))</f>
        <v/>
      </c>
      <c r="H210" s="117" t="str">
        <f>RIGHT(INDEX('register map'!V:V,MATCH('Logical Group Generator'!B210,'register map'!L:L,0)),LEN(G210))</f>
        <v/>
      </c>
      <c r="I210" s="117" t="str">
        <f>CONCATENATE(IF(ISNUMBER(INDEX('register map'!K:K,C210)),0,""),IF(ISNUMBER(INDEX('register map'!J:J,C210)),1,""),IF(ISNUMBER(INDEX('register map'!I:I,C210)),2,""),IF(ISNUMBER(INDEX('register map'!H:H,C210)),3,""),IF(ISNUMBER(INDEX('register map'!G:G,C210)),4,""),IF(ISNUMBER(INDEX('register map'!F:F,C210)),5,""),IF(ISNUMBER(INDEX('register map'!E:E,C210)),6,""),IF(ISNUMBER(INDEX('register map'!D:D,C210)),7,""))</f>
        <v/>
      </c>
      <c r="J210" s="117" t="str">
        <f t="shared" si="40"/>
        <v/>
      </c>
      <c r="K210" s="117" t="str">
        <f t="shared" si="33"/>
        <v>11111111</v>
      </c>
      <c r="L210" s="117" t="str">
        <f t="shared" si="41"/>
        <v>11111111</v>
      </c>
      <c r="M210" s="117" t="str">
        <f t="shared" si="43"/>
        <v>FF</v>
      </c>
      <c r="N210" s="117" t="str">
        <f>IF(ISBLANK(INDEX('register map'!M:M,'Logical Group Generator'!C210)),"No","Yes")</f>
        <v>No</v>
      </c>
      <c r="O210" s="117" t="str">
        <f>IF(NOT(ISBLANK(INDEX('register map'!N:N,'Logical Group Generator'!C210))),"Yes","")</f>
        <v/>
      </c>
      <c r="P210" s="117" t="str">
        <f t="shared" si="34"/>
        <v>No</v>
      </c>
      <c r="Q210" s="117" t="str">
        <f t="shared" si="35"/>
        <v>No</v>
      </c>
      <c r="R210" s="117" t="str">
        <f t="shared" si="36"/>
        <v>No</v>
      </c>
      <c r="S210" s="117" t="str">
        <f t="shared" si="37"/>
        <v/>
      </c>
      <c r="T210" s="117" t="b">
        <f t="shared" si="38"/>
        <v>1</v>
      </c>
      <c r="U210" s="117" t="b">
        <f t="shared" si="42"/>
        <v>1</v>
      </c>
      <c r="V210" s="157" t="b">
        <f>INDEX('register map'!P:P,C210)="yes"</f>
        <v>1</v>
      </c>
      <c r="W210" s="157" t="str">
        <f t="shared" si="39"/>
        <v>REGISTER</v>
      </c>
    </row>
    <row r="211" spans="2:23">
      <c r="B211" s="157" t="str">
        <f t="array" ref="B211">IF(ROWS($3:211)&lt;=COUNTA('register map'!$L$5:$L$902),INDEX('register map'!$L$5:$L$902,SMALL(IF('register map'!$L$5:$L$902&lt;&gt;"",ROW('register map'!$L$5:$L$902)-MIN(ROW('register map'!$L$5:$L$902))+1),ROWS($3:211))),"")</f>
        <v>LDOA3_GPO4_MSK</v>
      </c>
      <c r="C211" s="157">
        <f>IF(B211="PART_NUMBER",IF(COUNTIF($B$1:B210,"PART_NUMBER")=0,6,8),MATCH(B211,'register map'!L:L,0))</f>
        <v>224</v>
      </c>
      <c r="D211" s="117" t="str">
        <f>IF(ISBLANK(INDEX('register map'!C:C,'Logical Group Generator'!C211)),"No","Yes")</f>
        <v>No</v>
      </c>
      <c r="E211" s="117" t="str">
        <f>IF(ISBLANK(INDEX('register map'!A:A,C211)),IF(ISBLANK(INDEX('register map'!A:A,C211-1)),IF(ISBLANK(INDEX('register map'!A:A,C211-2)),IF(ISBLANK(INDEX('register map'!A:A,C211-3)),IF(ISBLANK(INDEX('register map'!A:A,C211-4)),IF(ISBLANK(INDEX('register map'!A:A,C211-5)),IF(ISBLANK(INDEX('register map'!A:A,C211-6)),IF(ISBLANK(INDEX('register map'!A:A,C211-7)),IF(ISBLANK(INDEX('register map'!A:A,C211-8)),"ERROR",INDEX('register map'!A:A,C211-8)),INDEX('register map'!A:A,C211-7)),INDEX('register map'!A:A,C211-6)),INDEX('register map'!A:A,C211-5)),INDEX('register map'!A:A,C211-4)),INDEX('register map'!A:A,C211-3)),INDEX('register map'!A:A,C211-2)),INDEX('register map'!A:A,C211-1)),INDEX('register map'!A:A,C211))</f>
        <v>0x5E</v>
      </c>
      <c r="F211" s="117" t="str">
        <f>IF(ISBLANK(INDEX('register map'!B:B,C211)),IF(ISBLANK(INDEX('register map'!B:B,C211-1)),IF(ISBLANK(INDEX('register map'!B:B,C211-2)),IF(ISBLANK(INDEX('register map'!B:B,C211-3)),IF(ISBLANK(INDEX('register map'!B:B,C211-4)),IF(ISBLANK(INDEX('register map'!B:B,C211-5)),IF(ISBLANK(INDEX('register map'!B:B,C211-6)),IF(ISBLANK(INDEX('register map'!B:B,C211-7)),IF(ISBLANK(INDEX('register map'!B:B,C211-8)),"ERROR",INDEX('register map'!B:B,C211-8)),INDEX('register map'!B:B,C211-7)),INDEX('register map'!B:B,C211-6)),INDEX('register map'!B:B,C211-5)),INDEX('register map'!B:B,C211-4)),INDEX('register map'!B:B,C211-3)),INDEX('register map'!B:B,C211-2)),INDEX('register map'!B:B,C211-1)),INDEX('register map'!B:B,C211))</f>
        <v>0xA7</v>
      </c>
      <c r="G211" s="117" t="str">
        <f>CONCATENATE(IF(ISNUMBER(INDEX('register map'!D:D,C211)),7,""),IF(ISNUMBER(INDEX('register map'!E:E,C211)),6,""),IF(ISNUMBER(INDEX('register map'!F:F,C211)),5,""),IF(ISNUMBER(INDEX('register map'!G:G,C211)),4,""),IF(ISNUMBER(INDEX('register map'!H:H,C211)),3,""),IF(ISNUMBER(INDEX('register map'!I:I,C211)),2,""),IF(ISNUMBER(INDEX('register map'!J:J,C211)),1,""),IF(ISNUMBER(INDEX('register map'!K:K,C211)),0,""))</f>
        <v>0</v>
      </c>
      <c r="H211" s="117" t="str">
        <f>RIGHT(INDEX('register map'!V:V,MATCH('Logical Group Generator'!B211,'register map'!L:L,0)),LEN(G211))</f>
        <v>1</v>
      </c>
      <c r="I211" s="117" t="str">
        <f>CONCATENATE(IF(ISNUMBER(INDEX('register map'!K:K,C211)),0,""),IF(ISNUMBER(INDEX('register map'!J:J,C211)),1,""),IF(ISNUMBER(INDEX('register map'!I:I,C211)),2,""),IF(ISNUMBER(INDEX('register map'!H:H,C211)),3,""),IF(ISNUMBER(INDEX('register map'!G:G,C211)),4,""),IF(ISNUMBER(INDEX('register map'!F:F,C211)),5,""),IF(ISNUMBER(INDEX('register map'!E:E,C211)),6,""),IF(ISNUMBER(INDEX('register map'!D:D,C211)),7,""))</f>
        <v>0</v>
      </c>
      <c r="J211" s="117" t="str">
        <f t="shared" si="40"/>
        <v>1</v>
      </c>
      <c r="K211" s="117" t="str">
        <f t="shared" si="33"/>
        <v/>
      </c>
      <c r="L211" s="117" t="str">
        <f t="shared" si="41"/>
        <v/>
      </c>
      <c r="M211" s="117" t="str">
        <f t="shared" si="43"/>
        <v/>
      </c>
      <c r="N211" s="117" t="str">
        <f>IF(ISBLANK(INDEX('register map'!M:M,'Logical Group Generator'!C211)),"No","Yes")</f>
        <v>No</v>
      </c>
      <c r="O211" s="117" t="str">
        <f>IF(NOT(ISBLANK(INDEX('register map'!N:N,'Logical Group Generator'!C211))),"Yes","")</f>
        <v/>
      </c>
      <c r="P211" s="117" t="str">
        <f t="shared" si="34"/>
        <v/>
      </c>
      <c r="Q211" s="117" t="str">
        <f t="shared" si="35"/>
        <v/>
      </c>
      <c r="R211" s="117" t="str">
        <f t="shared" si="36"/>
        <v/>
      </c>
      <c r="S211" s="117" t="str">
        <f t="shared" si="37"/>
        <v>No</v>
      </c>
      <c r="T211" s="117" t="str">
        <f t="shared" si="38"/>
        <v/>
      </c>
      <c r="U211" s="117" t="b">
        <f t="shared" si="42"/>
        <v>0</v>
      </c>
      <c r="V211" s="157" t="b">
        <f>INDEX('register map'!P:P,C211)="yes"</f>
        <v>1</v>
      </c>
      <c r="W211" s="157" t="str">
        <f t="shared" si="39"/>
        <v>FALSE</v>
      </c>
    </row>
    <row r="212" spans="2:23">
      <c r="B212" s="157" t="str">
        <f t="array" ref="B212">IF(ROWS($3:212)&lt;=COUNTA('register map'!$L$5:$L$902),INDEX('register map'!$L$5:$L$902,SMALL(IF('register map'!$L$5:$L$902&lt;&gt;"",ROW('register map'!$L$5:$L$902)-MIN(ROW('register map'!$L$5:$L$902))+1),ROWS($3:212))),"")</f>
        <v>SWB1_GPO4_MSK</v>
      </c>
      <c r="C212" s="157">
        <f>IF(B212="PART_NUMBER",IF(COUNTIF($B$1:B211,"PART_NUMBER")=0,6,8),MATCH(B212,'register map'!L:L,0))</f>
        <v>225</v>
      </c>
      <c r="D212" s="117" t="str">
        <f>IF(ISBLANK(INDEX('register map'!C:C,'Logical Group Generator'!C212)),"No","Yes")</f>
        <v>No</v>
      </c>
      <c r="E212" s="117" t="str">
        <f>IF(ISBLANK(INDEX('register map'!A:A,C212)),IF(ISBLANK(INDEX('register map'!A:A,C212-1)),IF(ISBLANK(INDEX('register map'!A:A,C212-2)),IF(ISBLANK(INDEX('register map'!A:A,C212-3)),IF(ISBLANK(INDEX('register map'!A:A,C212-4)),IF(ISBLANK(INDEX('register map'!A:A,C212-5)),IF(ISBLANK(INDEX('register map'!A:A,C212-6)),IF(ISBLANK(INDEX('register map'!A:A,C212-7)),IF(ISBLANK(INDEX('register map'!A:A,C212-8)),"ERROR",INDEX('register map'!A:A,C212-8)),INDEX('register map'!A:A,C212-7)),INDEX('register map'!A:A,C212-6)),INDEX('register map'!A:A,C212-5)),INDEX('register map'!A:A,C212-4)),INDEX('register map'!A:A,C212-3)),INDEX('register map'!A:A,C212-2)),INDEX('register map'!A:A,C212-1)),INDEX('register map'!A:A,C212))</f>
        <v>0x5E</v>
      </c>
      <c r="F212" s="117" t="str">
        <f>IF(ISBLANK(INDEX('register map'!B:B,C212)),IF(ISBLANK(INDEX('register map'!B:B,C212-1)),IF(ISBLANK(INDEX('register map'!B:B,C212-2)),IF(ISBLANK(INDEX('register map'!B:B,C212-3)),IF(ISBLANK(INDEX('register map'!B:B,C212-4)),IF(ISBLANK(INDEX('register map'!B:B,C212-5)),IF(ISBLANK(INDEX('register map'!B:B,C212-6)),IF(ISBLANK(INDEX('register map'!B:B,C212-7)),IF(ISBLANK(INDEX('register map'!B:B,C212-8)),"ERROR",INDEX('register map'!B:B,C212-8)),INDEX('register map'!B:B,C212-7)),INDEX('register map'!B:B,C212-6)),INDEX('register map'!B:B,C212-5)),INDEX('register map'!B:B,C212-4)),INDEX('register map'!B:B,C212-3)),INDEX('register map'!B:B,C212-2)),INDEX('register map'!B:B,C212-1)),INDEX('register map'!B:B,C212))</f>
        <v>0xA7</v>
      </c>
      <c r="G212" s="117" t="str">
        <f>CONCATENATE(IF(ISNUMBER(INDEX('register map'!D:D,C212)),7,""),IF(ISNUMBER(INDEX('register map'!E:E,C212)),6,""),IF(ISNUMBER(INDEX('register map'!F:F,C212)),5,""),IF(ISNUMBER(INDEX('register map'!G:G,C212)),4,""),IF(ISNUMBER(INDEX('register map'!H:H,C212)),3,""),IF(ISNUMBER(INDEX('register map'!I:I,C212)),2,""),IF(ISNUMBER(INDEX('register map'!J:J,C212)),1,""),IF(ISNUMBER(INDEX('register map'!K:K,C212)),0,""))</f>
        <v>1</v>
      </c>
      <c r="H212" s="117" t="str">
        <f>RIGHT(INDEX('register map'!V:V,MATCH('Logical Group Generator'!B212,'register map'!L:L,0)),LEN(G212))</f>
        <v>1</v>
      </c>
      <c r="I212" s="117" t="str">
        <f>CONCATENATE(IF(ISNUMBER(INDEX('register map'!K:K,C212)),0,""),IF(ISNUMBER(INDEX('register map'!J:J,C212)),1,""),IF(ISNUMBER(INDEX('register map'!I:I,C212)),2,""),IF(ISNUMBER(INDEX('register map'!H:H,C212)),3,""),IF(ISNUMBER(INDEX('register map'!G:G,C212)),4,""),IF(ISNUMBER(INDEX('register map'!F:F,C212)),5,""),IF(ISNUMBER(INDEX('register map'!E:E,C212)),6,""),IF(ISNUMBER(INDEX('register map'!D:D,C212)),7,""))</f>
        <v>1</v>
      </c>
      <c r="J212" s="117" t="str">
        <f t="shared" si="40"/>
        <v>1</v>
      </c>
      <c r="K212" s="117" t="str">
        <f t="shared" si="33"/>
        <v/>
      </c>
      <c r="L212" s="117" t="str">
        <f t="shared" si="41"/>
        <v/>
      </c>
      <c r="M212" s="117" t="str">
        <f t="shared" si="43"/>
        <v/>
      </c>
      <c r="N212" s="117" t="str">
        <f>IF(ISBLANK(INDEX('register map'!M:M,'Logical Group Generator'!C212)),"No","Yes")</f>
        <v>No</v>
      </c>
      <c r="O212" s="117" t="str">
        <f>IF(NOT(ISBLANK(INDEX('register map'!N:N,'Logical Group Generator'!C212))),"Yes","")</f>
        <v/>
      </c>
      <c r="P212" s="117" t="str">
        <f t="shared" si="34"/>
        <v/>
      </c>
      <c r="Q212" s="117" t="str">
        <f t="shared" si="35"/>
        <v/>
      </c>
      <c r="R212" s="117" t="str">
        <f t="shared" si="36"/>
        <v/>
      </c>
      <c r="S212" s="117" t="str">
        <f t="shared" si="37"/>
        <v>No</v>
      </c>
      <c r="T212" s="117" t="str">
        <f t="shared" si="38"/>
        <v/>
      </c>
      <c r="U212" s="117" t="b">
        <f t="shared" si="42"/>
        <v>0</v>
      </c>
      <c r="V212" s="157" t="b">
        <f>INDEX('register map'!P:P,C212)="yes"</f>
        <v>1</v>
      </c>
      <c r="W212" s="157" t="str">
        <f t="shared" si="39"/>
        <v>FALSE</v>
      </c>
    </row>
    <row r="213" spans="2:23">
      <c r="B213" s="157" t="str">
        <f t="array" ref="B213">IF(ROWS($3:213)&lt;=COUNTA('register map'!$L$5:$L$902),INDEX('register map'!$L$5:$L$902,SMALL(IF('register map'!$L$5:$L$902&lt;&gt;"",ROW('register map'!$L$5:$L$902)-MIN(ROW('register map'!$L$5:$L$902))+1),ROWS($3:213))),"")</f>
        <v>SWB2_LDOA1_GPO4_MSK</v>
      </c>
      <c r="C213" s="157">
        <f>IF(B213="PART_NUMBER",IF(COUNTIF($B$1:B212,"PART_NUMBER")=0,6,8),MATCH(B213,'register map'!L:L,0))</f>
        <v>226</v>
      </c>
      <c r="D213" s="117" t="str">
        <f>IF(ISBLANK(INDEX('register map'!C:C,'Logical Group Generator'!C213)),"No","Yes")</f>
        <v>No</v>
      </c>
      <c r="E213" s="117" t="str">
        <f>IF(ISBLANK(INDEX('register map'!A:A,C213)),IF(ISBLANK(INDEX('register map'!A:A,C213-1)),IF(ISBLANK(INDEX('register map'!A:A,C213-2)),IF(ISBLANK(INDEX('register map'!A:A,C213-3)),IF(ISBLANK(INDEX('register map'!A:A,C213-4)),IF(ISBLANK(INDEX('register map'!A:A,C213-5)),IF(ISBLANK(INDEX('register map'!A:A,C213-6)),IF(ISBLANK(INDEX('register map'!A:A,C213-7)),IF(ISBLANK(INDEX('register map'!A:A,C213-8)),"ERROR",INDEX('register map'!A:A,C213-8)),INDEX('register map'!A:A,C213-7)),INDEX('register map'!A:A,C213-6)),INDEX('register map'!A:A,C213-5)),INDEX('register map'!A:A,C213-4)),INDEX('register map'!A:A,C213-3)),INDEX('register map'!A:A,C213-2)),INDEX('register map'!A:A,C213-1)),INDEX('register map'!A:A,C213))</f>
        <v>0x5E</v>
      </c>
      <c r="F213" s="117" t="str">
        <f>IF(ISBLANK(INDEX('register map'!B:B,C213)),IF(ISBLANK(INDEX('register map'!B:B,C213-1)),IF(ISBLANK(INDEX('register map'!B:B,C213-2)),IF(ISBLANK(INDEX('register map'!B:B,C213-3)),IF(ISBLANK(INDEX('register map'!B:B,C213-4)),IF(ISBLANK(INDEX('register map'!B:B,C213-5)),IF(ISBLANK(INDEX('register map'!B:B,C213-6)),IF(ISBLANK(INDEX('register map'!B:B,C213-7)),IF(ISBLANK(INDEX('register map'!B:B,C213-8)),"ERROR",INDEX('register map'!B:B,C213-8)),INDEX('register map'!B:B,C213-7)),INDEX('register map'!B:B,C213-6)),INDEX('register map'!B:B,C213-5)),INDEX('register map'!B:B,C213-4)),INDEX('register map'!B:B,C213-3)),INDEX('register map'!B:B,C213-2)),INDEX('register map'!B:B,C213-1)),INDEX('register map'!B:B,C213))</f>
        <v>0xA7</v>
      </c>
      <c r="G213" s="117" t="str">
        <f>CONCATENATE(IF(ISNUMBER(INDEX('register map'!D:D,C213)),7,""),IF(ISNUMBER(INDEX('register map'!E:E,C213)),6,""),IF(ISNUMBER(INDEX('register map'!F:F,C213)),5,""),IF(ISNUMBER(INDEX('register map'!G:G,C213)),4,""),IF(ISNUMBER(INDEX('register map'!H:H,C213)),3,""),IF(ISNUMBER(INDEX('register map'!I:I,C213)),2,""),IF(ISNUMBER(INDEX('register map'!J:J,C213)),1,""),IF(ISNUMBER(INDEX('register map'!K:K,C213)),0,""))</f>
        <v>2</v>
      </c>
      <c r="H213" s="117" t="str">
        <f>RIGHT(INDEX('register map'!V:V,MATCH('Logical Group Generator'!B213,'register map'!L:L,0)),LEN(G213))</f>
        <v>1</v>
      </c>
      <c r="I213" s="117" t="str">
        <f>CONCATENATE(IF(ISNUMBER(INDEX('register map'!K:K,C213)),0,""),IF(ISNUMBER(INDEX('register map'!J:J,C213)),1,""),IF(ISNUMBER(INDEX('register map'!I:I,C213)),2,""),IF(ISNUMBER(INDEX('register map'!H:H,C213)),3,""),IF(ISNUMBER(INDEX('register map'!G:G,C213)),4,""),IF(ISNUMBER(INDEX('register map'!F:F,C213)),5,""),IF(ISNUMBER(INDEX('register map'!E:E,C213)),6,""),IF(ISNUMBER(INDEX('register map'!D:D,C213)),7,""))</f>
        <v>2</v>
      </c>
      <c r="J213" s="117" t="str">
        <f t="shared" si="40"/>
        <v>1</v>
      </c>
      <c r="K213" s="117" t="str">
        <f t="shared" si="33"/>
        <v/>
      </c>
      <c r="L213" s="117" t="str">
        <f t="shared" si="41"/>
        <v/>
      </c>
      <c r="M213" s="117" t="str">
        <f t="shared" si="43"/>
        <v/>
      </c>
      <c r="N213" s="117" t="str">
        <f>IF(ISBLANK(INDEX('register map'!M:M,'Logical Group Generator'!C213)),"No","Yes")</f>
        <v>No</v>
      </c>
      <c r="O213" s="117" t="str">
        <f>IF(NOT(ISBLANK(INDEX('register map'!N:N,'Logical Group Generator'!C213))),"Yes","")</f>
        <v/>
      </c>
      <c r="P213" s="117" t="str">
        <f t="shared" si="34"/>
        <v/>
      </c>
      <c r="Q213" s="117" t="str">
        <f t="shared" si="35"/>
        <v/>
      </c>
      <c r="R213" s="117" t="str">
        <f t="shared" si="36"/>
        <v/>
      </c>
      <c r="S213" s="117" t="str">
        <f t="shared" si="37"/>
        <v>No</v>
      </c>
      <c r="T213" s="117" t="str">
        <f t="shared" si="38"/>
        <v/>
      </c>
      <c r="U213" s="117" t="b">
        <f t="shared" si="42"/>
        <v>0</v>
      </c>
      <c r="V213" s="157" t="b">
        <f>INDEX('register map'!P:P,C213)="yes"</f>
        <v>1</v>
      </c>
      <c r="W213" s="157" t="str">
        <f t="shared" si="39"/>
        <v>FALSE</v>
      </c>
    </row>
    <row r="214" spans="2:23">
      <c r="B214" s="157" t="str">
        <f t="array" ref="B214">IF(ROWS($3:214)&lt;=COUNTA('register map'!$L$5:$L$902),INDEX('register map'!$L$5:$L$902,SMALL(IF('register map'!$L$5:$L$902&lt;&gt;"",ROW('register map'!$L$5:$L$902)-MIN(ROW('register map'!$L$5:$L$902))+1),ROWS($3:214))),"")</f>
        <v>VTT_GPO4_MSK</v>
      </c>
      <c r="C214" s="157">
        <f>IF(B214="PART_NUMBER",IF(COUNTIF($B$1:B213,"PART_NUMBER")=0,6,8),MATCH(B214,'register map'!L:L,0))</f>
        <v>227</v>
      </c>
      <c r="D214" s="117" t="str">
        <f>IF(ISBLANK(INDEX('register map'!C:C,'Logical Group Generator'!C214)),"No","Yes")</f>
        <v>No</v>
      </c>
      <c r="E214" s="117" t="str">
        <f>IF(ISBLANK(INDEX('register map'!A:A,C214)),IF(ISBLANK(INDEX('register map'!A:A,C214-1)),IF(ISBLANK(INDEX('register map'!A:A,C214-2)),IF(ISBLANK(INDEX('register map'!A:A,C214-3)),IF(ISBLANK(INDEX('register map'!A:A,C214-4)),IF(ISBLANK(INDEX('register map'!A:A,C214-5)),IF(ISBLANK(INDEX('register map'!A:A,C214-6)),IF(ISBLANK(INDEX('register map'!A:A,C214-7)),IF(ISBLANK(INDEX('register map'!A:A,C214-8)),"ERROR",INDEX('register map'!A:A,C214-8)),INDEX('register map'!A:A,C214-7)),INDEX('register map'!A:A,C214-6)),INDEX('register map'!A:A,C214-5)),INDEX('register map'!A:A,C214-4)),INDEX('register map'!A:A,C214-3)),INDEX('register map'!A:A,C214-2)),INDEX('register map'!A:A,C214-1)),INDEX('register map'!A:A,C214))</f>
        <v>0x5E</v>
      </c>
      <c r="F214" s="117" t="str">
        <f>IF(ISBLANK(INDEX('register map'!B:B,C214)),IF(ISBLANK(INDEX('register map'!B:B,C214-1)),IF(ISBLANK(INDEX('register map'!B:B,C214-2)),IF(ISBLANK(INDEX('register map'!B:B,C214-3)),IF(ISBLANK(INDEX('register map'!B:B,C214-4)),IF(ISBLANK(INDEX('register map'!B:B,C214-5)),IF(ISBLANK(INDEX('register map'!B:B,C214-6)),IF(ISBLANK(INDEX('register map'!B:B,C214-7)),IF(ISBLANK(INDEX('register map'!B:B,C214-8)),"ERROR",INDEX('register map'!B:B,C214-8)),INDEX('register map'!B:B,C214-7)),INDEX('register map'!B:B,C214-6)),INDEX('register map'!B:B,C214-5)),INDEX('register map'!B:B,C214-4)),INDEX('register map'!B:B,C214-3)),INDEX('register map'!B:B,C214-2)),INDEX('register map'!B:B,C214-1)),INDEX('register map'!B:B,C214))</f>
        <v>0xA7</v>
      </c>
      <c r="G214" s="117" t="str">
        <f>CONCATENATE(IF(ISNUMBER(INDEX('register map'!D:D,C214)),7,""),IF(ISNUMBER(INDEX('register map'!E:E,C214)),6,""),IF(ISNUMBER(INDEX('register map'!F:F,C214)),5,""),IF(ISNUMBER(INDEX('register map'!G:G,C214)),4,""),IF(ISNUMBER(INDEX('register map'!H:H,C214)),3,""),IF(ISNUMBER(INDEX('register map'!I:I,C214)),2,""),IF(ISNUMBER(INDEX('register map'!J:J,C214)),1,""),IF(ISNUMBER(INDEX('register map'!K:K,C214)),0,""))</f>
        <v>3</v>
      </c>
      <c r="H214" s="117" t="str">
        <f>RIGHT(INDEX('register map'!V:V,MATCH('Logical Group Generator'!B214,'register map'!L:L,0)),LEN(G214))</f>
        <v>1</v>
      </c>
      <c r="I214" s="117" t="str">
        <f>CONCATENATE(IF(ISNUMBER(INDEX('register map'!K:K,C214)),0,""),IF(ISNUMBER(INDEX('register map'!J:J,C214)),1,""),IF(ISNUMBER(INDEX('register map'!I:I,C214)),2,""),IF(ISNUMBER(INDEX('register map'!H:H,C214)),3,""),IF(ISNUMBER(INDEX('register map'!G:G,C214)),4,""),IF(ISNUMBER(INDEX('register map'!F:F,C214)),5,""),IF(ISNUMBER(INDEX('register map'!E:E,C214)),6,""),IF(ISNUMBER(INDEX('register map'!D:D,C214)),7,""))</f>
        <v>3</v>
      </c>
      <c r="J214" s="117" t="str">
        <f t="shared" si="40"/>
        <v>1</v>
      </c>
      <c r="K214" s="117" t="str">
        <f t="shared" si="33"/>
        <v/>
      </c>
      <c r="L214" s="117" t="str">
        <f t="shared" si="41"/>
        <v/>
      </c>
      <c r="M214" s="117" t="str">
        <f t="shared" si="43"/>
        <v/>
      </c>
      <c r="N214" s="117" t="str">
        <f>IF(ISBLANK(INDEX('register map'!M:M,'Logical Group Generator'!C214)),"No","Yes")</f>
        <v>No</v>
      </c>
      <c r="O214" s="117" t="str">
        <f>IF(NOT(ISBLANK(INDEX('register map'!N:N,'Logical Group Generator'!C214))),"Yes","")</f>
        <v/>
      </c>
      <c r="P214" s="117" t="str">
        <f t="shared" si="34"/>
        <v/>
      </c>
      <c r="Q214" s="117" t="str">
        <f t="shared" si="35"/>
        <v/>
      </c>
      <c r="R214" s="117" t="str">
        <f t="shared" si="36"/>
        <v/>
      </c>
      <c r="S214" s="117" t="str">
        <f t="shared" si="37"/>
        <v>No</v>
      </c>
      <c r="T214" s="117" t="str">
        <f t="shared" si="38"/>
        <v/>
      </c>
      <c r="U214" s="117" t="b">
        <f t="shared" si="42"/>
        <v>0</v>
      </c>
      <c r="V214" s="157" t="b">
        <f>INDEX('register map'!P:P,C214)="yes"</f>
        <v>1</v>
      </c>
      <c r="W214" s="157" t="str">
        <f t="shared" si="39"/>
        <v>FALSE</v>
      </c>
    </row>
    <row r="215" spans="2:23">
      <c r="B215" s="157" t="str">
        <f t="array" ref="B215">IF(ROWS($3:215)&lt;=COUNTA('register map'!$L$5:$L$902),INDEX('register map'!$L$5:$L$902,SMALL(IF('register map'!$L$5:$L$902&lt;&gt;"",ROW('register map'!$L$5:$L$902)-MIN(ROW('register map'!$L$5:$L$902))+1),ROWS($3:215))),"")</f>
        <v>CTL1_GPO4_MSK</v>
      </c>
      <c r="C215" s="157">
        <f>IF(B215="PART_NUMBER",IF(COUNTIF($B$1:B214,"PART_NUMBER")=0,6,8),MATCH(B215,'register map'!L:L,0))</f>
        <v>228</v>
      </c>
      <c r="D215" s="117" t="str">
        <f>IF(ISBLANK(INDEX('register map'!C:C,'Logical Group Generator'!C215)),"No","Yes")</f>
        <v>No</v>
      </c>
      <c r="E215" s="117" t="str">
        <f>IF(ISBLANK(INDEX('register map'!A:A,C215)),IF(ISBLANK(INDEX('register map'!A:A,C215-1)),IF(ISBLANK(INDEX('register map'!A:A,C215-2)),IF(ISBLANK(INDEX('register map'!A:A,C215-3)),IF(ISBLANK(INDEX('register map'!A:A,C215-4)),IF(ISBLANK(INDEX('register map'!A:A,C215-5)),IF(ISBLANK(INDEX('register map'!A:A,C215-6)),IF(ISBLANK(INDEX('register map'!A:A,C215-7)),IF(ISBLANK(INDEX('register map'!A:A,C215-8)),"ERROR",INDEX('register map'!A:A,C215-8)),INDEX('register map'!A:A,C215-7)),INDEX('register map'!A:A,C215-6)),INDEX('register map'!A:A,C215-5)),INDEX('register map'!A:A,C215-4)),INDEX('register map'!A:A,C215-3)),INDEX('register map'!A:A,C215-2)),INDEX('register map'!A:A,C215-1)),INDEX('register map'!A:A,C215))</f>
        <v>0x5E</v>
      </c>
      <c r="F215" s="117" t="str">
        <f>IF(ISBLANK(INDEX('register map'!B:B,C215)),IF(ISBLANK(INDEX('register map'!B:B,C215-1)),IF(ISBLANK(INDEX('register map'!B:B,C215-2)),IF(ISBLANK(INDEX('register map'!B:B,C215-3)),IF(ISBLANK(INDEX('register map'!B:B,C215-4)),IF(ISBLANK(INDEX('register map'!B:B,C215-5)),IF(ISBLANK(INDEX('register map'!B:B,C215-6)),IF(ISBLANK(INDEX('register map'!B:B,C215-7)),IF(ISBLANK(INDEX('register map'!B:B,C215-8)),"ERROR",INDEX('register map'!B:B,C215-8)),INDEX('register map'!B:B,C215-7)),INDEX('register map'!B:B,C215-6)),INDEX('register map'!B:B,C215-5)),INDEX('register map'!B:B,C215-4)),INDEX('register map'!B:B,C215-3)),INDEX('register map'!B:B,C215-2)),INDEX('register map'!B:B,C215-1)),INDEX('register map'!B:B,C215))</f>
        <v>0xA7</v>
      </c>
      <c r="G215" s="117" t="str">
        <f>CONCATENATE(IF(ISNUMBER(INDEX('register map'!D:D,C215)),7,""),IF(ISNUMBER(INDEX('register map'!E:E,C215)),6,""),IF(ISNUMBER(INDEX('register map'!F:F,C215)),5,""),IF(ISNUMBER(INDEX('register map'!G:G,C215)),4,""),IF(ISNUMBER(INDEX('register map'!H:H,C215)),3,""),IF(ISNUMBER(INDEX('register map'!I:I,C215)),2,""),IF(ISNUMBER(INDEX('register map'!J:J,C215)),1,""),IF(ISNUMBER(INDEX('register map'!K:K,C215)),0,""))</f>
        <v>4</v>
      </c>
      <c r="H215" s="117" t="str">
        <f>RIGHT(INDEX('register map'!V:V,MATCH('Logical Group Generator'!B215,'register map'!L:L,0)),LEN(G215))</f>
        <v>1</v>
      </c>
      <c r="I215" s="117" t="str">
        <f>CONCATENATE(IF(ISNUMBER(INDEX('register map'!K:K,C215)),0,""),IF(ISNUMBER(INDEX('register map'!J:J,C215)),1,""),IF(ISNUMBER(INDEX('register map'!I:I,C215)),2,""),IF(ISNUMBER(INDEX('register map'!H:H,C215)),3,""),IF(ISNUMBER(INDEX('register map'!G:G,C215)),4,""),IF(ISNUMBER(INDEX('register map'!F:F,C215)),5,""),IF(ISNUMBER(INDEX('register map'!E:E,C215)),6,""),IF(ISNUMBER(INDEX('register map'!D:D,C215)),7,""))</f>
        <v>4</v>
      </c>
      <c r="J215" s="117" t="str">
        <f t="shared" si="40"/>
        <v>1</v>
      </c>
      <c r="K215" s="117" t="str">
        <f t="shared" si="33"/>
        <v/>
      </c>
      <c r="L215" s="117" t="str">
        <f t="shared" si="41"/>
        <v/>
      </c>
      <c r="M215" s="117" t="str">
        <f t="shared" si="43"/>
        <v/>
      </c>
      <c r="N215" s="117" t="str">
        <f>IF(ISBLANK(INDEX('register map'!M:M,'Logical Group Generator'!C215)),"No","Yes")</f>
        <v>No</v>
      </c>
      <c r="O215" s="117" t="str">
        <f>IF(NOT(ISBLANK(INDEX('register map'!N:N,'Logical Group Generator'!C215))),"Yes","")</f>
        <v/>
      </c>
      <c r="P215" s="117" t="str">
        <f t="shared" si="34"/>
        <v/>
      </c>
      <c r="Q215" s="117" t="str">
        <f t="shared" si="35"/>
        <v/>
      </c>
      <c r="R215" s="117" t="str">
        <f t="shared" si="36"/>
        <v/>
      </c>
      <c r="S215" s="117" t="str">
        <f t="shared" si="37"/>
        <v>No</v>
      </c>
      <c r="T215" s="117" t="str">
        <f t="shared" si="38"/>
        <v/>
      </c>
      <c r="U215" s="117" t="b">
        <f t="shared" si="42"/>
        <v>0</v>
      </c>
      <c r="V215" s="157" t="b">
        <f>INDEX('register map'!P:P,C215)="yes"</f>
        <v>1</v>
      </c>
      <c r="W215" s="157" t="str">
        <f t="shared" si="39"/>
        <v>FALSE</v>
      </c>
    </row>
    <row r="216" spans="2:23">
      <c r="B216" s="157" t="str">
        <f t="array" ref="B216">IF(ROWS($3:216)&lt;=COUNTA('register map'!$L$5:$L$902),INDEX('register map'!$L$5:$L$902,SMALL(IF('register map'!$L$5:$L$902&lt;&gt;"",ROW('register map'!$L$5:$L$902)-MIN(ROW('register map'!$L$5:$L$902))+1),ROWS($3:216))),"")</f>
        <v>CTL2_GPO4_MSK</v>
      </c>
      <c r="C216" s="157">
        <f>IF(B216="PART_NUMBER",IF(COUNTIF($B$1:B215,"PART_NUMBER")=0,6,8),MATCH(B216,'register map'!L:L,0))</f>
        <v>229</v>
      </c>
      <c r="D216" s="117" t="str">
        <f>IF(ISBLANK(INDEX('register map'!C:C,'Logical Group Generator'!C216)),"No","Yes")</f>
        <v>No</v>
      </c>
      <c r="E216" s="117" t="str">
        <f>IF(ISBLANK(INDEX('register map'!A:A,C216)),IF(ISBLANK(INDEX('register map'!A:A,C216-1)),IF(ISBLANK(INDEX('register map'!A:A,C216-2)),IF(ISBLANK(INDEX('register map'!A:A,C216-3)),IF(ISBLANK(INDEX('register map'!A:A,C216-4)),IF(ISBLANK(INDEX('register map'!A:A,C216-5)),IF(ISBLANK(INDEX('register map'!A:A,C216-6)),IF(ISBLANK(INDEX('register map'!A:A,C216-7)),IF(ISBLANK(INDEX('register map'!A:A,C216-8)),"ERROR",INDEX('register map'!A:A,C216-8)),INDEX('register map'!A:A,C216-7)),INDEX('register map'!A:A,C216-6)),INDEX('register map'!A:A,C216-5)),INDEX('register map'!A:A,C216-4)),INDEX('register map'!A:A,C216-3)),INDEX('register map'!A:A,C216-2)),INDEX('register map'!A:A,C216-1)),INDEX('register map'!A:A,C216))</f>
        <v>0x5E</v>
      </c>
      <c r="F216" s="117" t="str">
        <f>IF(ISBLANK(INDEX('register map'!B:B,C216)),IF(ISBLANK(INDEX('register map'!B:B,C216-1)),IF(ISBLANK(INDEX('register map'!B:B,C216-2)),IF(ISBLANK(INDEX('register map'!B:B,C216-3)),IF(ISBLANK(INDEX('register map'!B:B,C216-4)),IF(ISBLANK(INDEX('register map'!B:B,C216-5)),IF(ISBLANK(INDEX('register map'!B:B,C216-6)),IF(ISBLANK(INDEX('register map'!B:B,C216-7)),IF(ISBLANK(INDEX('register map'!B:B,C216-8)),"ERROR",INDEX('register map'!B:B,C216-8)),INDEX('register map'!B:B,C216-7)),INDEX('register map'!B:B,C216-6)),INDEX('register map'!B:B,C216-5)),INDEX('register map'!B:B,C216-4)),INDEX('register map'!B:B,C216-3)),INDEX('register map'!B:B,C216-2)),INDEX('register map'!B:B,C216-1)),INDEX('register map'!B:B,C216))</f>
        <v>0xA7</v>
      </c>
      <c r="G216" s="117" t="str">
        <f>CONCATENATE(IF(ISNUMBER(INDEX('register map'!D:D,C216)),7,""),IF(ISNUMBER(INDEX('register map'!E:E,C216)),6,""),IF(ISNUMBER(INDEX('register map'!F:F,C216)),5,""),IF(ISNUMBER(INDEX('register map'!G:G,C216)),4,""),IF(ISNUMBER(INDEX('register map'!H:H,C216)),3,""),IF(ISNUMBER(INDEX('register map'!I:I,C216)),2,""),IF(ISNUMBER(INDEX('register map'!J:J,C216)),1,""),IF(ISNUMBER(INDEX('register map'!K:K,C216)),0,""))</f>
        <v>5</v>
      </c>
      <c r="H216" s="117" t="str">
        <f>RIGHT(INDEX('register map'!V:V,MATCH('Logical Group Generator'!B216,'register map'!L:L,0)),LEN(G216))</f>
        <v>1</v>
      </c>
      <c r="I216" s="117" t="str">
        <f>CONCATENATE(IF(ISNUMBER(INDEX('register map'!K:K,C216)),0,""),IF(ISNUMBER(INDEX('register map'!J:J,C216)),1,""),IF(ISNUMBER(INDEX('register map'!I:I,C216)),2,""),IF(ISNUMBER(INDEX('register map'!H:H,C216)),3,""),IF(ISNUMBER(INDEX('register map'!G:G,C216)),4,""),IF(ISNUMBER(INDEX('register map'!F:F,C216)),5,""),IF(ISNUMBER(INDEX('register map'!E:E,C216)),6,""),IF(ISNUMBER(INDEX('register map'!D:D,C216)),7,""))</f>
        <v>5</v>
      </c>
      <c r="J216" s="117" t="str">
        <f t="shared" si="40"/>
        <v>1</v>
      </c>
      <c r="K216" s="117" t="str">
        <f t="shared" si="33"/>
        <v/>
      </c>
      <c r="L216" s="117" t="str">
        <f t="shared" si="41"/>
        <v/>
      </c>
      <c r="M216" s="117" t="str">
        <f t="shared" si="43"/>
        <v/>
      </c>
      <c r="N216" s="117" t="str">
        <f>IF(ISBLANK(INDEX('register map'!M:M,'Logical Group Generator'!C216)),"No","Yes")</f>
        <v>No</v>
      </c>
      <c r="O216" s="117" t="str">
        <f>IF(NOT(ISBLANK(INDEX('register map'!N:N,'Logical Group Generator'!C216))),"Yes","")</f>
        <v/>
      </c>
      <c r="P216" s="117" t="str">
        <f t="shared" si="34"/>
        <v/>
      </c>
      <c r="Q216" s="117" t="str">
        <f t="shared" si="35"/>
        <v/>
      </c>
      <c r="R216" s="117" t="str">
        <f t="shared" si="36"/>
        <v/>
      </c>
      <c r="S216" s="117" t="str">
        <f t="shared" si="37"/>
        <v>No</v>
      </c>
      <c r="T216" s="117" t="str">
        <f t="shared" si="38"/>
        <v/>
      </c>
      <c r="U216" s="117" t="b">
        <f t="shared" si="42"/>
        <v>0</v>
      </c>
      <c r="V216" s="157" t="b">
        <f>INDEX('register map'!P:P,C216)="yes"</f>
        <v>1</v>
      </c>
      <c r="W216" s="157" t="str">
        <f t="shared" si="39"/>
        <v>FALSE</v>
      </c>
    </row>
    <row r="217" spans="2:23">
      <c r="B217" s="157" t="str">
        <f t="array" ref="B217">IF(ROWS($3:217)&lt;=COUNTA('register map'!$L$5:$L$902),INDEX('register map'!$L$5:$L$902,SMALL(IF('register map'!$L$5:$L$902&lt;&gt;"",ROW('register map'!$L$5:$L$902)-MIN(ROW('register map'!$L$5:$L$902))+1),ROWS($3:217))),"")</f>
        <v>CTL4_GPO4_MSK</v>
      </c>
      <c r="C217" s="157">
        <f>IF(B217="PART_NUMBER",IF(COUNTIF($B$1:B216,"PART_NUMBER")=0,6,8),MATCH(B217,'register map'!L:L,0))</f>
        <v>230</v>
      </c>
      <c r="D217" s="117" t="str">
        <f>IF(ISBLANK(INDEX('register map'!C:C,'Logical Group Generator'!C217)),"No","Yes")</f>
        <v>No</v>
      </c>
      <c r="E217" s="117" t="str">
        <f>IF(ISBLANK(INDEX('register map'!A:A,C217)),IF(ISBLANK(INDEX('register map'!A:A,C217-1)),IF(ISBLANK(INDEX('register map'!A:A,C217-2)),IF(ISBLANK(INDEX('register map'!A:A,C217-3)),IF(ISBLANK(INDEX('register map'!A:A,C217-4)),IF(ISBLANK(INDEX('register map'!A:A,C217-5)),IF(ISBLANK(INDEX('register map'!A:A,C217-6)),IF(ISBLANK(INDEX('register map'!A:A,C217-7)),IF(ISBLANK(INDEX('register map'!A:A,C217-8)),"ERROR",INDEX('register map'!A:A,C217-8)),INDEX('register map'!A:A,C217-7)),INDEX('register map'!A:A,C217-6)),INDEX('register map'!A:A,C217-5)),INDEX('register map'!A:A,C217-4)),INDEX('register map'!A:A,C217-3)),INDEX('register map'!A:A,C217-2)),INDEX('register map'!A:A,C217-1)),INDEX('register map'!A:A,C217))</f>
        <v>0x5E</v>
      </c>
      <c r="F217" s="117" t="str">
        <f>IF(ISBLANK(INDEX('register map'!B:B,C217)),IF(ISBLANK(INDEX('register map'!B:B,C217-1)),IF(ISBLANK(INDEX('register map'!B:B,C217-2)),IF(ISBLANK(INDEX('register map'!B:B,C217-3)),IF(ISBLANK(INDEX('register map'!B:B,C217-4)),IF(ISBLANK(INDEX('register map'!B:B,C217-5)),IF(ISBLANK(INDEX('register map'!B:B,C217-6)),IF(ISBLANK(INDEX('register map'!B:B,C217-7)),IF(ISBLANK(INDEX('register map'!B:B,C217-8)),"ERROR",INDEX('register map'!B:B,C217-8)),INDEX('register map'!B:B,C217-7)),INDEX('register map'!B:B,C217-6)),INDEX('register map'!B:B,C217-5)),INDEX('register map'!B:B,C217-4)),INDEX('register map'!B:B,C217-3)),INDEX('register map'!B:B,C217-2)),INDEX('register map'!B:B,C217-1)),INDEX('register map'!B:B,C217))</f>
        <v>0xA7</v>
      </c>
      <c r="G217" s="117" t="str">
        <f>CONCATENATE(IF(ISNUMBER(INDEX('register map'!D:D,C217)),7,""),IF(ISNUMBER(INDEX('register map'!E:E,C217)),6,""),IF(ISNUMBER(INDEX('register map'!F:F,C217)),5,""),IF(ISNUMBER(INDEX('register map'!G:G,C217)),4,""),IF(ISNUMBER(INDEX('register map'!H:H,C217)),3,""),IF(ISNUMBER(INDEX('register map'!I:I,C217)),2,""),IF(ISNUMBER(INDEX('register map'!J:J,C217)),1,""),IF(ISNUMBER(INDEX('register map'!K:K,C217)),0,""))</f>
        <v>6</v>
      </c>
      <c r="H217" s="117" t="str">
        <f>RIGHT(INDEX('register map'!V:V,MATCH('Logical Group Generator'!B217,'register map'!L:L,0)),LEN(G217))</f>
        <v>1</v>
      </c>
      <c r="I217" s="117" t="str">
        <f>CONCATENATE(IF(ISNUMBER(INDEX('register map'!K:K,C217)),0,""),IF(ISNUMBER(INDEX('register map'!J:J,C217)),1,""),IF(ISNUMBER(INDEX('register map'!I:I,C217)),2,""),IF(ISNUMBER(INDEX('register map'!H:H,C217)),3,""),IF(ISNUMBER(INDEX('register map'!G:G,C217)),4,""),IF(ISNUMBER(INDEX('register map'!F:F,C217)),5,""),IF(ISNUMBER(INDEX('register map'!E:E,C217)),6,""),IF(ISNUMBER(INDEX('register map'!D:D,C217)),7,""))</f>
        <v>6</v>
      </c>
      <c r="J217" s="117" t="str">
        <f t="shared" si="40"/>
        <v>1</v>
      </c>
      <c r="K217" s="117" t="str">
        <f t="shared" si="33"/>
        <v/>
      </c>
      <c r="L217" s="117" t="str">
        <f t="shared" si="41"/>
        <v/>
      </c>
      <c r="M217" s="117" t="str">
        <f t="shared" si="43"/>
        <v/>
      </c>
      <c r="N217" s="117" t="str">
        <f>IF(ISBLANK(INDEX('register map'!M:M,'Logical Group Generator'!C217)),"No","Yes")</f>
        <v>No</v>
      </c>
      <c r="O217" s="117" t="str">
        <f>IF(NOT(ISBLANK(INDEX('register map'!N:N,'Logical Group Generator'!C217))),"Yes","")</f>
        <v/>
      </c>
      <c r="P217" s="117" t="str">
        <f t="shared" si="34"/>
        <v/>
      </c>
      <c r="Q217" s="117" t="str">
        <f t="shared" si="35"/>
        <v/>
      </c>
      <c r="R217" s="117" t="str">
        <f t="shared" si="36"/>
        <v/>
      </c>
      <c r="S217" s="117" t="str">
        <f t="shared" si="37"/>
        <v>No</v>
      </c>
      <c r="T217" s="117" t="str">
        <f t="shared" si="38"/>
        <v/>
      </c>
      <c r="U217" s="117" t="b">
        <f t="shared" si="42"/>
        <v>0</v>
      </c>
      <c r="V217" s="157" t="b">
        <f>INDEX('register map'!P:P,C217)="yes"</f>
        <v>1</v>
      </c>
      <c r="W217" s="157" t="str">
        <f t="shared" si="39"/>
        <v>FALSE</v>
      </c>
    </row>
    <row r="218" spans="2:23">
      <c r="B218" s="157" t="str">
        <f t="array" ref="B218">IF(ROWS($3:218)&lt;=COUNTA('register map'!$L$5:$L$902),INDEX('register map'!$L$5:$L$902,SMALL(IF('register map'!$L$5:$L$902&lt;&gt;"",ROW('register map'!$L$5:$L$902)-MIN(ROW('register map'!$L$5:$L$902))+1),ROWS($3:218))),"")</f>
        <v>CTL5_GPO4_MSK</v>
      </c>
      <c r="C218" s="157">
        <f>IF(B218="PART_NUMBER",IF(COUNTIF($B$1:B217,"PART_NUMBER")=0,6,8),MATCH(B218,'register map'!L:L,0))</f>
        <v>231</v>
      </c>
      <c r="D218" s="117" t="str">
        <f>IF(ISBLANK(INDEX('register map'!C:C,'Logical Group Generator'!C218)),"No","Yes")</f>
        <v>No</v>
      </c>
      <c r="E218" s="117" t="str">
        <f>IF(ISBLANK(INDEX('register map'!A:A,C218)),IF(ISBLANK(INDEX('register map'!A:A,C218-1)),IF(ISBLANK(INDEX('register map'!A:A,C218-2)),IF(ISBLANK(INDEX('register map'!A:A,C218-3)),IF(ISBLANK(INDEX('register map'!A:A,C218-4)),IF(ISBLANK(INDEX('register map'!A:A,C218-5)),IF(ISBLANK(INDEX('register map'!A:A,C218-6)),IF(ISBLANK(INDEX('register map'!A:A,C218-7)),IF(ISBLANK(INDEX('register map'!A:A,C218-8)),"ERROR",INDEX('register map'!A:A,C218-8)),INDEX('register map'!A:A,C218-7)),INDEX('register map'!A:A,C218-6)),INDEX('register map'!A:A,C218-5)),INDEX('register map'!A:A,C218-4)),INDEX('register map'!A:A,C218-3)),INDEX('register map'!A:A,C218-2)),INDEX('register map'!A:A,C218-1)),INDEX('register map'!A:A,C218))</f>
        <v>0x5E</v>
      </c>
      <c r="F218" s="117" t="str">
        <f>IF(ISBLANK(INDEX('register map'!B:B,C218)),IF(ISBLANK(INDEX('register map'!B:B,C218-1)),IF(ISBLANK(INDEX('register map'!B:B,C218-2)),IF(ISBLANK(INDEX('register map'!B:B,C218-3)),IF(ISBLANK(INDEX('register map'!B:B,C218-4)),IF(ISBLANK(INDEX('register map'!B:B,C218-5)),IF(ISBLANK(INDEX('register map'!B:B,C218-6)),IF(ISBLANK(INDEX('register map'!B:B,C218-7)),IF(ISBLANK(INDEX('register map'!B:B,C218-8)),"ERROR",INDEX('register map'!B:B,C218-8)),INDEX('register map'!B:B,C218-7)),INDEX('register map'!B:B,C218-6)),INDEX('register map'!B:B,C218-5)),INDEX('register map'!B:B,C218-4)),INDEX('register map'!B:B,C218-3)),INDEX('register map'!B:B,C218-2)),INDEX('register map'!B:B,C218-1)),INDEX('register map'!B:B,C218))</f>
        <v>0xA7</v>
      </c>
      <c r="G218" s="117" t="str">
        <f>CONCATENATE(IF(ISNUMBER(INDEX('register map'!D:D,C218)),7,""),IF(ISNUMBER(INDEX('register map'!E:E,C218)),6,""),IF(ISNUMBER(INDEX('register map'!F:F,C218)),5,""),IF(ISNUMBER(INDEX('register map'!G:G,C218)),4,""),IF(ISNUMBER(INDEX('register map'!H:H,C218)),3,""),IF(ISNUMBER(INDEX('register map'!I:I,C218)),2,""),IF(ISNUMBER(INDEX('register map'!J:J,C218)),1,""),IF(ISNUMBER(INDEX('register map'!K:K,C218)),0,""))</f>
        <v>7</v>
      </c>
      <c r="H218" s="117" t="str">
        <f>RIGHT(INDEX('register map'!V:V,MATCH('Logical Group Generator'!B218,'register map'!L:L,0)),LEN(G218))</f>
        <v>1</v>
      </c>
      <c r="I218" s="117" t="str">
        <f>CONCATENATE(IF(ISNUMBER(INDEX('register map'!K:K,C218)),0,""),IF(ISNUMBER(INDEX('register map'!J:J,C218)),1,""),IF(ISNUMBER(INDEX('register map'!I:I,C218)),2,""),IF(ISNUMBER(INDEX('register map'!H:H,C218)),3,""),IF(ISNUMBER(INDEX('register map'!G:G,C218)),4,""),IF(ISNUMBER(INDEX('register map'!F:F,C218)),5,""),IF(ISNUMBER(INDEX('register map'!E:E,C218)),6,""),IF(ISNUMBER(INDEX('register map'!D:D,C218)),7,""))</f>
        <v>7</v>
      </c>
      <c r="J218" s="117" t="str">
        <f t="shared" si="40"/>
        <v>1</v>
      </c>
      <c r="K218" s="117" t="str">
        <f t="shared" si="33"/>
        <v/>
      </c>
      <c r="L218" s="117" t="str">
        <f t="shared" si="41"/>
        <v/>
      </c>
      <c r="M218" s="117" t="str">
        <f t="shared" si="43"/>
        <v/>
      </c>
      <c r="N218" s="117" t="str">
        <f>IF(ISBLANK(INDEX('register map'!M:M,'Logical Group Generator'!C218)),"No","Yes")</f>
        <v>No</v>
      </c>
      <c r="O218" s="117" t="str">
        <f>IF(NOT(ISBLANK(INDEX('register map'!N:N,'Logical Group Generator'!C218))),"Yes","")</f>
        <v/>
      </c>
      <c r="P218" s="117" t="str">
        <f t="shared" si="34"/>
        <v/>
      </c>
      <c r="Q218" s="117" t="str">
        <f t="shared" si="35"/>
        <v/>
      </c>
      <c r="R218" s="117" t="str">
        <f t="shared" si="36"/>
        <v/>
      </c>
      <c r="S218" s="117" t="str">
        <f t="shared" si="37"/>
        <v>No</v>
      </c>
      <c r="T218" s="117" t="str">
        <f t="shared" si="38"/>
        <v/>
      </c>
      <c r="U218" s="117" t="b">
        <f t="shared" si="42"/>
        <v>0</v>
      </c>
      <c r="V218" s="157" t="b">
        <f>INDEX('register map'!P:P,C218)="yes"</f>
        <v>1</v>
      </c>
      <c r="W218" s="157" t="str">
        <f t="shared" si="39"/>
        <v>FALSE</v>
      </c>
    </row>
    <row r="219" spans="2:23">
      <c r="B219" s="157" t="str">
        <f t="array" ref="B219">IF(ROWS($3:219)&lt;=COUNTA('register map'!$L$5:$L$902),INDEX('register map'!$L$5:$L$902,SMALL(IF('register map'!$L$5:$L$902&lt;&gt;"",ROW('register map'!$L$5:$L$902)-MIN(ROW('register map'!$L$5:$L$902))+1),ROWS($3:219))),"")</f>
        <v>GPO2PG_CTRL1</v>
      </c>
      <c r="C219" s="157">
        <f>IF(B219="PART_NUMBER",IF(COUNTIF($B$1:B218,"PART_NUMBER")=0,6,8),MATCH(B219,'register map'!L:L,0))</f>
        <v>232</v>
      </c>
      <c r="D219" s="117" t="str">
        <f>IF(ISBLANK(INDEX('register map'!C:C,'Logical Group Generator'!C219)),"No","Yes")</f>
        <v>Yes</v>
      </c>
      <c r="E219" s="117" t="str">
        <f>IF(ISBLANK(INDEX('register map'!A:A,C219)),IF(ISBLANK(INDEX('register map'!A:A,C219-1)),IF(ISBLANK(INDEX('register map'!A:A,C219-2)),IF(ISBLANK(INDEX('register map'!A:A,C219-3)),IF(ISBLANK(INDEX('register map'!A:A,C219-4)),IF(ISBLANK(INDEX('register map'!A:A,C219-5)),IF(ISBLANK(INDEX('register map'!A:A,C219-6)),IF(ISBLANK(INDEX('register map'!A:A,C219-7)),IF(ISBLANK(INDEX('register map'!A:A,C219-8)),"ERROR",INDEX('register map'!A:A,C219-8)),INDEX('register map'!A:A,C219-7)),INDEX('register map'!A:A,C219-6)),INDEX('register map'!A:A,C219-5)),INDEX('register map'!A:A,C219-4)),INDEX('register map'!A:A,C219-3)),INDEX('register map'!A:A,C219-2)),INDEX('register map'!A:A,C219-1)),INDEX('register map'!A:A,C219))</f>
        <v>0x5E</v>
      </c>
      <c r="F219" s="117" t="str">
        <f>IF(ISBLANK(INDEX('register map'!B:B,C219)),IF(ISBLANK(INDEX('register map'!B:B,C219-1)),IF(ISBLANK(INDEX('register map'!B:B,C219-2)),IF(ISBLANK(INDEX('register map'!B:B,C219-3)),IF(ISBLANK(INDEX('register map'!B:B,C219-4)),IF(ISBLANK(INDEX('register map'!B:B,C219-5)),IF(ISBLANK(INDEX('register map'!B:B,C219-6)),IF(ISBLANK(INDEX('register map'!B:B,C219-7)),IF(ISBLANK(INDEX('register map'!B:B,C219-8)),"ERROR",INDEX('register map'!B:B,C219-8)),INDEX('register map'!B:B,C219-7)),INDEX('register map'!B:B,C219-6)),INDEX('register map'!B:B,C219-5)),INDEX('register map'!B:B,C219-4)),INDEX('register map'!B:B,C219-3)),INDEX('register map'!B:B,C219-2)),INDEX('register map'!B:B,C219-1)),INDEX('register map'!B:B,C219))</f>
        <v>0xA8</v>
      </c>
      <c r="G219" s="117" t="str">
        <f>CONCATENATE(IF(ISNUMBER(INDEX('register map'!D:D,C219)),7,""),IF(ISNUMBER(INDEX('register map'!E:E,C219)),6,""),IF(ISNUMBER(INDEX('register map'!F:F,C219)),5,""),IF(ISNUMBER(INDEX('register map'!G:G,C219)),4,""),IF(ISNUMBER(INDEX('register map'!H:H,C219)),3,""),IF(ISNUMBER(INDEX('register map'!I:I,C219)),2,""),IF(ISNUMBER(INDEX('register map'!J:J,C219)),1,""),IF(ISNUMBER(INDEX('register map'!K:K,C219)),0,""))</f>
        <v/>
      </c>
      <c r="H219" s="117" t="str">
        <f>RIGHT(INDEX('register map'!V:V,MATCH('Logical Group Generator'!B219,'register map'!L:L,0)),LEN(G219))</f>
        <v/>
      </c>
      <c r="I219" s="117" t="str">
        <f>CONCATENATE(IF(ISNUMBER(INDEX('register map'!K:K,C219)),0,""),IF(ISNUMBER(INDEX('register map'!J:J,C219)),1,""),IF(ISNUMBER(INDEX('register map'!I:I,C219)),2,""),IF(ISNUMBER(INDEX('register map'!H:H,C219)),3,""),IF(ISNUMBER(INDEX('register map'!G:G,C219)),4,""),IF(ISNUMBER(INDEX('register map'!F:F,C219)),5,""),IF(ISNUMBER(INDEX('register map'!E:E,C219)),6,""),IF(ISNUMBER(INDEX('register map'!D:D,C219)),7,""))</f>
        <v/>
      </c>
      <c r="J219" s="117" t="str">
        <f t="shared" si="40"/>
        <v/>
      </c>
      <c r="K219" s="117" t="str">
        <f t="shared" si="33"/>
        <v>11111111</v>
      </c>
      <c r="L219" s="117" t="str">
        <f t="shared" si="41"/>
        <v>11111111</v>
      </c>
      <c r="M219" s="117" t="str">
        <f t="shared" si="43"/>
        <v>FF</v>
      </c>
      <c r="N219" s="117" t="str">
        <f>IF(ISBLANK(INDEX('register map'!M:M,'Logical Group Generator'!C219)),"No","Yes")</f>
        <v>No</v>
      </c>
      <c r="O219" s="117" t="str">
        <f>IF(NOT(ISBLANK(INDEX('register map'!N:N,'Logical Group Generator'!C219))),"Yes","")</f>
        <v/>
      </c>
      <c r="P219" s="117" t="str">
        <f t="shared" si="34"/>
        <v>No</v>
      </c>
      <c r="Q219" s="117" t="str">
        <f t="shared" si="35"/>
        <v>No</v>
      </c>
      <c r="R219" s="117" t="str">
        <f t="shared" si="36"/>
        <v>No</v>
      </c>
      <c r="S219" s="117" t="str">
        <f t="shared" si="37"/>
        <v/>
      </c>
      <c r="T219" s="117" t="b">
        <f t="shared" si="38"/>
        <v>1</v>
      </c>
      <c r="U219" s="117" t="b">
        <f t="shared" si="42"/>
        <v>1</v>
      </c>
      <c r="V219" s="157" t="b">
        <f>INDEX('register map'!P:P,C219)="yes"</f>
        <v>1</v>
      </c>
      <c r="W219" s="157" t="str">
        <f t="shared" si="39"/>
        <v>REGISTER</v>
      </c>
    </row>
    <row r="220" spans="2:23">
      <c r="B220" s="157" t="str">
        <f t="array" ref="B220">IF(ROWS($3:220)&lt;=COUNTA('register map'!$L$5:$L$902),INDEX('register map'!$L$5:$L$902,SMALL(IF('register map'!$L$5:$L$902&lt;&gt;"",ROW('register map'!$L$5:$L$902)-MIN(ROW('register map'!$L$5:$L$902))+1),ROWS($3:220))),"")</f>
        <v>BUCK1_GPO2_MSK</v>
      </c>
      <c r="C220" s="157">
        <f>IF(B220="PART_NUMBER",IF(COUNTIF($B$1:B219,"PART_NUMBER")=0,6,8),MATCH(B220,'register map'!L:L,0))</f>
        <v>233</v>
      </c>
      <c r="D220" s="117" t="str">
        <f>IF(ISBLANK(INDEX('register map'!C:C,'Logical Group Generator'!C220)),"No","Yes")</f>
        <v>No</v>
      </c>
      <c r="E220" s="117" t="str">
        <f>IF(ISBLANK(INDEX('register map'!A:A,C220)),IF(ISBLANK(INDEX('register map'!A:A,C220-1)),IF(ISBLANK(INDEX('register map'!A:A,C220-2)),IF(ISBLANK(INDEX('register map'!A:A,C220-3)),IF(ISBLANK(INDEX('register map'!A:A,C220-4)),IF(ISBLANK(INDEX('register map'!A:A,C220-5)),IF(ISBLANK(INDEX('register map'!A:A,C220-6)),IF(ISBLANK(INDEX('register map'!A:A,C220-7)),IF(ISBLANK(INDEX('register map'!A:A,C220-8)),"ERROR",INDEX('register map'!A:A,C220-8)),INDEX('register map'!A:A,C220-7)),INDEX('register map'!A:A,C220-6)),INDEX('register map'!A:A,C220-5)),INDEX('register map'!A:A,C220-4)),INDEX('register map'!A:A,C220-3)),INDEX('register map'!A:A,C220-2)),INDEX('register map'!A:A,C220-1)),INDEX('register map'!A:A,C220))</f>
        <v>0x5E</v>
      </c>
      <c r="F220" s="117" t="str">
        <f>IF(ISBLANK(INDEX('register map'!B:B,C220)),IF(ISBLANK(INDEX('register map'!B:B,C220-1)),IF(ISBLANK(INDEX('register map'!B:B,C220-2)),IF(ISBLANK(INDEX('register map'!B:B,C220-3)),IF(ISBLANK(INDEX('register map'!B:B,C220-4)),IF(ISBLANK(INDEX('register map'!B:B,C220-5)),IF(ISBLANK(INDEX('register map'!B:B,C220-6)),IF(ISBLANK(INDEX('register map'!B:B,C220-7)),IF(ISBLANK(INDEX('register map'!B:B,C220-8)),"ERROR",INDEX('register map'!B:B,C220-8)),INDEX('register map'!B:B,C220-7)),INDEX('register map'!B:B,C220-6)),INDEX('register map'!B:B,C220-5)),INDEX('register map'!B:B,C220-4)),INDEX('register map'!B:B,C220-3)),INDEX('register map'!B:B,C220-2)),INDEX('register map'!B:B,C220-1)),INDEX('register map'!B:B,C220))</f>
        <v>0xA8</v>
      </c>
      <c r="G220" s="117" t="str">
        <f>CONCATENATE(IF(ISNUMBER(INDEX('register map'!D:D,C220)),7,""),IF(ISNUMBER(INDEX('register map'!E:E,C220)),6,""),IF(ISNUMBER(INDEX('register map'!F:F,C220)),5,""),IF(ISNUMBER(INDEX('register map'!G:G,C220)),4,""),IF(ISNUMBER(INDEX('register map'!H:H,C220)),3,""),IF(ISNUMBER(INDEX('register map'!I:I,C220)),2,""),IF(ISNUMBER(INDEX('register map'!J:J,C220)),1,""),IF(ISNUMBER(INDEX('register map'!K:K,C220)),0,""))</f>
        <v>0</v>
      </c>
      <c r="H220" s="117" t="str">
        <f>RIGHT(INDEX('register map'!V:V,MATCH('Logical Group Generator'!B220,'register map'!L:L,0)),LEN(G220))</f>
        <v>1</v>
      </c>
      <c r="I220" s="117" t="str">
        <f>CONCATENATE(IF(ISNUMBER(INDEX('register map'!K:K,C220)),0,""),IF(ISNUMBER(INDEX('register map'!J:J,C220)),1,""),IF(ISNUMBER(INDEX('register map'!I:I,C220)),2,""),IF(ISNUMBER(INDEX('register map'!H:H,C220)),3,""),IF(ISNUMBER(INDEX('register map'!G:G,C220)),4,""),IF(ISNUMBER(INDEX('register map'!F:F,C220)),5,""),IF(ISNUMBER(INDEX('register map'!E:E,C220)),6,""),IF(ISNUMBER(INDEX('register map'!D:D,C220)),7,""))</f>
        <v>0</v>
      </c>
      <c r="J220" s="117" t="str">
        <f t="shared" si="40"/>
        <v>1</v>
      </c>
      <c r="K220" s="117" t="str">
        <f t="shared" si="33"/>
        <v/>
      </c>
      <c r="L220" s="117" t="str">
        <f t="shared" si="41"/>
        <v/>
      </c>
      <c r="M220" s="117" t="str">
        <f t="shared" si="43"/>
        <v/>
      </c>
      <c r="N220" s="117" t="str">
        <f>IF(ISBLANK(INDEX('register map'!M:M,'Logical Group Generator'!C220)),"No","Yes")</f>
        <v>No</v>
      </c>
      <c r="O220" s="117" t="str">
        <f>IF(NOT(ISBLANK(INDEX('register map'!N:N,'Logical Group Generator'!C220))),"Yes","")</f>
        <v/>
      </c>
      <c r="P220" s="117" t="str">
        <f t="shared" si="34"/>
        <v/>
      </c>
      <c r="Q220" s="117" t="str">
        <f t="shared" si="35"/>
        <v/>
      </c>
      <c r="R220" s="117" t="str">
        <f t="shared" si="36"/>
        <v/>
      </c>
      <c r="S220" s="117" t="str">
        <f t="shared" si="37"/>
        <v>No</v>
      </c>
      <c r="T220" s="117" t="str">
        <f t="shared" si="38"/>
        <v/>
      </c>
      <c r="U220" s="117" t="b">
        <f t="shared" si="42"/>
        <v>0</v>
      </c>
      <c r="V220" s="157" t="b">
        <f>INDEX('register map'!P:P,C220)="yes"</f>
        <v>1</v>
      </c>
      <c r="W220" s="157" t="str">
        <f t="shared" si="39"/>
        <v>FALSE</v>
      </c>
    </row>
    <row r="221" spans="2:23">
      <c r="B221" s="157" t="str">
        <f t="array" ref="B221">IF(ROWS($3:221)&lt;=COUNTA('register map'!$L$5:$L$902),INDEX('register map'!$L$5:$L$902,SMALL(IF('register map'!$L$5:$L$902&lt;&gt;"",ROW('register map'!$L$5:$L$902)-MIN(ROW('register map'!$L$5:$L$902))+1),ROWS($3:221))),"")</f>
        <v>BUCK2_GPO2_MSK</v>
      </c>
      <c r="C221" s="157">
        <f>IF(B221="PART_NUMBER",IF(COUNTIF($B$1:B220,"PART_NUMBER")=0,6,8),MATCH(B221,'register map'!L:L,0))</f>
        <v>234</v>
      </c>
      <c r="D221" s="117" t="str">
        <f>IF(ISBLANK(INDEX('register map'!C:C,'Logical Group Generator'!C221)),"No","Yes")</f>
        <v>No</v>
      </c>
      <c r="E221" s="117" t="str">
        <f>IF(ISBLANK(INDEX('register map'!A:A,C221)),IF(ISBLANK(INDEX('register map'!A:A,C221-1)),IF(ISBLANK(INDEX('register map'!A:A,C221-2)),IF(ISBLANK(INDEX('register map'!A:A,C221-3)),IF(ISBLANK(INDEX('register map'!A:A,C221-4)),IF(ISBLANK(INDEX('register map'!A:A,C221-5)),IF(ISBLANK(INDEX('register map'!A:A,C221-6)),IF(ISBLANK(INDEX('register map'!A:A,C221-7)),IF(ISBLANK(INDEX('register map'!A:A,C221-8)),"ERROR",INDEX('register map'!A:A,C221-8)),INDEX('register map'!A:A,C221-7)),INDEX('register map'!A:A,C221-6)),INDEX('register map'!A:A,C221-5)),INDEX('register map'!A:A,C221-4)),INDEX('register map'!A:A,C221-3)),INDEX('register map'!A:A,C221-2)),INDEX('register map'!A:A,C221-1)),INDEX('register map'!A:A,C221))</f>
        <v>0x5E</v>
      </c>
      <c r="F221" s="117" t="str">
        <f>IF(ISBLANK(INDEX('register map'!B:B,C221)),IF(ISBLANK(INDEX('register map'!B:B,C221-1)),IF(ISBLANK(INDEX('register map'!B:B,C221-2)),IF(ISBLANK(INDEX('register map'!B:B,C221-3)),IF(ISBLANK(INDEX('register map'!B:B,C221-4)),IF(ISBLANK(INDEX('register map'!B:B,C221-5)),IF(ISBLANK(INDEX('register map'!B:B,C221-6)),IF(ISBLANK(INDEX('register map'!B:B,C221-7)),IF(ISBLANK(INDEX('register map'!B:B,C221-8)),"ERROR",INDEX('register map'!B:B,C221-8)),INDEX('register map'!B:B,C221-7)),INDEX('register map'!B:B,C221-6)),INDEX('register map'!B:B,C221-5)),INDEX('register map'!B:B,C221-4)),INDEX('register map'!B:B,C221-3)),INDEX('register map'!B:B,C221-2)),INDEX('register map'!B:B,C221-1)),INDEX('register map'!B:B,C221))</f>
        <v>0xA8</v>
      </c>
      <c r="G221" s="117" t="str">
        <f>CONCATENATE(IF(ISNUMBER(INDEX('register map'!D:D,C221)),7,""),IF(ISNUMBER(INDEX('register map'!E:E,C221)),6,""),IF(ISNUMBER(INDEX('register map'!F:F,C221)),5,""),IF(ISNUMBER(INDEX('register map'!G:G,C221)),4,""),IF(ISNUMBER(INDEX('register map'!H:H,C221)),3,""),IF(ISNUMBER(INDEX('register map'!I:I,C221)),2,""),IF(ISNUMBER(INDEX('register map'!J:J,C221)),1,""),IF(ISNUMBER(INDEX('register map'!K:K,C221)),0,""))</f>
        <v>1</v>
      </c>
      <c r="H221" s="117" t="str">
        <f>RIGHT(INDEX('register map'!V:V,MATCH('Logical Group Generator'!B221,'register map'!L:L,0)),LEN(G221))</f>
        <v>1</v>
      </c>
      <c r="I221" s="117" t="str">
        <f>CONCATENATE(IF(ISNUMBER(INDEX('register map'!K:K,C221)),0,""),IF(ISNUMBER(INDEX('register map'!J:J,C221)),1,""),IF(ISNUMBER(INDEX('register map'!I:I,C221)),2,""),IF(ISNUMBER(INDEX('register map'!H:H,C221)),3,""),IF(ISNUMBER(INDEX('register map'!G:G,C221)),4,""),IF(ISNUMBER(INDEX('register map'!F:F,C221)),5,""),IF(ISNUMBER(INDEX('register map'!E:E,C221)),6,""),IF(ISNUMBER(INDEX('register map'!D:D,C221)),7,""))</f>
        <v>1</v>
      </c>
      <c r="J221" s="117" t="str">
        <f t="shared" si="40"/>
        <v>1</v>
      </c>
      <c r="K221" s="117" t="str">
        <f t="shared" si="33"/>
        <v/>
      </c>
      <c r="L221" s="117" t="str">
        <f t="shared" si="41"/>
        <v/>
      </c>
      <c r="M221" s="117" t="str">
        <f t="shared" si="43"/>
        <v/>
      </c>
      <c r="N221" s="117" t="str">
        <f>IF(ISBLANK(INDEX('register map'!M:M,'Logical Group Generator'!C221)),"No","Yes")</f>
        <v>No</v>
      </c>
      <c r="O221" s="117" t="str">
        <f>IF(NOT(ISBLANK(INDEX('register map'!N:N,'Logical Group Generator'!C221))),"Yes","")</f>
        <v/>
      </c>
      <c r="P221" s="117" t="str">
        <f t="shared" si="34"/>
        <v/>
      </c>
      <c r="Q221" s="117" t="str">
        <f t="shared" si="35"/>
        <v/>
      </c>
      <c r="R221" s="117" t="str">
        <f t="shared" si="36"/>
        <v/>
      </c>
      <c r="S221" s="117" t="str">
        <f t="shared" si="37"/>
        <v>No</v>
      </c>
      <c r="T221" s="117" t="str">
        <f t="shared" si="38"/>
        <v/>
      </c>
      <c r="U221" s="117" t="b">
        <f t="shared" si="42"/>
        <v>0</v>
      </c>
      <c r="V221" s="157" t="b">
        <f>INDEX('register map'!P:P,C221)="yes"</f>
        <v>1</v>
      </c>
      <c r="W221" s="157" t="str">
        <f t="shared" si="39"/>
        <v>FALSE</v>
      </c>
    </row>
    <row r="222" spans="2:23">
      <c r="B222" s="157" t="str">
        <f t="array" ref="B222">IF(ROWS($3:222)&lt;=COUNTA('register map'!$L$5:$L$902),INDEX('register map'!$L$5:$L$902,SMALL(IF('register map'!$L$5:$L$902&lt;&gt;"",ROW('register map'!$L$5:$L$902)-MIN(ROW('register map'!$L$5:$L$902))+1),ROWS($3:222))),"")</f>
        <v>BUCK3_GPO2_MSK</v>
      </c>
      <c r="C222" s="157">
        <f>IF(B222="PART_NUMBER",IF(COUNTIF($B$1:B221,"PART_NUMBER")=0,6,8),MATCH(B222,'register map'!L:L,0))</f>
        <v>235</v>
      </c>
      <c r="D222" s="117" t="str">
        <f>IF(ISBLANK(INDEX('register map'!C:C,'Logical Group Generator'!C222)),"No","Yes")</f>
        <v>No</v>
      </c>
      <c r="E222" s="117" t="str">
        <f>IF(ISBLANK(INDEX('register map'!A:A,C222)),IF(ISBLANK(INDEX('register map'!A:A,C222-1)),IF(ISBLANK(INDEX('register map'!A:A,C222-2)),IF(ISBLANK(INDEX('register map'!A:A,C222-3)),IF(ISBLANK(INDEX('register map'!A:A,C222-4)),IF(ISBLANK(INDEX('register map'!A:A,C222-5)),IF(ISBLANK(INDEX('register map'!A:A,C222-6)),IF(ISBLANK(INDEX('register map'!A:A,C222-7)),IF(ISBLANK(INDEX('register map'!A:A,C222-8)),"ERROR",INDEX('register map'!A:A,C222-8)),INDEX('register map'!A:A,C222-7)),INDEX('register map'!A:A,C222-6)),INDEX('register map'!A:A,C222-5)),INDEX('register map'!A:A,C222-4)),INDEX('register map'!A:A,C222-3)),INDEX('register map'!A:A,C222-2)),INDEX('register map'!A:A,C222-1)),INDEX('register map'!A:A,C222))</f>
        <v>0x5E</v>
      </c>
      <c r="F222" s="117" t="str">
        <f>IF(ISBLANK(INDEX('register map'!B:B,C222)),IF(ISBLANK(INDEX('register map'!B:B,C222-1)),IF(ISBLANK(INDEX('register map'!B:B,C222-2)),IF(ISBLANK(INDEX('register map'!B:B,C222-3)),IF(ISBLANK(INDEX('register map'!B:B,C222-4)),IF(ISBLANK(INDEX('register map'!B:B,C222-5)),IF(ISBLANK(INDEX('register map'!B:B,C222-6)),IF(ISBLANK(INDEX('register map'!B:B,C222-7)),IF(ISBLANK(INDEX('register map'!B:B,C222-8)),"ERROR",INDEX('register map'!B:B,C222-8)),INDEX('register map'!B:B,C222-7)),INDEX('register map'!B:B,C222-6)),INDEX('register map'!B:B,C222-5)),INDEX('register map'!B:B,C222-4)),INDEX('register map'!B:B,C222-3)),INDEX('register map'!B:B,C222-2)),INDEX('register map'!B:B,C222-1)),INDEX('register map'!B:B,C222))</f>
        <v>0xA8</v>
      </c>
      <c r="G222" s="117" t="str">
        <f>CONCATENATE(IF(ISNUMBER(INDEX('register map'!D:D,C222)),7,""),IF(ISNUMBER(INDEX('register map'!E:E,C222)),6,""),IF(ISNUMBER(INDEX('register map'!F:F,C222)),5,""),IF(ISNUMBER(INDEX('register map'!G:G,C222)),4,""),IF(ISNUMBER(INDEX('register map'!H:H,C222)),3,""),IF(ISNUMBER(INDEX('register map'!I:I,C222)),2,""),IF(ISNUMBER(INDEX('register map'!J:J,C222)),1,""),IF(ISNUMBER(INDEX('register map'!K:K,C222)),0,""))</f>
        <v>2</v>
      </c>
      <c r="H222" s="117" t="str">
        <f>RIGHT(INDEX('register map'!V:V,MATCH('Logical Group Generator'!B222,'register map'!L:L,0)),LEN(G222))</f>
        <v>1</v>
      </c>
      <c r="I222" s="117" t="str">
        <f>CONCATENATE(IF(ISNUMBER(INDEX('register map'!K:K,C222)),0,""),IF(ISNUMBER(INDEX('register map'!J:J,C222)),1,""),IF(ISNUMBER(INDEX('register map'!I:I,C222)),2,""),IF(ISNUMBER(INDEX('register map'!H:H,C222)),3,""),IF(ISNUMBER(INDEX('register map'!G:G,C222)),4,""),IF(ISNUMBER(INDEX('register map'!F:F,C222)),5,""),IF(ISNUMBER(INDEX('register map'!E:E,C222)),6,""),IF(ISNUMBER(INDEX('register map'!D:D,C222)),7,""))</f>
        <v>2</v>
      </c>
      <c r="J222" s="117" t="str">
        <f t="shared" si="40"/>
        <v>1</v>
      </c>
      <c r="K222" s="117" t="str">
        <f t="shared" si="33"/>
        <v/>
      </c>
      <c r="L222" s="117" t="str">
        <f t="shared" si="41"/>
        <v/>
      </c>
      <c r="M222" s="117" t="str">
        <f t="shared" si="43"/>
        <v/>
      </c>
      <c r="N222" s="117" t="str">
        <f>IF(ISBLANK(INDEX('register map'!M:M,'Logical Group Generator'!C222)),"No","Yes")</f>
        <v>No</v>
      </c>
      <c r="O222" s="117" t="str">
        <f>IF(NOT(ISBLANK(INDEX('register map'!N:N,'Logical Group Generator'!C222))),"Yes","")</f>
        <v/>
      </c>
      <c r="P222" s="117" t="str">
        <f t="shared" si="34"/>
        <v/>
      </c>
      <c r="Q222" s="117" t="str">
        <f t="shared" si="35"/>
        <v/>
      </c>
      <c r="R222" s="117" t="str">
        <f t="shared" si="36"/>
        <v/>
      </c>
      <c r="S222" s="117" t="str">
        <f t="shared" si="37"/>
        <v>No</v>
      </c>
      <c r="T222" s="117" t="str">
        <f t="shared" si="38"/>
        <v/>
      </c>
      <c r="U222" s="117" t="b">
        <f t="shared" si="42"/>
        <v>0</v>
      </c>
      <c r="V222" s="157" t="b">
        <f>INDEX('register map'!P:P,C222)="yes"</f>
        <v>1</v>
      </c>
      <c r="W222" s="157" t="str">
        <f t="shared" si="39"/>
        <v>FALSE</v>
      </c>
    </row>
    <row r="223" spans="2:23">
      <c r="B223" s="157" t="str">
        <f t="array" ref="B223">IF(ROWS($3:223)&lt;=COUNTA('register map'!$L$5:$L$902),INDEX('register map'!$L$5:$L$902,SMALL(IF('register map'!$L$5:$L$902&lt;&gt;"",ROW('register map'!$L$5:$L$902)-MIN(ROW('register map'!$L$5:$L$902))+1),ROWS($3:223))),"")</f>
        <v>BUCK4_GPO2_MSK</v>
      </c>
      <c r="C223" s="157">
        <f>IF(B223="PART_NUMBER",IF(COUNTIF($B$1:B222,"PART_NUMBER")=0,6,8),MATCH(B223,'register map'!L:L,0))</f>
        <v>236</v>
      </c>
      <c r="D223" s="117" t="str">
        <f>IF(ISBLANK(INDEX('register map'!C:C,'Logical Group Generator'!C223)),"No","Yes")</f>
        <v>No</v>
      </c>
      <c r="E223" s="117" t="str">
        <f>IF(ISBLANK(INDEX('register map'!A:A,C223)),IF(ISBLANK(INDEX('register map'!A:A,C223-1)),IF(ISBLANK(INDEX('register map'!A:A,C223-2)),IF(ISBLANK(INDEX('register map'!A:A,C223-3)),IF(ISBLANK(INDEX('register map'!A:A,C223-4)),IF(ISBLANK(INDEX('register map'!A:A,C223-5)),IF(ISBLANK(INDEX('register map'!A:A,C223-6)),IF(ISBLANK(INDEX('register map'!A:A,C223-7)),IF(ISBLANK(INDEX('register map'!A:A,C223-8)),"ERROR",INDEX('register map'!A:A,C223-8)),INDEX('register map'!A:A,C223-7)),INDEX('register map'!A:A,C223-6)),INDEX('register map'!A:A,C223-5)),INDEX('register map'!A:A,C223-4)),INDEX('register map'!A:A,C223-3)),INDEX('register map'!A:A,C223-2)),INDEX('register map'!A:A,C223-1)),INDEX('register map'!A:A,C223))</f>
        <v>0x5E</v>
      </c>
      <c r="F223" s="117" t="str">
        <f>IF(ISBLANK(INDEX('register map'!B:B,C223)),IF(ISBLANK(INDEX('register map'!B:B,C223-1)),IF(ISBLANK(INDEX('register map'!B:B,C223-2)),IF(ISBLANK(INDEX('register map'!B:B,C223-3)),IF(ISBLANK(INDEX('register map'!B:B,C223-4)),IF(ISBLANK(INDEX('register map'!B:B,C223-5)),IF(ISBLANK(INDEX('register map'!B:B,C223-6)),IF(ISBLANK(INDEX('register map'!B:B,C223-7)),IF(ISBLANK(INDEX('register map'!B:B,C223-8)),"ERROR",INDEX('register map'!B:B,C223-8)),INDEX('register map'!B:B,C223-7)),INDEX('register map'!B:B,C223-6)),INDEX('register map'!B:B,C223-5)),INDEX('register map'!B:B,C223-4)),INDEX('register map'!B:B,C223-3)),INDEX('register map'!B:B,C223-2)),INDEX('register map'!B:B,C223-1)),INDEX('register map'!B:B,C223))</f>
        <v>0xA8</v>
      </c>
      <c r="G223" s="117" t="str">
        <f>CONCATENATE(IF(ISNUMBER(INDEX('register map'!D:D,C223)),7,""),IF(ISNUMBER(INDEX('register map'!E:E,C223)),6,""),IF(ISNUMBER(INDEX('register map'!F:F,C223)),5,""),IF(ISNUMBER(INDEX('register map'!G:G,C223)),4,""),IF(ISNUMBER(INDEX('register map'!H:H,C223)),3,""),IF(ISNUMBER(INDEX('register map'!I:I,C223)),2,""),IF(ISNUMBER(INDEX('register map'!J:J,C223)),1,""),IF(ISNUMBER(INDEX('register map'!K:K,C223)),0,""))</f>
        <v>3</v>
      </c>
      <c r="H223" s="117" t="str">
        <f>RIGHT(INDEX('register map'!V:V,MATCH('Logical Group Generator'!B223,'register map'!L:L,0)),LEN(G223))</f>
        <v>1</v>
      </c>
      <c r="I223" s="117" t="str">
        <f>CONCATENATE(IF(ISNUMBER(INDEX('register map'!K:K,C223)),0,""),IF(ISNUMBER(INDEX('register map'!J:J,C223)),1,""),IF(ISNUMBER(INDEX('register map'!I:I,C223)),2,""),IF(ISNUMBER(INDEX('register map'!H:H,C223)),3,""),IF(ISNUMBER(INDEX('register map'!G:G,C223)),4,""),IF(ISNUMBER(INDEX('register map'!F:F,C223)),5,""),IF(ISNUMBER(INDEX('register map'!E:E,C223)),6,""),IF(ISNUMBER(INDEX('register map'!D:D,C223)),7,""))</f>
        <v>3</v>
      </c>
      <c r="J223" s="117" t="str">
        <f t="shared" si="40"/>
        <v>1</v>
      </c>
      <c r="K223" s="117" t="str">
        <f t="shared" si="33"/>
        <v/>
      </c>
      <c r="L223" s="117" t="str">
        <f t="shared" si="41"/>
        <v/>
      </c>
      <c r="M223" s="117" t="str">
        <f t="shared" si="43"/>
        <v/>
      </c>
      <c r="N223" s="117" t="str">
        <f>IF(ISBLANK(INDEX('register map'!M:M,'Logical Group Generator'!C223)),"No","Yes")</f>
        <v>No</v>
      </c>
      <c r="O223" s="117" t="str">
        <f>IF(NOT(ISBLANK(INDEX('register map'!N:N,'Logical Group Generator'!C223))),"Yes","")</f>
        <v/>
      </c>
      <c r="P223" s="117" t="str">
        <f t="shared" si="34"/>
        <v/>
      </c>
      <c r="Q223" s="117" t="str">
        <f t="shared" si="35"/>
        <v/>
      </c>
      <c r="R223" s="117" t="str">
        <f t="shared" si="36"/>
        <v/>
      </c>
      <c r="S223" s="117" t="str">
        <f t="shared" si="37"/>
        <v>No</v>
      </c>
      <c r="T223" s="117" t="str">
        <f t="shared" si="38"/>
        <v/>
      </c>
      <c r="U223" s="117" t="b">
        <f t="shared" si="42"/>
        <v>0</v>
      </c>
      <c r="V223" s="157" t="b">
        <f>INDEX('register map'!P:P,C223)="yes"</f>
        <v>1</v>
      </c>
      <c r="W223" s="157" t="str">
        <f t="shared" si="39"/>
        <v>FALSE</v>
      </c>
    </row>
    <row r="224" spans="2:23">
      <c r="B224" s="157" t="str">
        <f t="array" ref="B224">IF(ROWS($3:224)&lt;=COUNTA('register map'!$L$5:$L$902),INDEX('register map'!$L$5:$L$902,SMALL(IF('register map'!$L$5:$L$902&lt;&gt;"",ROW('register map'!$L$5:$L$902)-MIN(ROW('register map'!$L$5:$L$902))+1),ROWS($3:224))),"")</f>
        <v>BUCK5_GPO2_MSK</v>
      </c>
      <c r="C224" s="157">
        <f>IF(B224="PART_NUMBER",IF(COUNTIF($B$1:B223,"PART_NUMBER")=0,6,8),MATCH(B224,'register map'!L:L,0))</f>
        <v>237</v>
      </c>
      <c r="D224" s="117" t="str">
        <f>IF(ISBLANK(INDEX('register map'!C:C,'Logical Group Generator'!C224)),"No","Yes")</f>
        <v>No</v>
      </c>
      <c r="E224" s="117" t="str">
        <f>IF(ISBLANK(INDEX('register map'!A:A,C224)),IF(ISBLANK(INDEX('register map'!A:A,C224-1)),IF(ISBLANK(INDEX('register map'!A:A,C224-2)),IF(ISBLANK(INDEX('register map'!A:A,C224-3)),IF(ISBLANK(INDEX('register map'!A:A,C224-4)),IF(ISBLANK(INDEX('register map'!A:A,C224-5)),IF(ISBLANK(INDEX('register map'!A:A,C224-6)),IF(ISBLANK(INDEX('register map'!A:A,C224-7)),IF(ISBLANK(INDEX('register map'!A:A,C224-8)),"ERROR",INDEX('register map'!A:A,C224-8)),INDEX('register map'!A:A,C224-7)),INDEX('register map'!A:A,C224-6)),INDEX('register map'!A:A,C224-5)),INDEX('register map'!A:A,C224-4)),INDEX('register map'!A:A,C224-3)),INDEX('register map'!A:A,C224-2)),INDEX('register map'!A:A,C224-1)),INDEX('register map'!A:A,C224))</f>
        <v>0x5E</v>
      </c>
      <c r="F224" s="117" t="str">
        <f>IF(ISBLANK(INDEX('register map'!B:B,C224)),IF(ISBLANK(INDEX('register map'!B:B,C224-1)),IF(ISBLANK(INDEX('register map'!B:B,C224-2)),IF(ISBLANK(INDEX('register map'!B:B,C224-3)),IF(ISBLANK(INDEX('register map'!B:B,C224-4)),IF(ISBLANK(INDEX('register map'!B:B,C224-5)),IF(ISBLANK(INDEX('register map'!B:B,C224-6)),IF(ISBLANK(INDEX('register map'!B:B,C224-7)),IF(ISBLANK(INDEX('register map'!B:B,C224-8)),"ERROR",INDEX('register map'!B:B,C224-8)),INDEX('register map'!B:B,C224-7)),INDEX('register map'!B:B,C224-6)),INDEX('register map'!B:B,C224-5)),INDEX('register map'!B:B,C224-4)),INDEX('register map'!B:B,C224-3)),INDEX('register map'!B:B,C224-2)),INDEX('register map'!B:B,C224-1)),INDEX('register map'!B:B,C224))</f>
        <v>0xA8</v>
      </c>
      <c r="G224" s="117" t="str">
        <f>CONCATENATE(IF(ISNUMBER(INDEX('register map'!D:D,C224)),7,""),IF(ISNUMBER(INDEX('register map'!E:E,C224)),6,""),IF(ISNUMBER(INDEX('register map'!F:F,C224)),5,""),IF(ISNUMBER(INDEX('register map'!G:G,C224)),4,""),IF(ISNUMBER(INDEX('register map'!H:H,C224)),3,""),IF(ISNUMBER(INDEX('register map'!I:I,C224)),2,""),IF(ISNUMBER(INDEX('register map'!J:J,C224)),1,""),IF(ISNUMBER(INDEX('register map'!K:K,C224)),0,""))</f>
        <v>4</v>
      </c>
      <c r="H224" s="117" t="str">
        <f>RIGHT(INDEX('register map'!V:V,MATCH('Logical Group Generator'!B224,'register map'!L:L,0)),LEN(G224))</f>
        <v>1</v>
      </c>
      <c r="I224" s="117" t="str">
        <f>CONCATENATE(IF(ISNUMBER(INDEX('register map'!K:K,C224)),0,""),IF(ISNUMBER(INDEX('register map'!J:J,C224)),1,""),IF(ISNUMBER(INDEX('register map'!I:I,C224)),2,""),IF(ISNUMBER(INDEX('register map'!H:H,C224)),3,""),IF(ISNUMBER(INDEX('register map'!G:G,C224)),4,""),IF(ISNUMBER(INDEX('register map'!F:F,C224)),5,""),IF(ISNUMBER(INDEX('register map'!E:E,C224)),6,""),IF(ISNUMBER(INDEX('register map'!D:D,C224)),7,""))</f>
        <v>4</v>
      </c>
      <c r="J224" s="117" t="str">
        <f t="shared" si="40"/>
        <v>1</v>
      </c>
      <c r="K224" s="117" t="str">
        <f t="shared" si="33"/>
        <v/>
      </c>
      <c r="L224" s="117" t="str">
        <f t="shared" si="41"/>
        <v/>
      </c>
      <c r="M224" s="117" t="str">
        <f t="shared" si="43"/>
        <v/>
      </c>
      <c r="N224" s="117" t="str">
        <f>IF(ISBLANK(INDEX('register map'!M:M,'Logical Group Generator'!C224)),"No","Yes")</f>
        <v>No</v>
      </c>
      <c r="O224" s="117" t="str">
        <f>IF(NOT(ISBLANK(INDEX('register map'!N:N,'Logical Group Generator'!C224))),"Yes","")</f>
        <v/>
      </c>
      <c r="P224" s="117" t="str">
        <f t="shared" si="34"/>
        <v/>
      </c>
      <c r="Q224" s="117" t="str">
        <f t="shared" si="35"/>
        <v/>
      </c>
      <c r="R224" s="117" t="str">
        <f t="shared" si="36"/>
        <v/>
      </c>
      <c r="S224" s="117" t="str">
        <f t="shared" si="37"/>
        <v>No</v>
      </c>
      <c r="T224" s="117" t="str">
        <f t="shared" si="38"/>
        <v/>
      </c>
      <c r="U224" s="117" t="b">
        <f t="shared" si="42"/>
        <v>0</v>
      </c>
      <c r="V224" s="157" t="b">
        <f>INDEX('register map'!P:P,C224)="yes"</f>
        <v>1</v>
      </c>
      <c r="W224" s="157" t="str">
        <f t="shared" si="39"/>
        <v>FALSE</v>
      </c>
    </row>
    <row r="225" spans="2:23">
      <c r="B225" s="157" t="str">
        <f t="array" ref="B225">IF(ROWS($3:225)&lt;=COUNTA('register map'!$L$5:$L$902),INDEX('register map'!$L$5:$L$902,SMALL(IF('register map'!$L$5:$L$902&lt;&gt;"",ROW('register map'!$L$5:$L$902)-MIN(ROW('register map'!$L$5:$L$902))+1),ROWS($3:225))),"")</f>
        <v>BUCK6_GPO2_MSK</v>
      </c>
      <c r="C225" s="157">
        <f>IF(B225="PART_NUMBER",IF(COUNTIF($B$1:B224,"PART_NUMBER")=0,6,8),MATCH(B225,'register map'!L:L,0))</f>
        <v>238</v>
      </c>
      <c r="D225" s="117" t="str">
        <f>IF(ISBLANK(INDEX('register map'!C:C,'Logical Group Generator'!C225)),"No","Yes")</f>
        <v>No</v>
      </c>
      <c r="E225" s="117" t="str">
        <f>IF(ISBLANK(INDEX('register map'!A:A,C225)),IF(ISBLANK(INDEX('register map'!A:A,C225-1)),IF(ISBLANK(INDEX('register map'!A:A,C225-2)),IF(ISBLANK(INDEX('register map'!A:A,C225-3)),IF(ISBLANK(INDEX('register map'!A:A,C225-4)),IF(ISBLANK(INDEX('register map'!A:A,C225-5)),IF(ISBLANK(INDEX('register map'!A:A,C225-6)),IF(ISBLANK(INDEX('register map'!A:A,C225-7)),IF(ISBLANK(INDEX('register map'!A:A,C225-8)),"ERROR",INDEX('register map'!A:A,C225-8)),INDEX('register map'!A:A,C225-7)),INDEX('register map'!A:A,C225-6)),INDEX('register map'!A:A,C225-5)),INDEX('register map'!A:A,C225-4)),INDEX('register map'!A:A,C225-3)),INDEX('register map'!A:A,C225-2)),INDEX('register map'!A:A,C225-1)),INDEX('register map'!A:A,C225))</f>
        <v>0x5E</v>
      </c>
      <c r="F225" s="117" t="str">
        <f>IF(ISBLANK(INDEX('register map'!B:B,C225)),IF(ISBLANK(INDEX('register map'!B:B,C225-1)),IF(ISBLANK(INDEX('register map'!B:B,C225-2)),IF(ISBLANK(INDEX('register map'!B:B,C225-3)),IF(ISBLANK(INDEX('register map'!B:B,C225-4)),IF(ISBLANK(INDEX('register map'!B:B,C225-5)),IF(ISBLANK(INDEX('register map'!B:B,C225-6)),IF(ISBLANK(INDEX('register map'!B:B,C225-7)),IF(ISBLANK(INDEX('register map'!B:B,C225-8)),"ERROR",INDEX('register map'!B:B,C225-8)),INDEX('register map'!B:B,C225-7)),INDEX('register map'!B:B,C225-6)),INDEX('register map'!B:B,C225-5)),INDEX('register map'!B:B,C225-4)),INDEX('register map'!B:B,C225-3)),INDEX('register map'!B:B,C225-2)),INDEX('register map'!B:B,C225-1)),INDEX('register map'!B:B,C225))</f>
        <v>0xA8</v>
      </c>
      <c r="G225" s="117" t="str">
        <f>CONCATENATE(IF(ISNUMBER(INDEX('register map'!D:D,C225)),7,""),IF(ISNUMBER(INDEX('register map'!E:E,C225)),6,""),IF(ISNUMBER(INDEX('register map'!F:F,C225)),5,""),IF(ISNUMBER(INDEX('register map'!G:G,C225)),4,""),IF(ISNUMBER(INDEX('register map'!H:H,C225)),3,""),IF(ISNUMBER(INDEX('register map'!I:I,C225)),2,""),IF(ISNUMBER(INDEX('register map'!J:J,C225)),1,""),IF(ISNUMBER(INDEX('register map'!K:K,C225)),0,""))</f>
        <v>5</v>
      </c>
      <c r="H225" s="117" t="str">
        <f>RIGHT(INDEX('register map'!V:V,MATCH('Logical Group Generator'!B225,'register map'!L:L,0)),LEN(G225))</f>
        <v>1</v>
      </c>
      <c r="I225" s="117" t="str">
        <f>CONCATENATE(IF(ISNUMBER(INDEX('register map'!K:K,C225)),0,""),IF(ISNUMBER(INDEX('register map'!J:J,C225)),1,""),IF(ISNUMBER(INDEX('register map'!I:I,C225)),2,""),IF(ISNUMBER(INDEX('register map'!H:H,C225)),3,""),IF(ISNUMBER(INDEX('register map'!G:G,C225)),4,""),IF(ISNUMBER(INDEX('register map'!F:F,C225)),5,""),IF(ISNUMBER(INDEX('register map'!E:E,C225)),6,""),IF(ISNUMBER(INDEX('register map'!D:D,C225)),7,""))</f>
        <v>5</v>
      </c>
      <c r="J225" s="117" t="str">
        <f t="shared" si="40"/>
        <v>1</v>
      </c>
      <c r="K225" s="117" t="str">
        <f t="shared" si="33"/>
        <v/>
      </c>
      <c r="L225" s="117" t="str">
        <f t="shared" si="41"/>
        <v/>
      </c>
      <c r="M225" s="117" t="str">
        <f t="shared" si="43"/>
        <v/>
      </c>
      <c r="N225" s="117" t="str">
        <f>IF(ISBLANK(INDEX('register map'!M:M,'Logical Group Generator'!C225)),"No","Yes")</f>
        <v>No</v>
      </c>
      <c r="O225" s="117" t="str">
        <f>IF(NOT(ISBLANK(INDEX('register map'!N:N,'Logical Group Generator'!C225))),"Yes","")</f>
        <v/>
      </c>
      <c r="P225" s="117" t="str">
        <f t="shared" si="34"/>
        <v/>
      </c>
      <c r="Q225" s="117" t="str">
        <f t="shared" si="35"/>
        <v/>
      </c>
      <c r="R225" s="117" t="str">
        <f t="shared" si="36"/>
        <v/>
      </c>
      <c r="S225" s="117" t="str">
        <f t="shared" si="37"/>
        <v>No</v>
      </c>
      <c r="T225" s="117" t="str">
        <f t="shared" si="38"/>
        <v/>
      </c>
      <c r="U225" s="117" t="b">
        <f t="shared" si="42"/>
        <v>0</v>
      </c>
      <c r="V225" s="157" t="b">
        <f>INDEX('register map'!P:P,C225)="yes"</f>
        <v>1</v>
      </c>
      <c r="W225" s="157" t="str">
        <f t="shared" si="39"/>
        <v>FALSE</v>
      </c>
    </row>
    <row r="226" spans="2:23">
      <c r="B226" s="157" t="str">
        <f t="array" ref="B226">IF(ROWS($3:226)&lt;=COUNTA('register map'!$L$5:$L$902),INDEX('register map'!$L$5:$L$902,SMALL(IF('register map'!$L$5:$L$902&lt;&gt;"",ROW('register map'!$L$5:$L$902)-MIN(ROW('register map'!$L$5:$L$902))+1),ROWS($3:226))),"")</f>
        <v>SWA1_GPO2_MSK</v>
      </c>
      <c r="C226" s="157">
        <f>IF(B226="PART_NUMBER",IF(COUNTIF($B$1:B225,"PART_NUMBER")=0,6,8),MATCH(B226,'register map'!L:L,0))</f>
        <v>239</v>
      </c>
      <c r="D226" s="117" t="str">
        <f>IF(ISBLANK(INDEX('register map'!C:C,'Logical Group Generator'!C226)),"No","Yes")</f>
        <v>No</v>
      </c>
      <c r="E226" s="117" t="str">
        <f>IF(ISBLANK(INDEX('register map'!A:A,C226)),IF(ISBLANK(INDEX('register map'!A:A,C226-1)),IF(ISBLANK(INDEX('register map'!A:A,C226-2)),IF(ISBLANK(INDEX('register map'!A:A,C226-3)),IF(ISBLANK(INDEX('register map'!A:A,C226-4)),IF(ISBLANK(INDEX('register map'!A:A,C226-5)),IF(ISBLANK(INDEX('register map'!A:A,C226-6)),IF(ISBLANK(INDEX('register map'!A:A,C226-7)),IF(ISBLANK(INDEX('register map'!A:A,C226-8)),"ERROR",INDEX('register map'!A:A,C226-8)),INDEX('register map'!A:A,C226-7)),INDEX('register map'!A:A,C226-6)),INDEX('register map'!A:A,C226-5)),INDEX('register map'!A:A,C226-4)),INDEX('register map'!A:A,C226-3)),INDEX('register map'!A:A,C226-2)),INDEX('register map'!A:A,C226-1)),INDEX('register map'!A:A,C226))</f>
        <v>0x5E</v>
      </c>
      <c r="F226" s="117" t="str">
        <f>IF(ISBLANK(INDEX('register map'!B:B,C226)),IF(ISBLANK(INDEX('register map'!B:B,C226-1)),IF(ISBLANK(INDEX('register map'!B:B,C226-2)),IF(ISBLANK(INDEX('register map'!B:B,C226-3)),IF(ISBLANK(INDEX('register map'!B:B,C226-4)),IF(ISBLANK(INDEX('register map'!B:B,C226-5)),IF(ISBLANK(INDEX('register map'!B:B,C226-6)),IF(ISBLANK(INDEX('register map'!B:B,C226-7)),IF(ISBLANK(INDEX('register map'!B:B,C226-8)),"ERROR",INDEX('register map'!B:B,C226-8)),INDEX('register map'!B:B,C226-7)),INDEX('register map'!B:B,C226-6)),INDEX('register map'!B:B,C226-5)),INDEX('register map'!B:B,C226-4)),INDEX('register map'!B:B,C226-3)),INDEX('register map'!B:B,C226-2)),INDEX('register map'!B:B,C226-1)),INDEX('register map'!B:B,C226))</f>
        <v>0xA8</v>
      </c>
      <c r="G226" s="117" t="str">
        <f>CONCATENATE(IF(ISNUMBER(INDEX('register map'!D:D,C226)),7,""),IF(ISNUMBER(INDEX('register map'!E:E,C226)),6,""),IF(ISNUMBER(INDEX('register map'!F:F,C226)),5,""),IF(ISNUMBER(INDEX('register map'!G:G,C226)),4,""),IF(ISNUMBER(INDEX('register map'!H:H,C226)),3,""),IF(ISNUMBER(INDEX('register map'!I:I,C226)),2,""),IF(ISNUMBER(INDEX('register map'!J:J,C226)),1,""),IF(ISNUMBER(INDEX('register map'!K:K,C226)),0,""))</f>
        <v>6</v>
      </c>
      <c r="H226" s="117" t="str">
        <f>RIGHT(INDEX('register map'!V:V,MATCH('Logical Group Generator'!B226,'register map'!L:L,0)),LEN(G226))</f>
        <v>1</v>
      </c>
      <c r="I226" s="117" t="str">
        <f>CONCATENATE(IF(ISNUMBER(INDEX('register map'!K:K,C226)),0,""),IF(ISNUMBER(INDEX('register map'!J:J,C226)),1,""),IF(ISNUMBER(INDEX('register map'!I:I,C226)),2,""),IF(ISNUMBER(INDEX('register map'!H:H,C226)),3,""),IF(ISNUMBER(INDEX('register map'!G:G,C226)),4,""),IF(ISNUMBER(INDEX('register map'!F:F,C226)),5,""),IF(ISNUMBER(INDEX('register map'!E:E,C226)),6,""),IF(ISNUMBER(INDEX('register map'!D:D,C226)),7,""))</f>
        <v>6</v>
      </c>
      <c r="J226" s="117" t="str">
        <f t="shared" si="40"/>
        <v>1</v>
      </c>
      <c r="K226" s="117" t="str">
        <f t="shared" si="33"/>
        <v/>
      </c>
      <c r="L226" s="117" t="str">
        <f t="shared" si="41"/>
        <v/>
      </c>
      <c r="M226" s="117" t="str">
        <f t="shared" si="43"/>
        <v/>
      </c>
      <c r="N226" s="117" t="str">
        <f>IF(ISBLANK(INDEX('register map'!M:M,'Logical Group Generator'!C226)),"No","Yes")</f>
        <v>No</v>
      </c>
      <c r="O226" s="117" t="str">
        <f>IF(NOT(ISBLANK(INDEX('register map'!N:N,'Logical Group Generator'!C226))),"Yes","")</f>
        <v/>
      </c>
      <c r="P226" s="117" t="str">
        <f t="shared" si="34"/>
        <v/>
      </c>
      <c r="Q226" s="117" t="str">
        <f t="shared" si="35"/>
        <v/>
      </c>
      <c r="R226" s="117" t="str">
        <f t="shared" si="36"/>
        <v/>
      </c>
      <c r="S226" s="117" t="str">
        <f t="shared" si="37"/>
        <v>No</v>
      </c>
      <c r="T226" s="117" t="str">
        <f t="shared" si="38"/>
        <v/>
      </c>
      <c r="U226" s="117" t="b">
        <f t="shared" si="42"/>
        <v>0</v>
      </c>
      <c r="V226" s="157" t="b">
        <f>INDEX('register map'!P:P,C226)="yes"</f>
        <v>1</v>
      </c>
      <c r="W226" s="157" t="str">
        <f t="shared" si="39"/>
        <v>FALSE</v>
      </c>
    </row>
    <row r="227" spans="2:23">
      <c r="B227" s="157" t="str">
        <f t="array" ref="B227">IF(ROWS($3:227)&lt;=COUNTA('register map'!$L$5:$L$902),INDEX('register map'!$L$5:$L$902,SMALL(IF('register map'!$L$5:$L$902&lt;&gt;"",ROW('register map'!$L$5:$L$902)-MIN(ROW('register map'!$L$5:$L$902))+1),ROWS($3:227))),"")</f>
        <v>LDOA2_GPO2_MSK</v>
      </c>
      <c r="C227" s="157">
        <f>IF(B227="PART_NUMBER",IF(COUNTIF($B$1:B226,"PART_NUMBER")=0,6,8),MATCH(B227,'register map'!L:L,0))</f>
        <v>240</v>
      </c>
      <c r="D227" s="117" t="str">
        <f>IF(ISBLANK(INDEX('register map'!C:C,'Logical Group Generator'!C227)),"No","Yes")</f>
        <v>No</v>
      </c>
      <c r="E227" s="117" t="str">
        <f>IF(ISBLANK(INDEX('register map'!A:A,C227)),IF(ISBLANK(INDEX('register map'!A:A,C227-1)),IF(ISBLANK(INDEX('register map'!A:A,C227-2)),IF(ISBLANK(INDEX('register map'!A:A,C227-3)),IF(ISBLANK(INDEX('register map'!A:A,C227-4)),IF(ISBLANK(INDEX('register map'!A:A,C227-5)),IF(ISBLANK(INDEX('register map'!A:A,C227-6)),IF(ISBLANK(INDEX('register map'!A:A,C227-7)),IF(ISBLANK(INDEX('register map'!A:A,C227-8)),"ERROR",INDEX('register map'!A:A,C227-8)),INDEX('register map'!A:A,C227-7)),INDEX('register map'!A:A,C227-6)),INDEX('register map'!A:A,C227-5)),INDEX('register map'!A:A,C227-4)),INDEX('register map'!A:A,C227-3)),INDEX('register map'!A:A,C227-2)),INDEX('register map'!A:A,C227-1)),INDEX('register map'!A:A,C227))</f>
        <v>0x5E</v>
      </c>
      <c r="F227" s="117" t="str">
        <f>IF(ISBLANK(INDEX('register map'!B:B,C227)),IF(ISBLANK(INDEX('register map'!B:B,C227-1)),IF(ISBLANK(INDEX('register map'!B:B,C227-2)),IF(ISBLANK(INDEX('register map'!B:B,C227-3)),IF(ISBLANK(INDEX('register map'!B:B,C227-4)),IF(ISBLANK(INDEX('register map'!B:B,C227-5)),IF(ISBLANK(INDEX('register map'!B:B,C227-6)),IF(ISBLANK(INDEX('register map'!B:B,C227-7)),IF(ISBLANK(INDEX('register map'!B:B,C227-8)),"ERROR",INDEX('register map'!B:B,C227-8)),INDEX('register map'!B:B,C227-7)),INDEX('register map'!B:B,C227-6)),INDEX('register map'!B:B,C227-5)),INDEX('register map'!B:B,C227-4)),INDEX('register map'!B:B,C227-3)),INDEX('register map'!B:B,C227-2)),INDEX('register map'!B:B,C227-1)),INDEX('register map'!B:B,C227))</f>
        <v>0xA8</v>
      </c>
      <c r="G227" s="117" t="str">
        <f>CONCATENATE(IF(ISNUMBER(INDEX('register map'!D:D,C227)),7,""),IF(ISNUMBER(INDEX('register map'!E:E,C227)),6,""),IF(ISNUMBER(INDEX('register map'!F:F,C227)),5,""),IF(ISNUMBER(INDEX('register map'!G:G,C227)),4,""),IF(ISNUMBER(INDEX('register map'!H:H,C227)),3,""),IF(ISNUMBER(INDEX('register map'!I:I,C227)),2,""),IF(ISNUMBER(INDEX('register map'!J:J,C227)),1,""),IF(ISNUMBER(INDEX('register map'!K:K,C227)),0,""))</f>
        <v>7</v>
      </c>
      <c r="H227" s="117" t="str">
        <f>RIGHT(INDEX('register map'!V:V,MATCH('Logical Group Generator'!B227,'register map'!L:L,0)),LEN(G227))</f>
        <v>1</v>
      </c>
      <c r="I227" s="117" t="str">
        <f>CONCATENATE(IF(ISNUMBER(INDEX('register map'!K:K,C227)),0,""),IF(ISNUMBER(INDEX('register map'!J:J,C227)),1,""),IF(ISNUMBER(INDEX('register map'!I:I,C227)),2,""),IF(ISNUMBER(INDEX('register map'!H:H,C227)),3,""),IF(ISNUMBER(INDEX('register map'!G:G,C227)),4,""),IF(ISNUMBER(INDEX('register map'!F:F,C227)),5,""),IF(ISNUMBER(INDEX('register map'!E:E,C227)),6,""),IF(ISNUMBER(INDEX('register map'!D:D,C227)),7,""))</f>
        <v>7</v>
      </c>
      <c r="J227" s="117" t="str">
        <f t="shared" si="40"/>
        <v>1</v>
      </c>
      <c r="K227" s="117" t="str">
        <f t="shared" si="33"/>
        <v/>
      </c>
      <c r="L227" s="117" t="str">
        <f t="shared" si="41"/>
        <v/>
      </c>
      <c r="M227" s="117" t="str">
        <f t="shared" si="43"/>
        <v/>
      </c>
      <c r="N227" s="117" t="str">
        <f>IF(ISBLANK(INDEX('register map'!M:M,'Logical Group Generator'!C227)),"No","Yes")</f>
        <v>No</v>
      </c>
      <c r="O227" s="117" t="str">
        <f>IF(NOT(ISBLANK(INDEX('register map'!N:N,'Logical Group Generator'!C227))),"Yes","")</f>
        <v/>
      </c>
      <c r="P227" s="117" t="str">
        <f t="shared" si="34"/>
        <v/>
      </c>
      <c r="Q227" s="117" t="str">
        <f t="shared" si="35"/>
        <v/>
      </c>
      <c r="R227" s="117" t="str">
        <f t="shared" si="36"/>
        <v/>
      </c>
      <c r="S227" s="117" t="str">
        <f t="shared" si="37"/>
        <v>No</v>
      </c>
      <c r="T227" s="117" t="str">
        <f t="shared" si="38"/>
        <v/>
      </c>
      <c r="U227" s="117" t="b">
        <f t="shared" si="42"/>
        <v>0</v>
      </c>
      <c r="V227" s="157" t="b">
        <f>INDEX('register map'!P:P,C227)="yes"</f>
        <v>1</v>
      </c>
      <c r="W227" s="157" t="str">
        <f t="shared" si="39"/>
        <v>FALSE</v>
      </c>
    </row>
    <row r="228" spans="2:23">
      <c r="B228" s="157" t="str">
        <f t="array" ref="B228">IF(ROWS($3:228)&lt;=COUNTA('register map'!$L$5:$L$902),INDEX('register map'!$L$5:$L$902,SMALL(IF('register map'!$L$5:$L$902&lt;&gt;"",ROW('register map'!$L$5:$L$902)-MIN(ROW('register map'!$L$5:$L$902))+1),ROWS($3:228))),"")</f>
        <v>GPO2PG_CTRL2</v>
      </c>
      <c r="C228" s="157">
        <f>IF(B228="PART_NUMBER",IF(COUNTIF($B$1:B227,"PART_NUMBER")=0,6,8),MATCH(B228,'register map'!L:L,0))</f>
        <v>241</v>
      </c>
      <c r="D228" s="117" t="str">
        <f>IF(ISBLANK(INDEX('register map'!C:C,'Logical Group Generator'!C228)),"No","Yes")</f>
        <v>Yes</v>
      </c>
      <c r="E228" s="117" t="str">
        <f>IF(ISBLANK(INDEX('register map'!A:A,C228)),IF(ISBLANK(INDEX('register map'!A:A,C228-1)),IF(ISBLANK(INDEX('register map'!A:A,C228-2)),IF(ISBLANK(INDEX('register map'!A:A,C228-3)),IF(ISBLANK(INDEX('register map'!A:A,C228-4)),IF(ISBLANK(INDEX('register map'!A:A,C228-5)),IF(ISBLANK(INDEX('register map'!A:A,C228-6)),IF(ISBLANK(INDEX('register map'!A:A,C228-7)),IF(ISBLANK(INDEX('register map'!A:A,C228-8)),"ERROR",INDEX('register map'!A:A,C228-8)),INDEX('register map'!A:A,C228-7)),INDEX('register map'!A:A,C228-6)),INDEX('register map'!A:A,C228-5)),INDEX('register map'!A:A,C228-4)),INDEX('register map'!A:A,C228-3)),INDEX('register map'!A:A,C228-2)),INDEX('register map'!A:A,C228-1)),INDEX('register map'!A:A,C228))</f>
        <v>0x5E</v>
      </c>
      <c r="F228" s="117" t="str">
        <f>IF(ISBLANK(INDEX('register map'!B:B,C228)),IF(ISBLANK(INDEX('register map'!B:B,C228-1)),IF(ISBLANK(INDEX('register map'!B:B,C228-2)),IF(ISBLANK(INDEX('register map'!B:B,C228-3)),IF(ISBLANK(INDEX('register map'!B:B,C228-4)),IF(ISBLANK(INDEX('register map'!B:B,C228-5)),IF(ISBLANK(INDEX('register map'!B:B,C228-6)),IF(ISBLANK(INDEX('register map'!B:B,C228-7)),IF(ISBLANK(INDEX('register map'!B:B,C228-8)),"ERROR",INDEX('register map'!B:B,C228-8)),INDEX('register map'!B:B,C228-7)),INDEX('register map'!B:B,C228-6)),INDEX('register map'!B:B,C228-5)),INDEX('register map'!B:B,C228-4)),INDEX('register map'!B:B,C228-3)),INDEX('register map'!B:B,C228-2)),INDEX('register map'!B:B,C228-1)),INDEX('register map'!B:B,C228))</f>
        <v>0xA9</v>
      </c>
      <c r="G228" s="117" t="str">
        <f>CONCATENATE(IF(ISNUMBER(INDEX('register map'!D:D,C228)),7,""),IF(ISNUMBER(INDEX('register map'!E:E,C228)),6,""),IF(ISNUMBER(INDEX('register map'!F:F,C228)),5,""),IF(ISNUMBER(INDEX('register map'!G:G,C228)),4,""),IF(ISNUMBER(INDEX('register map'!H:H,C228)),3,""),IF(ISNUMBER(INDEX('register map'!I:I,C228)),2,""),IF(ISNUMBER(INDEX('register map'!J:J,C228)),1,""),IF(ISNUMBER(INDEX('register map'!K:K,C228)),0,""))</f>
        <v/>
      </c>
      <c r="H228" s="117" t="str">
        <f>RIGHT(INDEX('register map'!V:V,MATCH('Logical Group Generator'!B228,'register map'!L:L,0)),LEN(G228))</f>
        <v/>
      </c>
      <c r="I228" s="117" t="str">
        <f>CONCATENATE(IF(ISNUMBER(INDEX('register map'!K:K,C228)),0,""),IF(ISNUMBER(INDEX('register map'!J:J,C228)),1,""),IF(ISNUMBER(INDEX('register map'!I:I,C228)),2,""),IF(ISNUMBER(INDEX('register map'!H:H,C228)),3,""),IF(ISNUMBER(INDEX('register map'!G:G,C228)),4,""),IF(ISNUMBER(INDEX('register map'!F:F,C228)),5,""),IF(ISNUMBER(INDEX('register map'!E:E,C228)),6,""),IF(ISNUMBER(INDEX('register map'!D:D,C228)),7,""))</f>
        <v/>
      </c>
      <c r="J228" s="117" t="str">
        <f t="shared" si="40"/>
        <v/>
      </c>
      <c r="K228" s="117" t="str">
        <f t="shared" si="33"/>
        <v>01111111</v>
      </c>
      <c r="L228" s="117" t="str">
        <f t="shared" si="41"/>
        <v>11111110</v>
      </c>
      <c r="M228" s="117" t="str">
        <f t="shared" si="43"/>
        <v>FE</v>
      </c>
      <c r="N228" s="117" t="str">
        <f>IF(ISBLANK(INDEX('register map'!M:M,'Logical Group Generator'!C228)),"No","Yes")</f>
        <v>No</v>
      </c>
      <c r="O228" s="117" t="str">
        <f>IF(NOT(ISBLANK(INDEX('register map'!N:N,'Logical Group Generator'!C228))),"Yes","")</f>
        <v/>
      </c>
      <c r="P228" s="117" t="str">
        <f t="shared" si="34"/>
        <v>No</v>
      </c>
      <c r="Q228" s="117" t="str">
        <f t="shared" si="35"/>
        <v>No</v>
      </c>
      <c r="R228" s="117" t="str">
        <f t="shared" si="36"/>
        <v>No</v>
      </c>
      <c r="S228" s="117" t="str">
        <f t="shared" si="37"/>
        <v/>
      </c>
      <c r="T228" s="117" t="b">
        <f t="shared" si="38"/>
        <v>1</v>
      </c>
      <c r="U228" s="117" t="b">
        <f t="shared" si="42"/>
        <v>1</v>
      </c>
      <c r="V228" s="157" t="b">
        <f>INDEX('register map'!P:P,C228)="yes"</f>
        <v>1</v>
      </c>
      <c r="W228" s="157" t="str">
        <f t="shared" si="39"/>
        <v>REGISTER</v>
      </c>
    </row>
    <row r="229" spans="2:23">
      <c r="B229" s="157" t="str">
        <f t="array" ref="B229">IF(ROWS($3:229)&lt;=COUNTA('register map'!$L$5:$L$902),INDEX('register map'!$L$5:$L$902,SMALL(IF('register map'!$L$5:$L$902&lt;&gt;"",ROW('register map'!$L$5:$L$902)-MIN(ROW('register map'!$L$5:$L$902))+1),ROWS($3:229))),"")</f>
        <v>LDOA3_GPO2_MSK</v>
      </c>
      <c r="C229" s="157">
        <f>IF(B229="PART_NUMBER",IF(COUNTIF($B$1:B228,"PART_NUMBER")=0,6,8),MATCH(B229,'register map'!L:L,0))</f>
        <v>242</v>
      </c>
      <c r="D229" s="117" t="str">
        <f>IF(ISBLANK(INDEX('register map'!C:C,'Logical Group Generator'!C229)),"No","Yes")</f>
        <v>No</v>
      </c>
      <c r="E229" s="117" t="str">
        <f>IF(ISBLANK(INDEX('register map'!A:A,C229)),IF(ISBLANK(INDEX('register map'!A:A,C229-1)),IF(ISBLANK(INDEX('register map'!A:A,C229-2)),IF(ISBLANK(INDEX('register map'!A:A,C229-3)),IF(ISBLANK(INDEX('register map'!A:A,C229-4)),IF(ISBLANK(INDEX('register map'!A:A,C229-5)),IF(ISBLANK(INDEX('register map'!A:A,C229-6)),IF(ISBLANK(INDEX('register map'!A:A,C229-7)),IF(ISBLANK(INDEX('register map'!A:A,C229-8)),"ERROR",INDEX('register map'!A:A,C229-8)),INDEX('register map'!A:A,C229-7)),INDEX('register map'!A:A,C229-6)),INDEX('register map'!A:A,C229-5)),INDEX('register map'!A:A,C229-4)),INDEX('register map'!A:A,C229-3)),INDEX('register map'!A:A,C229-2)),INDEX('register map'!A:A,C229-1)),INDEX('register map'!A:A,C229))</f>
        <v>0x5E</v>
      </c>
      <c r="F229" s="117" t="str">
        <f>IF(ISBLANK(INDEX('register map'!B:B,C229)),IF(ISBLANK(INDEX('register map'!B:B,C229-1)),IF(ISBLANK(INDEX('register map'!B:B,C229-2)),IF(ISBLANK(INDEX('register map'!B:B,C229-3)),IF(ISBLANK(INDEX('register map'!B:B,C229-4)),IF(ISBLANK(INDEX('register map'!B:B,C229-5)),IF(ISBLANK(INDEX('register map'!B:B,C229-6)),IF(ISBLANK(INDEX('register map'!B:B,C229-7)),IF(ISBLANK(INDEX('register map'!B:B,C229-8)),"ERROR",INDEX('register map'!B:B,C229-8)),INDEX('register map'!B:B,C229-7)),INDEX('register map'!B:B,C229-6)),INDEX('register map'!B:B,C229-5)),INDEX('register map'!B:B,C229-4)),INDEX('register map'!B:B,C229-3)),INDEX('register map'!B:B,C229-2)),INDEX('register map'!B:B,C229-1)),INDEX('register map'!B:B,C229))</f>
        <v>0xA9</v>
      </c>
      <c r="G229" s="117" t="str">
        <f>CONCATENATE(IF(ISNUMBER(INDEX('register map'!D:D,C229)),7,""),IF(ISNUMBER(INDEX('register map'!E:E,C229)),6,""),IF(ISNUMBER(INDEX('register map'!F:F,C229)),5,""),IF(ISNUMBER(INDEX('register map'!G:G,C229)),4,""),IF(ISNUMBER(INDEX('register map'!H:H,C229)),3,""),IF(ISNUMBER(INDEX('register map'!I:I,C229)),2,""),IF(ISNUMBER(INDEX('register map'!J:J,C229)),1,""),IF(ISNUMBER(INDEX('register map'!K:K,C229)),0,""))</f>
        <v>0</v>
      </c>
      <c r="H229" s="117" t="str">
        <f>RIGHT(INDEX('register map'!V:V,MATCH('Logical Group Generator'!B229,'register map'!L:L,0)),LEN(G229))</f>
        <v>0</v>
      </c>
      <c r="I229" s="117" t="str">
        <f>CONCATENATE(IF(ISNUMBER(INDEX('register map'!K:K,C229)),0,""),IF(ISNUMBER(INDEX('register map'!J:J,C229)),1,""),IF(ISNUMBER(INDEX('register map'!I:I,C229)),2,""),IF(ISNUMBER(INDEX('register map'!H:H,C229)),3,""),IF(ISNUMBER(INDEX('register map'!G:G,C229)),4,""),IF(ISNUMBER(INDEX('register map'!F:F,C229)),5,""),IF(ISNUMBER(INDEX('register map'!E:E,C229)),6,""),IF(ISNUMBER(INDEX('register map'!D:D,C229)),7,""))</f>
        <v>0</v>
      </c>
      <c r="J229" s="117" t="str">
        <f t="shared" si="40"/>
        <v>0</v>
      </c>
      <c r="K229" s="117" t="str">
        <f t="shared" si="33"/>
        <v/>
      </c>
      <c r="L229" s="117" t="str">
        <f t="shared" si="41"/>
        <v/>
      </c>
      <c r="M229" s="117" t="str">
        <f t="shared" si="43"/>
        <v/>
      </c>
      <c r="N229" s="117" t="str">
        <f>IF(ISBLANK(INDEX('register map'!M:M,'Logical Group Generator'!C229)),"No","Yes")</f>
        <v>No</v>
      </c>
      <c r="O229" s="117" t="str">
        <f>IF(NOT(ISBLANK(INDEX('register map'!N:N,'Logical Group Generator'!C229))),"Yes","")</f>
        <v/>
      </c>
      <c r="P229" s="117" t="str">
        <f t="shared" si="34"/>
        <v/>
      </c>
      <c r="Q229" s="117" t="str">
        <f t="shared" si="35"/>
        <v/>
      </c>
      <c r="R229" s="117" t="str">
        <f t="shared" si="36"/>
        <v/>
      </c>
      <c r="S229" s="117" t="str">
        <f t="shared" si="37"/>
        <v>No</v>
      </c>
      <c r="T229" s="117" t="str">
        <f t="shared" si="38"/>
        <v/>
      </c>
      <c r="U229" s="117" t="b">
        <f t="shared" si="42"/>
        <v>0</v>
      </c>
      <c r="V229" s="157" t="b">
        <f>INDEX('register map'!P:P,C229)="yes"</f>
        <v>1</v>
      </c>
      <c r="W229" s="157" t="str">
        <f t="shared" si="39"/>
        <v>FALSE</v>
      </c>
    </row>
    <row r="230" spans="2:23">
      <c r="B230" s="157" t="str">
        <f t="array" ref="B230">IF(ROWS($3:230)&lt;=COUNTA('register map'!$L$5:$L$902),INDEX('register map'!$L$5:$L$902,SMALL(IF('register map'!$L$5:$L$902&lt;&gt;"",ROW('register map'!$L$5:$L$902)-MIN(ROW('register map'!$L$5:$L$902))+1),ROWS($3:230))),"")</f>
        <v>SWB1_GPO2_MSK</v>
      </c>
      <c r="C230" s="157">
        <f>IF(B230="PART_NUMBER",IF(COUNTIF($B$1:B229,"PART_NUMBER")=0,6,8),MATCH(B230,'register map'!L:L,0))</f>
        <v>243</v>
      </c>
      <c r="D230" s="117" t="str">
        <f>IF(ISBLANK(INDEX('register map'!C:C,'Logical Group Generator'!C230)),"No","Yes")</f>
        <v>No</v>
      </c>
      <c r="E230" s="117" t="str">
        <f>IF(ISBLANK(INDEX('register map'!A:A,C230)),IF(ISBLANK(INDEX('register map'!A:A,C230-1)),IF(ISBLANK(INDEX('register map'!A:A,C230-2)),IF(ISBLANK(INDEX('register map'!A:A,C230-3)),IF(ISBLANK(INDEX('register map'!A:A,C230-4)),IF(ISBLANK(INDEX('register map'!A:A,C230-5)),IF(ISBLANK(INDEX('register map'!A:A,C230-6)),IF(ISBLANK(INDEX('register map'!A:A,C230-7)),IF(ISBLANK(INDEX('register map'!A:A,C230-8)),"ERROR",INDEX('register map'!A:A,C230-8)),INDEX('register map'!A:A,C230-7)),INDEX('register map'!A:A,C230-6)),INDEX('register map'!A:A,C230-5)),INDEX('register map'!A:A,C230-4)),INDEX('register map'!A:A,C230-3)),INDEX('register map'!A:A,C230-2)),INDEX('register map'!A:A,C230-1)),INDEX('register map'!A:A,C230))</f>
        <v>0x5E</v>
      </c>
      <c r="F230" s="117" t="str">
        <f>IF(ISBLANK(INDEX('register map'!B:B,C230)),IF(ISBLANK(INDEX('register map'!B:B,C230-1)),IF(ISBLANK(INDEX('register map'!B:B,C230-2)),IF(ISBLANK(INDEX('register map'!B:B,C230-3)),IF(ISBLANK(INDEX('register map'!B:B,C230-4)),IF(ISBLANK(INDEX('register map'!B:B,C230-5)),IF(ISBLANK(INDEX('register map'!B:B,C230-6)),IF(ISBLANK(INDEX('register map'!B:B,C230-7)),IF(ISBLANK(INDEX('register map'!B:B,C230-8)),"ERROR",INDEX('register map'!B:B,C230-8)),INDEX('register map'!B:B,C230-7)),INDEX('register map'!B:B,C230-6)),INDEX('register map'!B:B,C230-5)),INDEX('register map'!B:B,C230-4)),INDEX('register map'!B:B,C230-3)),INDEX('register map'!B:B,C230-2)),INDEX('register map'!B:B,C230-1)),INDEX('register map'!B:B,C230))</f>
        <v>0xA9</v>
      </c>
      <c r="G230" s="117" t="str">
        <f>CONCATENATE(IF(ISNUMBER(INDEX('register map'!D:D,C230)),7,""),IF(ISNUMBER(INDEX('register map'!E:E,C230)),6,""),IF(ISNUMBER(INDEX('register map'!F:F,C230)),5,""),IF(ISNUMBER(INDEX('register map'!G:G,C230)),4,""),IF(ISNUMBER(INDEX('register map'!H:H,C230)),3,""),IF(ISNUMBER(INDEX('register map'!I:I,C230)),2,""),IF(ISNUMBER(INDEX('register map'!J:J,C230)),1,""),IF(ISNUMBER(INDEX('register map'!K:K,C230)),0,""))</f>
        <v>1</v>
      </c>
      <c r="H230" s="117" t="str">
        <f>RIGHT(INDEX('register map'!V:V,MATCH('Logical Group Generator'!B230,'register map'!L:L,0)),LEN(G230))</f>
        <v>1</v>
      </c>
      <c r="I230" s="117" t="str">
        <f>CONCATENATE(IF(ISNUMBER(INDEX('register map'!K:K,C230)),0,""),IF(ISNUMBER(INDEX('register map'!J:J,C230)),1,""),IF(ISNUMBER(INDEX('register map'!I:I,C230)),2,""),IF(ISNUMBER(INDEX('register map'!H:H,C230)),3,""),IF(ISNUMBER(INDEX('register map'!G:G,C230)),4,""),IF(ISNUMBER(INDEX('register map'!F:F,C230)),5,""),IF(ISNUMBER(INDEX('register map'!E:E,C230)),6,""),IF(ISNUMBER(INDEX('register map'!D:D,C230)),7,""))</f>
        <v>1</v>
      </c>
      <c r="J230" s="117" t="str">
        <f t="shared" si="40"/>
        <v>1</v>
      </c>
      <c r="K230" s="117" t="str">
        <f t="shared" si="33"/>
        <v/>
      </c>
      <c r="L230" s="117" t="str">
        <f t="shared" si="41"/>
        <v/>
      </c>
      <c r="M230" s="117" t="str">
        <f t="shared" si="43"/>
        <v/>
      </c>
      <c r="N230" s="117" t="str">
        <f>IF(ISBLANK(INDEX('register map'!M:M,'Logical Group Generator'!C230)),"No","Yes")</f>
        <v>No</v>
      </c>
      <c r="O230" s="117" t="str">
        <f>IF(NOT(ISBLANK(INDEX('register map'!N:N,'Logical Group Generator'!C230))),"Yes","")</f>
        <v/>
      </c>
      <c r="P230" s="117" t="str">
        <f t="shared" si="34"/>
        <v/>
      </c>
      <c r="Q230" s="117" t="str">
        <f t="shared" si="35"/>
        <v/>
      </c>
      <c r="R230" s="117" t="str">
        <f t="shared" si="36"/>
        <v/>
      </c>
      <c r="S230" s="117" t="str">
        <f t="shared" si="37"/>
        <v>No</v>
      </c>
      <c r="T230" s="117" t="str">
        <f t="shared" si="38"/>
        <v/>
      </c>
      <c r="U230" s="117" t="b">
        <f t="shared" si="42"/>
        <v>0</v>
      </c>
      <c r="V230" s="157" t="b">
        <f>INDEX('register map'!P:P,C230)="yes"</f>
        <v>1</v>
      </c>
      <c r="W230" s="157" t="str">
        <f t="shared" si="39"/>
        <v>FALSE</v>
      </c>
    </row>
    <row r="231" spans="2:23">
      <c r="B231" s="157" t="str">
        <f t="array" ref="B231">IF(ROWS($3:231)&lt;=COUNTA('register map'!$L$5:$L$902),INDEX('register map'!$L$5:$L$902,SMALL(IF('register map'!$L$5:$L$902&lt;&gt;"",ROW('register map'!$L$5:$L$902)-MIN(ROW('register map'!$L$5:$L$902))+1),ROWS($3:231))),"")</f>
        <v>SWB2_LDOA1_GPO2_MSK</v>
      </c>
      <c r="C231" s="157">
        <f>IF(B231="PART_NUMBER",IF(COUNTIF($B$1:B230,"PART_NUMBER")=0,6,8),MATCH(B231,'register map'!L:L,0))</f>
        <v>244</v>
      </c>
      <c r="D231" s="117" t="str">
        <f>IF(ISBLANK(INDEX('register map'!C:C,'Logical Group Generator'!C231)),"No","Yes")</f>
        <v>No</v>
      </c>
      <c r="E231" s="117" t="str">
        <f>IF(ISBLANK(INDEX('register map'!A:A,C231)),IF(ISBLANK(INDEX('register map'!A:A,C231-1)),IF(ISBLANK(INDEX('register map'!A:A,C231-2)),IF(ISBLANK(INDEX('register map'!A:A,C231-3)),IF(ISBLANK(INDEX('register map'!A:A,C231-4)),IF(ISBLANK(INDEX('register map'!A:A,C231-5)),IF(ISBLANK(INDEX('register map'!A:A,C231-6)),IF(ISBLANK(INDEX('register map'!A:A,C231-7)),IF(ISBLANK(INDEX('register map'!A:A,C231-8)),"ERROR",INDEX('register map'!A:A,C231-8)),INDEX('register map'!A:A,C231-7)),INDEX('register map'!A:A,C231-6)),INDEX('register map'!A:A,C231-5)),INDEX('register map'!A:A,C231-4)),INDEX('register map'!A:A,C231-3)),INDEX('register map'!A:A,C231-2)),INDEX('register map'!A:A,C231-1)),INDEX('register map'!A:A,C231))</f>
        <v>0x5E</v>
      </c>
      <c r="F231" s="117" t="str">
        <f>IF(ISBLANK(INDEX('register map'!B:B,C231)),IF(ISBLANK(INDEX('register map'!B:B,C231-1)),IF(ISBLANK(INDEX('register map'!B:B,C231-2)),IF(ISBLANK(INDEX('register map'!B:B,C231-3)),IF(ISBLANK(INDEX('register map'!B:B,C231-4)),IF(ISBLANK(INDEX('register map'!B:B,C231-5)),IF(ISBLANK(INDEX('register map'!B:B,C231-6)),IF(ISBLANK(INDEX('register map'!B:B,C231-7)),IF(ISBLANK(INDEX('register map'!B:B,C231-8)),"ERROR",INDEX('register map'!B:B,C231-8)),INDEX('register map'!B:B,C231-7)),INDEX('register map'!B:B,C231-6)),INDEX('register map'!B:B,C231-5)),INDEX('register map'!B:B,C231-4)),INDEX('register map'!B:B,C231-3)),INDEX('register map'!B:B,C231-2)),INDEX('register map'!B:B,C231-1)),INDEX('register map'!B:B,C231))</f>
        <v>0xA9</v>
      </c>
      <c r="G231" s="117" t="str">
        <f>CONCATENATE(IF(ISNUMBER(INDEX('register map'!D:D,C231)),7,""),IF(ISNUMBER(INDEX('register map'!E:E,C231)),6,""),IF(ISNUMBER(INDEX('register map'!F:F,C231)),5,""),IF(ISNUMBER(INDEX('register map'!G:G,C231)),4,""),IF(ISNUMBER(INDEX('register map'!H:H,C231)),3,""),IF(ISNUMBER(INDEX('register map'!I:I,C231)),2,""),IF(ISNUMBER(INDEX('register map'!J:J,C231)),1,""),IF(ISNUMBER(INDEX('register map'!K:K,C231)),0,""))</f>
        <v>2</v>
      </c>
      <c r="H231" s="117" t="str">
        <f>RIGHT(INDEX('register map'!V:V,MATCH('Logical Group Generator'!B231,'register map'!L:L,0)),LEN(G231))</f>
        <v>1</v>
      </c>
      <c r="I231" s="117" t="str">
        <f>CONCATENATE(IF(ISNUMBER(INDEX('register map'!K:K,C231)),0,""),IF(ISNUMBER(INDEX('register map'!J:J,C231)),1,""),IF(ISNUMBER(INDEX('register map'!I:I,C231)),2,""),IF(ISNUMBER(INDEX('register map'!H:H,C231)),3,""),IF(ISNUMBER(INDEX('register map'!G:G,C231)),4,""),IF(ISNUMBER(INDEX('register map'!F:F,C231)),5,""),IF(ISNUMBER(INDEX('register map'!E:E,C231)),6,""),IF(ISNUMBER(INDEX('register map'!D:D,C231)),7,""))</f>
        <v>2</v>
      </c>
      <c r="J231" s="117" t="str">
        <f t="shared" si="40"/>
        <v>1</v>
      </c>
      <c r="K231" s="117" t="str">
        <f t="shared" si="33"/>
        <v/>
      </c>
      <c r="L231" s="117" t="str">
        <f t="shared" si="41"/>
        <v/>
      </c>
      <c r="M231" s="117" t="str">
        <f t="shared" si="43"/>
        <v/>
      </c>
      <c r="N231" s="117" t="str">
        <f>IF(ISBLANK(INDEX('register map'!M:M,'Logical Group Generator'!C231)),"No","Yes")</f>
        <v>No</v>
      </c>
      <c r="O231" s="117" t="str">
        <f>IF(NOT(ISBLANK(INDEX('register map'!N:N,'Logical Group Generator'!C231))),"Yes","")</f>
        <v/>
      </c>
      <c r="P231" s="117" t="str">
        <f t="shared" si="34"/>
        <v/>
      </c>
      <c r="Q231" s="117" t="str">
        <f t="shared" si="35"/>
        <v/>
      </c>
      <c r="R231" s="117" t="str">
        <f t="shared" si="36"/>
        <v/>
      </c>
      <c r="S231" s="117" t="str">
        <f t="shared" si="37"/>
        <v>No</v>
      </c>
      <c r="T231" s="117" t="str">
        <f t="shared" si="38"/>
        <v/>
      </c>
      <c r="U231" s="117" t="b">
        <f t="shared" si="42"/>
        <v>0</v>
      </c>
      <c r="V231" s="157" t="b">
        <f>INDEX('register map'!P:P,C231)="yes"</f>
        <v>1</v>
      </c>
      <c r="W231" s="157" t="str">
        <f t="shared" si="39"/>
        <v>FALSE</v>
      </c>
    </row>
    <row r="232" spans="2:23">
      <c r="B232" s="157" t="str">
        <f t="array" ref="B232">IF(ROWS($3:232)&lt;=COUNTA('register map'!$L$5:$L$902),INDEX('register map'!$L$5:$L$902,SMALL(IF('register map'!$L$5:$L$902&lt;&gt;"",ROW('register map'!$L$5:$L$902)-MIN(ROW('register map'!$L$5:$L$902))+1),ROWS($3:232))),"")</f>
        <v>VTT_GPO2_MSK</v>
      </c>
      <c r="C232" s="157">
        <f>IF(B232="PART_NUMBER",IF(COUNTIF($B$1:B231,"PART_NUMBER")=0,6,8),MATCH(B232,'register map'!L:L,0))</f>
        <v>245</v>
      </c>
      <c r="D232" s="117" t="str">
        <f>IF(ISBLANK(INDEX('register map'!C:C,'Logical Group Generator'!C232)),"No","Yes")</f>
        <v>No</v>
      </c>
      <c r="E232" s="117" t="str">
        <f>IF(ISBLANK(INDEX('register map'!A:A,C232)),IF(ISBLANK(INDEX('register map'!A:A,C232-1)),IF(ISBLANK(INDEX('register map'!A:A,C232-2)),IF(ISBLANK(INDEX('register map'!A:A,C232-3)),IF(ISBLANK(INDEX('register map'!A:A,C232-4)),IF(ISBLANK(INDEX('register map'!A:A,C232-5)),IF(ISBLANK(INDEX('register map'!A:A,C232-6)),IF(ISBLANK(INDEX('register map'!A:A,C232-7)),IF(ISBLANK(INDEX('register map'!A:A,C232-8)),"ERROR",INDEX('register map'!A:A,C232-8)),INDEX('register map'!A:A,C232-7)),INDEX('register map'!A:A,C232-6)),INDEX('register map'!A:A,C232-5)),INDEX('register map'!A:A,C232-4)),INDEX('register map'!A:A,C232-3)),INDEX('register map'!A:A,C232-2)),INDEX('register map'!A:A,C232-1)),INDEX('register map'!A:A,C232))</f>
        <v>0x5E</v>
      </c>
      <c r="F232" s="117" t="str">
        <f>IF(ISBLANK(INDEX('register map'!B:B,C232)),IF(ISBLANK(INDEX('register map'!B:B,C232-1)),IF(ISBLANK(INDEX('register map'!B:B,C232-2)),IF(ISBLANK(INDEX('register map'!B:B,C232-3)),IF(ISBLANK(INDEX('register map'!B:B,C232-4)),IF(ISBLANK(INDEX('register map'!B:B,C232-5)),IF(ISBLANK(INDEX('register map'!B:B,C232-6)),IF(ISBLANK(INDEX('register map'!B:B,C232-7)),IF(ISBLANK(INDEX('register map'!B:B,C232-8)),"ERROR",INDEX('register map'!B:B,C232-8)),INDEX('register map'!B:B,C232-7)),INDEX('register map'!B:B,C232-6)),INDEX('register map'!B:B,C232-5)),INDEX('register map'!B:B,C232-4)),INDEX('register map'!B:B,C232-3)),INDEX('register map'!B:B,C232-2)),INDEX('register map'!B:B,C232-1)),INDEX('register map'!B:B,C232))</f>
        <v>0xA9</v>
      </c>
      <c r="G232" s="117" t="str">
        <f>CONCATENATE(IF(ISNUMBER(INDEX('register map'!D:D,C232)),7,""),IF(ISNUMBER(INDEX('register map'!E:E,C232)),6,""),IF(ISNUMBER(INDEX('register map'!F:F,C232)),5,""),IF(ISNUMBER(INDEX('register map'!G:G,C232)),4,""),IF(ISNUMBER(INDEX('register map'!H:H,C232)),3,""),IF(ISNUMBER(INDEX('register map'!I:I,C232)),2,""),IF(ISNUMBER(INDEX('register map'!J:J,C232)),1,""),IF(ISNUMBER(INDEX('register map'!K:K,C232)),0,""))</f>
        <v>3</v>
      </c>
      <c r="H232" s="117" t="str">
        <f>RIGHT(INDEX('register map'!V:V,MATCH('Logical Group Generator'!B232,'register map'!L:L,0)),LEN(G232))</f>
        <v>1</v>
      </c>
      <c r="I232" s="117" t="str">
        <f>CONCATENATE(IF(ISNUMBER(INDEX('register map'!K:K,C232)),0,""),IF(ISNUMBER(INDEX('register map'!J:J,C232)),1,""),IF(ISNUMBER(INDEX('register map'!I:I,C232)),2,""),IF(ISNUMBER(INDEX('register map'!H:H,C232)),3,""),IF(ISNUMBER(INDEX('register map'!G:G,C232)),4,""),IF(ISNUMBER(INDEX('register map'!F:F,C232)),5,""),IF(ISNUMBER(INDEX('register map'!E:E,C232)),6,""),IF(ISNUMBER(INDEX('register map'!D:D,C232)),7,""))</f>
        <v>3</v>
      </c>
      <c r="J232" s="117" t="str">
        <f t="shared" si="40"/>
        <v>1</v>
      </c>
      <c r="K232" s="117" t="str">
        <f t="shared" si="33"/>
        <v/>
      </c>
      <c r="L232" s="117" t="str">
        <f t="shared" si="41"/>
        <v/>
      </c>
      <c r="M232" s="117" t="str">
        <f t="shared" si="43"/>
        <v/>
      </c>
      <c r="N232" s="117" t="str">
        <f>IF(ISBLANK(INDEX('register map'!M:M,'Logical Group Generator'!C232)),"No","Yes")</f>
        <v>No</v>
      </c>
      <c r="O232" s="117" t="str">
        <f>IF(NOT(ISBLANK(INDEX('register map'!N:N,'Logical Group Generator'!C232))),"Yes","")</f>
        <v/>
      </c>
      <c r="P232" s="117" t="str">
        <f t="shared" si="34"/>
        <v/>
      </c>
      <c r="Q232" s="117" t="str">
        <f t="shared" si="35"/>
        <v/>
      </c>
      <c r="R232" s="117" t="str">
        <f t="shared" si="36"/>
        <v/>
      </c>
      <c r="S232" s="117" t="str">
        <f t="shared" si="37"/>
        <v>No</v>
      </c>
      <c r="T232" s="117" t="str">
        <f t="shared" si="38"/>
        <v/>
      </c>
      <c r="U232" s="117" t="b">
        <f t="shared" si="42"/>
        <v>0</v>
      </c>
      <c r="V232" s="157" t="b">
        <f>INDEX('register map'!P:P,C232)="yes"</f>
        <v>1</v>
      </c>
      <c r="W232" s="157" t="str">
        <f t="shared" si="39"/>
        <v>FALSE</v>
      </c>
    </row>
    <row r="233" spans="2:23">
      <c r="B233" s="157" t="str">
        <f t="array" ref="B233">IF(ROWS($3:233)&lt;=COUNTA('register map'!$L$5:$L$902),INDEX('register map'!$L$5:$L$902,SMALL(IF('register map'!$L$5:$L$902&lt;&gt;"",ROW('register map'!$L$5:$L$902)-MIN(ROW('register map'!$L$5:$L$902))+1),ROWS($3:233))),"")</f>
        <v>CTL1_GPO2_MSK</v>
      </c>
      <c r="C233" s="157">
        <f>IF(B233="PART_NUMBER",IF(COUNTIF($B$1:B232,"PART_NUMBER")=0,6,8),MATCH(B233,'register map'!L:L,0))</f>
        <v>246</v>
      </c>
      <c r="D233" s="117" t="str">
        <f>IF(ISBLANK(INDEX('register map'!C:C,'Logical Group Generator'!C233)),"No","Yes")</f>
        <v>No</v>
      </c>
      <c r="E233" s="117" t="str">
        <f>IF(ISBLANK(INDEX('register map'!A:A,C233)),IF(ISBLANK(INDEX('register map'!A:A,C233-1)),IF(ISBLANK(INDEX('register map'!A:A,C233-2)),IF(ISBLANK(INDEX('register map'!A:A,C233-3)),IF(ISBLANK(INDEX('register map'!A:A,C233-4)),IF(ISBLANK(INDEX('register map'!A:A,C233-5)),IF(ISBLANK(INDEX('register map'!A:A,C233-6)),IF(ISBLANK(INDEX('register map'!A:A,C233-7)),IF(ISBLANK(INDEX('register map'!A:A,C233-8)),"ERROR",INDEX('register map'!A:A,C233-8)),INDEX('register map'!A:A,C233-7)),INDEX('register map'!A:A,C233-6)),INDEX('register map'!A:A,C233-5)),INDEX('register map'!A:A,C233-4)),INDEX('register map'!A:A,C233-3)),INDEX('register map'!A:A,C233-2)),INDEX('register map'!A:A,C233-1)),INDEX('register map'!A:A,C233))</f>
        <v>0x5E</v>
      </c>
      <c r="F233" s="117" t="str">
        <f>IF(ISBLANK(INDEX('register map'!B:B,C233)),IF(ISBLANK(INDEX('register map'!B:B,C233-1)),IF(ISBLANK(INDEX('register map'!B:B,C233-2)),IF(ISBLANK(INDEX('register map'!B:B,C233-3)),IF(ISBLANK(INDEX('register map'!B:B,C233-4)),IF(ISBLANK(INDEX('register map'!B:B,C233-5)),IF(ISBLANK(INDEX('register map'!B:B,C233-6)),IF(ISBLANK(INDEX('register map'!B:B,C233-7)),IF(ISBLANK(INDEX('register map'!B:B,C233-8)),"ERROR",INDEX('register map'!B:B,C233-8)),INDEX('register map'!B:B,C233-7)),INDEX('register map'!B:B,C233-6)),INDEX('register map'!B:B,C233-5)),INDEX('register map'!B:B,C233-4)),INDEX('register map'!B:B,C233-3)),INDEX('register map'!B:B,C233-2)),INDEX('register map'!B:B,C233-1)),INDEX('register map'!B:B,C233))</f>
        <v>0xA9</v>
      </c>
      <c r="G233" s="117" t="str">
        <f>CONCATENATE(IF(ISNUMBER(INDEX('register map'!D:D,C233)),7,""),IF(ISNUMBER(INDEX('register map'!E:E,C233)),6,""),IF(ISNUMBER(INDEX('register map'!F:F,C233)),5,""),IF(ISNUMBER(INDEX('register map'!G:G,C233)),4,""),IF(ISNUMBER(INDEX('register map'!H:H,C233)),3,""),IF(ISNUMBER(INDEX('register map'!I:I,C233)),2,""),IF(ISNUMBER(INDEX('register map'!J:J,C233)),1,""),IF(ISNUMBER(INDEX('register map'!K:K,C233)),0,""))</f>
        <v>4</v>
      </c>
      <c r="H233" s="117" t="str">
        <f>RIGHT(INDEX('register map'!V:V,MATCH('Logical Group Generator'!B233,'register map'!L:L,0)),LEN(G233))</f>
        <v>1</v>
      </c>
      <c r="I233" s="117" t="str">
        <f>CONCATENATE(IF(ISNUMBER(INDEX('register map'!K:K,C233)),0,""),IF(ISNUMBER(INDEX('register map'!J:J,C233)),1,""),IF(ISNUMBER(INDEX('register map'!I:I,C233)),2,""),IF(ISNUMBER(INDEX('register map'!H:H,C233)),3,""),IF(ISNUMBER(INDEX('register map'!G:G,C233)),4,""),IF(ISNUMBER(INDEX('register map'!F:F,C233)),5,""),IF(ISNUMBER(INDEX('register map'!E:E,C233)),6,""),IF(ISNUMBER(INDEX('register map'!D:D,C233)),7,""))</f>
        <v>4</v>
      </c>
      <c r="J233" s="117" t="str">
        <f t="shared" si="40"/>
        <v>1</v>
      </c>
      <c r="K233" s="117" t="str">
        <f t="shared" si="33"/>
        <v/>
      </c>
      <c r="L233" s="117" t="str">
        <f t="shared" si="41"/>
        <v/>
      </c>
      <c r="M233" s="117" t="str">
        <f t="shared" si="43"/>
        <v/>
      </c>
      <c r="N233" s="117" t="str">
        <f>IF(ISBLANK(INDEX('register map'!M:M,'Logical Group Generator'!C233)),"No","Yes")</f>
        <v>No</v>
      </c>
      <c r="O233" s="117" t="str">
        <f>IF(NOT(ISBLANK(INDEX('register map'!N:N,'Logical Group Generator'!C233))),"Yes","")</f>
        <v/>
      </c>
      <c r="P233" s="117" t="str">
        <f t="shared" si="34"/>
        <v/>
      </c>
      <c r="Q233" s="117" t="str">
        <f t="shared" si="35"/>
        <v/>
      </c>
      <c r="R233" s="117" t="str">
        <f t="shared" si="36"/>
        <v/>
      </c>
      <c r="S233" s="117" t="str">
        <f t="shared" si="37"/>
        <v>No</v>
      </c>
      <c r="T233" s="117" t="str">
        <f t="shared" si="38"/>
        <v/>
      </c>
      <c r="U233" s="117" t="b">
        <f t="shared" si="42"/>
        <v>0</v>
      </c>
      <c r="V233" s="157" t="b">
        <f>INDEX('register map'!P:P,C233)="yes"</f>
        <v>1</v>
      </c>
      <c r="W233" s="157" t="str">
        <f t="shared" si="39"/>
        <v>FALSE</v>
      </c>
    </row>
    <row r="234" spans="2:23">
      <c r="B234" s="157" t="str">
        <f t="array" ref="B234">IF(ROWS($3:234)&lt;=COUNTA('register map'!$L$5:$L$902),INDEX('register map'!$L$5:$L$902,SMALL(IF('register map'!$L$5:$L$902&lt;&gt;"",ROW('register map'!$L$5:$L$902)-MIN(ROW('register map'!$L$5:$L$902))+1),ROWS($3:234))),"")</f>
        <v>CTL2_GPO2_MSK</v>
      </c>
      <c r="C234" s="157">
        <f>IF(B234="PART_NUMBER",IF(COUNTIF($B$1:B233,"PART_NUMBER")=0,6,8),MATCH(B234,'register map'!L:L,0))</f>
        <v>247</v>
      </c>
      <c r="D234" s="117" t="str">
        <f>IF(ISBLANK(INDEX('register map'!C:C,'Logical Group Generator'!C234)),"No","Yes")</f>
        <v>No</v>
      </c>
      <c r="E234" s="117" t="str">
        <f>IF(ISBLANK(INDEX('register map'!A:A,C234)),IF(ISBLANK(INDEX('register map'!A:A,C234-1)),IF(ISBLANK(INDEX('register map'!A:A,C234-2)),IF(ISBLANK(INDEX('register map'!A:A,C234-3)),IF(ISBLANK(INDEX('register map'!A:A,C234-4)),IF(ISBLANK(INDEX('register map'!A:A,C234-5)),IF(ISBLANK(INDEX('register map'!A:A,C234-6)),IF(ISBLANK(INDEX('register map'!A:A,C234-7)),IF(ISBLANK(INDEX('register map'!A:A,C234-8)),"ERROR",INDEX('register map'!A:A,C234-8)),INDEX('register map'!A:A,C234-7)),INDEX('register map'!A:A,C234-6)),INDEX('register map'!A:A,C234-5)),INDEX('register map'!A:A,C234-4)),INDEX('register map'!A:A,C234-3)),INDEX('register map'!A:A,C234-2)),INDEX('register map'!A:A,C234-1)),INDEX('register map'!A:A,C234))</f>
        <v>0x5E</v>
      </c>
      <c r="F234" s="117" t="str">
        <f>IF(ISBLANK(INDEX('register map'!B:B,C234)),IF(ISBLANK(INDEX('register map'!B:B,C234-1)),IF(ISBLANK(INDEX('register map'!B:B,C234-2)),IF(ISBLANK(INDEX('register map'!B:B,C234-3)),IF(ISBLANK(INDEX('register map'!B:B,C234-4)),IF(ISBLANK(INDEX('register map'!B:B,C234-5)),IF(ISBLANK(INDEX('register map'!B:B,C234-6)),IF(ISBLANK(INDEX('register map'!B:B,C234-7)),IF(ISBLANK(INDEX('register map'!B:B,C234-8)),"ERROR",INDEX('register map'!B:B,C234-8)),INDEX('register map'!B:B,C234-7)),INDEX('register map'!B:B,C234-6)),INDEX('register map'!B:B,C234-5)),INDEX('register map'!B:B,C234-4)),INDEX('register map'!B:B,C234-3)),INDEX('register map'!B:B,C234-2)),INDEX('register map'!B:B,C234-1)),INDEX('register map'!B:B,C234))</f>
        <v>0xA9</v>
      </c>
      <c r="G234" s="117" t="str">
        <f>CONCATENATE(IF(ISNUMBER(INDEX('register map'!D:D,C234)),7,""),IF(ISNUMBER(INDEX('register map'!E:E,C234)),6,""),IF(ISNUMBER(INDEX('register map'!F:F,C234)),5,""),IF(ISNUMBER(INDEX('register map'!G:G,C234)),4,""),IF(ISNUMBER(INDEX('register map'!H:H,C234)),3,""),IF(ISNUMBER(INDEX('register map'!I:I,C234)),2,""),IF(ISNUMBER(INDEX('register map'!J:J,C234)),1,""),IF(ISNUMBER(INDEX('register map'!K:K,C234)),0,""))</f>
        <v>5</v>
      </c>
      <c r="H234" s="117" t="str">
        <f>RIGHT(INDEX('register map'!V:V,MATCH('Logical Group Generator'!B234,'register map'!L:L,0)),LEN(G234))</f>
        <v>1</v>
      </c>
      <c r="I234" s="117" t="str">
        <f>CONCATENATE(IF(ISNUMBER(INDEX('register map'!K:K,C234)),0,""),IF(ISNUMBER(INDEX('register map'!J:J,C234)),1,""),IF(ISNUMBER(INDEX('register map'!I:I,C234)),2,""),IF(ISNUMBER(INDEX('register map'!H:H,C234)),3,""),IF(ISNUMBER(INDEX('register map'!G:G,C234)),4,""),IF(ISNUMBER(INDEX('register map'!F:F,C234)),5,""),IF(ISNUMBER(INDEX('register map'!E:E,C234)),6,""),IF(ISNUMBER(INDEX('register map'!D:D,C234)),7,""))</f>
        <v>5</v>
      </c>
      <c r="J234" s="117" t="str">
        <f t="shared" si="40"/>
        <v>1</v>
      </c>
      <c r="K234" s="117" t="str">
        <f t="shared" si="33"/>
        <v/>
      </c>
      <c r="L234" s="117" t="str">
        <f t="shared" si="41"/>
        <v/>
      </c>
      <c r="M234" s="117" t="str">
        <f t="shared" si="43"/>
        <v/>
      </c>
      <c r="N234" s="117" t="str">
        <f>IF(ISBLANK(INDEX('register map'!M:M,'Logical Group Generator'!C234)),"No","Yes")</f>
        <v>No</v>
      </c>
      <c r="O234" s="117" t="str">
        <f>IF(NOT(ISBLANK(INDEX('register map'!N:N,'Logical Group Generator'!C234))),"Yes","")</f>
        <v/>
      </c>
      <c r="P234" s="117" t="str">
        <f t="shared" si="34"/>
        <v/>
      </c>
      <c r="Q234" s="117" t="str">
        <f t="shared" si="35"/>
        <v/>
      </c>
      <c r="R234" s="117" t="str">
        <f t="shared" si="36"/>
        <v/>
      </c>
      <c r="S234" s="117" t="str">
        <f t="shared" si="37"/>
        <v>No</v>
      </c>
      <c r="T234" s="117" t="str">
        <f t="shared" si="38"/>
        <v/>
      </c>
      <c r="U234" s="117" t="b">
        <f t="shared" si="42"/>
        <v>0</v>
      </c>
      <c r="V234" s="157" t="b">
        <f>INDEX('register map'!P:P,C234)="yes"</f>
        <v>1</v>
      </c>
      <c r="W234" s="157" t="str">
        <f t="shared" si="39"/>
        <v>FALSE</v>
      </c>
    </row>
    <row r="235" spans="2:23">
      <c r="B235" s="157" t="str">
        <f t="array" ref="B235">IF(ROWS($3:235)&lt;=COUNTA('register map'!$L$5:$L$902),INDEX('register map'!$L$5:$L$902,SMALL(IF('register map'!$L$5:$L$902&lt;&gt;"",ROW('register map'!$L$5:$L$902)-MIN(ROW('register map'!$L$5:$L$902))+1),ROWS($3:235))),"")</f>
        <v>CTL4_GPO2_MSK</v>
      </c>
      <c r="C235" s="157">
        <f>IF(B235="PART_NUMBER",IF(COUNTIF($B$1:B234,"PART_NUMBER")=0,6,8),MATCH(B235,'register map'!L:L,0))</f>
        <v>248</v>
      </c>
      <c r="D235" s="117" t="str">
        <f>IF(ISBLANK(INDEX('register map'!C:C,'Logical Group Generator'!C235)),"No","Yes")</f>
        <v>No</v>
      </c>
      <c r="E235" s="117" t="str">
        <f>IF(ISBLANK(INDEX('register map'!A:A,C235)),IF(ISBLANK(INDEX('register map'!A:A,C235-1)),IF(ISBLANK(INDEX('register map'!A:A,C235-2)),IF(ISBLANK(INDEX('register map'!A:A,C235-3)),IF(ISBLANK(INDEX('register map'!A:A,C235-4)),IF(ISBLANK(INDEX('register map'!A:A,C235-5)),IF(ISBLANK(INDEX('register map'!A:A,C235-6)),IF(ISBLANK(INDEX('register map'!A:A,C235-7)),IF(ISBLANK(INDEX('register map'!A:A,C235-8)),"ERROR",INDEX('register map'!A:A,C235-8)),INDEX('register map'!A:A,C235-7)),INDEX('register map'!A:A,C235-6)),INDEX('register map'!A:A,C235-5)),INDEX('register map'!A:A,C235-4)),INDEX('register map'!A:A,C235-3)),INDEX('register map'!A:A,C235-2)),INDEX('register map'!A:A,C235-1)),INDEX('register map'!A:A,C235))</f>
        <v>0x5E</v>
      </c>
      <c r="F235" s="117" t="str">
        <f>IF(ISBLANK(INDEX('register map'!B:B,C235)),IF(ISBLANK(INDEX('register map'!B:B,C235-1)),IF(ISBLANK(INDEX('register map'!B:B,C235-2)),IF(ISBLANK(INDEX('register map'!B:B,C235-3)),IF(ISBLANK(INDEX('register map'!B:B,C235-4)),IF(ISBLANK(INDEX('register map'!B:B,C235-5)),IF(ISBLANK(INDEX('register map'!B:B,C235-6)),IF(ISBLANK(INDEX('register map'!B:B,C235-7)),IF(ISBLANK(INDEX('register map'!B:B,C235-8)),"ERROR",INDEX('register map'!B:B,C235-8)),INDEX('register map'!B:B,C235-7)),INDEX('register map'!B:B,C235-6)),INDEX('register map'!B:B,C235-5)),INDEX('register map'!B:B,C235-4)),INDEX('register map'!B:B,C235-3)),INDEX('register map'!B:B,C235-2)),INDEX('register map'!B:B,C235-1)),INDEX('register map'!B:B,C235))</f>
        <v>0xA9</v>
      </c>
      <c r="G235" s="117" t="str">
        <f>CONCATENATE(IF(ISNUMBER(INDEX('register map'!D:D,C235)),7,""),IF(ISNUMBER(INDEX('register map'!E:E,C235)),6,""),IF(ISNUMBER(INDEX('register map'!F:F,C235)),5,""),IF(ISNUMBER(INDEX('register map'!G:G,C235)),4,""),IF(ISNUMBER(INDEX('register map'!H:H,C235)),3,""),IF(ISNUMBER(INDEX('register map'!I:I,C235)),2,""),IF(ISNUMBER(INDEX('register map'!J:J,C235)),1,""),IF(ISNUMBER(INDEX('register map'!K:K,C235)),0,""))</f>
        <v>6</v>
      </c>
      <c r="H235" s="117" t="str">
        <f>RIGHT(INDEX('register map'!V:V,MATCH('Logical Group Generator'!B235,'register map'!L:L,0)),LEN(G235))</f>
        <v>1</v>
      </c>
      <c r="I235" s="117" t="str">
        <f>CONCATENATE(IF(ISNUMBER(INDEX('register map'!K:K,C235)),0,""),IF(ISNUMBER(INDEX('register map'!J:J,C235)),1,""),IF(ISNUMBER(INDEX('register map'!I:I,C235)),2,""),IF(ISNUMBER(INDEX('register map'!H:H,C235)),3,""),IF(ISNUMBER(INDEX('register map'!G:G,C235)),4,""),IF(ISNUMBER(INDEX('register map'!F:F,C235)),5,""),IF(ISNUMBER(INDEX('register map'!E:E,C235)),6,""),IF(ISNUMBER(INDEX('register map'!D:D,C235)),7,""))</f>
        <v>6</v>
      </c>
      <c r="J235" s="117" t="str">
        <f t="shared" si="40"/>
        <v>1</v>
      </c>
      <c r="K235" s="117" t="str">
        <f t="shared" si="33"/>
        <v/>
      </c>
      <c r="L235" s="117" t="str">
        <f t="shared" si="41"/>
        <v/>
      </c>
      <c r="M235" s="117" t="str">
        <f t="shared" si="43"/>
        <v/>
      </c>
      <c r="N235" s="117" t="str">
        <f>IF(ISBLANK(INDEX('register map'!M:M,'Logical Group Generator'!C235)),"No","Yes")</f>
        <v>No</v>
      </c>
      <c r="O235" s="117" t="str">
        <f>IF(NOT(ISBLANK(INDEX('register map'!N:N,'Logical Group Generator'!C235))),"Yes","")</f>
        <v/>
      </c>
      <c r="P235" s="117" t="str">
        <f t="shared" si="34"/>
        <v/>
      </c>
      <c r="Q235" s="117" t="str">
        <f t="shared" si="35"/>
        <v/>
      </c>
      <c r="R235" s="117" t="str">
        <f t="shared" si="36"/>
        <v/>
      </c>
      <c r="S235" s="117" t="str">
        <f t="shared" si="37"/>
        <v>No</v>
      </c>
      <c r="T235" s="117" t="str">
        <f t="shared" si="38"/>
        <v/>
      </c>
      <c r="U235" s="117" t="b">
        <f t="shared" si="42"/>
        <v>0</v>
      </c>
      <c r="V235" s="157" t="b">
        <f>INDEX('register map'!P:P,C235)="yes"</f>
        <v>1</v>
      </c>
      <c r="W235" s="157" t="str">
        <f t="shared" si="39"/>
        <v>FALSE</v>
      </c>
    </row>
    <row r="236" spans="2:23">
      <c r="B236" s="157" t="str">
        <f t="array" ref="B236">IF(ROWS($3:236)&lt;=COUNTA('register map'!$L$5:$L$902),INDEX('register map'!$L$5:$L$902,SMALL(IF('register map'!$L$5:$L$902&lt;&gt;"",ROW('register map'!$L$5:$L$902)-MIN(ROW('register map'!$L$5:$L$902))+1),ROWS($3:236))),"")</f>
        <v>CTL5_GPO2_MSK</v>
      </c>
      <c r="C236" s="157">
        <f>IF(B236="PART_NUMBER",IF(COUNTIF($B$1:B235,"PART_NUMBER")=0,6,8),MATCH(B236,'register map'!L:L,0))</f>
        <v>249</v>
      </c>
      <c r="D236" s="117" t="str">
        <f>IF(ISBLANK(INDEX('register map'!C:C,'Logical Group Generator'!C236)),"No","Yes")</f>
        <v>No</v>
      </c>
      <c r="E236" s="117" t="str">
        <f>IF(ISBLANK(INDEX('register map'!A:A,C236)),IF(ISBLANK(INDEX('register map'!A:A,C236-1)),IF(ISBLANK(INDEX('register map'!A:A,C236-2)),IF(ISBLANK(INDEX('register map'!A:A,C236-3)),IF(ISBLANK(INDEX('register map'!A:A,C236-4)),IF(ISBLANK(INDEX('register map'!A:A,C236-5)),IF(ISBLANK(INDEX('register map'!A:A,C236-6)),IF(ISBLANK(INDEX('register map'!A:A,C236-7)),IF(ISBLANK(INDEX('register map'!A:A,C236-8)),"ERROR",INDEX('register map'!A:A,C236-8)),INDEX('register map'!A:A,C236-7)),INDEX('register map'!A:A,C236-6)),INDEX('register map'!A:A,C236-5)),INDEX('register map'!A:A,C236-4)),INDEX('register map'!A:A,C236-3)),INDEX('register map'!A:A,C236-2)),INDEX('register map'!A:A,C236-1)),INDEX('register map'!A:A,C236))</f>
        <v>0x5E</v>
      </c>
      <c r="F236" s="117" t="str">
        <f>IF(ISBLANK(INDEX('register map'!B:B,C236)),IF(ISBLANK(INDEX('register map'!B:B,C236-1)),IF(ISBLANK(INDEX('register map'!B:B,C236-2)),IF(ISBLANK(INDEX('register map'!B:B,C236-3)),IF(ISBLANK(INDEX('register map'!B:B,C236-4)),IF(ISBLANK(INDEX('register map'!B:B,C236-5)),IF(ISBLANK(INDEX('register map'!B:B,C236-6)),IF(ISBLANK(INDEX('register map'!B:B,C236-7)),IF(ISBLANK(INDEX('register map'!B:B,C236-8)),"ERROR",INDEX('register map'!B:B,C236-8)),INDEX('register map'!B:B,C236-7)),INDEX('register map'!B:B,C236-6)),INDEX('register map'!B:B,C236-5)),INDEX('register map'!B:B,C236-4)),INDEX('register map'!B:B,C236-3)),INDEX('register map'!B:B,C236-2)),INDEX('register map'!B:B,C236-1)),INDEX('register map'!B:B,C236))</f>
        <v>0xA9</v>
      </c>
      <c r="G236" s="117" t="str">
        <f>CONCATENATE(IF(ISNUMBER(INDEX('register map'!D:D,C236)),7,""),IF(ISNUMBER(INDEX('register map'!E:E,C236)),6,""),IF(ISNUMBER(INDEX('register map'!F:F,C236)),5,""),IF(ISNUMBER(INDEX('register map'!G:G,C236)),4,""),IF(ISNUMBER(INDEX('register map'!H:H,C236)),3,""),IF(ISNUMBER(INDEX('register map'!I:I,C236)),2,""),IF(ISNUMBER(INDEX('register map'!J:J,C236)),1,""),IF(ISNUMBER(INDEX('register map'!K:K,C236)),0,""))</f>
        <v>7</v>
      </c>
      <c r="H236" s="117" t="str">
        <f>RIGHT(INDEX('register map'!V:V,MATCH('Logical Group Generator'!B236,'register map'!L:L,0)),LEN(G236))</f>
        <v>1</v>
      </c>
      <c r="I236" s="117" t="str">
        <f>CONCATENATE(IF(ISNUMBER(INDEX('register map'!K:K,C236)),0,""),IF(ISNUMBER(INDEX('register map'!J:J,C236)),1,""),IF(ISNUMBER(INDEX('register map'!I:I,C236)),2,""),IF(ISNUMBER(INDEX('register map'!H:H,C236)),3,""),IF(ISNUMBER(INDEX('register map'!G:G,C236)),4,""),IF(ISNUMBER(INDEX('register map'!F:F,C236)),5,""),IF(ISNUMBER(INDEX('register map'!E:E,C236)),6,""),IF(ISNUMBER(INDEX('register map'!D:D,C236)),7,""))</f>
        <v>7</v>
      </c>
      <c r="J236" s="117" t="str">
        <f t="shared" si="40"/>
        <v>1</v>
      </c>
      <c r="K236" s="117" t="str">
        <f t="shared" si="33"/>
        <v/>
      </c>
      <c r="L236" s="117" t="str">
        <f t="shared" si="41"/>
        <v/>
      </c>
      <c r="M236" s="117" t="str">
        <f t="shared" si="43"/>
        <v/>
      </c>
      <c r="N236" s="117" t="str">
        <f>IF(ISBLANK(INDEX('register map'!M:M,'Logical Group Generator'!C236)),"No","Yes")</f>
        <v>No</v>
      </c>
      <c r="O236" s="117" t="str">
        <f>IF(NOT(ISBLANK(INDEX('register map'!N:N,'Logical Group Generator'!C236))),"Yes","")</f>
        <v/>
      </c>
      <c r="P236" s="117" t="str">
        <f t="shared" si="34"/>
        <v/>
      </c>
      <c r="Q236" s="117" t="str">
        <f t="shared" si="35"/>
        <v/>
      </c>
      <c r="R236" s="117" t="str">
        <f t="shared" si="36"/>
        <v/>
      </c>
      <c r="S236" s="117" t="str">
        <f t="shared" si="37"/>
        <v>No</v>
      </c>
      <c r="T236" s="117" t="str">
        <f t="shared" si="38"/>
        <v/>
      </c>
      <c r="U236" s="117" t="b">
        <f t="shared" si="42"/>
        <v>0</v>
      </c>
      <c r="V236" s="157" t="b">
        <f>INDEX('register map'!P:P,C236)="yes"</f>
        <v>1</v>
      </c>
      <c r="W236" s="157" t="str">
        <f t="shared" si="39"/>
        <v>FALSE</v>
      </c>
    </row>
    <row r="237" spans="2:23">
      <c r="B237" s="157" t="str">
        <f t="array" ref="B237">IF(ROWS($3:237)&lt;=COUNTA('register map'!$L$5:$L$902),INDEX('register map'!$L$5:$L$902,SMALL(IF('register map'!$L$5:$L$902&lt;&gt;"",ROW('register map'!$L$5:$L$902)-MIN(ROW('register map'!$L$5:$L$902))+1),ROWS($3:237))),"")</f>
        <v>GPO3PG_CTRL1</v>
      </c>
      <c r="C237" s="157">
        <f>IF(B237="PART_NUMBER",IF(COUNTIF($B$1:B236,"PART_NUMBER")=0,6,8),MATCH(B237,'register map'!L:L,0))</f>
        <v>250</v>
      </c>
      <c r="D237" s="117" t="str">
        <f>IF(ISBLANK(INDEX('register map'!C:C,'Logical Group Generator'!C237)),"No","Yes")</f>
        <v>Yes</v>
      </c>
      <c r="E237" s="117" t="str">
        <f>IF(ISBLANK(INDEX('register map'!A:A,C237)),IF(ISBLANK(INDEX('register map'!A:A,C237-1)),IF(ISBLANK(INDEX('register map'!A:A,C237-2)),IF(ISBLANK(INDEX('register map'!A:A,C237-3)),IF(ISBLANK(INDEX('register map'!A:A,C237-4)),IF(ISBLANK(INDEX('register map'!A:A,C237-5)),IF(ISBLANK(INDEX('register map'!A:A,C237-6)),IF(ISBLANK(INDEX('register map'!A:A,C237-7)),IF(ISBLANK(INDEX('register map'!A:A,C237-8)),"ERROR",INDEX('register map'!A:A,C237-8)),INDEX('register map'!A:A,C237-7)),INDEX('register map'!A:A,C237-6)),INDEX('register map'!A:A,C237-5)),INDEX('register map'!A:A,C237-4)),INDEX('register map'!A:A,C237-3)),INDEX('register map'!A:A,C237-2)),INDEX('register map'!A:A,C237-1)),INDEX('register map'!A:A,C237))</f>
        <v>0x5E</v>
      </c>
      <c r="F237" s="117" t="str">
        <f>IF(ISBLANK(INDEX('register map'!B:B,C237)),IF(ISBLANK(INDEX('register map'!B:B,C237-1)),IF(ISBLANK(INDEX('register map'!B:B,C237-2)),IF(ISBLANK(INDEX('register map'!B:B,C237-3)),IF(ISBLANK(INDEX('register map'!B:B,C237-4)),IF(ISBLANK(INDEX('register map'!B:B,C237-5)),IF(ISBLANK(INDEX('register map'!B:B,C237-6)),IF(ISBLANK(INDEX('register map'!B:B,C237-7)),IF(ISBLANK(INDEX('register map'!B:B,C237-8)),"ERROR",INDEX('register map'!B:B,C237-8)),INDEX('register map'!B:B,C237-7)),INDEX('register map'!B:B,C237-6)),INDEX('register map'!B:B,C237-5)),INDEX('register map'!B:B,C237-4)),INDEX('register map'!B:B,C237-3)),INDEX('register map'!B:B,C237-2)),INDEX('register map'!B:B,C237-1)),INDEX('register map'!B:B,C237))</f>
        <v>0xAA</v>
      </c>
      <c r="G237" s="117" t="str">
        <f>CONCATENATE(IF(ISNUMBER(INDEX('register map'!D:D,C237)),7,""),IF(ISNUMBER(INDEX('register map'!E:E,C237)),6,""),IF(ISNUMBER(INDEX('register map'!F:F,C237)),5,""),IF(ISNUMBER(INDEX('register map'!G:G,C237)),4,""),IF(ISNUMBER(INDEX('register map'!H:H,C237)),3,""),IF(ISNUMBER(INDEX('register map'!I:I,C237)),2,""),IF(ISNUMBER(INDEX('register map'!J:J,C237)),1,""),IF(ISNUMBER(INDEX('register map'!K:K,C237)),0,""))</f>
        <v/>
      </c>
      <c r="H237" s="117" t="str">
        <f>RIGHT(INDEX('register map'!V:V,MATCH('Logical Group Generator'!B237,'register map'!L:L,0)),LEN(G237))</f>
        <v/>
      </c>
      <c r="I237" s="117" t="str">
        <f>CONCATENATE(IF(ISNUMBER(INDEX('register map'!K:K,C237)),0,""),IF(ISNUMBER(INDEX('register map'!J:J,C237)),1,""),IF(ISNUMBER(INDEX('register map'!I:I,C237)),2,""),IF(ISNUMBER(INDEX('register map'!H:H,C237)),3,""),IF(ISNUMBER(INDEX('register map'!G:G,C237)),4,""),IF(ISNUMBER(INDEX('register map'!F:F,C237)),5,""),IF(ISNUMBER(INDEX('register map'!E:E,C237)),6,""),IF(ISNUMBER(INDEX('register map'!D:D,C237)),7,""))</f>
        <v/>
      </c>
      <c r="J237" s="117" t="str">
        <f t="shared" si="40"/>
        <v/>
      </c>
      <c r="K237" s="117" t="str">
        <f t="shared" si="33"/>
        <v>10111111</v>
      </c>
      <c r="L237" s="117" t="str">
        <f t="shared" si="41"/>
        <v>11111101</v>
      </c>
      <c r="M237" s="117" t="str">
        <f t="shared" si="43"/>
        <v>FD</v>
      </c>
      <c r="N237" s="117" t="str">
        <f>IF(ISBLANK(INDEX('register map'!M:M,'Logical Group Generator'!C237)),"No","Yes")</f>
        <v>No</v>
      </c>
      <c r="O237" s="117" t="str">
        <f>IF(NOT(ISBLANK(INDEX('register map'!N:N,'Logical Group Generator'!C237))),"Yes","")</f>
        <v/>
      </c>
      <c r="P237" s="117" t="str">
        <f t="shared" si="34"/>
        <v>No</v>
      </c>
      <c r="Q237" s="117" t="str">
        <f t="shared" si="35"/>
        <v>No</v>
      </c>
      <c r="R237" s="117" t="str">
        <f t="shared" si="36"/>
        <v>No</v>
      </c>
      <c r="S237" s="117" t="str">
        <f t="shared" si="37"/>
        <v/>
      </c>
      <c r="T237" s="117" t="b">
        <f t="shared" si="38"/>
        <v>1</v>
      </c>
      <c r="U237" s="117" t="b">
        <f t="shared" si="42"/>
        <v>1</v>
      </c>
      <c r="V237" s="157" t="b">
        <f>INDEX('register map'!P:P,C237)="yes"</f>
        <v>1</v>
      </c>
      <c r="W237" s="157" t="str">
        <f t="shared" si="39"/>
        <v>REGISTER</v>
      </c>
    </row>
    <row r="238" spans="2:23">
      <c r="B238" s="157" t="str">
        <f t="array" ref="B238">IF(ROWS($3:238)&lt;=COUNTA('register map'!$L$5:$L$902),INDEX('register map'!$L$5:$L$902,SMALL(IF('register map'!$L$5:$L$902&lt;&gt;"",ROW('register map'!$L$5:$L$902)-MIN(ROW('register map'!$L$5:$L$902))+1),ROWS($3:238))),"")</f>
        <v>BUCK1_GPO3_MSK</v>
      </c>
      <c r="C238" s="157">
        <f>IF(B238="PART_NUMBER",IF(COUNTIF($B$1:B237,"PART_NUMBER")=0,6,8),MATCH(B238,'register map'!L:L,0))</f>
        <v>251</v>
      </c>
      <c r="D238" s="117" t="str">
        <f>IF(ISBLANK(INDEX('register map'!C:C,'Logical Group Generator'!C238)),"No","Yes")</f>
        <v>No</v>
      </c>
      <c r="E238" s="117" t="str">
        <f>IF(ISBLANK(INDEX('register map'!A:A,C238)),IF(ISBLANK(INDEX('register map'!A:A,C238-1)),IF(ISBLANK(INDEX('register map'!A:A,C238-2)),IF(ISBLANK(INDEX('register map'!A:A,C238-3)),IF(ISBLANK(INDEX('register map'!A:A,C238-4)),IF(ISBLANK(INDEX('register map'!A:A,C238-5)),IF(ISBLANK(INDEX('register map'!A:A,C238-6)),IF(ISBLANK(INDEX('register map'!A:A,C238-7)),IF(ISBLANK(INDEX('register map'!A:A,C238-8)),"ERROR",INDEX('register map'!A:A,C238-8)),INDEX('register map'!A:A,C238-7)),INDEX('register map'!A:A,C238-6)),INDEX('register map'!A:A,C238-5)),INDEX('register map'!A:A,C238-4)),INDEX('register map'!A:A,C238-3)),INDEX('register map'!A:A,C238-2)),INDEX('register map'!A:A,C238-1)),INDEX('register map'!A:A,C238))</f>
        <v>0x5E</v>
      </c>
      <c r="F238" s="117" t="str">
        <f>IF(ISBLANK(INDEX('register map'!B:B,C238)),IF(ISBLANK(INDEX('register map'!B:B,C238-1)),IF(ISBLANK(INDEX('register map'!B:B,C238-2)),IF(ISBLANK(INDEX('register map'!B:B,C238-3)),IF(ISBLANK(INDEX('register map'!B:B,C238-4)),IF(ISBLANK(INDEX('register map'!B:B,C238-5)),IF(ISBLANK(INDEX('register map'!B:B,C238-6)),IF(ISBLANK(INDEX('register map'!B:B,C238-7)),IF(ISBLANK(INDEX('register map'!B:B,C238-8)),"ERROR",INDEX('register map'!B:B,C238-8)),INDEX('register map'!B:B,C238-7)),INDEX('register map'!B:B,C238-6)),INDEX('register map'!B:B,C238-5)),INDEX('register map'!B:B,C238-4)),INDEX('register map'!B:B,C238-3)),INDEX('register map'!B:B,C238-2)),INDEX('register map'!B:B,C238-1)),INDEX('register map'!B:B,C238))</f>
        <v>0xAA</v>
      </c>
      <c r="G238" s="117" t="str">
        <f>CONCATENATE(IF(ISNUMBER(INDEX('register map'!D:D,C238)),7,""),IF(ISNUMBER(INDEX('register map'!E:E,C238)),6,""),IF(ISNUMBER(INDEX('register map'!F:F,C238)),5,""),IF(ISNUMBER(INDEX('register map'!G:G,C238)),4,""),IF(ISNUMBER(INDEX('register map'!H:H,C238)),3,""),IF(ISNUMBER(INDEX('register map'!I:I,C238)),2,""),IF(ISNUMBER(INDEX('register map'!J:J,C238)),1,""),IF(ISNUMBER(INDEX('register map'!K:K,C238)),0,""))</f>
        <v>0</v>
      </c>
      <c r="H238" s="117" t="str">
        <f>RIGHT(INDEX('register map'!V:V,MATCH('Logical Group Generator'!B238,'register map'!L:L,0)),LEN(G238))</f>
        <v>1</v>
      </c>
      <c r="I238" s="117" t="str">
        <f>CONCATENATE(IF(ISNUMBER(INDEX('register map'!K:K,C238)),0,""),IF(ISNUMBER(INDEX('register map'!J:J,C238)),1,""),IF(ISNUMBER(INDEX('register map'!I:I,C238)),2,""),IF(ISNUMBER(INDEX('register map'!H:H,C238)),3,""),IF(ISNUMBER(INDEX('register map'!G:G,C238)),4,""),IF(ISNUMBER(INDEX('register map'!F:F,C238)),5,""),IF(ISNUMBER(INDEX('register map'!E:E,C238)),6,""),IF(ISNUMBER(INDEX('register map'!D:D,C238)),7,""))</f>
        <v>0</v>
      </c>
      <c r="J238" s="117" t="str">
        <f t="shared" si="40"/>
        <v>1</v>
      </c>
      <c r="K238" s="117" t="str">
        <f t="shared" si="33"/>
        <v/>
      </c>
      <c r="L238" s="117" t="str">
        <f t="shared" si="41"/>
        <v/>
      </c>
      <c r="M238" s="117" t="str">
        <f t="shared" si="43"/>
        <v/>
      </c>
      <c r="N238" s="117" t="str">
        <f>IF(ISBLANK(INDEX('register map'!M:M,'Logical Group Generator'!C238)),"No","Yes")</f>
        <v>No</v>
      </c>
      <c r="O238" s="117" t="str">
        <f>IF(NOT(ISBLANK(INDEX('register map'!N:N,'Logical Group Generator'!C238))),"Yes","")</f>
        <v/>
      </c>
      <c r="P238" s="117" t="str">
        <f t="shared" si="34"/>
        <v/>
      </c>
      <c r="Q238" s="117" t="str">
        <f t="shared" si="35"/>
        <v/>
      </c>
      <c r="R238" s="117" t="str">
        <f t="shared" si="36"/>
        <v/>
      </c>
      <c r="S238" s="117" t="str">
        <f t="shared" si="37"/>
        <v>No</v>
      </c>
      <c r="T238" s="117" t="str">
        <f t="shared" si="38"/>
        <v/>
      </c>
      <c r="U238" s="117" t="b">
        <f t="shared" si="42"/>
        <v>0</v>
      </c>
      <c r="V238" s="157" t="b">
        <f>INDEX('register map'!P:P,C238)="yes"</f>
        <v>1</v>
      </c>
      <c r="W238" s="157" t="str">
        <f t="shared" si="39"/>
        <v>FALSE</v>
      </c>
    </row>
    <row r="239" spans="2:23">
      <c r="B239" s="157" t="str">
        <f t="array" ref="B239">IF(ROWS($3:239)&lt;=COUNTA('register map'!$L$5:$L$902),INDEX('register map'!$L$5:$L$902,SMALL(IF('register map'!$L$5:$L$902&lt;&gt;"",ROW('register map'!$L$5:$L$902)-MIN(ROW('register map'!$L$5:$L$902))+1),ROWS($3:239))),"")</f>
        <v>BUCK2_GPO3_MSK</v>
      </c>
      <c r="C239" s="157">
        <f>IF(B239="PART_NUMBER",IF(COUNTIF($B$1:B238,"PART_NUMBER")=0,6,8),MATCH(B239,'register map'!L:L,0))</f>
        <v>252</v>
      </c>
      <c r="D239" s="117" t="str">
        <f>IF(ISBLANK(INDEX('register map'!C:C,'Logical Group Generator'!C239)),"No","Yes")</f>
        <v>No</v>
      </c>
      <c r="E239" s="117" t="str">
        <f>IF(ISBLANK(INDEX('register map'!A:A,C239)),IF(ISBLANK(INDEX('register map'!A:A,C239-1)),IF(ISBLANK(INDEX('register map'!A:A,C239-2)),IF(ISBLANK(INDEX('register map'!A:A,C239-3)),IF(ISBLANK(INDEX('register map'!A:A,C239-4)),IF(ISBLANK(INDEX('register map'!A:A,C239-5)),IF(ISBLANK(INDEX('register map'!A:A,C239-6)),IF(ISBLANK(INDEX('register map'!A:A,C239-7)),IF(ISBLANK(INDEX('register map'!A:A,C239-8)),"ERROR",INDEX('register map'!A:A,C239-8)),INDEX('register map'!A:A,C239-7)),INDEX('register map'!A:A,C239-6)),INDEX('register map'!A:A,C239-5)),INDEX('register map'!A:A,C239-4)),INDEX('register map'!A:A,C239-3)),INDEX('register map'!A:A,C239-2)),INDEX('register map'!A:A,C239-1)),INDEX('register map'!A:A,C239))</f>
        <v>0x5E</v>
      </c>
      <c r="F239" s="117" t="str">
        <f>IF(ISBLANK(INDEX('register map'!B:B,C239)),IF(ISBLANK(INDEX('register map'!B:B,C239-1)),IF(ISBLANK(INDEX('register map'!B:B,C239-2)),IF(ISBLANK(INDEX('register map'!B:B,C239-3)),IF(ISBLANK(INDEX('register map'!B:B,C239-4)),IF(ISBLANK(INDEX('register map'!B:B,C239-5)),IF(ISBLANK(INDEX('register map'!B:B,C239-6)),IF(ISBLANK(INDEX('register map'!B:B,C239-7)),IF(ISBLANK(INDEX('register map'!B:B,C239-8)),"ERROR",INDEX('register map'!B:B,C239-8)),INDEX('register map'!B:B,C239-7)),INDEX('register map'!B:B,C239-6)),INDEX('register map'!B:B,C239-5)),INDEX('register map'!B:B,C239-4)),INDEX('register map'!B:B,C239-3)),INDEX('register map'!B:B,C239-2)),INDEX('register map'!B:B,C239-1)),INDEX('register map'!B:B,C239))</f>
        <v>0xAA</v>
      </c>
      <c r="G239" s="117" t="str">
        <f>CONCATENATE(IF(ISNUMBER(INDEX('register map'!D:D,C239)),7,""),IF(ISNUMBER(INDEX('register map'!E:E,C239)),6,""),IF(ISNUMBER(INDEX('register map'!F:F,C239)),5,""),IF(ISNUMBER(INDEX('register map'!G:G,C239)),4,""),IF(ISNUMBER(INDEX('register map'!H:H,C239)),3,""),IF(ISNUMBER(INDEX('register map'!I:I,C239)),2,""),IF(ISNUMBER(INDEX('register map'!J:J,C239)),1,""),IF(ISNUMBER(INDEX('register map'!K:K,C239)),0,""))</f>
        <v>1</v>
      </c>
      <c r="H239" s="117" t="str">
        <f>RIGHT(INDEX('register map'!V:V,MATCH('Logical Group Generator'!B239,'register map'!L:L,0)),LEN(G239))</f>
        <v>0</v>
      </c>
      <c r="I239" s="117" t="str">
        <f>CONCATENATE(IF(ISNUMBER(INDEX('register map'!K:K,C239)),0,""),IF(ISNUMBER(INDEX('register map'!J:J,C239)),1,""),IF(ISNUMBER(INDEX('register map'!I:I,C239)),2,""),IF(ISNUMBER(INDEX('register map'!H:H,C239)),3,""),IF(ISNUMBER(INDEX('register map'!G:G,C239)),4,""),IF(ISNUMBER(INDEX('register map'!F:F,C239)),5,""),IF(ISNUMBER(INDEX('register map'!E:E,C239)),6,""),IF(ISNUMBER(INDEX('register map'!D:D,C239)),7,""))</f>
        <v>1</v>
      </c>
      <c r="J239" s="117" t="str">
        <f t="shared" si="40"/>
        <v>0</v>
      </c>
      <c r="K239" s="117" t="str">
        <f t="shared" si="33"/>
        <v/>
      </c>
      <c r="L239" s="117" t="str">
        <f t="shared" si="41"/>
        <v/>
      </c>
      <c r="M239" s="117" t="str">
        <f t="shared" si="43"/>
        <v/>
      </c>
      <c r="N239" s="117" t="str">
        <f>IF(ISBLANK(INDEX('register map'!M:M,'Logical Group Generator'!C239)),"No","Yes")</f>
        <v>No</v>
      </c>
      <c r="O239" s="117" t="str">
        <f>IF(NOT(ISBLANK(INDEX('register map'!N:N,'Logical Group Generator'!C239))),"Yes","")</f>
        <v/>
      </c>
      <c r="P239" s="117" t="str">
        <f t="shared" si="34"/>
        <v/>
      </c>
      <c r="Q239" s="117" t="str">
        <f t="shared" si="35"/>
        <v/>
      </c>
      <c r="R239" s="117" t="str">
        <f t="shared" si="36"/>
        <v/>
      </c>
      <c r="S239" s="117" t="str">
        <f t="shared" si="37"/>
        <v>No</v>
      </c>
      <c r="T239" s="117" t="str">
        <f t="shared" si="38"/>
        <v/>
      </c>
      <c r="U239" s="117" t="b">
        <f t="shared" si="42"/>
        <v>0</v>
      </c>
      <c r="V239" s="157" t="b">
        <f>INDEX('register map'!P:P,C239)="yes"</f>
        <v>1</v>
      </c>
      <c r="W239" s="157" t="str">
        <f t="shared" si="39"/>
        <v>FALSE</v>
      </c>
    </row>
    <row r="240" spans="2:23">
      <c r="B240" s="157" t="str">
        <f t="array" ref="B240">IF(ROWS($3:240)&lt;=COUNTA('register map'!$L$5:$L$902),INDEX('register map'!$L$5:$L$902,SMALL(IF('register map'!$L$5:$L$902&lt;&gt;"",ROW('register map'!$L$5:$L$902)-MIN(ROW('register map'!$L$5:$L$902))+1),ROWS($3:240))),"")</f>
        <v>BUCK3_GPO3_MSK</v>
      </c>
      <c r="C240" s="157">
        <f>IF(B240="PART_NUMBER",IF(COUNTIF($B$1:B239,"PART_NUMBER")=0,6,8),MATCH(B240,'register map'!L:L,0))</f>
        <v>253</v>
      </c>
      <c r="D240" s="117" t="str">
        <f>IF(ISBLANK(INDEX('register map'!C:C,'Logical Group Generator'!C240)),"No","Yes")</f>
        <v>No</v>
      </c>
      <c r="E240" s="117" t="str">
        <f>IF(ISBLANK(INDEX('register map'!A:A,C240)),IF(ISBLANK(INDEX('register map'!A:A,C240-1)),IF(ISBLANK(INDEX('register map'!A:A,C240-2)),IF(ISBLANK(INDEX('register map'!A:A,C240-3)),IF(ISBLANK(INDEX('register map'!A:A,C240-4)),IF(ISBLANK(INDEX('register map'!A:A,C240-5)),IF(ISBLANK(INDEX('register map'!A:A,C240-6)),IF(ISBLANK(INDEX('register map'!A:A,C240-7)),IF(ISBLANK(INDEX('register map'!A:A,C240-8)),"ERROR",INDEX('register map'!A:A,C240-8)),INDEX('register map'!A:A,C240-7)),INDEX('register map'!A:A,C240-6)),INDEX('register map'!A:A,C240-5)),INDEX('register map'!A:A,C240-4)),INDEX('register map'!A:A,C240-3)),INDEX('register map'!A:A,C240-2)),INDEX('register map'!A:A,C240-1)),INDEX('register map'!A:A,C240))</f>
        <v>0x5E</v>
      </c>
      <c r="F240" s="117" t="str">
        <f>IF(ISBLANK(INDEX('register map'!B:B,C240)),IF(ISBLANK(INDEX('register map'!B:B,C240-1)),IF(ISBLANK(INDEX('register map'!B:B,C240-2)),IF(ISBLANK(INDEX('register map'!B:B,C240-3)),IF(ISBLANK(INDEX('register map'!B:B,C240-4)),IF(ISBLANK(INDEX('register map'!B:B,C240-5)),IF(ISBLANK(INDEX('register map'!B:B,C240-6)),IF(ISBLANK(INDEX('register map'!B:B,C240-7)),IF(ISBLANK(INDEX('register map'!B:B,C240-8)),"ERROR",INDEX('register map'!B:B,C240-8)),INDEX('register map'!B:B,C240-7)),INDEX('register map'!B:B,C240-6)),INDEX('register map'!B:B,C240-5)),INDEX('register map'!B:B,C240-4)),INDEX('register map'!B:B,C240-3)),INDEX('register map'!B:B,C240-2)),INDEX('register map'!B:B,C240-1)),INDEX('register map'!B:B,C240))</f>
        <v>0xAA</v>
      </c>
      <c r="G240" s="117" t="str">
        <f>CONCATENATE(IF(ISNUMBER(INDEX('register map'!D:D,C240)),7,""),IF(ISNUMBER(INDEX('register map'!E:E,C240)),6,""),IF(ISNUMBER(INDEX('register map'!F:F,C240)),5,""),IF(ISNUMBER(INDEX('register map'!G:G,C240)),4,""),IF(ISNUMBER(INDEX('register map'!H:H,C240)),3,""),IF(ISNUMBER(INDEX('register map'!I:I,C240)),2,""),IF(ISNUMBER(INDEX('register map'!J:J,C240)),1,""),IF(ISNUMBER(INDEX('register map'!K:K,C240)),0,""))</f>
        <v>2</v>
      </c>
      <c r="H240" s="117" t="str">
        <f>RIGHT(INDEX('register map'!V:V,MATCH('Logical Group Generator'!B240,'register map'!L:L,0)),LEN(G240))</f>
        <v>1</v>
      </c>
      <c r="I240" s="117" t="str">
        <f>CONCATENATE(IF(ISNUMBER(INDEX('register map'!K:K,C240)),0,""),IF(ISNUMBER(INDEX('register map'!J:J,C240)),1,""),IF(ISNUMBER(INDEX('register map'!I:I,C240)),2,""),IF(ISNUMBER(INDEX('register map'!H:H,C240)),3,""),IF(ISNUMBER(INDEX('register map'!G:G,C240)),4,""),IF(ISNUMBER(INDEX('register map'!F:F,C240)),5,""),IF(ISNUMBER(INDEX('register map'!E:E,C240)),6,""),IF(ISNUMBER(INDEX('register map'!D:D,C240)),7,""))</f>
        <v>2</v>
      </c>
      <c r="J240" s="117" t="str">
        <f t="shared" si="40"/>
        <v>1</v>
      </c>
      <c r="K240" s="117" t="str">
        <f t="shared" si="33"/>
        <v/>
      </c>
      <c r="L240" s="117" t="str">
        <f t="shared" si="41"/>
        <v/>
      </c>
      <c r="M240" s="117" t="str">
        <f t="shared" si="43"/>
        <v/>
      </c>
      <c r="N240" s="117" t="str">
        <f>IF(ISBLANK(INDEX('register map'!M:M,'Logical Group Generator'!C240)),"No","Yes")</f>
        <v>No</v>
      </c>
      <c r="O240" s="117" t="str">
        <f>IF(NOT(ISBLANK(INDEX('register map'!N:N,'Logical Group Generator'!C240))),"Yes","")</f>
        <v/>
      </c>
      <c r="P240" s="117" t="str">
        <f t="shared" si="34"/>
        <v/>
      </c>
      <c r="Q240" s="117" t="str">
        <f t="shared" si="35"/>
        <v/>
      </c>
      <c r="R240" s="117" t="str">
        <f t="shared" si="36"/>
        <v/>
      </c>
      <c r="S240" s="117" t="str">
        <f t="shared" si="37"/>
        <v>No</v>
      </c>
      <c r="T240" s="117" t="str">
        <f t="shared" si="38"/>
        <v/>
      </c>
      <c r="U240" s="117" t="b">
        <f t="shared" si="42"/>
        <v>0</v>
      </c>
      <c r="V240" s="157" t="b">
        <f>INDEX('register map'!P:P,C240)="yes"</f>
        <v>1</v>
      </c>
      <c r="W240" s="157" t="str">
        <f t="shared" si="39"/>
        <v>FALSE</v>
      </c>
    </row>
    <row r="241" spans="2:23">
      <c r="B241" s="157" t="str">
        <f t="array" ref="B241">IF(ROWS($3:241)&lt;=COUNTA('register map'!$L$5:$L$902),INDEX('register map'!$L$5:$L$902,SMALL(IF('register map'!$L$5:$L$902&lt;&gt;"",ROW('register map'!$L$5:$L$902)-MIN(ROW('register map'!$L$5:$L$902))+1),ROWS($3:241))),"")</f>
        <v>BUCK4_GPO3_MSK</v>
      </c>
      <c r="C241" s="157">
        <f>IF(B241="PART_NUMBER",IF(COUNTIF($B$1:B240,"PART_NUMBER")=0,6,8),MATCH(B241,'register map'!L:L,0))</f>
        <v>254</v>
      </c>
      <c r="D241" s="117" t="str">
        <f>IF(ISBLANK(INDEX('register map'!C:C,'Logical Group Generator'!C241)),"No","Yes")</f>
        <v>No</v>
      </c>
      <c r="E241" s="117" t="str">
        <f>IF(ISBLANK(INDEX('register map'!A:A,C241)),IF(ISBLANK(INDEX('register map'!A:A,C241-1)),IF(ISBLANK(INDEX('register map'!A:A,C241-2)),IF(ISBLANK(INDEX('register map'!A:A,C241-3)),IF(ISBLANK(INDEX('register map'!A:A,C241-4)),IF(ISBLANK(INDEX('register map'!A:A,C241-5)),IF(ISBLANK(INDEX('register map'!A:A,C241-6)),IF(ISBLANK(INDEX('register map'!A:A,C241-7)),IF(ISBLANK(INDEX('register map'!A:A,C241-8)),"ERROR",INDEX('register map'!A:A,C241-8)),INDEX('register map'!A:A,C241-7)),INDEX('register map'!A:A,C241-6)),INDEX('register map'!A:A,C241-5)),INDEX('register map'!A:A,C241-4)),INDEX('register map'!A:A,C241-3)),INDEX('register map'!A:A,C241-2)),INDEX('register map'!A:A,C241-1)),INDEX('register map'!A:A,C241))</f>
        <v>0x5E</v>
      </c>
      <c r="F241" s="117" t="str">
        <f>IF(ISBLANK(INDEX('register map'!B:B,C241)),IF(ISBLANK(INDEX('register map'!B:B,C241-1)),IF(ISBLANK(INDEX('register map'!B:B,C241-2)),IF(ISBLANK(INDEX('register map'!B:B,C241-3)),IF(ISBLANK(INDEX('register map'!B:B,C241-4)),IF(ISBLANK(INDEX('register map'!B:B,C241-5)),IF(ISBLANK(INDEX('register map'!B:B,C241-6)),IF(ISBLANK(INDEX('register map'!B:B,C241-7)),IF(ISBLANK(INDEX('register map'!B:B,C241-8)),"ERROR",INDEX('register map'!B:B,C241-8)),INDEX('register map'!B:B,C241-7)),INDEX('register map'!B:B,C241-6)),INDEX('register map'!B:B,C241-5)),INDEX('register map'!B:B,C241-4)),INDEX('register map'!B:B,C241-3)),INDEX('register map'!B:B,C241-2)),INDEX('register map'!B:B,C241-1)),INDEX('register map'!B:B,C241))</f>
        <v>0xAA</v>
      </c>
      <c r="G241" s="117" t="str">
        <f>CONCATENATE(IF(ISNUMBER(INDEX('register map'!D:D,C241)),7,""),IF(ISNUMBER(INDEX('register map'!E:E,C241)),6,""),IF(ISNUMBER(INDEX('register map'!F:F,C241)),5,""),IF(ISNUMBER(INDEX('register map'!G:G,C241)),4,""),IF(ISNUMBER(INDEX('register map'!H:H,C241)),3,""),IF(ISNUMBER(INDEX('register map'!I:I,C241)),2,""),IF(ISNUMBER(INDEX('register map'!J:J,C241)),1,""),IF(ISNUMBER(INDEX('register map'!K:K,C241)),0,""))</f>
        <v>3</v>
      </c>
      <c r="H241" s="117" t="str">
        <f>RIGHT(INDEX('register map'!V:V,MATCH('Logical Group Generator'!B241,'register map'!L:L,0)),LEN(G241))</f>
        <v>1</v>
      </c>
      <c r="I241" s="117" t="str">
        <f>CONCATENATE(IF(ISNUMBER(INDEX('register map'!K:K,C241)),0,""),IF(ISNUMBER(INDEX('register map'!J:J,C241)),1,""),IF(ISNUMBER(INDEX('register map'!I:I,C241)),2,""),IF(ISNUMBER(INDEX('register map'!H:H,C241)),3,""),IF(ISNUMBER(INDEX('register map'!G:G,C241)),4,""),IF(ISNUMBER(INDEX('register map'!F:F,C241)),5,""),IF(ISNUMBER(INDEX('register map'!E:E,C241)),6,""),IF(ISNUMBER(INDEX('register map'!D:D,C241)),7,""))</f>
        <v>3</v>
      </c>
      <c r="J241" s="117" t="str">
        <f t="shared" si="40"/>
        <v>1</v>
      </c>
      <c r="K241" s="117" t="str">
        <f t="shared" si="33"/>
        <v/>
      </c>
      <c r="L241" s="117" t="str">
        <f t="shared" si="41"/>
        <v/>
      </c>
      <c r="M241" s="117" t="str">
        <f t="shared" si="43"/>
        <v/>
      </c>
      <c r="N241" s="117" t="str">
        <f>IF(ISBLANK(INDEX('register map'!M:M,'Logical Group Generator'!C241)),"No","Yes")</f>
        <v>No</v>
      </c>
      <c r="O241" s="117" t="str">
        <f>IF(NOT(ISBLANK(INDEX('register map'!N:N,'Logical Group Generator'!C241))),"Yes","")</f>
        <v/>
      </c>
      <c r="P241" s="117" t="str">
        <f t="shared" si="34"/>
        <v/>
      </c>
      <c r="Q241" s="117" t="str">
        <f t="shared" si="35"/>
        <v/>
      </c>
      <c r="R241" s="117" t="str">
        <f t="shared" si="36"/>
        <v/>
      </c>
      <c r="S241" s="117" t="str">
        <f t="shared" si="37"/>
        <v>No</v>
      </c>
      <c r="T241" s="117" t="str">
        <f t="shared" si="38"/>
        <v/>
      </c>
      <c r="U241" s="117" t="b">
        <f t="shared" si="42"/>
        <v>0</v>
      </c>
      <c r="V241" s="157" t="b">
        <f>INDEX('register map'!P:P,C241)="yes"</f>
        <v>1</v>
      </c>
      <c r="W241" s="157" t="str">
        <f t="shared" si="39"/>
        <v>FALSE</v>
      </c>
    </row>
    <row r="242" spans="2:23">
      <c r="B242" s="157" t="str">
        <f t="array" ref="B242">IF(ROWS($3:242)&lt;=COUNTA('register map'!$L$5:$L$902),INDEX('register map'!$L$5:$L$902,SMALL(IF('register map'!$L$5:$L$902&lt;&gt;"",ROW('register map'!$L$5:$L$902)-MIN(ROW('register map'!$L$5:$L$902))+1),ROWS($3:242))),"")</f>
        <v>BUCK5_GPO3_MSK</v>
      </c>
      <c r="C242" s="157">
        <f>IF(B242="PART_NUMBER",IF(COUNTIF($B$1:B241,"PART_NUMBER")=0,6,8),MATCH(B242,'register map'!L:L,0))</f>
        <v>255</v>
      </c>
      <c r="D242" s="117" t="str">
        <f>IF(ISBLANK(INDEX('register map'!C:C,'Logical Group Generator'!C242)),"No","Yes")</f>
        <v>No</v>
      </c>
      <c r="E242" s="117" t="str">
        <f>IF(ISBLANK(INDEX('register map'!A:A,C242)),IF(ISBLANK(INDEX('register map'!A:A,C242-1)),IF(ISBLANK(INDEX('register map'!A:A,C242-2)),IF(ISBLANK(INDEX('register map'!A:A,C242-3)),IF(ISBLANK(INDEX('register map'!A:A,C242-4)),IF(ISBLANK(INDEX('register map'!A:A,C242-5)),IF(ISBLANK(INDEX('register map'!A:A,C242-6)),IF(ISBLANK(INDEX('register map'!A:A,C242-7)),IF(ISBLANK(INDEX('register map'!A:A,C242-8)),"ERROR",INDEX('register map'!A:A,C242-8)),INDEX('register map'!A:A,C242-7)),INDEX('register map'!A:A,C242-6)),INDEX('register map'!A:A,C242-5)),INDEX('register map'!A:A,C242-4)),INDEX('register map'!A:A,C242-3)),INDEX('register map'!A:A,C242-2)),INDEX('register map'!A:A,C242-1)),INDEX('register map'!A:A,C242))</f>
        <v>0x5E</v>
      </c>
      <c r="F242" s="117" t="str">
        <f>IF(ISBLANK(INDEX('register map'!B:B,C242)),IF(ISBLANK(INDEX('register map'!B:B,C242-1)),IF(ISBLANK(INDEX('register map'!B:B,C242-2)),IF(ISBLANK(INDEX('register map'!B:B,C242-3)),IF(ISBLANK(INDEX('register map'!B:B,C242-4)),IF(ISBLANK(INDEX('register map'!B:B,C242-5)),IF(ISBLANK(INDEX('register map'!B:B,C242-6)),IF(ISBLANK(INDEX('register map'!B:B,C242-7)),IF(ISBLANK(INDEX('register map'!B:B,C242-8)),"ERROR",INDEX('register map'!B:B,C242-8)),INDEX('register map'!B:B,C242-7)),INDEX('register map'!B:B,C242-6)),INDEX('register map'!B:B,C242-5)),INDEX('register map'!B:B,C242-4)),INDEX('register map'!B:B,C242-3)),INDEX('register map'!B:B,C242-2)),INDEX('register map'!B:B,C242-1)),INDEX('register map'!B:B,C242))</f>
        <v>0xAA</v>
      </c>
      <c r="G242" s="117" t="str">
        <f>CONCATENATE(IF(ISNUMBER(INDEX('register map'!D:D,C242)),7,""),IF(ISNUMBER(INDEX('register map'!E:E,C242)),6,""),IF(ISNUMBER(INDEX('register map'!F:F,C242)),5,""),IF(ISNUMBER(INDEX('register map'!G:G,C242)),4,""),IF(ISNUMBER(INDEX('register map'!H:H,C242)),3,""),IF(ISNUMBER(INDEX('register map'!I:I,C242)),2,""),IF(ISNUMBER(INDEX('register map'!J:J,C242)),1,""),IF(ISNUMBER(INDEX('register map'!K:K,C242)),0,""))</f>
        <v>4</v>
      </c>
      <c r="H242" s="117" t="str">
        <f>RIGHT(INDEX('register map'!V:V,MATCH('Logical Group Generator'!B242,'register map'!L:L,0)),LEN(G242))</f>
        <v>1</v>
      </c>
      <c r="I242" s="117" t="str">
        <f>CONCATENATE(IF(ISNUMBER(INDEX('register map'!K:K,C242)),0,""),IF(ISNUMBER(INDEX('register map'!J:J,C242)),1,""),IF(ISNUMBER(INDEX('register map'!I:I,C242)),2,""),IF(ISNUMBER(INDEX('register map'!H:H,C242)),3,""),IF(ISNUMBER(INDEX('register map'!G:G,C242)),4,""),IF(ISNUMBER(INDEX('register map'!F:F,C242)),5,""),IF(ISNUMBER(INDEX('register map'!E:E,C242)),6,""),IF(ISNUMBER(INDEX('register map'!D:D,C242)),7,""))</f>
        <v>4</v>
      </c>
      <c r="J242" s="117" t="str">
        <f t="shared" si="40"/>
        <v>1</v>
      </c>
      <c r="K242" s="117" t="str">
        <f t="shared" si="33"/>
        <v/>
      </c>
      <c r="L242" s="117" t="str">
        <f t="shared" si="41"/>
        <v/>
      </c>
      <c r="M242" s="117" t="str">
        <f t="shared" si="43"/>
        <v/>
      </c>
      <c r="N242" s="117" t="str">
        <f>IF(ISBLANK(INDEX('register map'!M:M,'Logical Group Generator'!C242)),"No","Yes")</f>
        <v>No</v>
      </c>
      <c r="O242" s="117" t="str">
        <f>IF(NOT(ISBLANK(INDEX('register map'!N:N,'Logical Group Generator'!C242))),"Yes","")</f>
        <v/>
      </c>
      <c r="P242" s="117" t="str">
        <f t="shared" si="34"/>
        <v/>
      </c>
      <c r="Q242" s="117" t="str">
        <f t="shared" si="35"/>
        <v/>
      </c>
      <c r="R242" s="117" t="str">
        <f t="shared" si="36"/>
        <v/>
      </c>
      <c r="S242" s="117" t="str">
        <f t="shared" si="37"/>
        <v>No</v>
      </c>
      <c r="T242" s="117" t="str">
        <f t="shared" si="38"/>
        <v/>
      </c>
      <c r="U242" s="117" t="b">
        <f t="shared" si="42"/>
        <v>0</v>
      </c>
      <c r="V242" s="157" t="b">
        <f>INDEX('register map'!P:P,C242)="yes"</f>
        <v>1</v>
      </c>
      <c r="W242" s="157" t="str">
        <f t="shared" si="39"/>
        <v>FALSE</v>
      </c>
    </row>
    <row r="243" spans="2:23">
      <c r="B243" s="157" t="str">
        <f t="array" ref="B243">IF(ROWS($3:243)&lt;=COUNTA('register map'!$L$5:$L$902),INDEX('register map'!$L$5:$L$902,SMALL(IF('register map'!$L$5:$L$902&lt;&gt;"",ROW('register map'!$L$5:$L$902)-MIN(ROW('register map'!$L$5:$L$902))+1),ROWS($3:243))),"")</f>
        <v>BUCK6_GPO3_MSK</v>
      </c>
      <c r="C243" s="157">
        <f>IF(B243="PART_NUMBER",IF(COUNTIF($B$1:B242,"PART_NUMBER")=0,6,8),MATCH(B243,'register map'!L:L,0))</f>
        <v>256</v>
      </c>
      <c r="D243" s="117" t="str">
        <f>IF(ISBLANK(INDEX('register map'!C:C,'Logical Group Generator'!C243)),"No","Yes")</f>
        <v>No</v>
      </c>
      <c r="E243" s="117" t="str">
        <f>IF(ISBLANK(INDEX('register map'!A:A,C243)),IF(ISBLANK(INDEX('register map'!A:A,C243-1)),IF(ISBLANK(INDEX('register map'!A:A,C243-2)),IF(ISBLANK(INDEX('register map'!A:A,C243-3)),IF(ISBLANK(INDEX('register map'!A:A,C243-4)),IF(ISBLANK(INDEX('register map'!A:A,C243-5)),IF(ISBLANK(INDEX('register map'!A:A,C243-6)),IF(ISBLANK(INDEX('register map'!A:A,C243-7)),IF(ISBLANK(INDEX('register map'!A:A,C243-8)),"ERROR",INDEX('register map'!A:A,C243-8)),INDEX('register map'!A:A,C243-7)),INDEX('register map'!A:A,C243-6)),INDEX('register map'!A:A,C243-5)),INDEX('register map'!A:A,C243-4)),INDEX('register map'!A:A,C243-3)),INDEX('register map'!A:A,C243-2)),INDEX('register map'!A:A,C243-1)),INDEX('register map'!A:A,C243))</f>
        <v>0x5E</v>
      </c>
      <c r="F243" s="117" t="str">
        <f>IF(ISBLANK(INDEX('register map'!B:B,C243)),IF(ISBLANK(INDEX('register map'!B:B,C243-1)),IF(ISBLANK(INDEX('register map'!B:B,C243-2)),IF(ISBLANK(INDEX('register map'!B:B,C243-3)),IF(ISBLANK(INDEX('register map'!B:B,C243-4)),IF(ISBLANK(INDEX('register map'!B:B,C243-5)),IF(ISBLANK(INDEX('register map'!B:B,C243-6)),IF(ISBLANK(INDEX('register map'!B:B,C243-7)),IF(ISBLANK(INDEX('register map'!B:B,C243-8)),"ERROR",INDEX('register map'!B:B,C243-8)),INDEX('register map'!B:B,C243-7)),INDEX('register map'!B:B,C243-6)),INDEX('register map'!B:B,C243-5)),INDEX('register map'!B:B,C243-4)),INDEX('register map'!B:B,C243-3)),INDEX('register map'!B:B,C243-2)),INDEX('register map'!B:B,C243-1)),INDEX('register map'!B:B,C243))</f>
        <v>0xAA</v>
      </c>
      <c r="G243" s="117" t="str">
        <f>CONCATENATE(IF(ISNUMBER(INDEX('register map'!D:D,C243)),7,""),IF(ISNUMBER(INDEX('register map'!E:E,C243)),6,""),IF(ISNUMBER(INDEX('register map'!F:F,C243)),5,""),IF(ISNUMBER(INDEX('register map'!G:G,C243)),4,""),IF(ISNUMBER(INDEX('register map'!H:H,C243)),3,""),IF(ISNUMBER(INDEX('register map'!I:I,C243)),2,""),IF(ISNUMBER(INDEX('register map'!J:J,C243)),1,""),IF(ISNUMBER(INDEX('register map'!K:K,C243)),0,""))</f>
        <v>5</v>
      </c>
      <c r="H243" s="117" t="str">
        <f>RIGHT(INDEX('register map'!V:V,MATCH('Logical Group Generator'!B243,'register map'!L:L,0)),LEN(G243))</f>
        <v>1</v>
      </c>
      <c r="I243" s="117" t="str">
        <f>CONCATENATE(IF(ISNUMBER(INDEX('register map'!K:K,C243)),0,""),IF(ISNUMBER(INDEX('register map'!J:J,C243)),1,""),IF(ISNUMBER(INDEX('register map'!I:I,C243)),2,""),IF(ISNUMBER(INDEX('register map'!H:H,C243)),3,""),IF(ISNUMBER(INDEX('register map'!G:G,C243)),4,""),IF(ISNUMBER(INDEX('register map'!F:F,C243)),5,""),IF(ISNUMBER(INDEX('register map'!E:E,C243)),6,""),IF(ISNUMBER(INDEX('register map'!D:D,C243)),7,""))</f>
        <v>5</v>
      </c>
      <c r="J243" s="117" t="str">
        <f t="shared" si="40"/>
        <v>1</v>
      </c>
      <c r="K243" s="117" t="str">
        <f t="shared" si="33"/>
        <v/>
      </c>
      <c r="L243" s="117" t="str">
        <f t="shared" si="41"/>
        <v/>
      </c>
      <c r="M243" s="117" t="str">
        <f t="shared" si="43"/>
        <v/>
      </c>
      <c r="N243" s="117" t="str">
        <f>IF(ISBLANK(INDEX('register map'!M:M,'Logical Group Generator'!C243)),"No","Yes")</f>
        <v>No</v>
      </c>
      <c r="O243" s="117" t="str">
        <f>IF(NOT(ISBLANK(INDEX('register map'!N:N,'Logical Group Generator'!C243))),"Yes","")</f>
        <v/>
      </c>
      <c r="P243" s="117" t="str">
        <f t="shared" si="34"/>
        <v/>
      </c>
      <c r="Q243" s="117" t="str">
        <f t="shared" si="35"/>
        <v/>
      </c>
      <c r="R243" s="117" t="str">
        <f t="shared" si="36"/>
        <v/>
      </c>
      <c r="S243" s="117" t="str">
        <f t="shared" si="37"/>
        <v>No</v>
      </c>
      <c r="T243" s="117" t="str">
        <f t="shared" si="38"/>
        <v/>
      </c>
      <c r="U243" s="117" t="b">
        <f t="shared" si="42"/>
        <v>0</v>
      </c>
      <c r="V243" s="157" t="b">
        <f>INDEX('register map'!P:P,C243)="yes"</f>
        <v>1</v>
      </c>
      <c r="W243" s="157" t="str">
        <f t="shared" si="39"/>
        <v>FALSE</v>
      </c>
    </row>
    <row r="244" spans="2:23">
      <c r="B244" s="157" t="str">
        <f t="array" ref="B244">IF(ROWS($3:244)&lt;=COUNTA('register map'!$L$5:$L$902),INDEX('register map'!$L$5:$L$902,SMALL(IF('register map'!$L$5:$L$902&lt;&gt;"",ROW('register map'!$L$5:$L$902)-MIN(ROW('register map'!$L$5:$L$902))+1),ROWS($3:244))),"")</f>
        <v>SWA1_GPO3_MSK</v>
      </c>
      <c r="C244" s="157">
        <f>IF(B244="PART_NUMBER",IF(COUNTIF($B$1:B243,"PART_NUMBER")=0,6,8),MATCH(B244,'register map'!L:L,0))</f>
        <v>257</v>
      </c>
      <c r="D244" s="117" t="str">
        <f>IF(ISBLANK(INDEX('register map'!C:C,'Logical Group Generator'!C244)),"No","Yes")</f>
        <v>No</v>
      </c>
      <c r="E244" s="117" t="str">
        <f>IF(ISBLANK(INDEX('register map'!A:A,C244)),IF(ISBLANK(INDEX('register map'!A:A,C244-1)),IF(ISBLANK(INDEX('register map'!A:A,C244-2)),IF(ISBLANK(INDEX('register map'!A:A,C244-3)),IF(ISBLANK(INDEX('register map'!A:A,C244-4)),IF(ISBLANK(INDEX('register map'!A:A,C244-5)),IF(ISBLANK(INDEX('register map'!A:A,C244-6)),IF(ISBLANK(INDEX('register map'!A:A,C244-7)),IF(ISBLANK(INDEX('register map'!A:A,C244-8)),"ERROR",INDEX('register map'!A:A,C244-8)),INDEX('register map'!A:A,C244-7)),INDEX('register map'!A:A,C244-6)),INDEX('register map'!A:A,C244-5)),INDEX('register map'!A:A,C244-4)),INDEX('register map'!A:A,C244-3)),INDEX('register map'!A:A,C244-2)),INDEX('register map'!A:A,C244-1)),INDEX('register map'!A:A,C244))</f>
        <v>0x5E</v>
      </c>
      <c r="F244" s="117" t="str">
        <f>IF(ISBLANK(INDEX('register map'!B:B,C244)),IF(ISBLANK(INDEX('register map'!B:B,C244-1)),IF(ISBLANK(INDEX('register map'!B:B,C244-2)),IF(ISBLANK(INDEX('register map'!B:B,C244-3)),IF(ISBLANK(INDEX('register map'!B:B,C244-4)),IF(ISBLANK(INDEX('register map'!B:B,C244-5)),IF(ISBLANK(INDEX('register map'!B:B,C244-6)),IF(ISBLANK(INDEX('register map'!B:B,C244-7)),IF(ISBLANK(INDEX('register map'!B:B,C244-8)),"ERROR",INDEX('register map'!B:B,C244-8)),INDEX('register map'!B:B,C244-7)),INDEX('register map'!B:B,C244-6)),INDEX('register map'!B:B,C244-5)),INDEX('register map'!B:B,C244-4)),INDEX('register map'!B:B,C244-3)),INDEX('register map'!B:B,C244-2)),INDEX('register map'!B:B,C244-1)),INDEX('register map'!B:B,C244))</f>
        <v>0xAA</v>
      </c>
      <c r="G244" s="117" t="str">
        <f>CONCATENATE(IF(ISNUMBER(INDEX('register map'!D:D,C244)),7,""),IF(ISNUMBER(INDEX('register map'!E:E,C244)),6,""),IF(ISNUMBER(INDEX('register map'!F:F,C244)),5,""),IF(ISNUMBER(INDEX('register map'!G:G,C244)),4,""),IF(ISNUMBER(INDEX('register map'!H:H,C244)),3,""),IF(ISNUMBER(INDEX('register map'!I:I,C244)),2,""),IF(ISNUMBER(INDEX('register map'!J:J,C244)),1,""),IF(ISNUMBER(INDEX('register map'!K:K,C244)),0,""))</f>
        <v>6</v>
      </c>
      <c r="H244" s="117" t="str">
        <f>RIGHT(INDEX('register map'!V:V,MATCH('Logical Group Generator'!B244,'register map'!L:L,0)),LEN(G244))</f>
        <v>1</v>
      </c>
      <c r="I244" s="117" t="str">
        <f>CONCATENATE(IF(ISNUMBER(INDEX('register map'!K:K,C244)),0,""),IF(ISNUMBER(INDEX('register map'!J:J,C244)),1,""),IF(ISNUMBER(INDEX('register map'!I:I,C244)),2,""),IF(ISNUMBER(INDEX('register map'!H:H,C244)),3,""),IF(ISNUMBER(INDEX('register map'!G:G,C244)),4,""),IF(ISNUMBER(INDEX('register map'!F:F,C244)),5,""),IF(ISNUMBER(INDEX('register map'!E:E,C244)),6,""),IF(ISNUMBER(INDEX('register map'!D:D,C244)),7,""))</f>
        <v>6</v>
      </c>
      <c r="J244" s="117" t="str">
        <f t="shared" si="40"/>
        <v>1</v>
      </c>
      <c r="K244" s="117" t="str">
        <f t="shared" si="33"/>
        <v/>
      </c>
      <c r="L244" s="117" t="str">
        <f t="shared" si="41"/>
        <v/>
      </c>
      <c r="M244" s="117" t="str">
        <f t="shared" si="43"/>
        <v/>
      </c>
      <c r="N244" s="117" t="str">
        <f>IF(ISBLANK(INDEX('register map'!M:M,'Logical Group Generator'!C244)),"No","Yes")</f>
        <v>No</v>
      </c>
      <c r="O244" s="117" t="str">
        <f>IF(NOT(ISBLANK(INDEX('register map'!N:N,'Logical Group Generator'!C244))),"Yes","")</f>
        <v/>
      </c>
      <c r="P244" s="117" t="str">
        <f t="shared" si="34"/>
        <v/>
      </c>
      <c r="Q244" s="117" t="str">
        <f t="shared" si="35"/>
        <v/>
      </c>
      <c r="R244" s="117" t="str">
        <f t="shared" si="36"/>
        <v/>
      </c>
      <c r="S244" s="117" t="str">
        <f t="shared" si="37"/>
        <v>No</v>
      </c>
      <c r="T244" s="117" t="str">
        <f t="shared" si="38"/>
        <v/>
      </c>
      <c r="U244" s="117" t="b">
        <f t="shared" si="42"/>
        <v>0</v>
      </c>
      <c r="V244" s="157" t="b">
        <f>INDEX('register map'!P:P,C244)="yes"</f>
        <v>1</v>
      </c>
      <c r="W244" s="157" t="str">
        <f t="shared" si="39"/>
        <v>FALSE</v>
      </c>
    </row>
    <row r="245" spans="2:23">
      <c r="B245" s="157" t="str">
        <f t="array" ref="B245">IF(ROWS($3:245)&lt;=COUNTA('register map'!$L$5:$L$902),INDEX('register map'!$L$5:$L$902,SMALL(IF('register map'!$L$5:$L$902&lt;&gt;"",ROW('register map'!$L$5:$L$902)-MIN(ROW('register map'!$L$5:$L$902))+1),ROWS($3:245))),"")</f>
        <v>LDOA2_GPO3_MSK</v>
      </c>
      <c r="C245" s="157">
        <f>IF(B245="PART_NUMBER",IF(COUNTIF($B$1:B244,"PART_NUMBER")=0,6,8),MATCH(B245,'register map'!L:L,0))</f>
        <v>258</v>
      </c>
      <c r="D245" s="117" t="str">
        <f>IF(ISBLANK(INDEX('register map'!C:C,'Logical Group Generator'!C245)),"No","Yes")</f>
        <v>No</v>
      </c>
      <c r="E245" s="117" t="str">
        <f>IF(ISBLANK(INDEX('register map'!A:A,C245)),IF(ISBLANK(INDEX('register map'!A:A,C245-1)),IF(ISBLANK(INDEX('register map'!A:A,C245-2)),IF(ISBLANK(INDEX('register map'!A:A,C245-3)),IF(ISBLANK(INDEX('register map'!A:A,C245-4)),IF(ISBLANK(INDEX('register map'!A:A,C245-5)),IF(ISBLANK(INDEX('register map'!A:A,C245-6)),IF(ISBLANK(INDEX('register map'!A:A,C245-7)),IF(ISBLANK(INDEX('register map'!A:A,C245-8)),"ERROR",INDEX('register map'!A:A,C245-8)),INDEX('register map'!A:A,C245-7)),INDEX('register map'!A:A,C245-6)),INDEX('register map'!A:A,C245-5)),INDEX('register map'!A:A,C245-4)),INDEX('register map'!A:A,C245-3)),INDEX('register map'!A:A,C245-2)),INDEX('register map'!A:A,C245-1)),INDEX('register map'!A:A,C245))</f>
        <v>0x5E</v>
      </c>
      <c r="F245" s="117" t="str">
        <f>IF(ISBLANK(INDEX('register map'!B:B,C245)),IF(ISBLANK(INDEX('register map'!B:B,C245-1)),IF(ISBLANK(INDEX('register map'!B:B,C245-2)),IF(ISBLANK(INDEX('register map'!B:B,C245-3)),IF(ISBLANK(INDEX('register map'!B:B,C245-4)),IF(ISBLANK(INDEX('register map'!B:B,C245-5)),IF(ISBLANK(INDEX('register map'!B:B,C245-6)),IF(ISBLANK(INDEX('register map'!B:B,C245-7)),IF(ISBLANK(INDEX('register map'!B:B,C245-8)),"ERROR",INDEX('register map'!B:B,C245-8)),INDEX('register map'!B:B,C245-7)),INDEX('register map'!B:B,C245-6)),INDEX('register map'!B:B,C245-5)),INDEX('register map'!B:B,C245-4)),INDEX('register map'!B:B,C245-3)),INDEX('register map'!B:B,C245-2)),INDEX('register map'!B:B,C245-1)),INDEX('register map'!B:B,C245))</f>
        <v>0xAA</v>
      </c>
      <c r="G245" s="117" t="str">
        <f>CONCATENATE(IF(ISNUMBER(INDEX('register map'!D:D,C245)),7,""),IF(ISNUMBER(INDEX('register map'!E:E,C245)),6,""),IF(ISNUMBER(INDEX('register map'!F:F,C245)),5,""),IF(ISNUMBER(INDEX('register map'!G:G,C245)),4,""),IF(ISNUMBER(INDEX('register map'!H:H,C245)),3,""),IF(ISNUMBER(INDEX('register map'!I:I,C245)),2,""),IF(ISNUMBER(INDEX('register map'!J:J,C245)),1,""),IF(ISNUMBER(INDEX('register map'!K:K,C245)),0,""))</f>
        <v>7</v>
      </c>
      <c r="H245" s="117" t="str">
        <f>RIGHT(INDEX('register map'!V:V,MATCH('Logical Group Generator'!B245,'register map'!L:L,0)),LEN(G245))</f>
        <v>1</v>
      </c>
      <c r="I245" s="117" t="str">
        <f>CONCATENATE(IF(ISNUMBER(INDEX('register map'!K:K,C245)),0,""),IF(ISNUMBER(INDEX('register map'!J:J,C245)),1,""),IF(ISNUMBER(INDEX('register map'!I:I,C245)),2,""),IF(ISNUMBER(INDEX('register map'!H:H,C245)),3,""),IF(ISNUMBER(INDEX('register map'!G:G,C245)),4,""),IF(ISNUMBER(INDEX('register map'!F:F,C245)),5,""),IF(ISNUMBER(INDEX('register map'!E:E,C245)),6,""),IF(ISNUMBER(INDEX('register map'!D:D,C245)),7,""))</f>
        <v>7</v>
      </c>
      <c r="J245" s="117" t="str">
        <f t="shared" si="40"/>
        <v>1</v>
      </c>
      <c r="K245" s="117" t="str">
        <f t="shared" si="33"/>
        <v/>
      </c>
      <c r="L245" s="117" t="str">
        <f t="shared" si="41"/>
        <v/>
      </c>
      <c r="M245" s="117" t="str">
        <f t="shared" si="43"/>
        <v/>
      </c>
      <c r="N245" s="117" t="str">
        <f>IF(ISBLANK(INDEX('register map'!M:M,'Logical Group Generator'!C245)),"No","Yes")</f>
        <v>No</v>
      </c>
      <c r="O245" s="117" t="str">
        <f>IF(NOT(ISBLANK(INDEX('register map'!N:N,'Logical Group Generator'!C245))),"Yes","")</f>
        <v/>
      </c>
      <c r="P245" s="117" t="str">
        <f t="shared" si="34"/>
        <v/>
      </c>
      <c r="Q245" s="117" t="str">
        <f t="shared" si="35"/>
        <v/>
      </c>
      <c r="R245" s="117" t="str">
        <f t="shared" si="36"/>
        <v/>
      </c>
      <c r="S245" s="117" t="str">
        <f t="shared" si="37"/>
        <v>No</v>
      </c>
      <c r="T245" s="117" t="str">
        <f t="shared" si="38"/>
        <v/>
      </c>
      <c r="U245" s="117" t="b">
        <f t="shared" si="42"/>
        <v>0</v>
      </c>
      <c r="V245" s="157" t="b">
        <f>INDEX('register map'!P:P,C245)="yes"</f>
        <v>1</v>
      </c>
      <c r="W245" s="157" t="str">
        <f t="shared" si="39"/>
        <v>FALSE</v>
      </c>
    </row>
    <row r="246" spans="2:23">
      <c r="B246" s="157" t="str">
        <f t="array" ref="B246">IF(ROWS($3:246)&lt;=COUNTA('register map'!$L$5:$L$902),INDEX('register map'!$L$5:$L$902,SMALL(IF('register map'!$L$5:$L$902&lt;&gt;"",ROW('register map'!$L$5:$L$902)-MIN(ROW('register map'!$L$5:$L$902))+1),ROWS($3:246))),"")</f>
        <v>GPO3PG_CTRL2</v>
      </c>
      <c r="C246" s="157">
        <f>IF(B246="PART_NUMBER",IF(COUNTIF($B$1:B245,"PART_NUMBER")=0,6,8),MATCH(B246,'register map'!L:L,0))</f>
        <v>259</v>
      </c>
      <c r="D246" s="117" t="str">
        <f>IF(ISBLANK(INDEX('register map'!C:C,'Logical Group Generator'!C246)),"No","Yes")</f>
        <v>Yes</v>
      </c>
      <c r="E246" s="117" t="str">
        <f>IF(ISBLANK(INDEX('register map'!A:A,C246)),IF(ISBLANK(INDEX('register map'!A:A,C246-1)),IF(ISBLANK(INDEX('register map'!A:A,C246-2)),IF(ISBLANK(INDEX('register map'!A:A,C246-3)),IF(ISBLANK(INDEX('register map'!A:A,C246-4)),IF(ISBLANK(INDEX('register map'!A:A,C246-5)),IF(ISBLANK(INDEX('register map'!A:A,C246-6)),IF(ISBLANK(INDEX('register map'!A:A,C246-7)),IF(ISBLANK(INDEX('register map'!A:A,C246-8)),"ERROR",INDEX('register map'!A:A,C246-8)),INDEX('register map'!A:A,C246-7)),INDEX('register map'!A:A,C246-6)),INDEX('register map'!A:A,C246-5)),INDEX('register map'!A:A,C246-4)),INDEX('register map'!A:A,C246-3)),INDEX('register map'!A:A,C246-2)),INDEX('register map'!A:A,C246-1)),INDEX('register map'!A:A,C246))</f>
        <v>0x5E</v>
      </c>
      <c r="F246" s="117" t="str">
        <f>IF(ISBLANK(INDEX('register map'!B:B,C246)),IF(ISBLANK(INDEX('register map'!B:B,C246-1)),IF(ISBLANK(INDEX('register map'!B:B,C246-2)),IF(ISBLANK(INDEX('register map'!B:B,C246-3)),IF(ISBLANK(INDEX('register map'!B:B,C246-4)),IF(ISBLANK(INDEX('register map'!B:B,C246-5)),IF(ISBLANK(INDEX('register map'!B:B,C246-6)),IF(ISBLANK(INDEX('register map'!B:B,C246-7)),IF(ISBLANK(INDEX('register map'!B:B,C246-8)),"ERROR",INDEX('register map'!B:B,C246-8)),INDEX('register map'!B:B,C246-7)),INDEX('register map'!B:B,C246-6)),INDEX('register map'!B:B,C246-5)),INDEX('register map'!B:B,C246-4)),INDEX('register map'!B:B,C246-3)),INDEX('register map'!B:B,C246-2)),INDEX('register map'!B:B,C246-1)),INDEX('register map'!B:B,C246))</f>
        <v>0xAB</v>
      </c>
      <c r="G246" s="117" t="str">
        <f>CONCATENATE(IF(ISNUMBER(INDEX('register map'!D:D,C246)),7,""),IF(ISNUMBER(INDEX('register map'!E:E,C246)),6,""),IF(ISNUMBER(INDEX('register map'!F:F,C246)),5,""),IF(ISNUMBER(INDEX('register map'!G:G,C246)),4,""),IF(ISNUMBER(INDEX('register map'!H:H,C246)),3,""),IF(ISNUMBER(INDEX('register map'!I:I,C246)),2,""),IF(ISNUMBER(INDEX('register map'!J:J,C246)),1,""),IF(ISNUMBER(INDEX('register map'!K:K,C246)),0,""))</f>
        <v/>
      </c>
      <c r="H246" s="117" t="str">
        <f>RIGHT(INDEX('register map'!V:V,MATCH('Logical Group Generator'!B246,'register map'!L:L,0)),LEN(G246))</f>
        <v/>
      </c>
      <c r="I246" s="117" t="str">
        <f>CONCATENATE(IF(ISNUMBER(INDEX('register map'!K:K,C246)),0,""),IF(ISNUMBER(INDEX('register map'!J:J,C246)),1,""),IF(ISNUMBER(INDEX('register map'!I:I,C246)),2,""),IF(ISNUMBER(INDEX('register map'!H:H,C246)),3,""),IF(ISNUMBER(INDEX('register map'!G:G,C246)),4,""),IF(ISNUMBER(INDEX('register map'!F:F,C246)),5,""),IF(ISNUMBER(INDEX('register map'!E:E,C246)),6,""),IF(ISNUMBER(INDEX('register map'!D:D,C246)),7,""))</f>
        <v/>
      </c>
      <c r="J246" s="117" t="str">
        <f t="shared" si="40"/>
        <v/>
      </c>
      <c r="K246" s="117" t="str">
        <f t="shared" si="33"/>
        <v>11111111</v>
      </c>
      <c r="L246" s="117" t="str">
        <f t="shared" si="41"/>
        <v>11111111</v>
      </c>
      <c r="M246" s="117" t="str">
        <f t="shared" si="43"/>
        <v>FF</v>
      </c>
      <c r="N246" s="117" t="str">
        <f>IF(ISBLANK(INDEX('register map'!M:M,'Logical Group Generator'!C246)),"No","Yes")</f>
        <v>No</v>
      </c>
      <c r="O246" s="117" t="str">
        <f>IF(NOT(ISBLANK(INDEX('register map'!N:N,'Logical Group Generator'!C246))),"Yes","")</f>
        <v/>
      </c>
      <c r="P246" s="117" t="str">
        <f t="shared" si="34"/>
        <v>No</v>
      </c>
      <c r="Q246" s="117" t="str">
        <f t="shared" si="35"/>
        <v>No</v>
      </c>
      <c r="R246" s="117" t="str">
        <f t="shared" si="36"/>
        <v>No</v>
      </c>
      <c r="S246" s="117" t="str">
        <f t="shared" si="37"/>
        <v/>
      </c>
      <c r="T246" s="117" t="b">
        <f t="shared" si="38"/>
        <v>1</v>
      </c>
      <c r="U246" s="117" t="b">
        <f t="shared" si="42"/>
        <v>1</v>
      </c>
      <c r="V246" s="157" t="b">
        <f>INDEX('register map'!P:P,C246)="yes"</f>
        <v>1</v>
      </c>
      <c r="W246" s="157" t="str">
        <f t="shared" si="39"/>
        <v>REGISTER</v>
      </c>
    </row>
    <row r="247" spans="2:23">
      <c r="B247" s="157" t="str">
        <f t="array" ref="B247">IF(ROWS($3:247)&lt;=COUNTA('register map'!$L$5:$L$902),INDEX('register map'!$L$5:$L$902,SMALL(IF('register map'!$L$5:$L$902&lt;&gt;"",ROW('register map'!$L$5:$L$902)-MIN(ROW('register map'!$L$5:$L$902))+1),ROWS($3:247))),"")</f>
        <v>LDOA3_GPO3_MSK</v>
      </c>
      <c r="C247" s="157">
        <f>IF(B247="PART_NUMBER",IF(COUNTIF($B$1:B246,"PART_NUMBER")=0,6,8),MATCH(B247,'register map'!L:L,0))</f>
        <v>260</v>
      </c>
      <c r="D247" s="117" t="str">
        <f>IF(ISBLANK(INDEX('register map'!C:C,'Logical Group Generator'!C247)),"No","Yes")</f>
        <v>No</v>
      </c>
      <c r="E247" s="117" t="str">
        <f>IF(ISBLANK(INDEX('register map'!A:A,C247)),IF(ISBLANK(INDEX('register map'!A:A,C247-1)),IF(ISBLANK(INDEX('register map'!A:A,C247-2)),IF(ISBLANK(INDEX('register map'!A:A,C247-3)),IF(ISBLANK(INDEX('register map'!A:A,C247-4)),IF(ISBLANK(INDEX('register map'!A:A,C247-5)),IF(ISBLANK(INDEX('register map'!A:A,C247-6)),IF(ISBLANK(INDEX('register map'!A:A,C247-7)),IF(ISBLANK(INDEX('register map'!A:A,C247-8)),"ERROR",INDEX('register map'!A:A,C247-8)),INDEX('register map'!A:A,C247-7)),INDEX('register map'!A:A,C247-6)),INDEX('register map'!A:A,C247-5)),INDEX('register map'!A:A,C247-4)),INDEX('register map'!A:A,C247-3)),INDEX('register map'!A:A,C247-2)),INDEX('register map'!A:A,C247-1)),INDEX('register map'!A:A,C247))</f>
        <v>0x5E</v>
      </c>
      <c r="F247" s="117" t="str">
        <f>IF(ISBLANK(INDEX('register map'!B:B,C247)),IF(ISBLANK(INDEX('register map'!B:B,C247-1)),IF(ISBLANK(INDEX('register map'!B:B,C247-2)),IF(ISBLANK(INDEX('register map'!B:B,C247-3)),IF(ISBLANK(INDEX('register map'!B:B,C247-4)),IF(ISBLANK(INDEX('register map'!B:B,C247-5)),IF(ISBLANK(INDEX('register map'!B:B,C247-6)),IF(ISBLANK(INDEX('register map'!B:B,C247-7)),IF(ISBLANK(INDEX('register map'!B:B,C247-8)),"ERROR",INDEX('register map'!B:B,C247-8)),INDEX('register map'!B:B,C247-7)),INDEX('register map'!B:B,C247-6)),INDEX('register map'!B:B,C247-5)),INDEX('register map'!B:B,C247-4)),INDEX('register map'!B:B,C247-3)),INDEX('register map'!B:B,C247-2)),INDEX('register map'!B:B,C247-1)),INDEX('register map'!B:B,C247))</f>
        <v>0xAB</v>
      </c>
      <c r="G247" s="117" t="str">
        <f>CONCATENATE(IF(ISNUMBER(INDEX('register map'!D:D,C247)),7,""),IF(ISNUMBER(INDEX('register map'!E:E,C247)),6,""),IF(ISNUMBER(INDEX('register map'!F:F,C247)),5,""),IF(ISNUMBER(INDEX('register map'!G:G,C247)),4,""),IF(ISNUMBER(INDEX('register map'!H:H,C247)),3,""),IF(ISNUMBER(INDEX('register map'!I:I,C247)),2,""),IF(ISNUMBER(INDEX('register map'!J:J,C247)),1,""),IF(ISNUMBER(INDEX('register map'!K:K,C247)),0,""))</f>
        <v>0</v>
      </c>
      <c r="H247" s="117" t="str">
        <f>RIGHT(INDEX('register map'!V:V,MATCH('Logical Group Generator'!B247,'register map'!L:L,0)),LEN(G247))</f>
        <v>1</v>
      </c>
      <c r="I247" s="117" t="str">
        <f>CONCATENATE(IF(ISNUMBER(INDEX('register map'!K:K,C247)),0,""),IF(ISNUMBER(INDEX('register map'!J:J,C247)),1,""),IF(ISNUMBER(INDEX('register map'!I:I,C247)),2,""),IF(ISNUMBER(INDEX('register map'!H:H,C247)),3,""),IF(ISNUMBER(INDEX('register map'!G:G,C247)),4,""),IF(ISNUMBER(INDEX('register map'!F:F,C247)),5,""),IF(ISNUMBER(INDEX('register map'!E:E,C247)),6,""),IF(ISNUMBER(INDEX('register map'!D:D,C247)),7,""))</f>
        <v>0</v>
      </c>
      <c r="J247" s="117" t="str">
        <f t="shared" si="40"/>
        <v>1</v>
      </c>
      <c r="K247" s="117" t="str">
        <f t="shared" si="33"/>
        <v/>
      </c>
      <c r="L247" s="117" t="str">
        <f t="shared" si="41"/>
        <v/>
      </c>
      <c r="M247" s="117" t="str">
        <f t="shared" si="43"/>
        <v/>
      </c>
      <c r="N247" s="117" t="str">
        <f>IF(ISBLANK(INDEX('register map'!M:M,'Logical Group Generator'!C247)),"No","Yes")</f>
        <v>No</v>
      </c>
      <c r="O247" s="117" t="str">
        <f>IF(NOT(ISBLANK(INDEX('register map'!N:N,'Logical Group Generator'!C247))),"Yes","")</f>
        <v/>
      </c>
      <c r="P247" s="117" t="str">
        <f t="shared" si="34"/>
        <v/>
      </c>
      <c r="Q247" s="117" t="str">
        <f t="shared" si="35"/>
        <v/>
      </c>
      <c r="R247" s="117" t="str">
        <f t="shared" si="36"/>
        <v/>
      </c>
      <c r="S247" s="117" t="str">
        <f t="shared" si="37"/>
        <v>No</v>
      </c>
      <c r="T247" s="117" t="str">
        <f t="shared" si="38"/>
        <v/>
      </c>
      <c r="U247" s="117" t="b">
        <f t="shared" si="42"/>
        <v>0</v>
      </c>
      <c r="V247" s="157" t="b">
        <f>INDEX('register map'!P:P,C247)="yes"</f>
        <v>1</v>
      </c>
      <c r="W247" s="157" t="str">
        <f t="shared" si="39"/>
        <v>FALSE</v>
      </c>
    </row>
    <row r="248" spans="2:23">
      <c r="B248" s="157" t="str">
        <f t="array" ref="B248">IF(ROWS($3:248)&lt;=COUNTA('register map'!$L$5:$L$902),INDEX('register map'!$L$5:$L$902,SMALL(IF('register map'!$L$5:$L$902&lt;&gt;"",ROW('register map'!$L$5:$L$902)-MIN(ROW('register map'!$L$5:$L$902))+1),ROWS($3:248))),"")</f>
        <v>SWB1_GPO3_MSK</v>
      </c>
      <c r="C248" s="157">
        <f>IF(B248="PART_NUMBER",IF(COUNTIF($B$1:B247,"PART_NUMBER")=0,6,8),MATCH(B248,'register map'!L:L,0))</f>
        <v>261</v>
      </c>
      <c r="D248" s="117" t="str">
        <f>IF(ISBLANK(INDEX('register map'!C:C,'Logical Group Generator'!C248)),"No","Yes")</f>
        <v>No</v>
      </c>
      <c r="E248" s="117" t="str">
        <f>IF(ISBLANK(INDEX('register map'!A:A,C248)),IF(ISBLANK(INDEX('register map'!A:A,C248-1)),IF(ISBLANK(INDEX('register map'!A:A,C248-2)),IF(ISBLANK(INDEX('register map'!A:A,C248-3)),IF(ISBLANK(INDEX('register map'!A:A,C248-4)),IF(ISBLANK(INDEX('register map'!A:A,C248-5)),IF(ISBLANK(INDEX('register map'!A:A,C248-6)),IF(ISBLANK(INDEX('register map'!A:A,C248-7)),IF(ISBLANK(INDEX('register map'!A:A,C248-8)),"ERROR",INDEX('register map'!A:A,C248-8)),INDEX('register map'!A:A,C248-7)),INDEX('register map'!A:A,C248-6)),INDEX('register map'!A:A,C248-5)),INDEX('register map'!A:A,C248-4)),INDEX('register map'!A:A,C248-3)),INDEX('register map'!A:A,C248-2)),INDEX('register map'!A:A,C248-1)),INDEX('register map'!A:A,C248))</f>
        <v>0x5E</v>
      </c>
      <c r="F248" s="117" t="str">
        <f>IF(ISBLANK(INDEX('register map'!B:B,C248)),IF(ISBLANK(INDEX('register map'!B:B,C248-1)),IF(ISBLANK(INDEX('register map'!B:B,C248-2)),IF(ISBLANK(INDEX('register map'!B:B,C248-3)),IF(ISBLANK(INDEX('register map'!B:B,C248-4)),IF(ISBLANK(INDEX('register map'!B:B,C248-5)),IF(ISBLANK(INDEX('register map'!B:B,C248-6)),IF(ISBLANK(INDEX('register map'!B:B,C248-7)),IF(ISBLANK(INDEX('register map'!B:B,C248-8)),"ERROR",INDEX('register map'!B:B,C248-8)),INDEX('register map'!B:B,C248-7)),INDEX('register map'!B:B,C248-6)),INDEX('register map'!B:B,C248-5)),INDEX('register map'!B:B,C248-4)),INDEX('register map'!B:B,C248-3)),INDEX('register map'!B:B,C248-2)),INDEX('register map'!B:B,C248-1)),INDEX('register map'!B:B,C248))</f>
        <v>0xAB</v>
      </c>
      <c r="G248" s="117" t="str">
        <f>CONCATENATE(IF(ISNUMBER(INDEX('register map'!D:D,C248)),7,""),IF(ISNUMBER(INDEX('register map'!E:E,C248)),6,""),IF(ISNUMBER(INDEX('register map'!F:F,C248)),5,""),IF(ISNUMBER(INDEX('register map'!G:G,C248)),4,""),IF(ISNUMBER(INDEX('register map'!H:H,C248)),3,""),IF(ISNUMBER(INDEX('register map'!I:I,C248)),2,""),IF(ISNUMBER(INDEX('register map'!J:J,C248)),1,""),IF(ISNUMBER(INDEX('register map'!K:K,C248)),0,""))</f>
        <v>1</v>
      </c>
      <c r="H248" s="117" t="str">
        <f>RIGHT(INDEX('register map'!V:V,MATCH('Logical Group Generator'!B248,'register map'!L:L,0)),LEN(G248))</f>
        <v>1</v>
      </c>
      <c r="I248" s="117" t="str">
        <f>CONCATENATE(IF(ISNUMBER(INDEX('register map'!K:K,C248)),0,""),IF(ISNUMBER(INDEX('register map'!J:J,C248)),1,""),IF(ISNUMBER(INDEX('register map'!I:I,C248)),2,""),IF(ISNUMBER(INDEX('register map'!H:H,C248)),3,""),IF(ISNUMBER(INDEX('register map'!G:G,C248)),4,""),IF(ISNUMBER(INDEX('register map'!F:F,C248)),5,""),IF(ISNUMBER(INDEX('register map'!E:E,C248)),6,""),IF(ISNUMBER(INDEX('register map'!D:D,C248)),7,""))</f>
        <v>1</v>
      </c>
      <c r="J248" s="117" t="str">
        <f t="shared" si="40"/>
        <v>1</v>
      </c>
      <c r="K248" s="117" t="str">
        <f t="shared" si="33"/>
        <v/>
      </c>
      <c r="L248" s="117" t="str">
        <f t="shared" si="41"/>
        <v/>
      </c>
      <c r="M248" s="117" t="str">
        <f t="shared" si="43"/>
        <v/>
      </c>
      <c r="N248" s="117" t="str">
        <f>IF(ISBLANK(INDEX('register map'!M:M,'Logical Group Generator'!C248)),"No","Yes")</f>
        <v>No</v>
      </c>
      <c r="O248" s="117" t="str">
        <f>IF(NOT(ISBLANK(INDEX('register map'!N:N,'Logical Group Generator'!C248))),"Yes","")</f>
        <v/>
      </c>
      <c r="P248" s="117" t="str">
        <f t="shared" si="34"/>
        <v/>
      </c>
      <c r="Q248" s="117" t="str">
        <f t="shared" si="35"/>
        <v/>
      </c>
      <c r="R248" s="117" t="str">
        <f t="shared" si="36"/>
        <v/>
      </c>
      <c r="S248" s="117" t="str">
        <f t="shared" si="37"/>
        <v>No</v>
      </c>
      <c r="T248" s="117" t="str">
        <f t="shared" si="38"/>
        <v/>
      </c>
      <c r="U248" s="117" t="b">
        <f t="shared" si="42"/>
        <v>0</v>
      </c>
      <c r="V248" s="157" t="b">
        <f>INDEX('register map'!P:P,C248)="yes"</f>
        <v>1</v>
      </c>
      <c r="W248" s="157" t="str">
        <f t="shared" si="39"/>
        <v>FALSE</v>
      </c>
    </row>
    <row r="249" spans="2:23">
      <c r="B249" s="157" t="str">
        <f t="array" ref="B249">IF(ROWS($3:249)&lt;=COUNTA('register map'!$L$5:$L$902),INDEX('register map'!$L$5:$L$902,SMALL(IF('register map'!$L$5:$L$902&lt;&gt;"",ROW('register map'!$L$5:$L$902)-MIN(ROW('register map'!$L$5:$L$902))+1),ROWS($3:249))),"")</f>
        <v>SWB2_LDOA1_GPO3_MSK</v>
      </c>
      <c r="C249" s="157">
        <f>IF(B249="PART_NUMBER",IF(COUNTIF($B$1:B248,"PART_NUMBER")=0,6,8),MATCH(B249,'register map'!L:L,0))</f>
        <v>262</v>
      </c>
      <c r="D249" s="117" t="str">
        <f>IF(ISBLANK(INDEX('register map'!C:C,'Logical Group Generator'!C249)),"No","Yes")</f>
        <v>No</v>
      </c>
      <c r="E249" s="117" t="str">
        <f>IF(ISBLANK(INDEX('register map'!A:A,C249)),IF(ISBLANK(INDEX('register map'!A:A,C249-1)),IF(ISBLANK(INDEX('register map'!A:A,C249-2)),IF(ISBLANK(INDEX('register map'!A:A,C249-3)),IF(ISBLANK(INDEX('register map'!A:A,C249-4)),IF(ISBLANK(INDEX('register map'!A:A,C249-5)),IF(ISBLANK(INDEX('register map'!A:A,C249-6)),IF(ISBLANK(INDEX('register map'!A:A,C249-7)),IF(ISBLANK(INDEX('register map'!A:A,C249-8)),"ERROR",INDEX('register map'!A:A,C249-8)),INDEX('register map'!A:A,C249-7)),INDEX('register map'!A:A,C249-6)),INDEX('register map'!A:A,C249-5)),INDEX('register map'!A:A,C249-4)),INDEX('register map'!A:A,C249-3)),INDEX('register map'!A:A,C249-2)),INDEX('register map'!A:A,C249-1)),INDEX('register map'!A:A,C249))</f>
        <v>0x5E</v>
      </c>
      <c r="F249" s="117" t="str">
        <f>IF(ISBLANK(INDEX('register map'!B:B,C249)),IF(ISBLANK(INDEX('register map'!B:B,C249-1)),IF(ISBLANK(INDEX('register map'!B:B,C249-2)),IF(ISBLANK(INDEX('register map'!B:B,C249-3)),IF(ISBLANK(INDEX('register map'!B:B,C249-4)),IF(ISBLANK(INDEX('register map'!B:B,C249-5)),IF(ISBLANK(INDEX('register map'!B:B,C249-6)),IF(ISBLANK(INDEX('register map'!B:B,C249-7)),IF(ISBLANK(INDEX('register map'!B:B,C249-8)),"ERROR",INDEX('register map'!B:B,C249-8)),INDEX('register map'!B:B,C249-7)),INDEX('register map'!B:B,C249-6)),INDEX('register map'!B:B,C249-5)),INDEX('register map'!B:B,C249-4)),INDEX('register map'!B:B,C249-3)),INDEX('register map'!B:B,C249-2)),INDEX('register map'!B:B,C249-1)),INDEX('register map'!B:B,C249))</f>
        <v>0xAB</v>
      </c>
      <c r="G249" s="117" t="str">
        <f>CONCATENATE(IF(ISNUMBER(INDEX('register map'!D:D,C249)),7,""),IF(ISNUMBER(INDEX('register map'!E:E,C249)),6,""),IF(ISNUMBER(INDEX('register map'!F:F,C249)),5,""),IF(ISNUMBER(INDEX('register map'!G:G,C249)),4,""),IF(ISNUMBER(INDEX('register map'!H:H,C249)),3,""),IF(ISNUMBER(INDEX('register map'!I:I,C249)),2,""),IF(ISNUMBER(INDEX('register map'!J:J,C249)),1,""),IF(ISNUMBER(INDEX('register map'!K:K,C249)),0,""))</f>
        <v>2</v>
      </c>
      <c r="H249" s="117" t="str">
        <f>RIGHT(INDEX('register map'!V:V,MATCH('Logical Group Generator'!B249,'register map'!L:L,0)),LEN(G249))</f>
        <v>1</v>
      </c>
      <c r="I249" s="117" t="str">
        <f>CONCATENATE(IF(ISNUMBER(INDEX('register map'!K:K,C249)),0,""),IF(ISNUMBER(INDEX('register map'!J:J,C249)),1,""),IF(ISNUMBER(INDEX('register map'!I:I,C249)),2,""),IF(ISNUMBER(INDEX('register map'!H:H,C249)),3,""),IF(ISNUMBER(INDEX('register map'!G:G,C249)),4,""),IF(ISNUMBER(INDEX('register map'!F:F,C249)),5,""),IF(ISNUMBER(INDEX('register map'!E:E,C249)),6,""),IF(ISNUMBER(INDEX('register map'!D:D,C249)),7,""))</f>
        <v>2</v>
      </c>
      <c r="J249" s="117" t="str">
        <f t="shared" si="40"/>
        <v>1</v>
      </c>
      <c r="K249" s="117" t="str">
        <f t="shared" si="33"/>
        <v/>
      </c>
      <c r="L249" s="117" t="str">
        <f t="shared" si="41"/>
        <v/>
      </c>
      <c r="M249" s="117" t="str">
        <f t="shared" si="43"/>
        <v/>
      </c>
      <c r="N249" s="117" t="str">
        <f>IF(ISBLANK(INDEX('register map'!M:M,'Logical Group Generator'!C249)),"No","Yes")</f>
        <v>No</v>
      </c>
      <c r="O249" s="117" t="str">
        <f>IF(NOT(ISBLANK(INDEX('register map'!N:N,'Logical Group Generator'!C249))),"Yes","")</f>
        <v/>
      </c>
      <c r="P249" s="117" t="str">
        <f t="shared" si="34"/>
        <v/>
      </c>
      <c r="Q249" s="117" t="str">
        <f t="shared" si="35"/>
        <v/>
      </c>
      <c r="R249" s="117" t="str">
        <f t="shared" si="36"/>
        <v/>
      </c>
      <c r="S249" s="117" t="str">
        <f t="shared" si="37"/>
        <v>No</v>
      </c>
      <c r="T249" s="117" t="str">
        <f t="shared" si="38"/>
        <v/>
      </c>
      <c r="U249" s="117" t="b">
        <f t="shared" si="42"/>
        <v>0</v>
      </c>
      <c r="V249" s="157" t="b">
        <f>INDEX('register map'!P:P,C249)="yes"</f>
        <v>1</v>
      </c>
      <c r="W249" s="157" t="str">
        <f t="shared" si="39"/>
        <v>FALSE</v>
      </c>
    </row>
    <row r="250" spans="2:23">
      <c r="B250" s="157" t="str">
        <f t="array" ref="B250">IF(ROWS($3:250)&lt;=COUNTA('register map'!$L$5:$L$902),INDEX('register map'!$L$5:$L$902,SMALL(IF('register map'!$L$5:$L$902&lt;&gt;"",ROW('register map'!$L$5:$L$902)-MIN(ROW('register map'!$L$5:$L$902))+1),ROWS($3:250))),"")</f>
        <v>VTT_GPO3_MSK</v>
      </c>
      <c r="C250" s="157">
        <f>IF(B250="PART_NUMBER",IF(COUNTIF($B$1:B249,"PART_NUMBER")=0,6,8),MATCH(B250,'register map'!L:L,0))</f>
        <v>263</v>
      </c>
      <c r="D250" s="117" t="str">
        <f>IF(ISBLANK(INDEX('register map'!C:C,'Logical Group Generator'!C250)),"No","Yes")</f>
        <v>No</v>
      </c>
      <c r="E250" s="117" t="str">
        <f>IF(ISBLANK(INDEX('register map'!A:A,C250)),IF(ISBLANK(INDEX('register map'!A:A,C250-1)),IF(ISBLANK(INDEX('register map'!A:A,C250-2)),IF(ISBLANK(INDEX('register map'!A:A,C250-3)),IF(ISBLANK(INDEX('register map'!A:A,C250-4)),IF(ISBLANK(INDEX('register map'!A:A,C250-5)),IF(ISBLANK(INDEX('register map'!A:A,C250-6)),IF(ISBLANK(INDEX('register map'!A:A,C250-7)),IF(ISBLANK(INDEX('register map'!A:A,C250-8)),"ERROR",INDEX('register map'!A:A,C250-8)),INDEX('register map'!A:A,C250-7)),INDEX('register map'!A:A,C250-6)),INDEX('register map'!A:A,C250-5)),INDEX('register map'!A:A,C250-4)),INDEX('register map'!A:A,C250-3)),INDEX('register map'!A:A,C250-2)),INDEX('register map'!A:A,C250-1)),INDEX('register map'!A:A,C250))</f>
        <v>0x5E</v>
      </c>
      <c r="F250" s="117" t="str">
        <f>IF(ISBLANK(INDEX('register map'!B:B,C250)),IF(ISBLANK(INDEX('register map'!B:B,C250-1)),IF(ISBLANK(INDEX('register map'!B:B,C250-2)),IF(ISBLANK(INDEX('register map'!B:B,C250-3)),IF(ISBLANK(INDEX('register map'!B:B,C250-4)),IF(ISBLANK(INDEX('register map'!B:B,C250-5)),IF(ISBLANK(INDEX('register map'!B:B,C250-6)),IF(ISBLANK(INDEX('register map'!B:B,C250-7)),IF(ISBLANK(INDEX('register map'!B:B,C250-8)),"ERROR",INDEX('register map'!B:B,C250-8)),INDEX('register map'!B:B,C250-7)),INDEX('register map'!B:B,C250-6)),INDEX('register map'!B:B,C250-5)),INDEX('register map'!B:B,C250-4)),INDEX('register map'!B:B,C250-3)),INDEX('register map'!B:B,C250-2)),INDEX('register map'!B:B,C250-1)),INDEX('register map'!B:B,C250))</f>
        <v>0xAB</v>
      </c>
      <c r="G250" s="117" t="str">
        <f>CONCATENATE(IF(ISNUMBER(INDEX('register map'!D:D,C250)),7,""),IF(ISNUMBER(INDEX('register map'!E:E,C250)),6,""),IF(ISNUMBER(INDEX('register map'!F:F,C250)),5,""),IF(ISNUMBER(INDEX('register map'!G:G,C250)),4,""),IF(ISNUMBER(INDEX('register map'!H:H,C250)),3,""),IF(ISNUMBER(INDEX('register map'!I:I,C250)),2,""),IF(ISNUMBER(INDEX('register map'!J:J,C250)),1,""),IF(ISNUMBER(INDEX('register map'!K:K,C250)),0,""))</f>
        <v>3</v>
      </c>
      <c r="H250" s="117" t="str">
        <f>RIGHT(INDEX('register map'!V:V,MATCH('Logical Group Generator'!B250,'register map'!L:L,0)),LEN(G250))</f>
        <v>1</v>
      </c>
      <c r="I250" s="117" t="str">
        <f>CONCATENATE(IF(ISNUMBER(INDEX('register map'!K:K,C250)),0,""),IF(ISNUMBER(INDEX('register map'!J:J,C250)),1,""),IF(ISNUMBER(INDEX('register map'!I:I,C250)),2,""),IF(ISNUMBER(INDEX('register map'!H:H,C250)),3,""),IF(ISNUMBER(INDEX('register map'!G:G,C250)),4,""),IF(ISNUMBER(INDEX('register map'!F:F,C250)),5,""),IF(ISNUMBER(INDEX('register map'!E:E,C250)),6,""),IF(ISNUMBER(INDEX('register map'!D:D,C250)),7,""))</f>
        <v>3</v>
      </c>
      <c r="J250" s="117" t="str">
        <f t="shared" si="40"/>
        <v>1</v>
      </c>
      <c r="K250" s="117" t="str">
        <f t="shared" si="33"/>
        <v/>
      </c>
      <c r="L250" s="117" t="str">
        <f t="shared" si="41"/>
        <v/>
      </c>
      <c r="M250" s="117" t="str">
        <f t="shared" si="43"/>
        <v/>
      </c>
      <c r="N250" s="117" t="str">
        <f>IF(ISBLANK(INDEX('register map'!M:M,'Logical Group Generator'!C250)),"No","Yes")</f>
        <v>No</v>
      </c>
      <c r="O250" s="117" t="str">
        <f>IF(NOT(ISBLANK(INDEX('register map'!N:N,'Logical Group Generator'!C250))),"Yes","")</f>
        <v/>
      </c>
      <c r="P250" s="117" t="str">
        <f t="shared" si="34"/>
        <v/>
      </c>
      <c r="Q250" s="117" t="str">
        <f t="shared" si="35"/>
        <v/>
      </c>
      <c r="R250" s="117" t="str">
        <f t="shared" si="36"/>
        <v/>
      </c>
      <c r="S250" s="117" t="str">
        <f t="shared" si="37"/>
        <v>No</v>
      </c>
      <c r="T250" s="117" t="str">
        <f t="shared" si="38"/>
        <v/>
      </c>
      <c r="U250" s="117" t="b">
        <f t="shared" si="42"/>
        <v>0</v>
      </c>
      <c r="V250" s="157" t="b">
        <f>INDEX('register map'!P:P,C250)="yes"</f>
        <v>1</v>
      </c>
      <c r="W250" s="157" t="str">
        <f t="shared" si="39"/>
        <v>FALSE</v>
      </c>
    </row>
    <row r="251" spans="2:23">
      <c r="B251" s="157" t="str">
        <f t="array" ref="B251">IF(ROWS($3:251)&lt;=COUNTA('register map'!$L$5:$L$902),INDEX('register map'!$L$5:$L$902,SMALL(IF('register map'!$L$5:$L$902&lt;&gt;"",ROW('register map'!$L$5:$L$902)-MIN(ROW('register map'!$L$5:$L$902))+1),ROWS($3:251))),"")</f>
        <v>CTL1_GPO3_MSK</v>
      </c>
      <c r="C251" s="157">
        <f>IF(B251="PART_NUMBER",IF(COUNTIF($B$1:B250,"PART_NUMBER")=0,6,8),MATCH(B251,'register map'!L:L,0))</f>
        <v>264</v>
      </c>
      <c r="D251" s="117" t="str">
        <f>IF(ISBLANK(INDEX('register map'!C:C,'Logical Group Generator'!C251)),"No","Yes")</f>
        <v>No</v>
      </c>
      <c r="E251" s="117" t="str">
        <f>IF(ISBLANK(INDEX('register map'!A:A,C251)),IF(ISBLANK(INDEX('register map'!A:A,C251-1)),IF(ISBLANK(INDEX('register map'!A:A,C251-2)),IF(ISBLANK(INDEX('register map'!A:A,C251-3)),IF(ISBLANK(INDEX('register map'!A:A,C251-4)),IF(ISBLANK(INDEX('register map'!A:A,C251-5)),IF(ISBLANK(INDEX('register map'!A:A,C251-6)),IF(ISBLANK(INDEX('register map'!A:A,C251-7)),IF(ISBLANK(INDEX('register map'!A:A,C251-8)),"ERROR",INDEX('register map'!A:A,C251-8)),INDEX('register map'!A:A,C251-7)),INDEX('register map'!A:A,C251-6)),INDEX('register map'!A:A,C251-5)),INDEX('register map'!A:A,C251-4)),INDEX('register map'!A:A,C251-3)),INDEX('register map'!A:A,C251-2)),INDEX('register map'!A:A,C251-1)),INDEX('register map'!A:A,C251))</f>
        <v>0x5E</v>
      </c>
      <c r="F251" s="117" t="str">
        <f>IF(ISBLANK(INDEX('register map'!B:B,C251)),IF(ISBLANK(INDEX('register map'!B:B,C251-1)),IF(ISBLANK(INDEX('register map'!B:B,C251-2)),IF(ISBLANK(INDEX('register map'!B:B,C251-3)),IF(ISBLANK(INDEX('register map'!B:B,C251-4)),IF(ISBLANK(INDEX('register map'!B:B,C251-5)),IF(ISBLANK(INDEX('register map'!B:B,C251-6)),IF(ISBLANK(INDEX('register map'!B:B,C251-7)),IF(ISBLANK(INDEX('register map'!B:B,C251-8)),"ERROR",INDEX('register map'!B:B,C251-8)),INDEX('register map'!B:B,C251-7)),INDEX('register map'!B:B,C251-6)),INDEX('register map'!B:B,C251-5)),INDEX('register map'!B:B,C251-4)),INDEX('register map'!B:B,C251-3)),INDEX('register map'!B:B,C251-2)),INDEX('register map'!B:B,C251-1)),INDEX('register map'!B:B,C251))</f>
        <v>0xAB</v>
      </c>
      <c r="G251" s="117" t="str">
        <f>CONCATENATE(IF(ISNUMBER(INDEX('register map'!D:D,C251)),7,""),IF(ISNUMBER(INDEX('register map'!E:E,C251)),6,""),IF(ISNUMBER(INDEX('register map'!F:F,C251)),5,""),IF(ISNUMBER(INDEX('register map'!G:G,C251)),4,""),IF(ISNUMBER(INDEX('register map'!H:H,C251)),3,""),IF(ISNUMBER(INDEX('register map'!I:I,C251)),2,""),IF(ISNUMBER(INDEX('register map'!J:J,C251)),1,""),IF(ISNUMBER(INDEX('register map'!K:K,C251)),0,""))</f>
        <v>4</v>
      </c>
      <c r="H251" s="117" t="str">
        <f>RIGHT(INDEX('register map'!V:V,MATCH('Logical Group Generator'!B251,'register map'!L:L,0)),LEN(G251))</f>
        <v>1</v>
      </c>
      <c r="I251" s="117" t="str">
        <f>CONCATENATE(IF(ISNUMBER(INDEX('register map'!K:K,C251)),0,""),IF(ISNUMBER(INDEX('register map'!J:J,C251)),1,""),IF(ISNUMBER(INDEX('register map'!I:I,C251)),2,""),IF(ISNUMBER(INDEX('register map'!H:H,C251)),3,""),IF(ISNUMBER(INDEX('register map'!G:G,C251)),4,""),IF(ISNUMBER(INDEX('register map'!F:F,C251)),5,""),IF(ISNUMBER(INDEX('register map'!E:E,C251)),6,""),IF(ISNUMBER(INDEX('register map'!D:D,C251)),7,""))</f>
        <v>4</v>
      </c>
      <c r="J251" s="117" t="str">
        <f t="shared" si="40"/>
        <v>1</v>
      </c>
      <c r="K251" s="117" t="str">
        <f t="shared" si="33"/>
        <v/>
      </c>
      <c r="L251" s="117" t="str">
        <f t="shared" si="41"/>
        <v/>
      </c>
      <c r="M251" s="117" t="str">
        <f t="shared" si="43"/>
        <v/>
      </c>
      <c r="N251" s="117" t="str">
        <f>IF(ISBLANK(INDEX('register map'!M:M,'Logical Group Generator'!C251)),"No","Yes")</f>
        <v>No</v>
      </c>
      <c r="O251" s="117" t="str">
        <f>IF(NOT(ISBLANK(INDEX('register map'!N:N,'Logical Group Generator'!C251))),"Yes","")</f>
        <v/>
      </c>
      <c r="P251" s="117" t="str">
        <f t="shared" si="34"/>
        <v/>
      </c>
      <c r="Q251" s="117" t="str">
        <f t="shared" si="35"/>
        <v/>
      </c>
      <c r="R251" s="117" t="str">
        <f t="shared" si="36"/>
        <v/>
      </c>
      <c r="S251" s="117" t="str">
        <f t="shared" si="37"/>
        <v>No</v>
      </c>
      <c r="T251" s="117" t="str">
        <f t="shared" si="38"/>
        <v/>
      </c>
      <c r="U251" s="117" t="b">
        <f t="shared" si="42"/>
        <v>0</v>
      </c>
      <c r="V251" s="157" t="b">
        <f>INDEX('register map'!P:P,C251)="yes"</f>
        <v>1</v>
      </c>
      <c r="W251" s="157" t="str">
        <f t="shared" si="39"/>
        <v>FALSE</v>
      </c>
    </row>
    <row r="252" spans="2:23">
      <c r="B252" s="157" t="str">
        <f t="array" ref="B252">IF(ROWS($3:252)&lt;=COUNTA('register map'!$L$5:$L$902),INDEX('register map'!$L$5:$L$902,SMALL(IF('register map'!$L$5:$L$902&lt;&gt;"",ROW('register map'!$L$5:$L$902)-MIN(ROW('register map'!$L$5:$L$902))+1),ROWS($3:252))),"")</f>
        <v>CTL2_GPO3_MSK</v>
      </c>
      <c r="C252" s="157">
        <f>IF(B252="PART_NUMBER",IF(COUNTIF($B$1:B251,"PART_NUMBER")=0,6,8),MATCH(B252,'register map'!L:L,0))</f>
        <v>265</v>
      </c>
      <c r="D252" s="117" t="str">
        <f>IF(ISBLANK(INDEX('register map'!C:C,'Logical Group Generator'!C252)),"No","Yes")</f>
        <v>No</v>
      </c>
      <c r="E252" s="117" t="str">
        <f>IF(ISBLANK(INDEX('register map'!A:A,C252)),IF(ISBLANK(INDEX('register map'!A:A,C252-1)),IF(ISBLANK(INDEX('register map'!A:A,C252-2)),IF(ISBLANK(INDEX('register map'!A:A,C252-3)),IF(ISBLANK(INDEX('register map'!A:A,C252-4)),IF(ISBLANK(INDEX('register map'!A:A,C252-5)),IF(ISBLANK(INDEX('register map'!A:A,C252-6)),IF(ISBLANK(INDEX('register map'!A:A,C252-7)),IF(ISBLANK(INDEX('register map'!A:A,C252-8)),"ERROR",INDEX('register map'!A:A,C252-8)),INDEX('register map'!A:A,C252-7)),INDEX('register map'!A:A,C252-6)),INDEX('register map'!A:A,C252-5)),INDEX('register map'!A:A,C252-4)),INDEX('register map'!A:A,C252-3)),INDEX('register map'!A:A,C252-2)),INDEX('register map'!A:A,C252-1)),INDEX('register map'!A:A,C252))</f>
        <v>0x5E</v>
      </c>
      <c r="F252" s="117" t="str">
        <f>IF(ISBLANK(INDEX('register map'!B:B,C252)),IF(ISBLANK(INDEX('register map'!B:B,C252-1)),IF(ISBLANK(INDEX('register map'!B:B,C252-2)),IF(ISBLANK(INDEX('register map'!B:B,C252-3)),IF(ISBLANK(INDEX('register map'!B:B,C252-4)),IF(ISBLANK(INDEX('register map'!B:B,C252-5)),IF(ISBLANK(INDEX('register map'!B:B,C252-6)),IF(ISBLANK(INDEX('register map'!B:B,C252-7)),IF(ISBLANK(INDEX('register map'!B:B,C252-8)),"ERROR",INDEX('register map'!B:B,C252-8)),INDEX('register map'!B:B,C252-7)),INDEX('register map'!B:B,C252-6)),INDEX('register map'!B:B,C252-5)),INDEX('register map'!B:B,C252-4)),INDEX('register map'!B:B,C252-3)),INDEX('register map'!B:B,C252-2)),INDEX('register map'!B:B,C252-1)),INDEX('register map'!B:B,C252))</f>
        <v>0xAB</v>
      </c>
      <c r="G252" s="117" t="str">
        <f>CONCATENATE(IF(ISNUMBER(INDEX('register map'!D:D,C252)),7,""),IF(ISNUMBER(INDEX('register map'!E:E,C252)),6,""),IF(ISNUMBER(INDEX('register map'!F:F,C252)),5,""),IF(ISNUMBER(INDEX('register map'!G:G,C252)),4,""),IF(ISNUMBER(INDEX('register map'!H:H,C252)),3,""),IF(ISNUMBER(INDEX('register map'!I:I,C252)),2,""),IF(ISNUMBER(INDEX('register map'!J:J,C252)),1,""),IF(ISNUMBER(INDEX('register map'!K:K,C252)),0,""))</f>
        <v>5</v>
      </c>
      <c r="H252" s="117" t="str">
        <f>RIGHT(INDEX('register map'!V:V,MATCH('Logical Group Generator'!B252,'register map'!L:L,0)),LEN(G252))</f>
        <v>1</v>
      </c>
      <c r="I252" s="117" t="str">
        <f>CONCATENATE(IF(ISNUMBER(INDEX('register map'!K:K,C252)),0,""),IF(ISNUMBER(INDEX('register map'!J:J,C252)),1,""),IF(ISNUMBER(INDEX('register map'!I:I,C252)),2,""),IF(ISNUMBER(INDEX('register map'!H:H,C252)),3,""),IF(ISNUMBER(INDEX('register map'!G:G,C252)),4,""),IF(ISNUMBER(INDEX('register map'!F:F,C252)),5,""),IF(ISNUMBER(INDEX('register map'!E:E,C252)),6,""),IF(ISNUMBER(INDEX('register map'!D:D,C252)),7,""))</f>
        <v>5</v>
      </c>
      <c r="J252" s="117" t="str">
        <f t="shared" si="40"/>
        <v>1</v>
      </c>
      <c r="K252" s="117" t="str">
        <f t="shared" si="33"/>
        <v/>
      </c>
      <c r="L252" s="117" t="str">
        <f t="shared" si="41"/>
        <v/>
      </c>
      <c r="M252" s="117" t="str">
        <f t="shared" si="43"/>
        <v/>
      </c>
      <c r="N252" s="117" t="str">
        <f>IF(ISBLANK(INDEX('register map'!M:M,'Logical Group Generator'!C252)),"No","Yes")</f>
        <v>No</v>
      </c>
      <c r="O252" s="117" t="str">
        <f>IF(NOT(ISBLANK(INDEX('register map'!N:N,'Logical Group Generator'!C252))),"Yes","")</f>
        <v/>
      </c>
      <c r="P252" s="117" t="str">
        <f t="shared" si="34"/>
        <v/>
      </c>
      <c r="Q252" s="117" t="str">
        <f t="shared" si="35"/>
        <v/>
      </c>
      <c r="R252" s="117" t="str">
        <f t="shared" si="36"/>
        <v/>
      </c>
      <c r="S252" s="117" t="str">
        <f t="shared" si="37"/>
        <v>No</v>
      </c>
      <c r="T252" s="117" t="str">
        <f t="shared" si="38"/>
        <v/>
      </c>
      <c r="U252" s="117" t="b">
        <f t="shared" si="42"/>
        <v>0</v>
      </c>
      <c r="V252" s="157" t="b">
        <f>INDEX('register map'!P:P,C252)="yes"</f>
        <v>1</v>
      </c>
      <c r="W252" s="157" t="str">
        <f t="shared" si="39"/>
        <v>FALSE</v>
      </c>
    </row>
    <row r="253" spans="2:23">
      <c r="B253" s="157" t="str">
        <f t="array" ref="B253">IF(ROWS($3:253)&lt;=COUNTA('register map'!$L$5:$L$902),INDEX('register map'!$L$5:$L$902,SMALL(IF('register map'!$L$5:$L$902&lt;&gt;"",ROW('register map'!$L$5:$L$902)-MIN(ROW('register map'!$L$5:$L$902))+1),ROWS($3:253))),"")</f>
        <v>CTL4_GPO3_MSK</v>
      </c>
      <c r="C253" s="157">
        <f>IF(B253="PART_NUMBER",IF(COUNTIF($B$1:B252,"PART_NUMBER")=0,6,8),MATCH(B253,'register map'!L:L,0))</f>
        <v>266</v>
      </c>
      <c r="D253" s="117" t="str">
        <f>IF(ISBLANK(INDEX('register map'!C:C,'Logical Group Generator'!C253)),"No","Yes")</f>
        <v>No</v>
      </c>
      <c r="E253" s="117" t="str">
        <f>IF(ISBLANK(INDEX('register map'!A:A,C253)),IF(ISBLANK(INDEX('register map'!A:A,C253-1)),IF(ISBLANK(INDEX('register map'!A:A,C253-2)),IF(ISBLANK(INDEX('register map'!A:A,C253-3)),IF(ISBLANK(INDEX('register map'!A:A,C253-4)),IF(ISBLANK(INDEX('register map'!A:A,C253-5)),IF(ISBLANK(INDEX('register map'!A:A,C253-6)),IF(ISBLANK(INDEX('register map'!A:A,C253-7)),IF(ISBLANK(INDEX('register map'!A:A,C253-8)),"ERROR",INDEX('register map'!A:A,C253-8)),INDEX('register map'!A:A,C253-7)),INDEX('register map'!A:A,C253-6)),INDEX('register map'!A:A,C253-5)),INDEX('register map'!A:A,C253-4)),INDEX('register map'!A:A,C253-3)),INDEX('register map'!A:A,C253-2)),INDEX('register map'!A:A,C253-1)),INDEX('register map'!A:A,C253))</f>
        <v>0x5E</v>
      </c>
      <c r="F253" s="117" t="str">
        <f>IF(ISBLANK(INDEX('register map'!B:B,C253)),IF(ISBLANK(INDEX('register map'!B:B,C253-1)),IF(ISBLANK(INDEX('register map'!B:B,C253-2)),IF(ISBLANK(INDEX('register map'!B:B,C253-3)),IF(ISBLANK(INDEX('register map'!B:B,C253-4)),IF(ISBLANK(INDEX('register map'!B:B,C253-5)),IF(ISBLANK(INDEX('register map'!B:B,C253-6)),IF(ISBLANK(INDEX('register map'!B:B,C253-7)),IF(ISBLANK(INDEX('register map'!B:B,C253-8)),"ERROR",INDEX('register map'!B:B,C253-8)),INDEX('register map'!B:B,C253-7)),INDEX('register map'!B:B,C253-6)),INDEX('register map'!B:B,C253-5)),INDEX('register map'!B:B,C253-4)),INDEX('register map'!B:B,C253-3)),INDEX('register map'!B:B,C253-2)),INDEX('register map'!B:B,C253-1)),INDEX('register map'!B:B,C253))</f>
        <v>0xAB</v>
      </c>
      <c r="G253" s="117" t="str">
        <f>CONCATENATE(IF(ISNUMBER(INDEX('register map'!D:D,C253)),7,""),IF(ISNUMBER(INDEX('register map'!E:E,C253)),6,""),IF(ISNUMBER(INDEX('register map'!F:F,C253)),5,""),IF(ISNUMBER(INDEX('register map'!G:G,C253)),4,""),IF(ISNUMBER(INDEX('register map'!H:H,C253)),3,""),IF(ISNUMBER(INDEX('register map'!I:I,C253)),2,""),IF(ISNUMBER(INDEX('register map'!J:J,C253)),1,""),IF(ISNUMBER(INDEX('register map'!K:K,C253)),0,""))</f>
        <v>6</v>
      </c>
      <c r="H253" s="117" t="str">
        <f>RIGHT(INDEX('register map'!V:V,MATCH('Logical Group Generator'!B253,'register map'!L:L,0)),LEN(G253))</f>
        <v>1</v>
      </c>
      <c r="I253" s="117" t="str">
        <f>CONCATENATE(IF(ISNUMBER(INDEX('register map'!K:K,C253)),0,""),IF(ISNUMBER(INDEX('register map'!J:J,C253)),1,""),IF(ISNUMBER(INDEX('register map'!I:I,C253)),2,""),IF(ISNUMBER(INDEX('register map'!H:H,C253)),3,""),IF(ISNUMBER(INDEX('register map'!G:G,C253)),4,""),IF(ISNUMBER(INDEX('register map'!F:F,C253)),5,""),IF(ISNUMBER(INDEX('register map'!E:E,C253)),6,""),IF(ISNUMBER(INDEX('register map'!D:D,C253)),7,""))</f>
        <v>6</v>
      </c>
      <c r="J253" s="117" t="str">
        <f t="shared" si="40"/>
        <v>1</v>
      </c>
      <c r="K253" s="117" t="str">
        <f t="shared" si="33"/>
        <v/>
      </c>
      <c r="L253" s="117" t="str">
        <f t="shared" si="41"/>
        <v/>
      </c>
      <c r="M253" s="117" t="str">
        <f t="shared" si="43"/>
        <v/>
      </c>
      <c r="N253" s="117" t="str">
        <f>IF(ISBLANK(INDEX('register map'!M:M,'Logical Group Generator'!C253)),"No","Yes")</f>
        <v>No</v>
      </c>
      <c r="O253" s="117" t="str">
        <f>IF(NOT(ISBLANK(INDEX('register map'!N:N,'Logical Group Generator'!C253))),"Yes","")</f>
        <v/>
      </c>
      <c r="P253" s="117" t="str">
        <f t="shared" si="34"/>
        <v/>
      </c>
      <c r="Q253" s="117" t="str">
        <f t="shared" si="35"/>
        <v/>
      </c>
      <c r="R253" s="117" t="str">
        <f t="shared" si="36"/>
        <v/>
      </c>
      <c r="S253" s="117" t="str">
        <f t="shared" si="37"/>
        <v>No</v>
      </c>
      <c r="T253" s="117" t="str">
        <f t="shared" si="38"/>
        <v/>
      </c>
      <c r="U253" s="117" t="b">
        <f t="shared" si="42"/>
        <v>0</v>
      </c>
      <c r="V253" s="157" t="b">
        <f>INDEX('register map'!P:P,C253)="yes"</f>
        <v>1</v>
      </c>
      <c r="W253" s="157" t="str">
        <f t="shared" si="39"/>
        <v>FALSE</v>
      </c>
    </row>
    <row r="254" spans="2:23">
      <c r="B254" s="157" t="str">
        <f t="array" ref="B254">IF(ROWS($3:254)&lt;=COUNTA('register map'!$L$5:$L$902),INDEX('register map'!$L$5:$L$902,SMALL(IF('register map'!$L$5:$L$902&lt;&gt;"",ROW('register map'!$L$5:$L$902)-MIN(ROW('register map'!$L$5:$L$902))+1),ROWS($3:254))),"")</f>
        <v>CTL5_GPO3_MSK</v>
      </c>
      <c r="C254" s="157">
        <f>IF(B254="PART_NUMBER",IF(COUNTIF($B$1:B253,"PART_NUMBER")=0,6,8),MATCH(B254,'register map'!L:L,0))</f>
        <v>267</v>
      </c>
      <c r="D254" s="117" t="str">
        <f>IF(ISBLANK(INDEX('register map'!C:C,'Logical Group Generator'!C254)),"No","Yes")</f>
        <v>No</v>
      </c>
      <c r="E254" s="117" t="str">
        <f>IF(ISBLANK(INDEX('register map'!A:A,C254)),IF(ISBLANK(INDEX('register map'!A:A,C254-1)),IF(ISBLANK(INDEX('register map'!A:A,C254-2)),IF(ISBLANK(INDEX('register map'!A:A,C254-3)),IF(ISBLANK(INDEX('register map'!A:A,C254-4)),IF(ISBLANK(INDEX('register map'!A:A,C254-5)),IF(ISBLANK(INDEX('register map'!A:A,C254-6)),IF(ISBLANK(INDEX('register map'!A:A,C254-7)),IF(ISBLANK(INDEX('register map'!A:A,C254-8)),"ERROR",INDEX('register map'!A:A,C254-8)),INDEX('register map'!A:A,C254-7)),INDEX('register map'!A:A,C254-6)),INDEX('register map'!A:A,C254-5)),INDEX('register map'!A:A,C254-4)),INDEX('register map'!A:A,C254-3)),INDEX('register map'!A:A,C254-2)),INDEX('register map'!A:A,C254-1)),INDEX('register map'!A:A,C254))</f>
        <v>0x5E</v>
      </c>
      <c r="F254" s="117" t="str">
        <f>IF(ISBLANK(INDEX('register map'!B:B,C254)),IF(ISBLANK(INDEX('register map'!B:B,C254-1)),IF(ISBLANK(INDEX('register map'!B:B,C254-2)),IF(ISBLANK(INDEX('register map'!B:B,C254-3)),IF(ISBLANK(INDEX('register map'!B:B,C254-4)),IF(ISBLANK(INDEX('register map'!B:B,C254-5)),IF(ISBLANK(INDEX('register map'!B:B,C254-6)),IF(ISBLANK(INDEX('register map'!B:B,C254-7)),IF(ISBLANK(INDEX('register map'!B:B,C254-8)),"ERROR",INDEX('register map'!B:B,C254-8)),INDEX('register map'!B:B,C254-7)),INDEX('register map'!B:B,C254-6)),INDEX('register map'!B:B,C254-5)),INDEX('register map'!B:B,C254-4)),INDEX('register map'!B:B,C254-3)),INDEX('register map'!B:B,C254-2)),INDEX('register map'!B:B,C254-1)),INDEX('register map'!B:B,C254))</f>
        <v>0xAB</v>
      </c>
      <c r="G254" s="117" t="str">
        <f>CONCATENATE(IF(ISNUMBER(INDEX('register map'!D:D,C254)),7,""),IF(ISNUMBER(INDEX('register map'!E:E,C254)),6,""),IF(ISNUMBER(INDEX('register map'!F:F,C254)),5,""),IF(ISNUMBER(INDEX('register map'!G:G,C254)),4,""),IF(ISNUMBER(INDEX('register map'!H:H,C254)),3,""),IF(ISNUMBER(INDEX('register map'!I:I,C254)),2,""),IF(ISNUMBER(INDEX('register map'!J:J,C254)),1,""),IF(ISNUMBER(INDEX('register map'!K:K,C254)),0,""))</f>
        <v>7</v>
      </c>
      <c r="H254" s="117" t="str">
        <f>RIGHT(INDEX('register map'!V:V,MATCH('Logical Group Generator'!B254,'register map'!L:L,0)),LEN(G254))</f>
        <v>1</v>
      </c>
      <c r="I254" s="117" t="str">
        <f>CONCATENATE(IF(ISNUMBER(INDEX('register map'!K:K,C254)),0,""),IF(ISNUMBER(INDEX('register map'!J:J,C254)),1,""),IF(ISNUMBER(INDEX('register map'!I:I,C254)),2,""),IF(ISNUMBER(INDEX('register map'!H:H,C254)),3,""),IF(ISNUMBER(INDEX('register map'!G:G,C254)),4,""),IF(ISNUMBER(INDEX('register map'!F:F,C254)),5,""),IF(ISNUMBER(INDEX('register map'!E:E,C254)),6,""),IF(ISNUMBER(INDEX('register map'!D:D,C254)),7,""))</f>
        <v>7</v>
      </c>
      <c r="J254" s="117" t="str">
        <f t="shared" si="40"/>
        <v>1</v>
      </c>
      <c r="K254" s="117" t="str">
        <f t="shared" si="33"/>
        <v/>
      </c>
      <c r="L254" s="117" t="str">
        <f t="shared" si="41"/>
        <v/>
      </c>
      <c r="M254" s="117" t="str">
        <f t="shared" si="43"/>
        <v/>
      </c>
      <c r="N254" s="117" t="str">
        <f>IF(ISBLANK(INDEX('register map'!M:M,'Logical Group Generator'!C254)),"No","Yes")</f>
        <v>No</v>
      </c>
      <c r="O254" s="117" t="str">
        <f>IF(NOT(ISBLANK(INDEX('register map'!N:N,'Logical Group Generator'!C254))),"Yes","")</f>
        <v/>
      </c>
      <c r="P254" s="117" t="str">
        <f t="shared" si="34"/>
        <v/>
      </c>
      <c r="Q254" s="117" t="str">
        <f t="shared" si="35"/>
        <v/>
      </c>
      <c r="R254" s="117" t="str">
        <f t="shared" si="36"/>
        <v/>
      </c>
      <c r="S254" s="117" t="str">
        <f t="shared" si="37"/>
        <v>No</v>
      </c>
      <c r="T254" s="117" t="str">
        <f t="shared" si="38"/>
        <v/>
      </c>
      <c r="U254" s="117" t="b">
        <f t="shared" si="42"/>
        <v>0</v>
      </c>
      <c r="V254" s="157" t="b">
        <f>INDEX('register map'!P:P,C254)="yes"</f>
        <v>1</v>
      </c>
      <c r="W254" s="157" t="str">
        <f t="shared" si="39"/>
        <v>FALSE</v>
      </c>
    </row>
    <row r="255" spans="2:23">
      <c r="B255" s="157" t="str">
        <f t="array" ref="B255">IF(ROWS($3:255)&lt;=COUNTA('register map'!$L$5:$L$902),INDEX('register map'!$L$5:$L$902,SMALL(IF('register map'!$L$5:$L$902&lt;&gt;"",ROW('register map'!$L$5:$L$902)-MIN(ROW('register map'!$L$5:$L$902))+1),ROWS($3:255))),"")</f>
        <v>MISCSYSPG</v>
      </c>
      <c r="C255" s="157">
        <f>IF(B255="PART_NUMBER",IF(COUNTIF($B$1:B254,"PART_NUMBER")=0,6,8),MATCH(B255,'register map'!L:L,0))</f>
        <v>268</v>
      </c>
      <c r="D255" s="117" t="str">
        <f>IF(ISBLANK(INDEX('register map'!C:C,'Logical Group Generator'!C255)),"No","Yes")</f>
        <v>Yes</v>
      </c>
      <c r="E255" s="117" t="str">
        <f>IF(ISBLANK(INDEX('register map'!A:A,C255)),IF(ISBLANK(INDEX('register map'!A:A,C255-1)),IF(ISBLANK(INDEX('register map'!A:A,C255-2)),IF(ISBLANK(INDEX('register map'!A:A,C255-3)),IF(ISBLANK(INDEX('register map'!A:A,C255-4)),IF(ISBLANK(INDEX('register map'!A:A,C255-5)),IF(ISBLANK(INDEX('register map'!A:A,C255-6)),IF(ISBLANK(INDEX('register map'!A:A,C255-7)),IF(ISBLANK(INDEX('register map'!A:A,C255-8)),"ERROR",INDEX('register map'!A:A,C255-8)),INDEX('register map'!A:A,C255-7)),INDEX('register map'!A:A,C255-6)),INDEX('register map'!A:A,C255-5)),INDEX('register map'!A:A,C255-4)),INDEX('register map'!A:A,C255-3)),INDEX('register map'!A:A,C255-2)),INDEX('register map'!A:A,C255-1)),INDEX('register map'!A:A,C255))</f>
        <v>0x5E</v>
      </c>
      <c r="F255" s="117" t="str">
        <f>IF(ISBLANK(INDEX('register map'!B:B,C255)),IF(ISBLANK(INDEX('register map'!B:B,C255-1)),IF(ISBLANK(INDEX('register map'!B:B,C255-2)),IF(ISBLANK(INDEX('register map'!B:B,C255-3)),IF(ISBLANK(INDEX('register map'!B:B,C255-4)),IF(ISBLANK(INDEX('register map'!B:B,C255-5)),IF(ISBLANK(INDEX('register map'!B:B,C255-6)),IF(ISBLANK(INDEX('register map'!B:B,C255-7)),IF(ISBLANK(INDEX('register map'!B:B,C255-8)),"ERROR",INDEX('register map'!B:B,C255-8)),INDEX('register map'!B:B,C255-7)),INDEX('register map'!B:B,C255-6)),INDEX('register map'!B:B,C255-5)),INDEX('register map'!B:B,C255-4)),INDEX('register map'!B:B,C255-3)),INDEX('register map'!B:B,C255-2)),INDEX('register map'!B:B,C255-1)),INDEX('register map'!B:B,C255))</f>
        <v>0xAC</v>
      </c>
      <c r="G255" s="117" t="str">
        <f>CONCATENATE(IF(ISNUMBER(INDEX('register map'!D:D,C255)),7,""),IF(ISNUMBER(INDEX('register map'!E:E,C255)),6,""),IF(ISNUMBER(INDEX('register map'!F:F,C255)),5,""),IF(ISNUMBER(INDEX('register map'!G:G,C255)),4,""),IF(ISNUMBER(INDEX('register map'!H:H,C255)),3,""),IF(ISNUMBER(INDEX('register map'!I:I,C255)),2,""),IF(ISNUMBER(INDEX('register map'!J:J,C255)),1,""),IF(ISNUMBER(INDEX('register map'!K:K,C255)),0,""))</f>
        <v/>
      </c>
      <c r="H255" s="117" t="str">
        <f>RIGHT(INDEX('register map'!V:V,MATCH('Logical Group Generator'!B255,'register map'!L:L,0)),LEN(G255))</f>
        <v/>
      </c>
      <c r="I255" s="117" t="str">
        <f>CONCATENATE(IF(ISNUMBER(INDEX('register map'!K:K,C255)),0,""),IF(ISNUMBER(INDEX('register map'!J:J,C255)),1,""),IF(ISNUMBER(INDEX('register map'!I:I,C255)),2,""),IF(ISNUMBER(INDEX('register map'!H:H,C255)),3,""),IF(ISNUMBER(INDEX('register map'!G:G,C255)),4,""),IF(ISNUMBER(INDEX('register map'!F:F,C255)),5,""),IF(ISNUMBER(INDEX('register map'!E:E,C255)),6,""),IF(ISNUMBER(INDEX('register map'!D:D,C255)),7,""))</f>
        <v/>
      </c>
      <c r="J255" s="117" t="str">
        <f t="shared" si="40"/>
        <v/>
      </c>
      <c r="K255" s="117" t="str">
        <f t="shared" si="33"/>
        <v>11111111</v>
      </c>
      <c r="L255" s="117" t="str">
        <f t="shared" si="41"/>
        <v>11111111</v>
      </c>
      <c r="M255" s="117" t="str">
        <f t="shared" si="43"/>
        <v>FF</v>
      </c>
      <c r="N255" s="117" t="str">
        <f>IF(ISBLANK(INDEX('register map'!M:M,'Logical Group Generator'!C255)),"No","Yes")</f>
        <v>No</v>
      </c>
      <c r="O255" s="117" t="str">
        <f>IF(NOT(ISBLANK(INDEX('register map'!N:N,'Logical Group Generator'!C255))),"Yes","")</f>
        <v/>
      </c>
      <c r="P255" s="117" t="str">
        <f t="shared" si="34"/>
        <v>No</v>
      </c>
      <c r="Q255" s="117" t="str">
        <f t="shared" si="35"/>
        <v>No</v>
      </c>
      <c r="R255" s="117" t="str">
        <f t="shared" si="36"/>
        <v>No</v>
      </c>
      <c r="S255" s="117" t="str">
        <f t="shared" si="37"/>
        <v/>
      </c>
      <c r="T255" s="117" t="b">
        <f t="shared" si="38"/>
        <v>1</v>
      </c>
      <c r="U255" s="117" t="b">
        <f t="shared" si="42"/>
        <v>1</v>
      </c>
      <c r="V255" s="157" t="b">
        <f>INDEX('register map'!P:P,C255)="yes"</f>
        <v>1</v>
      </c>
      <c r="W255" s="157" t="str">
        <f t="shared" si="39"/>
        <v>REGISTER</v>
      </c>
    </row>
    <row r="256" spans="2:23">
      <c r="B256" s="157" t="str">
        <f t="array" ref="B256">IF(ROWS($3:256)&lt;=COUNTA('register map'!$L$5:$L$902),INDEX('register map'!$L$5:$L$902,SMALL(IF('register map'!$L$5:$L$902&lt;&gt;"",ROW('register map'!$L$5:$L$902)-MIN(ROW('register map'!$L$5:$L$902))+1),ROWS($3:256))),"")</f>
        <v>CTL3_GPO1_MSK</v>
      </c>
      <c r="C256" s="157">
        <f>IF(B256="PART_NUMBER",IF(COUNTIF($B$1:B255,"PART_NUMBER")=0,6,8),MATCH(B256,'register map'!L:L,0))</f>
        <v>269</v>
      </c>
      <c r="D256" s="117" t="str">
        <f>IF(ISBLANK(INDEX('register map'!C:C,'Logical Group Generator'!C256)),"No","Yes")</f>
        <v>No</v>
      </c>
      <c r="E256" s="117" t="str">
        <f>IF(ISBLANK(INDEX('register map'!A:A,C256)),IF(ISBLANK(INDEX('register map'!A:A,C256-1)),IF(ISBLANK(INDEX('register map'!A:A,C256-2)),IF(ISBLANK(INDEX('register map'!A:A,C256-3)),IF(ISBLANK(INDEX('register map'!A:A,C256-4)),IF(ISBLANK(INDEX('register map'!A:A,C256-5)),IF(ISBLANK(INDEX('register map'!A:A,C256-6)),IF(ISBLANK(INDEX('register map'!A:A,C256-7)),IF(ISBLANK(INDEX('register map'!A:A,C256-8)),"ERROR",INDEX('register map'!A:A,C256-8)),INDEX('register map'!A:A,C256-7)),INDEX('register map'!A:A,C256-6)),INDEX('register map'!A:A,C256-5)),INDEX('register map'!A:A,C256-4)),INDEX('register map'!A:A,C256-3)),INDEX('register map'!A:A,C256-2)),INDEX('register map'!A:A,C256-1)),INDEX('register map'!A:A,C256))</f>
        <v>0x5E</v>
      </c>
      <c r="F256" s="117" t="str">
        <f>IF(ISBLANK(INDEX('register map'!B:B,C256)),IF(ISBLANK(INDEX('register map'!B:B,C256-1)),IF(ISBLANK(INDEX('register map'!B:B,C256-2)),IF(ISBLANK(INDEX('register map'!B:B,C256-3)),IF(ISBLANK(INDEX('register map'!B:B,C256-4)),IF(ISBLANK(INDEX('register map'!B:B,C256-5)),IF(ISBLANK(INDEX('register map'!B:B,C256-6)),IF(ISBLANK(INDEX('register map'!B:B,C256-7)),IF(ISBLANK(INDEX('register map'!B:B,C256-8)),"ERROR",INDEX('register map'!B:B,C256-8)),INDEX('register map'!B:B,C256-7)),INDEX('register map'!B:B,C256-6)),INDEX('register map'!B:B,C256-5)),INDEX('register map'!B:B,C256-4)),INDEX('register map'!B:B,C256-3)),INDEX('register map'!B:B,C256-2)),INDEX('register map'!B:B,C256-1)),INDEX('register map'!B:B,C256))</f>
        <v>0xAC</v>
      </c>
      <c r="G256" s="117" t="str">
        <f>CONCATENATE(IF(ISNUMBER(INDEX('register map'!D:D,C256)),7,""),IF(ISNUMBER(INDEX('register map'!E:E,C256)),6,""),IF(ISNUMBER(INDEX('register map'!F:F,C256)),5,""),IF(ISNUMBER(INDEX('register map'!G:G,C256)),4,""),IF(ISNUMBER(INDEX('register map'!H:H,C256)),3,""),IF(ISNUMBER(INDEX('register map'!I:I,C256)),2,""),IF(ISNUMBER(INDEX('register map'!J:J,C256)),1,""),IF(ISNUMBER(INDEX('register map'!K:K,C256)),0,""))</f>
        <v>0</v>
      </c>
      <c r="H256" s="117" t="str">
        <f>RIGHT(INDEX('register map'!V:V,MATCH('Logical Group Generator'!B256,'register map'!L:L,0)),LEN(G256))</f>
        <v>1</v>
      </c>
      <c r="I256" s="117" t="str">
        <f>CONCATENATE(IF(ISNUMBER(INDEX('register map'!K:K,C256)),0,""),IF(ISNUMBER(INDEX('register map'!J:J,C256)),1,""),IF(ISNUMBER(INDEX('register map'!I:I,C256)),2,""),IF(ISNUMBER(INDEX('register map'!H:H,C256)),3,""),IF(ISNUMBER(INDEX('register map'!G:G,C256)),4,""),IF(ISNUMBER(INDEX('register map'!F:F,C256)),5,""),IF(ISNUMBER(INDEX('register map'!E:E,C256)),6,""),IF(ISNUMBER(INDEX('register map'!D:D,C256)),7,""))</f>
        <v>0</v>
      </c>
      <c r="J256" s="117" t="str">
        <f t="shared" si="40"/>
        <v>1</v>
      </c>
      <c r="K256" s="117" t="str">
        <f t="shared" si="33"/>
        <v/>
      </c>
      <c r="L256" s="117" t="str">
        <f t="shared" si="41"/>
        <v/>
      </c>
      <c r="M256" s="117" t="str">
        <f t="shared" si="43"/>
        <v/>
      </c>
      <c r="N256" s="117" t="str">
        <f>IF(ISBLANK(INDEX('register map'!M:M,'Logical Group Generator'!C256)),"No","Yes")</f>
        <v>No</v>
      </c>
      <c r="O256" s="117" t="str">
        <f>IF(NOT(ISBLANK(INDEX('register map'!N:N,'Logical Group Generator'!C256))),"Yes","")</f>
        <v/>
      </c>
      <c r="P256" s="117" t="str">
        <f t="shared" si="34"/>
        <v/>
      </c>
      <c r="Q256" s="117" t="str">
        <f t="shared" si="35"/>
        <v/>
      </c>
      <c r="R256" s="117" t="str">
        <f t="shared" si="36"/>
        <v/>
      </c>
      <c r="S256" s="117" t="str">
        <f t="shared" si="37"/>
        <v>No</v>
      </c>
      <c r="T256" s="117" t="str">
        <f t="shared" si="38"/>
        <v/>
      </c>
      <c r="U256" s="117" t="b">
        <f t="shared" si="42"/>
        <v>0</v>
      </c>
      <c r="V256" s="157" t="b">
        <f>INDEX('register map'!P:P,C256)="yes"</f>
        <v>1</v>
      </c>
      <c r="W256" s="157" t="str">
        <f t="shared" si="39"/>
        <v>FALSE</v>
      </c>
    </row>
    <row r="257" spans="2:23">
      <c r="B257" s="157" t="str">
        <f t="array" ref="B257">IF(ROWS($3:257)&lt;=COUNTA('register map'!$L$5:$L$902),INDEX('register map'!$L$5:$L$902,SMALL(IF('register map'!$L$5:$L$902&lt;&gt;"",ROW('register map'!$L$5:$L$902)-MIN(ROW('register map'!$L$5:$L$902))+1),ROWS($3:257))),"")</f>
        <v>CTL6_GPO1_MSK</v>
      </c>
      <c r="C257" s="157">
        <f>IF(B257="PART_NUMBER",IF(COUNTIF($B$1:B256,"PART_NUMBER")=0,6,8),MATCH(B257,'register map'!L:L,0))</f>
        <v>270</v>
      </c>
      <c r="D257" s="117" t="str">
        <f>IF(ISBLANK(INDEX('register map'!C:C,'Logical Group Generator'!C257)),"No","Yes")</f>
        <v>No</v>
      </c>
      <c r="E257" s="117" t="str">
        <f>IF(ISBLANK(INDEX('register map'!A:A,C257)),IF(ISBLANK(INDEX('register map'!A:A,C257-1)),IF(ISBLANK(INDEX('register map'!A:A,C257-2)),IF(ISBLANK(INDEX('register map'!A:A,C257-3)),IF(ISBLANK(INDEX('register map'!A:A,C257-4)),IF(ISBLANK(INDEX('register map'!A:A,C257-5)),IF(ISBLANK(INDEX('register map'!A:A,C257-6)),IF(ISBLANK(INDEX('register map'!A:A,C257-7)),IF(ISBLANK(INDEX('register map'!A:A,C257-8)),"ERROR",INDEX('register map'!A:A,C257-8)),INDEX('register map'!A:A,C257-7)),INDEX('register map'!A:A,C257-6)),INDEX('register map'!A:A,C257-5)),INDEX('register map'!A:A,C257-4)),INDEX('register map'!A:A,C257-3)),INDEX('register map'!A:A,C257-2)),INDEX('register map'!A:A,C257-1)),INDEX('register map'!A:A,C257))</f>
        <v>0x5E</v>
      </c>
      <c r="F257" s="117" t="str">
        <f>IF(ISBLANK(INDEX('register map'!B:B,C257)),IF(ISBLANK(INDEX('register map'!B:B,C257-1)),IF(ISBLANK(INDEX('register map'!B:B,C257-2)),IF(ISBLANK(INDEX('register map'!B:B,C257-3)),IF(ISBLANK(INDEX('register map'!B:B,C257-4)),IF(ISBLANK(INDEX('register map'!B:B,C257-5)),IF(ISBLANK(INDEX('register map'!B:B,C257-6)),IF(ISBLANK(INDEX('register map'!B:B,C257-7)),IF(ISBLANK(INDEX('register map'!B:B,C257-8)),"ERROR",INDEX('register map'!B:B,C257-8)),INDEX('register map'!B:B,C257-7)),INDEX('register map'!B:B,C257-6)),INDEX('register map'!B:B,C257-5)),INDEX('register map'!B:B,C257-4)),INDEX('register map'!B:B,C257-3)),INDEX('register map'!B:B,C257-2)),INDEX('register map'!B:B,C257-1)),INDEX('register map'!B:B,C257))</f>
        <v>0xAC</v>
      </c>
      <c r="G257" s="117" t="str">
        <f>CONCATENATE(IF(ISNUMBER(INDEX('register map'!D:D,C257)),7,""),IF(ISNUMBER(INDEX('register map'!E:E,C257)),6,""),IF(ISNUMBER(INDEX('register map'!F:F,C257)),5,""),IF(ISNUMBER(INDEX('register map'!G:G,C257)),4,""),IF(ISNUMBER(INDEX('register map'!H:H,C257)),3,""),IF(ISNUMBER(INDEX('register map'!I:I,C257)),2,""),IF(ISNUMBER(INDEX('register map'!J:J,C257)),1,""),IF(ISNUMBER(INDEX('register map'!K:K,C257)),0,""))</f>
        <v>1</v>
      </c>
      <c r="H257" s="117" t="str">
        <f>RIGHT(INDEX('register map'!V:V,MATCH('Logical Group Generator'!B257,'register map'!L:L,0)),LEN(G257))</f>
        <v>1</v>
      </c>
      <c r="I257" s="117" t="str">
        <f>CONCATENATE(IF(ISNUMBER(INDEX('register map'!K:K,C257)),0,""),IF(ISNUMBER(INDEX('register map'!J:J,C257)),1,""),IF(ISNUMBER(INDEX('register map'!I:I,C257)),2,""),IF(ISNUMBER(INDEX('register map'!H:H,C257)),3,""),IF(ISNUMBER(INDEX('register map'!G:G,C257)),4,""),IF(ISNUMBER(INDEX('register map'!F:F,C257)),5,""),IF(ISNUMBER(INDEX('register map'!E:E,C257)),6,""),IF(ISNUMBER(INDEX('register map'!D:D,C257)),7,""))</f>
        <v>1</v>
      </c>
      <c r="J257" s="117" t="str">
        <f t="shared" si="40"/>
        <v>1</v>
      </c>
      <c r="K257" s="117" t="str">
        <f t="shared" si="33"/>
        <v/>
      </c>
      <c r="L257" s="117" t="str">
        <f t="shared" si="41"/>
        <v/>
      </c>
      <c r="M257" s="117" t="str">
        <f t="shared" si="43"/>
        <v/>
      </c>
      <c r="N257" s="117" t="str">
        <f>IF(ISBLANK(INDEX('register map'!M:M,'Logical Group Generator'!C257)),"No","Yes")</f>
        <v>No</v>
      </c>
      <c r="O257" s="117" t="str">
        <f>IF(NOT(ISBLANK(INDEX('register map'!N:N,'Logical Group Generator'!C257))),"Yes","")</f>
        <v/>
      </c>
      <c r="P257" s="117" t="str">
        <f t="shared" si="34"/>
        <v/>
      </c>
      <c r="Q257" s="117" t="str">
        <f t="shared" si="35"/>
        <v/>
      </c>
      <c r="R257" s="117" t="str">
        <f t="shared" si="36"/>
        <v/>
      </c>
      <c r="S257" s="117" t="str">
        <f t="shared" si="37"/>
        <v>No</v>
      </c>
      <c r="T257" s="117" t="str">
        <f t="shared" si="38"/>
        <v/>
      </c>
      <c r="U257" s="117" t="b">
        <f t="shared" si="42"/>
        <v>0</v>
      </c>
      <c r="V257" s="157" t="b">
        <f>INDEX('register map'!P:P,C257)="yes"</f>
        <v>1</v>
      </c>
      <c r="W257" s="157" t="str">
        <f t="shared" si="39"/>
        <v>FALSE</v>
      </c>
    </row>
    <row r="258" spans="2:23">
      <c r="B258" s="157" t="str">
        <f t="array" ref="B258">IF(ROWS($3:258)&lt;=COUNTA('register map'!$L$5:$L$902),INDEX('register map'!$L$5:$L$902,SMALL(IF('register map'!$L$5:$L$902&lt;&gt;"",ROW('register map'!$L$5:$L$902)-MIN(ROW('register map'!$L$5:$L$902))+1),ROWS($3:258))),"")</f>
        <v>CTL3_GPO4_MSK</v>
      </c>
      <c r="C258" s="157">
        <f>IF(B258="PART_NUMBER",IF(COUNTIF($B$1:B257,"PART_NUMBER")=0,6,8),MATCH(B258,'register map'!L:L,0))</f>
        <v>271</v>
      </c>
      <c r="D258" s="117" t="str">
        <f>IF(ISBLANK(INDEX('register map'!C:C,'Logical Group Generator'!C258)),"No","Yes")</f>
        <v>No</v>
      </c>
      <c r="E258" s="117" t="str">
        <f>IF(ISBLANK(INDEX('register map'!A:A,C258)),IF(ISBLANK(INDEX('register map'!A:A,C258-1)),IF(ISBLANK(INDEX('register map'!A:A,C258-2)),IF(ISBLANK(INDEX('register map'!A:A,C258-3)),IF(ISBLANK(INDEX('register map'!A:A,C258-4)),IF(ISBLANK(INDEX('register map'!A:A,C258-5)),IF(ISBLANK(INDEX('register map'!A:A,C258-6)),IF(ISBLANK(INDEX('register map'!A:A,C258-7)),IF(ISBLANK(INDEX('register map'!A:A,C258-8)),"ERROR",INDEX('register map'!A:A,C258-8)),INDEX('register map'!A:A,C258-7)),INDEX('register map'!A:A,C258-6)),INDEX('register map'!A:A,C258-5)),INDEX('register map'!A:A,C258-4)),INDEX('register map'!A:A,C258-3)),INDEX('register map'!A:A,C258-2)),INDEX('register map'!A:A,C258-1)),INDEX('register map'!A:A,C258))</f>
        <v>0x5E</v>
      </c>
      <c r="F258" s="117" t="str">
        <f>IF(ISBLANK(INDEX('register map'!B:B,C258)),IF(ISBLANK(INDEX('register map'!B:B,C258-1)),IF(ISBLANK(INDEX('register map'!B:B,C258-2)),IF(ISBLANK(INDEX('register map'!B:B,C258-3)),IF(ISBLANK(INDEX('register map'!B:B,C258-4)),IF(ISBLANK(INDEX('register map'!B:B,C258-5)),IF(ISBLANK(INDEX('register map'!B:B,C258-6)),IF(ISBLANK(INDEX('register map'!B:B,C258-7)),IF(ISBLANK(INDEX('register map'!B:B,C258-8)),"ERROR",INDEX('register map'!B:B,C258-8)),INDEX('register map'!B:B,C258-7)),INDEX('register map'!B:B,C258-6)),INDEX('register map'!B:B,C258-5)),INDEX('register map'!B:B,C258-4)),INDEX('register map'!B:B,C258-3)),INDEX('register map'!B:B,C258-2)),INDEX('register map'!B:B,C258-1)),INDEX('register map'!B:B,C258))</f>
        <v>0xAC</v>
      </c>
      <c r="G258" s="117" t="str">
        <f>CONCATENATE(IF(ISNUMBER(INDEX('register map'!D:D,C258)),7,""),IF(ISNUMBER(INDEX('register map'!E:E,C258)),6,""),IF(ISNUMBER(INDEX('register map'!F:F,C258)),5,""),IF(ISNUMBER(INDEX('register map'!G:G,C258)),4,""),IF(ISNUMBER(INDEX('register map'!H:H,C258)),3,""),IF(ISNUMBER(INDEX('register map'!I:I,C258)),2,""),IF(ISNUMBER(INDEX('register map'!J:J,C258)),1,""),IF(ISNUMBER(INDEX('register map'!K:K,C258)),0,""))</f>
        <v>2</v>
      </c>
      <c r="H258" s="117" t="str">
        <f>RIGHT(INDEX('register map'!V:V,MATCH('Logical Group Generator'!B258,'register map'!L:L,0)),LEN(G258))</f>
        <v>1</v>
      </c>
      <c r="I258" s="117" t="str">
        <f>CONCATENATE(IF(ISNUMBER(INDEX('register map'!K:K,C258)),0,""),IF(ISNUMBER(INDEX('register map'!J:J,C258)),1,""),IF(ISNUMBER(INDEX('register map'!I:I,C258)),2,""),IF(ISNUMBER(INDEX('register map'!H:H,C258)),3,""),IF(ISNUMBER(INDEX('register map'!G:G,C258)),4,""),IF(ISNUMBER(INDEX('register map'!F:F,C258)),5,""),IF(ISNUMBER(INDEX('register map'!E:E,C258)),6,""),IF(ISNUMBER(INDEX('register map'!D:D,C258)),7,""))</f>
        <v>2</v>
      </c>
      <c r="J258" s="117" t="str">
        <f t="shared" si="40"/>
        <v>1</v>
      </c>
      <c r="K258" s="117" t="str">
        <f t="shared" si="33"/>
        <v/>
      </c>
      <c r="L258" s="117" t="str">
        <f t="shared" si="41"/>
        <v/>
      </c>
      <c r="M258" s="117" t="str">
        <f t="shared" si="43"/>
        <v/>
      </c>
      <c r="N258" s="117" t="str">
        <f>IF(ISBLANK(INDEX('register map'!M:M,'Logical Group Generator'!C258)),"No","Yes")</f>
        <v>No</v>
      </c>
      <c r="O258" s="117" t="str">
        <f>IF(NOT(ISBLANK(INDEX('register map'!N:N,'Logical Group Generator'!C258))),"Yes","")</f>
        <v/>
      </c>
      <c r="P258" s="117" t="str">
        <f t="shared" si="34"/>
        <v/>
      </c>
      <c r="Q258" s="117" t="str">
        <f t="shared" si="35"/>
        <v/>
      </c>
      <c r="R258" s="117" t="str">
        <f t="shared" si="36"/>
        <v/>
      </c>
      <c r="S258" s="117" t="str">
        <f t="shared" si="37"/>
        <v>No</v>
      </c>
      <c r="T258" s="117" t="str">
        <f t="shared" si="38"/>
        <v/>
      </c>
      <c r="U258" s="117" t="b">
        <f t="shared" si="42"/>
        <v>0</v>
      </c>
      <c r="V258" s="157" t="b">
        <f>INDEX('register map'!P:P,C258)="yes"</f>
        <v>1</v>
      </c>
      <c r="W258" s="157" t="str">
        <f t="shared" si="39"/>
        <v>FALSE</v>
      </c>
    </row>
    <row r="259" spans="2:23">
      <c r="B259" s="157" t="str">
        <f t="array" ref="B259">IF(ROWS($3:259)&lt;=COUNTA('register map'!$L$5:$L$902),INDEX('register map'!$L$5:$L$902,SMALL(IF('register map'!$L$5:$L$902&lt;&gt;"",ROW('register map'!$L$5:$L$902)-MIN(ROW('register map'!$L$5:$L$902))+1),ROWS($3:259))),"")</f>
        <v>CTL6_GPO4_MSK</v>
      </c>
      <c r="C259" s="157">
        <f>IF(B259="PART_NUMBER",IF(COUNTIF($B$1:B258,"PART_NUMBER")=0,6,8),MATCH(B259,'register map'!L:L,0))</f>
        <v>272</v>
      </c>
      <c r="D259" s="117" t="str">
        <f>IF(ISBLANK(INDEX('register map'!C:C,'Logical Group Generator'!C259)),"No","Yes")</f>
        <v>No</v>
      </c>
      <c r="E259" s="117" t="str">
        <f>IF(ISBLANK(INDEX('register map'!A:A,C259)),IF(ISBLANK(INDEX('register map'!A:A,C259-1)),IF(ISBLANK(INDEX('register map'!A:A,C259-2)),IF(ISBLANK(INDEX('register map'!A:A,C259-3)),IF(ISBLANK(INDEX('register map'!A:A,C259-4)),IF(ISBLANK(INDEX('register map'!A:A,C259-5)),IF(ISBLANK(INDEX('register map'!A:A,C259-6)),IF(ISBLANK(INDEX('register map'!A:A,C259-7)),IF(ISBLANK(INDEX('register map'!A:A,C259-8)),"ERROR",INDEX('register map'!A:A,C259-8)),INDEX('register map'!A:A,C259-7)),INDEX('register map'!A:A,C259-6)),INDEX('register map'!A:A,C259-5)),INDEX('register map'!A:A,C259-4)),INDEX('register map'!A:A,C259-3)),INDEX('register map'!A:A,C259-2)),INDEX('register map'!A:A,C259-1)),INDEX('register map'!A:A,C259))</f>
        <v>0x5E</v>
      </c>
      <c r="F259" s="117" t="str">
        <f>IF(ISBLANK(INDEX('register map'!B:B,C259)),IF(ISBLANK(INDEX('register map'!B:B,C259-1)),IF(ISBLANK(INDEX('register map'!B:B,C259-2)),IF(ISBLANK(INDEX('register map'!B:B,C259-3)),IF(ISBLANK(INDEX('register map'!B:B,C259-4)),IF(ISBLANK(INDEX('register map'!B:B,C259-5)),IF(ISBLANK(INDEX('register map'!B:B,C259-6)),IF(ISBLANK(INDEX('register map'!B:B,C259-7)),IF(ISBLANK(INDEX('register map'!B:B,C259-8)),"ERROR",INDEX('register map'!B:B,C259-8)),INDEX('register map'!B:B,C259-7)),INDEX('register map'!B:B,C259-6)),INDEX('register map'!B:B,C259-5)),INDEX('register map'!B:B,C259-4)),INDEX('register map'!B:B,C259-3)),INDEX('register map'!B:B,C259-2)),INDEX('register map'!B:B,C259-1)),INDEX('register map'!B:B,C259))</f>
        <v>0xAC</v>
      </c>
      <c r="G259" s="117" t="str">
        <f>CONCATENATE(IF(ISNUMBER(INDEX('register map'!D:D,C259)),7,""),IF(ISNUMBER(INDEX('register map'!E:E,C259)),6,""),IF(ISNUMBER(INDEX('register map'!F:F,C259)),5,""),IF(ISNUMBER(INDEX('register map'!G:G,C259)),4,""),IF(ISNUMBER(INDEX('register map'!H:H,C259)),3,""),IF(ISNUMBER(INDEX('register map'!I:I,C259)),2,""),IF(ISNUMBER(INDEX('register map'!J:J,C259)),1,""),IF(ISNUMBER(INDEX('register map'!K:K,C259)),0,""))</f>
        <v>3</v>
      </c>
      <c r="H259" s="117" t="str">
        <f>RIGHT(INDEX('register map'!V:V,MATCH('Logical Group Generator'!B259,'register map'!L:L,0)),LEN(G259))</f>
        <v>1</v>
      </c>
      <c r="I259" s="117" t="str">
        <f>CONCATENATE(IF(ISNUMBER(INDEX('register map'!K:K,C259)),0,""),IF(ISNUMBER(INDEX('register map'!J:J,C259)),1,""),IF(ISNUMBER(INDEX('register map'!I:I,C259)),2,""),IF(ISNUMBER(INDEX('register map'!H:H,C259)),3,""),IF(ISNUMBER(INDEX('register map'!G:G,C259)),4,""),IF(ISNUMBER(INDEX('register map'!F:F,C259)),5,""),IF(ISNUMBER(INDEX('register map'!E:E,C259)),6,""),IF(ISNUMBER(INDEX('register map'!D:D,C259)),7,""))</f>
        <v>3</v>
      </c>
      <c r="J259" s="117" t="str">
        <f t="shared" si="40"/>
        <v>1</v>
      </c>
      <c r="K259" s="117" t="str">
        <f t="shared" ref="K259:K322" si="44">IF(D259="Yes",CONCATENATE(IF(F260=F259,J260,""),IF(F261=F259,J261,""),IF(F262=F259,J262,""),IF(F263=F259,J263,""),IF(F264=F259,J264,""),IF(F265=F259,J265,""),IF(F266=F259,J266,""),IF(F267=F259,J267,"")),"")</f>
        <v/>
      </c>
      <c r="L259" s="117" t="str">
        <f t="shared" si="41"/>
        <v/>
      </c>
      <c r="M259" s="117" t="str">
        <f t="shared" si="43"/>
        <v/>
      </c>
      <c r="N259" s="117" t="str">
        <f>IF(ISBLANK(INDEX('register map'!M:M,'Logical Group Generator'!C259)),"No","Yes")</f>
        <v>No</v>
      </c>
      <c r="O259" s="117" t="str">
        <f>IF(NOT(ISBLANK(INDEX('register map'!N:N,'Logical Group Generator'!C259))),"Yes","")</f>
        <v/>
      </c>
      <c r="P259" s="117" t="str">
        <f t="shared" ref="P259:P322" si="45">IF(D259="Yes",IF(OR(AND(F260=F259,N260="Yes"),AND(F261=F259,N261="Yes"),AND(F262=F259,N262="Yes"),AND(F263=F259,N263="Yes"),AND(F264=F259,N264="Yes"),AND(F265=F259,N265="Yes"),AND(F266=F259,N266="Yes"),AND(F267=F259,N267="Yes")),"Yes","No"),"")</f>
        <v/>
      </c>
      <c r="Q259" s="117" t="str">
        <f t="shared" ref="Q259:Q322" si="46">IF(D259="Yes",IF(AND(IF(F260=F259,OR(N260="Yes",O260="Yes"),TRUE),IF(F261=F259,OR(N261="Yes",O261="Yes"),TRUE),IF(F262=F259,OR(N262="Yes",O262="Yes"),TRUE),IF(F263=F259,OR(N263="Yes",O263="Yes"),TRUE),IF(F264=F259,OR(N264="Yes",O264="Yes"),TRUE),IF(F265=F259,OR(N265="Yes",O265="Yes"),TRUE),IF(F266=F259,OR(N266="Yes",O266="Yes"),TRUE),IF(F267=F259,OR(N267="Yes",O267="Yes"),TRUE)),"Yes","No"),"")</f>
        <v/>
      </c>
      <c r="R259" s="117" t="str">
        <f t="shared" ref="R259:R322" si="47">IF(D259="Yes",IF(AND(P259="Yes",Q259="No"),"Yes","No"),"")</f>
        <v/>
      </c>
      <c r="S259" s="117" t="str">
        <f t="shared" ref="S259:S322" si="48">IF(D259="No",IF(AND(N259="No",NOT(O259="Yes"),INDEX(R:R,MATCH(F259,F:F,0))="Yes"),"Yes","No"),"")</f>
        <v>No</v>
      </c>
      <c r="T259" s="117" t="str">
        <f t="shared" ref="T259:T322" si="49">IF(D259="Yes",LEN(L259)=8,"")</f>
        <v/>
      </c>
      <c r="U259" s="117" t="b">
        <f t="shared" si="42"/>
        <v>0</v>
      </c>
      <c r="V259" s="157" t="b">
        <f>INDEX('register map'!P:P,C259)="yes"</f>
        <v>1</v>
      </c>
      <c r="W259" s="157" t="str">
        <f t="shared" ref="W259:W322" si="50">IF(AND(D259="Yes",P259="No",Q259="No",V259),"REGISTER",IF(AND(D259="No",S259="Yes",V259),"BIT","FALSE"))</f>
        <v>FALSE</v>
      </c>
    </row>
    <row r="260" spans="2:23">
      <c r="B260" s="157" t="str">
        <f t="array" ref="B260">IF(ROWS($3:260)&lt;=COUNTA('register map'!$L$5:$L$902),INDEX('register map'!$L$5:$L$902,SMALL(IF('register map'!$L$5:$L$902&lt;&gt;"",ROW('register map'!$L$5:$L$902)-MIN(ROW('register map'!$L$5:$L$902))+1),ROWS($3:260))),"")</f>
        <v>CTL3_GPO2_MSK</v>
      </c>
      <c r="C260" s="157">
        <f>IF(B260="PART_NUMBER",IF(COUNTIF($B$1:B259,"PART_NUMBER")=0,6,8),MATCH(B260,'register map'!L:L,0))</f>
        <v>273</v>
      </c>
      <c r="D260" s="117" t="str">
        <f>IF(ISBLANK(INDEX('register map'!C:C,'Logical Group Generator'!C260)),"No","Yes")</f>
        <v>No</v>
      </c>
      <c r="E260" s="117" t="str">
        <f>IF(ISBLANK(INDEX('register map'!A:A,C260)),IF(ISBLANK(INDEX('register map'!A:A,C260-1)),IF(ISBLANK(INDEX('register map'!A:A,C260-2)),IF(ISBLANK(INDEX('register map'!A:A,C260-3)),IF(ISBLANK(INDEX('register map'!A:A,C260-4)),IF(ISBLANK(INDEX('register map'!A:A,C260-5)),IF(ISBLANK(INDEX('register map'!A:A,C260-6)),IF(ISBLANK(INDEX('register map'!A:A,C260-7)),IF(ISBLANK(INDEX('register map'!A:A,C260-8)),"ERROR",INDEX('register map'!A:A,C260-8)),INDEX('register map'!A:A,C260-7)),INDEX('register map'!A:A,C260-6)),INDEX('register map'!A:A,C260-5)),INDEX('register map'!A:A,C260-4)),INDEX('register map'!A:A,C260-3)),INDEX('register map'!A:A,C260-2)),INDEX('register map'!A:A,C260-1)),INDEX('register map'!A:A,C260))</f>
        <v>0x5E</v>
      </c>
      <c r="F260" s="117" t="str">
        <f>IF(ISBLANK(INDEX('register map'!B:B,C260)),IF(ISBLANK(INDEX('register map'!B:B,C260-1)),IF(ISBLANK(INDEX('register map'!B:B,C260-2)),IF(ISBLANK(INDEX('register map'!B:B,C260-3)),IF(ISBLANK(INDEX('register map'!B:B,C260-4)),IF(ISBLANK(INDEX('register map'!B:B,C260-5)),IF(ISBLANK(INDEX('register map'!B:B,C260-6)),IF(ISBLANK(INDEX('register map'!B:B,C260-7)),IF(ISBLANK(INDEX('register map'!B:B,C260-8)),"ERROR",INDEX('register map'!B:B,C260-8)),INDEX('register map'!B:B,C260-7)),INDEX('register map'!B:B,C260-6)),INDEX('register map'!B:B,C260-5)),INDEX('register map'!B:B,C260-4)),INDEX('register map'!B:B,C260-3)),INDEX('register map'!B:B,C260-2)),INDEX('register map'!B:B,C260-1)),INDEX('register map'!B:B,C260))</f>
        <v>0xAC</v>
      </c>
      <c r="G260" s="117" t="str">
        <f>CONCATENATE(IF(ISNUMBER(INDEX('register map'!D:D,C260)),7,""),IF(ISNUMBER(INDEX('register map'!E:E,C260)),6,""),IF(ISNUMBER(INDEX('register map'!F:F,C260)),5,""),IF(ISNUMBER(INDEX('register map'!G:G,C260)),4,""),IF(ISNUMBER(INDEX('register map'!H:H,C260)),3,""),IF(ISNUMBER(INDEX('register map'!I:I,C260)),2,""),IF(ISNUMBER(INDEX('register map'!J:J,C260)),1,""),IF(ISNUMBER(INDEX('register map'!K:K,C260)),0,""))</f>
        <v>4</v>
      </c>
      <c r="H260" s="117" t="str">
        <f>RIGHT(INDEX('register map'!V:V,MATCH('Logical Group Generator'!B260,'register map'!L:L,0)),LEN(G260))</f>
        <v>1</v>
      </c>
      <c r="I260" s="117" t="str">
        <f>CONCATENATE(IF(ISNUMBER(INDEX('register map'!K:K,C260)),0,""),IF(ISNUMBER(INDEX('register map'!J:J,C260)),1,""),IF(ISNUMBER(INDEX('register map'!I:I,C260)),2,""),IF(ISNUMBER(INDEX('register map'!H:H,C260)),3,""),IF(ISNUMBER(INDEX('register map'!G:G,C260)),4,""),IF(ISNUMBER(INDEX('register map'!F:F,C260)),5,""),IF(ISNUMBER(INDEX('register map'!E:E,C260)),6,""),IF(ISNUMBER(INDEX('register map'!D:D,C260)),7,""))</f>
        <v>4</v>
      </c>
      <c r="J260" s="117" t="str">
        <f t="shared" ref="J260:J323" si="51">MID(H260,20,1) &amp; MID(H260,19,1) &amp; MID(H260,18,1) &amp; MID(H260,17,1) &amp; MID(H260,16,1) &amp; MID(H260,15,1) &amp; MID(H260,14,1) &amp; MID(H260,13,1) &amp; MID(H260,12,1) &amp; MID(H260,11,1) &amp; MID(H260,10,1) &amp; MID(H260,9,1) &amp; MID(H260,8,1) &amp; MID(H260,7,1) &amp; MID(H260,6,1) &amp; MID(H260,5,1) &amp; MID(H260,4,1) &amp; MID(H260,3,1) &amp; MID(H260,2,1) &amp; MID(H260,1,1)</f>
        <v>1</v>
      </c>
      <c r="K260" s="117" t="str">
        <f t="shared" si="44"/>
        <v/>
      </c>
      <c r="L260" s="117" t="str">
        <f t="shared" ref="L260:L323" si="52">MID(K260,20,1) &amp; MID(K260,19,1) &amp; MID(K260,18,1) &amp; MID(K260,17,1) &amp; MID(K260,16,1) &amp; MID(K260,15,1) &amp; MID(K260,14,1) &amp; MID(K260,13,1) &amp; MID(K260,12,1) &amp; MID(K260,11,1) &amp; MID(K260,10,1) &amp; MID(K260,9,1) &amp; MID(K260,8,1) &amp; MID(K260,7,1) &amp; MID(K260,6,1) &amp; MID(K260,5,1) &amp; MID(K260,4,1) &amp; MID(K260,3,1) &amp; MID(K260,2,1) &amp; MID(K260,1,1)</f>
        <v/>
      </c>
      <c r="M260" s="117" t="str">
        <f t="shared" si="43"/>
        <v/>
      </c>
      <c r="N260" s="117" t="str">
        <f>IF(ISBLANK(INDEX('register map'!M:M,'Logical Group Generator'!C260)),"No","Yes")</f>
        <v>No</v>
      </c>
      <c r="O260" s="117" t="str">
        <f>IF(NOT(ISBLANK(INDEX('register map'!N:N,'Logical Group Generator'!C260))),"Yes","")</f>
        <v/>
      </c>
      <c r="P260" s="117" t="str">
        <f t="shared" si="45"/>
        <v/>
      </c>
      <c r="Q260" s="117" t="str">
        <f t="shared" si="46"/>
        <v/>
      </c>
      <c r="R260" s="117" t="str">
        <f t="shared" si="47"/>
        <v/>
      </c>
      <c r="S260" s="117" t="str">
        <f t="shared" si="48"/>
        <v>No</v>
      </c>
      <c r="T260" s="117" t="str">
        <f t="shared" si="49"/>
        <v/>
      </c>
      <c r="U260" s="117" t="b">
        <f t="shared" ref="U260:U323" si="53">OR(P260="No",S260="Yes")</f>
        <v>0</v>
      </c>
      <c r="V260" s="157" t="b">
        <f>INDEX('register map'!P:P,C260)="yes"</f>
        <v>1</v>
      </c>
      <c r="W260" s="157" t="str">
        <f t="shared" si="50"/>
        <v>FALSE</v>
      </c>
    </row>
    <row r="261" spans="2:23">
      <c r="B261" s="157" t="str">
        <f t="array" ref="B261">IF(ROWS($3:261)&lt;=COUNTA('register map'!$L$5:$L$902),INDEX('register map'!$L$5:$L$902,SMALL(IF('register map'!$L$5:$L$902&lt;&gt;"",ROW('register map'!$L$5:$L$902)-MIN(ROW('register map'!$L$5:$L$902))+1),ROWS($3:261))),"")</f>
        <v>CTL6_GPO2_MSK</v>
      </c>
      <c r="C261" s="157">
        <f>IF(B261="PART_NUMBER",IF(COUNTIF($B$1:B260,"PART_NUMBER")=0,6,8),MATCH(B261,'register map'!L:L,0))</f>
        <v>274</v>
      </c>
      <c r="D261" s="117" t="str">
        <f>IF(ISBLANK(INDEX('register map'!C:C,'Logical Group Generator'!C261)),"No","Yes")</f>
        <v>No</v>
      </c>
      <c r="E261" s="117" t="str">
        <f>IF(ISBLANK(INDEX('register map'!A:A,C261)),IF(ISBLANK(INDEX('register map'!A:A,C261-1)),IF(ISBLANK(INDEX('register map'!A:A,C261-2)),IF(ISBLANK(INDEX('register map'!A:A,C261-3)),IF(ISBLANK(INDEX('register map'!A:A,C261-4)),IF(ISBLANK(INDEX('register map'!A:A,C261-5)),IF(ISBLANK(INDEX('register map'!A:A,C261-6)),IF(ISBLANK(INDEX('register map'!A:A,C261-7)),IF(ISBLANK(INDEX('register map'!A:A,C261-8)),"ERROR",INDEX('register map'!A:A,C261-8)),INDEX('register map'!A:A,C261-7)),INDEX('register map'!A:A,C261-6)),INDEX('register map'!A:A,C261-5)),INDEX('register map'!A:A,C261-4)),INDEX('register map'!A:A,C261-3)),INDEX('register map'!A:A,C261-2)),INDEX('register map'!A:A,C261-1)),INDEX('register map'!A:A,C261))</f>
        <v>0x5E</v>
      </c>
      <c r="F261" s="117" t="str">
        <f>IF(ISBLANK(INDEX('register map'!B:B,C261)),IF(ISBLANK(INDEX('register map'!B:B,C261-1)),IF(ISBLANK(INDEX('register map'!B:B,C261-2)),IF(ISBLANK(INDEX('register map'!B:B,C261-3)),IF(ISBLANK(INDEX('register map'!B:B,C261-4)),IF(ISBLANK(INDEX('register map'!B:B,C261-5)),IF(ISBLANK(INDEX('register map'!B:B,C261-6)),IF(ISBLANK(INDEX('register map'!B:B,C261-7)),IF(ISBLANK(INDEX('register map'!B:B,C261-8)),"ERROR",INDEX('register map'!B:B,C261-8)),INDEX('register map'!B:B,C261-7)),INDEX('register map'!B:B,C261-6)),INDEX('register map'!B:B,C261-5)),INDEX('register map'!B:B,C261-4)),INDEX('register map'!B:B,C261-3)),INDEX('register map'!B:B,C261-2)),INDEX('register map'!B:B,C261-1)),INDEX('register map'!B:B,C261))</f>
        <v>0xAC</v>
      </c>
      <c r="G261" s="117" t="str">
        <f>CONCATENATE(IF(ISNUMBER(INDEX('register map'!D:D,C261)),7,""),IF(ISNUMBER(INDEX('register map'!E:E,C261)),6,""),IF(ISNUMBER(INDEX('register map'!F:F,C261)),5,""),IF(ISNUMBER(INDEX('register map'!G:G,C261)),4,""),IF(ISNUMBER(INDEX('register map'!H:H,C261)),3,""),IF(ISNUMBER(INDEX('register map'!I:I,C261)),2,""),IF(ISNUMBER(INDEX('register map'!J:J,C261)),1,""),IF(ISNUMBER(INDEX('register map'!K:K,C261)),0,""))</f>
        <v>5</v>
      </c>
      <c r="H261" s="117" t="str">
        <f>RIGHT(INDEX('register map'!V:V,MATCH('Logical Group Generator'!B261,'register map'!L:L,0)),LEN(G261))</f>
        <v>1</v>
      </c>
      <c r="I261" s="117" t="str">
        <f>CONCATENATE(IF(ISNUMBER(INDEX('register map'!K:K,C261)),0,""),IF(ISNUMBER(INDEX('register map'!J:J,C261)),1,""),IF(ISNUMBER(INDEX('register map'!I:I,C261)),2,""),IF(ISNUMBER(INDEX('register map'!H:H,C261)),3,""),IF(ISNUMBER(INDEX('register map'!G:G,C261)),4,""),IF(ISNUMBER(INDEX('register map'!F:F,C261)),5,""),IF(ISNUMBER(INDEX('register map'!E:E,C261)),6,""),IF(ISNUMBER(INDEX('register map'!D:D,C261)),7,""))</f>
        <v>5</v>
      </c>
      <c r="J261" s="117" t="str">
        <f t="shared" si="51"/>
        <v>1</v>
      </c>
      <c r="K261" s="117" t="str">
        <f t="shared" si="44"/>
        <v/>
      </c>
      <c r="L261" s="117" t="str">
        <f t="shared" si="52"/>
        <v/>
      </c>
      <c r="M261" s="117" t="str">
        <f t="shared" ref="M261:M324" si="54">IF(L261="","",BIN2HEX(L261,2))</f>
        <v/>
      </c>
      <c r="N261" s="117" t="str">
        <f>IF(ISBLANK(INDEX('register map'!M:M,'Logical Group Generator'!C261)),"No","Yes")</f>
        <v>No</v>
      </c>
      <c r="O261" s="117" t="str">
        <f>IF(NOT(ISBLANK(INDEX('register map'!N:N,'Logical Group Generator'!C261))),"Yes","")</f>
        <v/>
      </c>
      <c r="P261" s="117" t="str">
        <f t="shared" si="45"/>
        <v/>
      </c>
      <c r="Q261" s="117" t="str">
        <f t="shared" si="46"/>
        <v/>
      </c>
      <c r="R261" s="117" t="str">
        <f t="shared" si="47"/>
        <v/>
      </c>
      <c r="S261" s="117" t="str">
        <f t="shared" si="48"/>
        <v>No</v>
      </c>
      <c r="T261" s="117" t="str">
        <f t="shared" si="49"/>
        <v/>
      </c>
      <c r="U261" s="117" t="b">
        <f t="shared" si="53"/>
        <v>0</v>
      </c>
      <c r="V261" s="157" t="b">
        <f>INDEX('register map'!P:P,C261)="yes"</f>
        <v>1</v>
      </c>
      <c r="W261" s="157" t="str">
        <f t="shared" si="50"/>
        <v>FALSE</v>
      </c>
    </row>
    <row r="262" spans="2:23">
      <c r="B262" s="157" t="str">
        <f t="array" ref="B262">IF(ROWS($3:262)&lt;=COUNTA('register map'!$L$5:$L$902),INDEX('register map'!$L$5:$L$902,SMALL(IF('register map'!$L$5:$L$902&lt;&gt;"",ROW('register map'!$L$5:$L$902)-MIN(ROW('register map'!$L$5:$L$902))+1),ROWS($3:262))),"")</f>
        <v>CTL3_GPO3_MSK</v>
      </c>
      <c r="C262" s="157">
        <f>IF(B262="PART_NUMBER",IF(COUNTIF($B$1:B261,"PART_NUMBER")=0,6,8),MATCH(B262,'register map'!L:L,0))</f>
        <v>275</v>
      </c>
      <c r="D262" s="117" t="str">
        <f>IF(ISBLANK(INDEX('register map'!C:C,'Logical Group Generator'!C262)),"No","Yes")</f>
        <v>No</v>
      </c>
      <c r="E262" s="117" t="str">
        <f>IF(ISBLANK(INDEX('register map'!A:A,C262)),IF(ISBLANK(INDEX('register map'!A:A,C262-1)),IF(ISBLANK(INDEX('register map'!A:A,C262-2)),IF(ISBLANK(INDEX('register map'!A:A,C262-3)),IF(ISBLANK(INDEX('register map'!A:A,C262-4)),IF(ISBLANK(INDEX('register map'!A:A,C262-5)),IF(ISBLANK(INDEX('register map'!A:A,C262-6)),IF(ISBLANK(INDEX('register map'!A:A,C262-7)),IF(ISBLANK(INDEX('register map'!A:A,C262-8)),"ERROR",INDEX('register map'!A:A,C262-8)),INDEX('register map'!A:A,C262-7)),INDEX('register map'!A:A,C262-6)),INDEX('register map'!A:A,C262-5)),INDEX('register map'!A:A,C262-4)),INDEX('register map'!A:A,C262-3)),INDEX('register map'!A:A,C262-2)),INDEX('register map'!A:A,C262-1)),INDEX('register map'!A:A,C262))</f>
        <v>0x5E</v>
      </c>
      <c r="F262" s="117" t="str">
        <f>IF(ISBLANK(INDEX('register map'!B:B,C262)),IF(ISBLANK(INDEX('register map'!B:B,C262-1)),IF(ISBLANK(INDEX('register map'!B:B,C262-2)),IF(ISBLANK(INDEX('register map'!B:B,C262-3)),IF(ISBLANK(INDEX('register map'!B:B,C262-4)),IF(ISBLANK(INDEX('register map'!B:B,C262-5)),IF(ISBLANK(INDEX('register map'!B:B,C262-6)),IF(ISBLANK(INDEX('register map'!B:B,C262-7)),IF(ISBLANK(INDEX('register map'!B:B,C262-8)),"ERROR",INDEX('register map'!B:B,C262-8)),INDEX('register map'!B:B,C262-7)),INDEX('register map'!B:B,C262-6)),INDEX('register map'!B:B,C262-5)),INDEX('register map'!B:B,C262-4)),INDEX('register map'!B:B,C262-3)),INDEX('register map'!B:B,C262-2)),INDEX('register map'!B:B,C262-1)),INDEX('register map'!B:B,C262))</f>
        <v>0xAC</v>
      </c>
      <c r="G262" s="117" t="str">
        <f>CONCATENATE(IF(ISNUMBER(INDEX('register map'!D:D,C262)),7,""),IF(ISNUMBER(INDEX('register map'!E:E,C262)),6,""),IF(ISNUMBER(INDEX('register map'!F:F,C262)),5,""),IF(ISNUMBER(INDEX('register map'!G:G,C262)),4,""),IF(ISNUMBER(INDEX('register map'!H:H,C262)),3,""),IF(ISNUMBER(INDEX('register map'!I:I,C262)),2,""),IF(ISNUMBER(INDEX('register map'!J:J,C262)),1,""),IF(ISNUMBER(INDEX('register map'!K:K,C262)),0,""))</f>
        <v>6</v>
      </c>
      <c r="H262" s="117" t="str">
        <f>RIGHT(INDEX('register map'!V:V,MATCH('Logical Group Generator'!B262,'register map'!L:L,0)),LEN(G262))</f>
        <v>1</v>
      </c>
      <c r="I262" s="117" t="str">
        <f>CONCATENATE(IF(ISNUMBER(INDEX('register map'!K:K,C262)),0,""),IF(ISNUMBER(INDEX('register map'!J:J,C262)),1,""),IF(ISNUMBER(INDEX('register map'!I:I,C262)),2,""),IF(ISNUMBER(INDEX('register map'!H:H,C262)),3,""),IF(ISNUMBER(INDEX('register map'!G:G,C262)),4,""),IF(ISNUMBER(INDEX('register map'!F:F,C262)),5,""),IF(ISNUMBER(INDEX('register map'!E:E,C262)),6,""),IF(ISNUMBER(INDEX('register map'!D:D,C262)),7,""))</f>
        <v>6</v>
      </c>
      <c r="J262" s="117" t="str">
        <f t="shared" si="51"/>
        <v>1</v>
      </c>
      <c r="K262" s="117" t="str">
        <f t="shared" si="44"/>
        <v/>
      </c>
      <c r="L262" s="117" t="str">
        <f t="shared" si="52"/>
        <v/>
      </c>
      <c r="M262" s="117" t="str">
        <f t="shared" si="54"/>
        <v/>
      </c>
      <c r="N262" s="117" t="str">
        <f>IF(ISBLANK(INDEX('register map'!M:M,'Logical Group Generator'!C262)),"No","Yes")</f>
        <v>No</v>
      </c>
      <c r="O262" s="117" t="str">
        <f>IF(NOT(ISBLANK(INDEX('register map'!N:N,'Logical Group Generator'!C262))),"Yes","")</f>
        <v/>
      </c>
      <c r="P262" s="117" t="str">
        <f t="shared" si="45"/>
        <v/>
      </c>
      <c r="Q262" s="117" t="str">
        <f t="shared" si="46"/>
        <v/>
      </c>
      <c r="R262" s="117" t="str">
        <f t="shared" si="47"/>
        <v/>
      </c>
      <c r="S262" s="117" t="str">
        <f t="shared" si="48"/>
        <v>No</v>
      </c>
      <c r="T262" s="117" t="str">
        <f t="shared" si="49"/>
        <v/>
      </c>
      <c r="U262" s="117" t="b">
        <f t="shared" si="53"/>
        <v>0</v>
      </c>
      <c r="V262" s="157" t="b">
        <f>INDEX('register map'!P:P,C262)="yes"</f>
        <v>1</v>
      </c>
      <c r="W262" s="157" t="str">
        <f t="shared" si="50"/>
        <v>FALSE</v>
      </c>
    </row>
    <row r="263" spans="2:23">
      <c r="B263" s="157" t="str">
        <f t="array" ref="B263">IF(ROWS($3:263)&lt;=COUNTA('register map'!$L$5:$L$902),INDEX('register map'!$L$5:$L$902,SMALL(IF('register map'!$L$5:$L$902&lt;&gt;"",ROW('register map'!$L$5:$L$902)-MIN(ROW('register map'!$L$5:$L$902))+1),ROWS($3:263))),"")</f>
        <v>CTL6_GPO3_MSK</v>
      </c>
      <c r="C263" s="157">
        <f>IF(B263="PART_NUMBER",IF(COUNTIF($B$1:B262,"PART_NUMBER")=0,6,8),MATCH(B263,'register map'!L:L,0))</f>
        <v>276</v>
      </c>
      <c r="D263" s="117" t="str">
        <f>IF(ISBLANK(INDEX('register map'!C:C,'Logical Group Generator'!C263)),"No","Yes")</f>
        <v>No</v>
      </c>
      <c r="E263" s="117" t="str">
        <f>IF(ISBLANK(INDEX('register map'!A:A,C263)),IF(ISBLANK(INDEX('register map'!A:A,C263-1)),IF(ISBLANK(INDEX('register map'!A:A,C263-2)),IF(ISBLANK(INDEX('register map'!A:A,C263-3)),IF(ISBLANK(INDEX('register map'!A:A,C263-4)),IF(ISBLANK(INDEX('register map'!A:A,C263-5)),IF(ISBLANK(INDEX('register map'!A:A,C263-6)),IF(ISBLANK(INDEX('register map'!A:A,C263-7)),IF(ISBLANK(INDEX('register map'!A:A,C263-8)),"ERROR",INDEX('register map'!A:A,C263-8)),INDEX('register map'!A:A,C263-7)),INDEX('register map'!A:A,C263-6)),INDEX('register map'!A:A,C263-5)),INDEX('register map'!A:A,C263-4)),INDEX('register map'!A:A,C263-3)),INDEX('register map'!A:A,C263-2)),INDEX('register map'!A:A,C263-1)),INDEX('register map'!A:A,C263))</f>
        <v>0x5E</v>
      </c>
      <c r="F263" s="117" t="str">
        <f>IF(ISBLANK(INDEX('register map'!B:B,C263)),IF(ISBLANK(INDEX('register map'!B:B,C263-1)),IF(ISBLANK(INDEX('register map'!B:B,C263-2)),IF(ISBLANK(INDEX('register map'!B:B,C263-3)),IF(ISBLANK(INDEX('register map'!B:B,C263-4)),IF(ISBLANK(INDEX('register map'!B:B,C263-5)),IF(ISBLANK(INDEX('register map'!B:B,C263-6)),IF(ISBLANK(INDEX('register map'!B:B,C263-7)),IF(ISBLANK(INDEX('register map'!B:B,C263-8)),"ERROR",INDEX('register map'!B:B,C263-8)),INDEX('register map'!B:B,C263-7)),INDEX('register map'!B:B,C263-6)),INDEX('register map'!B:B,C263-5)),INDEX('register map'!B:B,C263-4)),INDEX('register map'!B:B,C263-3)),INDEX('register map'!B:B,C263-2)),INDEX('register map'!B:B,C263-1)),INDEX('register map'!B:B,C263))</f>
        <v>0xAC</v>
      </c>
      <c r="G263" s="117" t="str">
        <f>CONCATENATE(IF(ISNUMBER(INDEX('register map'!D:D,C263)),7,""),IF(ISNUMBER(INDEX('register map'!E:E,C263)),6,""),IF(ISNUMBER(INDEX('register map'!F:F,C263)),5,""),IF(ISNUMBER(INDEX('register map'!G:G,C263)),4,""),IF(ISNUMBER(INDEX('register map'!H:H,C263)),3,""),IF(ISNUMBER(INDEX('register map'!I:I,C263)),2,""),IF(ISNUMBER(INDEX('register map'!J:J,C263)),1,""),IF(ISNUMBER(INDEX('register map'!K:K,C263)),0,""))</f>
        <v>7</v>
      </c>
      <c r="H263" s="117" t="str">
        <f>RIGHT(INDEX('register map'!V:V,MATCH('Logical Group Generator'!B263,'register map'!L:L,0)),LEN(G263))</f>
        <v>1</v>
      </c>
      <c r="I263" s="117" t="str">
        <f>CONCATENATE(IF(ISNUMBER(INDEX('register map'!K:K,C263)),0,""),IF(ISNUMBER(INDEX('register map'!J:J,C263)),1,""),IF(ISNUMBER(INDEX('register map'!I:I,C263)),2,""),IF(ISNUMBER(INDEX('register map'!H:H,C263)),3,""),IF(ISNUMBER(INDEX('register map'!G:G,C263)),4,""),IF(ISNUMBER(INDEX('register map'!F:F,C263)),5,""),IF(ISNUMBER(INDEX('register map'!E:E,C263)),6,""),IF(ISNUMBER(INDEX('register map'!D:D,C263)),7,""))</f>
        <v>7</v>
      </c>
      <c r="J263" s="117" t="str">
        <f t="shared" si="51"/>
        <v>1</v>
      </c>
      <c r="K263" s="117" t="str">
        <f t="shared" si="44"/>
        <v/>
      </c>
      <c r="L263" s="117" t="str">
        <f t="shared" si="52"/>
        <v/>
      </c>
      <c r="M263" s="117" t="str">
        <f t="shared" si="54"/>
        <v/>
      </c>
      <c r="N263" s="117" t="str">
        <f>IF(ISBLANK(INDEX('register map'!M:M,'Logical Group Generator'!C263)),"No","Yes")</f>
        <v>No</v>
      </c>
      <c r="O263" s="117" t="str">
        <f>IF(NOT(ISBLANK(INDEX('register map'!N:N,'Logical Group Generator'!C263))),"Yes","")</f>
        <v/>
      </c>
      <c r="P263" s="117" t="str">
        <f t="shared" si="45"/>
        <v/>
      </c>
      <c r="Q263" s="117" t="str">
        <f t="shared" si="46"/>
        <v/>
      </c>
      <c r="R263" s="117" t="str">
        <f t="shared" si="47"/>
        <v/>
      </c>
      <c r="S263" s="117" t="str">
        <f t="shared" si="48"/>
        <v>No</v>
      </c>
      <c r="T263" s="117" t="str">
        <f t="shared" si="49"/>
        <v/>
      </c>
      <c r="U263" s="117" t="b">
        <f t="shared" si="53"/>
        <v>0</v>
      </c>
      <c r="V263" s="157" t="b">
        <f>INDEX('register map'!P:P,C263)="yes"</f>
        <v>1</v>
      </c>
      <c r="W263" s="157" t="str">
        <f t="shared" si="50"/>
        <v>FALSE</v>
      </c>
    </row>
    <row r="264" spans="2:23">
      <c r="B264" s="157" t="str">
        <f t="array" ref="B264">IF(ROWS($3:264)&lt;=COUNTA('register map'!$L$5:$L$902),INDEX('register map'!$L$5:$L$902,SMALL(IF('register map'!$L$5:$L$902&lt;&gt;"",ROW('register map'!$L$5:$L$902)-MIN(ROW('register map'!$L$5:$L$902))+1),ROWS($3:264))),"")</f>
        <v>VTT_DISCH_CTRL</v>
      </c>
      <c r="C264" s="157">
        <f>IF(B264="PART_NUMBER",IF(COUNTIF($B$1:B263,"PART_NUMBER")=0,6,8),MATCH(B264,'register map'!L:L,0))</f>
        <v>277</v>
      </c>
      <c r="D264" s="117" t="str">
        <f>IF(ISBLANK(INDEX('register map'!C:C,'Logical Group Generator'!C264)),"No","Yes")</f>
        <v>Yes</v>
      </c>
      <c r="E264" s="117" t="str">
        <f>IF(ISBLANK(INDEX('register map'!A:A,C264)),IF(ISBLANK(INDEX('register map'!A:A,C264-1)),IF(ISBLANK(INDEX('register map'!A:A,C264-2)),IF(ISBLANK(INDEX('register map'!A:A,C264-3)),IF(ISBLANK(INDEX('register map'!A:A,C264-4)),IF(ISBLANK(INDEX('register map'!A:A,C264-5)),IF(ISBLANK(INDEX('register map'!A:A,C264-6)),IF(ISBLANK(INDEX('register map'!A:A,C264-7)),IF(ISBLANK(INDEX('register map'!A:A,C264-8)),"ERROR",INDEX('register map'!A:A,C264-8)),INDEX('register map'!A:A,C264-7)),INDEX('register map'!A:A,C264-6)),INDEX('register map'!A:A,C264-5)),INDEX('register map'!A:A,C264-4)),INDEX('register map'!A:A,C264-3)),INDEX('register map'!A:A,C264-2)),INDEX('register map'!A:A,C264-1)),INDEX('register map'!A:A,C264))</f>
        <v>0x5E</v>
      </c>
      <c r="F264" s="117" t="str">
        <f>IF(ISBLANK(INDEX('register map'!B:B,C264)),IF(ISBLANK(INDEX('register map'!B:B,C264-1)),IF(ISBLANK(INDEX('register map'!B:B,C264-2)),IF(ISBLANK(INDEX('register map'!B:B,C264-3)),IF(ISBLANK(INDEX('register map'!B:B,C264-4)),IF(ISBLANK(INDEX('register map'!B:B,C264-5)),IF(ISBLANK(INDEX('register map'!B:B,C264-6)),IF(ISBLANK(INDEX('register map'!B:B,C264-7)),IF(ISBLANK(INDEX('register map'!B:B,C264-8)),"ERROR",INDEX('register map'!B:B,C264-8)),INDEX('register map'!B:B,C264-7)),INDEX('register map'!B:B,C264-6)),INDEX('register map'!B:B,C264-5)),INDEX('register map'!B:B,C264-4)),INDEX('register map'!B:B,C264-3)),INDEX('register map'!B:B,C264-2)),INDEX('register map'!B:B,C264-1)),INDEX('register map'!B:B,C264))</f>
        <v>0xAD</v>
      </c>
      <c r="G264" s="117" t="str">
        <f>CONCATENATE(IF(ISNUMBER(INDEX('register map'!D:D,C264)),7,""),IF(ISNUMBER(INDEX('register map'!E:E,C264)),6,""),IF(ISNUMBER(INDEX('register map'!F:F,C264)),5,""),IF(ISNUMBER(INDEX('register map'!G:G,C264)),4,""),IF(ISNUMBER(INDEX('register map'!H:H,C264)),3,""),IF(ISNUMBER(INDEX('register map'!I:I,C264)),2,""),IF(ISNUMBER(INDEX('register map'!J:J,C264)),1,""),IF(ISNUMBER(INDEX('register map'!K:K,C264)),0,""))</f>
        <v/>
      </c>
      <c r="H264" s="117" t="str">
        <f>RIGHT(INDEX('register map'!V:V,MATCH('Logical Group Generator'!B264,'register map'!L:L,0)),LEN(G264))</f>
        <v/>
      </c>
      <c r="I264" s="117" t="str">
        <f>CONCATENATE(IF(ISNUMBER(INDEX('register map'!K:K,C264)),0,""),IF(ISNUMBER(INDEX('register map'!J:J,C264)),1,""),IF(ISNUMBER(INDEX('register map'!I:I,C264)),2,""),IF(ISNUMBER(INDEX('register map'!H:H,C264)),3,""),IF(ISNUMBER(INDEX('register map'!G:G,C264)),4,""),IF(ISNUMBER(INDEX('register map'!F:F,C264)),5,""),IF(ISNUMBER(INDEX('register map'!E:E,C264)),6,""),IF(ISNUMBER(INDEX('register map'!D:D,C264)),7,""))</f>
        <v/>
      </c>
      <c r="J264" s="117" t="str">
        <f t="shared" si="51"/>
        <v/>
      </c>
      <c r="K264" s="117" t="str">
        <f t="shared" si="44"/>
        <v>11110010</v>
      </c>
      <c r="L264" s="117" t="str">
        <f t="shared" si="52"/>
        <v>01001111</v>
      </c>
      <c r="M264" s="117" t="str">
        <f t="shared" si="54"/>
        <v>4F</v>
      </c>
      <c r="N264" s="117" t="str">
        <f>IF(ISBLANK(INDEX('register map'!M:M,'Logical Group Generator'!C264)),"No","Yes")</f>
        <v>No</v>
      </c>
      <c r="O264" s="117" t="str">
        <f>IF(NOT(ISBLANK(INDEX('register map'!N:N,'Logical Group Generator'!C264))),"Yes","")</f>
        <v/>
      </c>
      <c r="P264" s="117" t="str">
        <f t="shared" si="45"/>
        <v>No</v>
      </c>
      <c r="Q264" s="117" t="str">
        <f t="shared" si="46"/>
        <v>No</v>
      </c>
      <c r="R264" s="117" t="str">
        <f t="shared" si="47"/>
        <v>No</v>
      </c>
      <c r="S264" s="117" t="str">
        <f t="shared" si="48"/>
        <v/>
      </c>
      <c r="T264" s="117" t="b">
        <f t="shared" si="49"/>
        <v>1</v>
      </c>
      <c r="U264" s="117" t="b">
        <f t="shared" si="53"/>
        <v>1</v>
      </c>
      <c r="V264" s="157" t="b">
        <f>INDEX('register map'!P:P,C264)="yes"</f>
        <v>1</v>
      </c>
      <c r="W264" s="157" t="str">
        <f t="shared" si="50"/>
        <v>REGISTER</v>
      </c>
    </row>
    <row r="265" spans="2:23">
      <c r="B265" s="157" t="str">
        <f t="array" ref="B265">IF(ROWS($3:265)&lt;=COUNTA('register map'!$L$5:$L$902),INDEX('register map'!$L$5:$L$902,SMALL(IF('register map'!$L$5:$L$902&lt;&gt;"",ROW('register map'!$L$5:$L$902)-MIN(ROW('register map'!$L$5:$L$902))+1),ROWS($3:265))),"")</f>
        <v>OTP_RSVD_5E_AD_10</v>
      </c>
      <c r="C265" s="157">
        <f>IF(B265="PART_NUMBER",IF(COUNTIF($B$1:B264,"PART_NUMBER")=0,6,8),MATCH(B265,'register map'!L:L,0))</f>
        <v>278</v>
      </c>
      <c r="D265" s="117" t="str">
        <f>IF(ISBLANK(INDEX('register map'!C:C,'Logical Group Generator'!C265)),"No","Yes")</f>
        <v>No</v>
      </c>
      <c r="E265" s="117" t="str">
        <f>IF(ISBLANK(INDEX('register map'!A:A,C265)),IF(ISBLANK(INDEX('register map'!A:A,C265-1)),IF(ISBLANK(INDEX('register map'!A:A,C265-2)),IF(ISBLANK(INDEX('register map'!A:A,C265-3)),IF(ISBLANK(INDEX('register map'!A:A,C265-4)),IF(ISBLANK(INDEX('register map'!A:A,C265-5)),IF(ISBLANK(INDEX('register map'!A:A,C265-6)),IF(ISBLANK(INDEX('register map'!A:A,C265-7)),IF(ISBLANK(INDEX('register map'!A:A,C265-8)),"ERROR",INDEX('register map'!A:A,C265-8)),INDEX('register map'!A:A,C265-7)),INDEX('register map'!A:A,C265-6)),INDEX('register map'!A:A,C265-5)),INDEX('register map'!A:A,C265-4)),INDEX('register map'!A:A,C265-3)),INDEX('register map'!A:A,C265-2)),INDEX('register map'!A:A,C265-1)),INDEX('register map'!A:A,C265))</f>
        <v>0x5E</v>
      </c>
      <c r="F265" s="117" t="str">
        <f>IF(ISBLANK(INDEX('register map'!B:B,C265)),IF(ISBLANK(INDEX('register map'!B:B,C265-1)),IF(ISBLANK(INDEX('register map'!B:B,C265-2)),IF(ISBLANK(INDEX('register map'!B:B,C265-3)),IF(ISBLANK(INDEX('register map'!B:B,C265-4)),IF(ISBLANK(INDEX('register map'!B:B,C265-5)),IF(ISBLANK(INDEX('register map'!B:B,C265-6)),IF(ISBLANK(INDEX('register map'!B:B,C265-7)),IF(ISBLANK(INDEX('register map'!B:B,C265-8)),"ERROR",INDEX('register map'!B:B,C265-8)),INDEX('register map'!B:B,C265-7)),INDEX('register map'!B:B,C265-6)),INDEX('register map'!B:B,C265-5)),INDEX('register map'!B:B,C265-4)),INDEX('register map'!B:B,C265-3)),INDEX('register map'!B:B,C265-2)),INDEX('register map'!B:B,C265-1)),INDEX('register map'!B:B,C265))</f>
        <v>0xAD</v>
      </c>
      <c r="G265" s="117" t="str">
        <f>CONCATENATE(IF(ISNUMBER(INDEX('register map'!D:D,C265)),7,""),IF(ISNUMBER(INDEX('register map'!E:E,C265)),6,""),IF(ISNUMBER(INDEX('register map'!F:F,C265)),5,""),IF(ISNUMBER(INDEX('register map'!G:G,C265)),4,""),IF(ISNUMBER(INDEX('register map'!H:H,C265)),3,""),IF(ISNUMBER(INDEX('register map'!I:I,C265)),2,""),IF(ISNUMBER(INDEX('register map'!J:J,C265)),1,""),IF(ISNUMBER(INDEX('register map'!K:K,C265)),0,""))</f>
        <v>10</v>
      </c>
      <c r="H265" s="117" t="str">
        <f>RIGHT(INDEX('register map'!V:V,MATCH('Logical Group Generator'!B265,'register map'!L:L,0)),LEN(G265))</f>
        <v>11</v>
      </c>
      <c r="I265" s="117" t="str">
        <f>CONCATENATE(IF(ISNUMBER(INDEX('register map'!K:K,C265)),0,""),IF(ISNUMBER(INDEX('register map'!J:J,C265)),1,""),IF(ISNUMBER(INDEX('register map'!I:I,C265)),2,""),IF(ISNUMBER(INDEX('register map'!H:H,C265)),3,""),IF(ISNUMBER(INDEX('register map'!G:G,C265)),4,""),IF(ISNUMBER(INDEX('register map'!F:F,C265)),5,""),IF(ISNUMBER(INDEX('register map'!E:E,C265)),6,""),IF(ISNUMBER(INDEX('register map'!D:D,C265)),7,""))</f>
        <v>01</v>
      </c>
      <c r="J265" s="117" t="str">
        <f t="shared" si="51"/>
        <v>11</v>
      </c>
      <c r="K265" s="117" t="str">
        <f t="shared" si="44"/>
        <v/>
      </c>
      <c r="L265" s="117" t="str">
        <f t="shared" si="52"/>
        <v/>
      </c>
      <c r="M265" s="117" t="str">
        <f t="shared" si="54"/>
        <v/>
      </c>
      <c r="N265" s="117" t="str">
        <f>IF(ISBLANK(INDEX('register map'!M:M,'Logical Group Generator'!C265)),"No","Yes")</f>
        <v>No</v>
      </c>
      <c r="O265" s="117" t="str">
        <f>IF(NOT(ISBLANK(INDEX('register map'!N:N,'Logical Group Generator'!C265))),"Yes","")</f>
        <v/>
      </c>
      <c r="P265" s="117" t="str">
        <f t="shared" si="45"/>
        <v/>
      </c>
      <c r="Q265" s="117" t="str">
        <f t="shared" si="46"/>
        <v/>
      </c>
      <c r="R265" s="117" t="str">
        <f t="shared" si="47"/>
        <v/>
      </c>
      <c r="S265" s="117" t="str">
        <f t="shared" si="48"/>
        <v>No</v>
      </c>
      <c r="T265" s="117" t="str">
        <f t="shared" si="49"/>
        <v/>
      </c>
      <c r="U265" s="117" t="b">
        <f t="shared" si="53"/>
        <v>0</v>
      </c>
      <c r="V265" s="157" t="b">
        <f>INDEX('register map'!P:P,C265)="yes"</f>
        <v>1</v>
      </c>
      <c r="W265" s="157" t="str">
        <f t="shared" si="50"/>
        <v>FALSE</v>
      </c>
    </row>
    <row r="266" spans="2:23">
      <c r="B266" s="157" t="str">
        <f t="array" ref="B266">IF(ROWS($3:266)&lt;=COUNTA('register map'!$L$5:$L$902),INDEX('register map'!$L$5:$L$902,SMALL(IF('register map'!$L$5:$L$902&lt;&gt;"",ROW('register map'!$L$5:$L$902)-MIN(ROW('register map'!$L$5:$L$902))+1),ROWS($3:266))),"")</f>
        <v>OTP_RSVD_5E_AD_32</v>
      </c>
      <c r="C266" s="157">
        <f>IF(B266="PART_NUMBER",IF(COUNTIF($B$1:B265,"PART_NUMBER")=0,6,8),MATCH(B266,'register map'!L:L,0))</f>
        <v>279</v>
      </c>
      <c r="D266" s="117" t="str">
        <f>IF(ISBLANK(INDEX('register map'!C:C,'Logical Group Generator'!C266)),"No","Yes")</f>
        <v>No</v>
      </c>
      <c r="E266" s="117" t="str">
        <f>IF(ISBLANK(INDEX('register map'!A:A,C266)),IF(ISBLANK(INDEX('register map'!A:A,C266-1)),IF(ISBLANK(INDEX('register map'!A:A,C266-2)),IF(ISBLANK(INDEX('register map'!A:A,C266-3)),IF(ISBLANK(INDEX('register map'!A:A,C266-4)),IF(ISBLANK(INDEX('register map'!A:A,C266-5)),IF(ISBLANK(INDEX('register map'!A:A,C266-6)),IF(ISBLANK(INDEX('register map'!A:A,C266-7)),IF(ISBLANK(INDEX('register map'!A:A,C266-8)),"ERROR",INDEX('register map'!A:A,C266-8)),INDEX('register map'!A:A,C266-7)),INDEX('register map'!A:A,C266-6)),INDEX('register map'!A:A,C266-5)),INDEX('register map'!A:A,C266-4)),INDEX('register map'!A:A,C266-3)),INDEX('register map'!A:A,C266-2)),INDEX('register map'!A:A,C266-1)),INDEX('register map'!A:A,C266))</f>
        <v>0x5E</v>
      </c>
      <c r="F266" s="117" t="str">
        <f>IF(ISBLANK(INDEX('register map'!B:B,C266)),IF(ISBLANK(INDEX('register map'!B:B,C266-1)),IF(ISBLANK(INDEX('register map'!B:B,C266-2)),IF(ISBLANK(INDEX('register map'!B:B,C266-3)),IF(ISBLANK(INDEX('register map'!B:B,C266-4)),IF(ISBLANK(INDEX('register map'!B:B,C266-5)),IF(ISBLANK(INDEX('register map'!B:B,C266-6)),IF(ISBLANK(INDEX('register map'!B:B,C266-7)),IF(ISBLANK(INDEX('register map'!B:B,C266-8)),"ERROR",INDEX('register map'!B:B,C266-8)),INDEX('register map'!B:B,C266-7)),INDEX('register map'!B:B,C266-6)),INDEX('register map'!B:B,C266-5)),INDEX('register map'!B:B,C266-4)),INDEX('register map'!B:B,C266-3)),INDEX('register map'!B:B,C266-2)),INDEX('register map'!B:B,C266-1)),INDEX('register map'!B:B,C266))</f>
        <v>0xAD</v>
      </c>
      <c r="G266" s="117" t="str">
        <f>CONCATENATE(IF(ISNUMBER(INDEX('register map'!D:D,C266)),7,""),IF(ISNUMBER(INDEX('register map'!E:E,C266)),6,""),IF(ISNUMBER(INDEX('register map'!F:F,C266)),5,""),IF(ISNUMBER(INDEX('register map'!G:G,C266)),4,""),IF(ISNUMBER(INDEX('register map'!H:H,C266)),3,""),IF(ISNUMBER(INDEX('register map'!I:I,C266)),2,""),IF(ISNUMBER(INDEX('register map'!J:J,C266)),1,""),IF(ISNUMBER(INDEX('register map'!K:K,C266)),0,""))</f>
        <v>32</v>
      </c>
      <c r="H266" s="117" t="str">
        <f>RIGHT(INDEX('register map'!V:V,MATCH('Logical Group Generator'!B266,'register map'!L:L,0)),LEN(G266))</f>
        <v>11</v>
      </c>
      <c r="I266" s="117" t="str">
        <f>CONCATENATE(IF(ISNUMBER(INDEX('register map'!K:K,C266)),0,""),IF(ISNUMBER(INDEX('register map'!J:J,C266)),1,""),IF(ISNUMBER(INDEX('register map'!I:I,C266)),2,""),IF(ISNUMBER(INDEX('register map'!H:H,C266)),3,""),IF(ISNUMBER(INDEX('register map'!G:G,C266)),4,""),IF(ISNUMBER(INDEX('register map'!F:F,C266)),5,""),IF(ISNUMBER(INDEX('register map'!E:E,C266)),6,""),IF(ISNUMBER(INDEX('register map'!D:D,C266)),7,""))</f>
        <v>23</v>
      </c>
      <c r="J266" s="117" t="str">
        <f t="shared" si="51"/>
        <v>11</v>
      </c>
      <c r="K266" s="117" t="str">
        <f t="shared" si="44"/>
        <v/>
      </c>
      <c r="L266" s="117" t="str">
        <f t="shared" si="52"/>
        <v/>
      </c>
      <c r="M266" s="117" t="str">
        <f t="shared" si="54"/>
        <v/>
      </c>
      <c r="N266" s="117" t="str">
        <f>IF(ISBLANK(INDEX('register map'!M:M,'Logical Group Generator'!C266)),"No","Yes")</f>
        <v>No</v>
      </c>
      <c r="O266" s="117" t="str">
        <f>IF(NOT(ISBLANK(INDEX('register map'!N:N,'Logical Group Generator'!C266))),"Yes","")</f>
        <v/>
      </c>
      <c r="P266" s="117" t="str">
        <f t="shared" si="45"/>
        <v/>
      </c>
      <c r="Q266" s="117" t="str">
        <f t="shared" si="46"/>
        <v/>
      </c>
      <c r="R266" s="117" t="str">
        <f t="shared" si="47"/>
        <v/>
      </c>
      <c r="S266" s="117" t="str">
        <f t="shared" si="48"/>
        <v>No</v>
      </c>
      <c r="T266" s="117" t="str">
        <f t="shared" si="49"/>
        <v/>
      </c>
      <c r="U266" s="117" t="b">
        <f t="shared" si="53"/>
        <v>0</v>
      </c>
      <c r="V266" s="157" t="b">
        <f>INDEX('register map'!P:P,C266)="yes"</f>
        <v>1</v>
      </c>
      <c r="W266" s="157" t="str">
        <f t="shared" si="50"/>
        <v>FALSE</v>
      </c>
    </row>
    <row r="267" spans="2:23">
      <c r="B267" s="157" t="str">
        <f t="array" ref="B267">IF(ROWS($3:267)&lt;=COUNTA('register map'!$L$5:$L$902),INDEX('register map'!$L$5:$L$902,SMALL(IF('register map'!$L$5:$L$902&lt;&gt;"",ROW('register map'!$L$5:$L$902)-MIN(ROW('register map'!$L$5:$L$902))+1),ROWS($3:267))),"")</f>
        <v>VTT_DISCHG</v>
      </c>
      <c r="C267" s="157">
        <f>IF(B267="PART_NUMBER",IF(COUNTIF($B$1:B266,"PART_NUMBER")=0,6,8),MATCH(B267,'register map'!L:L,0))</f>
        <v>280</v>
      </c>
      <c r="D267" s="117" t="str">
        <f>IF(ISBLANK(INDEX('register map'!C:C,'Logical Group Generator'!C267)),"No","Yes")</f>
        <v>No</v>
      </c>
      <c r="E267" s="117" t="str">
        <f>IF(ISBLANK(INDEX('register map'!A:A,C267)),IF(ISBLANK(INDEX('register map'!A:A,C267-1)),IF(ISBLANK(INDEX('register map'!A:A,C267-2)),IF(ISBLANK(INDEX('register map'!A:A,C267-3)),IF(ISBLANK(INDEX('register map'!A:A,C267-4)),IF(ISBLANK(INDEX('register map'!A:A,C267-5)),IF(ISBLANK(INDEX('register map'!A:A,C267-6)),IF(ISBLANK(INDEX('register map'!A:A,C267-7)),IF(ISBLANK(INDEX('register map'!A:A,C267-8)),"ERROR",INDEX('register map'!A:A,C267-8)),INDEX('register map'!A:A,C267-7)),INDEX('register map'!A:A,C267-6)),INDEX('register map'!A:A,C267-5)),INDEX('register map'!A:A,C267-4)),INDEX('register map'!A:A,C267-3)),INDEX('register map'!A:A,C267-2)),INDEX('register map'!A:A,C267-1)),INDEX('register map'!A:A,C267))</f>
        <v>0x5E</v>
      </c>
      <c r="F267" s="117" t="str">
        <f>IF(ISBLANK(INDEX('register map'!B:B,C267)),IF(ISBLANK(INDEX('register map'!B:B,C267-1)),IF(ISBLANK(INDEX('register map'!B:B,C267-2)),IF(ISBLANK(INDEX('register map'!B:B,C267-3)),IF(ISBLANK(INDEX('register map'!B:B,C267-4)),IF(ISBLANK(INDEX('register map'!B:B,C267-5)),IF(ISBLANK(INDEX('register map'!B:B,C267-6)),IF(ISBLANK(INDEX('register map'!B:B,C267-7)),IF(ISBLANK(INDEX('register map'!B:B,C267-8)),"ERROR",INDEX('register map'!B:B,C267-8)),INDEX('register map'!B:B,C267-7)),INDEX('register map'!B:B,C267-6)),INDEX('register map'!B:B,C267-5)),INDEX('register map'!B:B,C267-4)),INDEX('register map'!B:B,C267-3)),INDEX('register map'!B:B,C267-2)),INDEX('register map'!B:B,C267-1)),INDEX('register map'!B:B,C267))</f>
        <v>0xAD</v>
      </c>
      <c r="G267" s="117" t="str">
        <f>CONCATENATE(IF(ISNUMBER(INDEX('register map'!D:D,C267)),7,""),IF(ISNUMBER(INDEX('register map'!E:E,C267)),6,""),IF(ISNUMBER(INDEX('register map'!F:F,C267)),5,""),IF(ISNUMBER(INDEX('register map'!G:G,C267)),4,""),IF(ISNUMBER(INDEX('register map'!H:H,C267)),3,""),IF(ISNUMBER(INDEX('register map'!I:I,C267)),2,""),IF(ISNUMBER(INDEX('register map'!J:J,C267)),1,""),IF(ISNUMBER(INDEX('register map'!K:K,C267)),0,""))</f>
        <v>4</v>
      </c>
      <c r="H267" s="117" t="str">
        <f>RIGHT(INDEX('register map'!V:V,MATCH('Logical Group Generator'!B267,'register map'!L:L,0)),LEN(G267))</f>
        <v>0</v>
      </c>
      <c r="I267" s="117" t="str">
        <f>CONCATENATE(IF(ISNUMBER(INDEX('register map'!K:K,C267)),0,""),IF(ISNUMBER(INDEX('register map'!J:J,C267)),1,""),IF(ISNUMBER(INDEX('register map'!I:I,C267)),2,""),IF(ISNUMBER(INDEX('register map'!H:H,C267)),3,""),IF(ISNUMBER(INDEX('register map'!G:G,C267)),4,""),IF(ISNUMBER(INDEX('register map'!F:F,C267)),5,""),IF(ISNUMBER(INDEX('register map'!E:E,C267)),6,""),IF(ISNUMBER(INDEX('register map'!D:D,C267)),7,""))</f>
        <v>4</v>
      </c>
      <c r="J267" s="117" t="str">
        <f t="shared" si="51"/>
        <v>0</v>
      </c>
      <c r="K267" s="117" t="str">
        <f t="shared" si="44"/>
        <v/>
      </c>
      <c r="L267" s="117" t="str">
        <f t="shared" si="52"/>
        <v/>
      </c>
      <c r="M267" s="117" t="str">
        <f t="shared" si="54"/>
        <v/>
      </c>
      <c r="N267" s="117" t="str">
        <f>IF(ISBLANK(INDEX('register map'!M:M,'Logical Group Generator'!C267)),"No","Yes")</f>
        <v>No</v>
      </c>
      <c r="O267" s="117" t="str">
        <f>IF(NOT(ISBLANK(INDEX('register map'!N:N,'Logical Group Generator'!C267))),"Yes","")</f>
        <v/>
      </c>
      <c r="P267" s="117" t="str">
        <f t="shared" si="45"/>
        <v/>
      </c>
      <c r="Q267" s="117" t="str">
        <f t="shared" si="46"/>
        <v/>
      </c>
      <c r="R267" s="117" t="str">
        <f t="shared" si="47"/>
        <v/>
      </c>
      <c r="S267" s="117" t="str">
        <f t="shared" si="48"/>
        <v>No</v>
      </c>
      <c r="T267" s="117" t="str">
        <f t="shared" si="49"/>
        <v/>
      </c>
      <c r="U267" s="117" t="b">
        <f t="shared" si="53"/>
        <v>0</v>
      </c>
      <c r="V267" s="157" t="b">
        <f>INDEX('register map'!P:P,C267)="yes"</f>
        <v>1</v>
      </c>
      <c r="W267" s="157" t="str">
        <f t="shared" si="50"/>
        <v>FALSE</v>
      </c>
    </row>
    <row r="268" spans="2:23">
      <c r="B268" s="157" t="str">
        <f t="array" ref="B268">IF(ROWS($3:268)&lt;=COUNTA('register map'!$L$5:$L$902),INDEX('register map'!$L$5:$L$902,SMALL(IF('register map'!$L$5:$L$902&lt;&gt;"",ROW('register map'!$L$5:$L$902)-MIN(ROW('register map'!$L$5:$L$902))+1),ROWS($3:268))),"")</f>
        <v>OTP_RSVD_5E_AD_5</v>
      </c>
      <c r="C268" s="157">
        <f>IF(B268="PART_NUMBER",IF(COUNTIF($B$1:B267,"PART_NUMBER")=0,6,8),MATCH(B268,'register map'!L:L,0))</f>
        <v>281</v>
      </c>
      <c r="D268" s="117" t="str">
        <f>IF(ISBLANK(INDEX('register map'!C:C,'Logical Group Generator'!C268)),"No","Yes")</f>
        <v>No</v>
      </c>
      <c r="E268" s="117" t="str">
        <f>IF(ISBLANK(INDEX('register map'!A:A,C268)),IF(ISBLANK(INDEX('register map'!A:A,C268-1)),IF(ISBLANK(INDEX('register map'!A:A,C268-2)),IF(ISBLANK(INDEX('register map'!A:A,C268-3)),IF(ISBLANK(INDEX('register map'!A:A,C268-4)),IF(ISBLANK(INDEX('register map'!A:A,C268-5)),IF(ISBLANK(INDEX('register map'!A:A,C268-6)),IF(ISBLANK(INDEX('register map'!A:A,C268-7)),IF(ISBLANK(INDEX('register map'!A:A,C268-8)),"ERROR",INDEX('register map'!A:A,C268-8)),INDEX('register map'!A:A,C268-7)),INDEX('register map'!A:A,C268-6)),INDEX('register map'!A:A,C268-5)),INDEX('register map'!A:A,C268-4)),INDEX('register map'!A:A,C268-3)),INDEX('register map'!A:A,C268-2)),INDEX('register map'!A:A,C268-1)),INDEX('register map'!A:A,C268))</f>
        <v>0x5E</v>
      </c>
      <c r="F268" s="117" t="str">
        <f>IF(ISBLANK(INDEX('register map'!B:B,C268)),IF(ISBLANK(INDEX('register map'!B:B,C268-1)),IF(ISBLANK(INDEX('register map'!B:B,C268-2)),IF(ISBLANK(INDEX('register map'!B:B,C268-3)),IF(ISBLANK(INDEX('register map'!B:B,C268-4)),IF(ISBLANK(INDEX('register map'!B:B,C268-5)),IF(ISBLANK(INDEX('register map'!B:B,C268-6)),IF(ISBLANK(INDEX('register map'!B:B,C268-7)),IF(ISBLANK(INDEX('register map'!B:B,C268-8)),"ERROR",INDEX('register map'!B:B,C268-8)),INDEX('register map'!B:B,C268-7)),INDEX('register map'!B:B,C268-6)),INDEX('register map'!B:B,C268-5)),INDEX('register map'!B:B,C268-4)),INDEX('register map'!B:B,C268-3)),INDEX('register map'!B:B,C268-2)),INDEX('register map'!B:B,C268-1)),INDEX('register map'!B:B,C268))</f>
        <v>0xAD</v>
      </c>
      <c r="G268" s="117" t="str">
        <f>CONCATENATE(IF(ISNUMBER(INDEX('register map'!D:D,C268)),7,""),IF(ISNUMBER(INDEX('register map'!E:E,C268)),6,""),IF(ISNUMBER(INDEX('register map'!F:F,C268)),5,""),IF(ISNUMBER(INDEX('register map'!G:G,C268)),4,""),IF(ISNUMBER(INDEX('register map'!H:H,C268)),3,""),IF(ISNUMBER(INDEX('register map'!I:I,C268)),2,""),IF(ISNUMBER(INDEX('register map'!J:J,C268)),1,""),IF(ISNUMBER(INDEX('register map'!K:K,C268)),0,""))</f>
        <v>5</v>
      </c>
      <c r="H268" s="117" t="str">
        <f>RIGHT(INDEX('register map'!V:V,MATCH('Logical Group Generator'!B268,'register map'!L:L,0)),LEN(G268))</f>
        <v>0</v>
      </c>
      <c r="I268" s="117" t="str">
        <f>CONCATENATE(IF(ISNUMBER(INDEX('register map'!K:K,C268)),0,""),IF(ISNUMBER(INDEX('register map'!J:J,C268)),1,""),IF(ISNUMBER(INDEX('register map'!I:I,C268)),2,""),IF(ISNUMBER(INDEX('register map'!H:H,C268)),3,""),IF(ISNUMBER(INDEX('register map'!G:G,C268)),4,""),IF(ISNUMBER(INDEX('register map'!F:F,C268)),5,""),IF(ISNUMBER(INDEX('register map'!E:E,C268)),6,""),IF(ISNUMBER(INDEX('register map'!D:D,C268)),7,""))</f>
        <v>5</v>
      </c>
      <c r="J268" s="117" t="str">
        <f t="shared" si="51"/>
        <v>0</v>
      </c>
      <c r="K268" s="117" t="str">
        <f t="shared" si="44"/>
        <v/>
      </c>
      <c r="L268" s="117" t="str">
        <f t="shared" si="52"/>
        <v/>
      </c>
      <c r="M268" s="117" t="str">
        <f t="shared" si="54"/>
        <v/>
      </c>
      <c r="N268" s="117" t="str">
        <f>IF(ISBLANK(INDEX('register map'!M:M,'Logical Group Generator'!C268)),"No","Yes")</f>
        <v>No</v>
      </c>
      <c r="O268" s="117" t="str">
        <f>IF(NOT(ISBLANK(INDEX('register map'!N:N,'Logical Group Generator'!C268))),"Yes","")</f>
        <v/>
      </c>
      <c r="P268" s="117" t="str">
        <f t="shared" si="45"/>
        <v/>
      </c>
      <c r="Q268" s="117" t="str">
        <f t="shared" si="46"/>
        <v/>
      </c>
      <c r="R268" s="117" t="str">
        <f t="shared" si="47"/>
        <v/>
      </c>
      <c r="S268" s="117" t="str">
        <f t="shared" si="48"/>
        <v>No</v>
      </c>
      <c r="T268" s="117" t="str">
        <f t="shared" si="49"/>
        <v/>
      </c>
      <c r="U268" s="117" t="b">
        <f t="shared" si="53"/>
        <v>0</v>
      </c>
      <c r="V268" s="157" t="b">
        <f>INDEX('register map'!P:P,C268)="yes"</f>
        <v>1</v>
      </c>
      <c r="W268" s="157" t="str">
        <f t="shared" si="50"/>
        <v>FALSE</v>
      </c>
    </row>
    <row r="269" spans="2:23">
      <c r="B269" s="157" t="str">
        <f t="array" ref="B269">IF(ROWS($3:269)&lt;=COUNTA('register map'!$L$5:$L$902),INDEX('register map'!$L$5:$L$902,SMALL(IF('register map'!$L$5:$L$902&lt;&gt;"",ROW('register map'!$L$5:$L$902)-MIN(ROW('register map'!$L$5:$L$902))+1),ROWS($3:269))),"")</f>
        <v>OTP_RSVD_5E_AD_6</v>
      </c>
      <c r="C269" s="157">
        <f>IF(B269="PART_NUMBER",IF(COUNTIF($B$1:B268,"PART_NUMBER")=0,6,8),MATCH(B269,'register map'!L:L,0))</f>
        <v>282</v>
      </c>
      <c r="D269" s="117" t="str">
        <f>IF(ISBLANK(INDEX('register map'!C:C,'Logical Group Generator'!C269)),"No","Yes")</f>
        <v>No</v>
      </c>
      <c r="E269" s="117" t="str">
        <f>IF(ISBLANK(INDEX('register map'!A:A,C269)),IF(ISBLANK(INDEX('register map'!A:A,C269-1)),IF(ISBLANK(INDEX('register map'!A:A,C269-2)),IF(ISBLANK(INDEX('register map'!A:A,C269-3)),IF(ISBLANK(INDEX('register map'!A:A,C269-4)),IF(ISBLANK(INDEX('register map'!A:A,C269-5)),IF(ISBLANK(INDEX('register map'!A:A,C269-6)),IF(ISBLANK(INDEX('register map'!A:A,C269-7)),IF(ISBLANK(INDEX('register map'!A:A,C269-8)),"ERROR",INDEX('register map'!A:A,C269-8)),INDEX('register map'!A:A,C269-7)),INDEX('register map'!A:A,C269-6)),INDEX('register map'!A:A,C269-5)),INDEX('register map'!A:A,C269-4)),INDEX('register map'!A:A,C269-3)),INDEX('register map'!A:A,C269-2)),INDEX('register map'!A:A,C269-1)),INDEX('register map'!A:A,C269))</f>
        <v>0x5E</v>
      </c>
      <c r="F269" s="117" t="str">
        <f>IF(ISBLANK(INDEX('register map'!B:B,C269)),IF(ISBLANK(INDEX('register map'!B:B,C269-1)),IF(ISBLANK(INDEX('register map'!B:B,C269-2)),IF(ISBLANK(INDEX('register map'!B:B,C269-3)),IF(ISBLANK(INDEX('register map'!B:B,C269-4)),IF(ISBLANK(INDEX('register map'!B:B,C269-5)),IF(ISBLANK(INDEX('register map'!B:B,C269-6)),IF(ISBLANK(INDEX('register map'!B:B,C269-7)),IF(ISBLANK(INDEX('register map'!B:B,C269-8)),"ERROR",INDEX('register map'!B:B,C269-8)),INDEX('register map'!B:B,C269-7)),INDEX('register map'!B:B,C269-6)),INDEX('register map'!B:B,C269-5)),INDEX('register map'!B:B,C269-4)),INDEX('register map'!B:B,C269-3)),INDEX('register map'!B:B,C269-2)),INDEX('register map'!B:B,C269-1)),INDEX('register map'!B:B,C269))</f>
        <v>0xAD</v>
      </c>
      <c r="G269" s="117" t="str">
        <f>CONCATENATE(IF(ISNUMBER(INDEX('register map'!D:D,C269)),7,""),IF(ISNUMBER(INDEX('register map'!E:E,C269)),6,""),IF(ISNUMBER(INDEX('register map'!F:F,C269)),5,""),IF(ISNUMBER(INDEX('register map'!G:G,C269)),4,""),IF(ISNUMBER(INDEX('register map'!H:H,C269)),3,""),IF(ISNUMBER(INDEX('register map'!I:I,C269)),2,""),IF(ISNUMBER(INDEX('register map'!J:J,C269)),1,""),IF(ISNUMBER(INDEX('register map'!K:K,C269)),0,""))</f>
        <v>6</v>
      </c>
      <c r="H269" s="117" t="str">
        <f>RIGHT(INDEX('register map'!V:V,MATCH('Logical Group Generator'!B269,'register map'!L:L,0)),LEN(G269))</f>
        <v>1</v>
      </c>
      <c r="I269" s="117" t="str">
        <f>CONCATENATE(IF(ISNUMBER(INDEX('register map'!K:K,C269)),0,""),IF(ISNUMBER(INDEX('register map'!J:J,C269)),1,""),IF(ISNUMBER(INDEX('register map'!I:I,C269)),2,""),IF(ISNUMBER(INDEX('register map'!H:H,C269)),3,""),IF(ISNUMBER(INDEX('register map'!G:G,C269)),4,""),IF(ISNUMBER(INDEX('register map'!F:F,C269)),5,""),IF(ISNUMBER(INDEX('register map'!E:E,C269)),6,""),IF(ISNUMBER(INDEX('register map'!D:D,C269)),7,""))</f>
        <v>6</v>
      </c>
      <c r="J269" s="117" t="str">
        <f t="shared" si="51"/>
        <v>1</v>
      </c>
      <c r="K269" s="117" t="str">
        <f t="shared" si="44"/>
        <v/>
      </c>
      <c r="L269" s="117" t="str">
        <f t="shared" si="52"/>
        <v/>
      </c>
      <c r="M269" s="117" t="str">
        <f t="shared" si="54"/>
        <v/>
      </c>
      <c r="N269" s="117" t="str">
        <f>IF(ISBLANK(INDEX('register map'!M:M,'Logical Group Generator'!C269)),"No","Yes")</f>
        <v>No</v>
      </c>
      <c r="O269" s="117" t="str">
        <f>IF(NOT(ISBLANK(INDEX('register map'!N:N,'Logical Group Generator'!C269))),"Yes","")</f>
        <v/>
      </c>
      <c r="P269" s="117" t="str">
        <f t="shared" si="45"/>
        <v/>
      </c>
      <c r="Q269" s="117" t="str">
        <f t="shared" si="46"/>
        <v/>
      </c>
      <c r="R269" s="117" t="str">
        <f t="shared" si="47"/>
        <v/>
      </c>
      <c r="S269" s="117" t="str">
        <f t="shared" si="48"/>
        <v>No</v>
      </c>
      <c r="T269" s="117" t="str">
        <f t="shared" si="49"/>
        <v/>
      </c>
      <c r="U269" s="117" t="b">
        <f t="shared" si="53"/>
        <v>0</v>
      </c>
      <c r="V269" s="157" t="b">
        <f>INDEX('register map'!P:P,C269)="yes"</f>
        <v>1</v>
      </c>
      <c r="W269" s="157" t="str">
        <f t="shared" si="50"/>
        <v>FALSE</v>
      </c>
    </row>
    <row r="270" spans="2:23">
      <c r="B270" s="157" t="str">
        <f t="array" ref="B270">IF(ROWS($3:270)&lt;=COUNTA('register map'!$L$5:$L$902),INDEX('register map'!$L$5:$L$902,SMALL(IF('register map'!$L$5:$L$902&lt;&gt;"",ROW('register map'!$L$5:$L$902)-MIN(ROW('register map'!$L$5:$L$902))+1),ROWS($3:270))),"")</f>
        <v>OTP_RSVD_5E_AD_7</v>
      </c>
      <c r="C270" s="157">
        <f>IF(B270="PART_NUMBER",IF(COUNTIF($B$1:B269,"PART_NUMBER")=0,6,8),MATCH(B270,'register map'!L:L,0))</f>
        <v>283</v>
      </c>
      <c r="D270" s="117" t="str">
        <f>IF(ISBLANK(INDEX('register map'!C:C,'Logical Group Generator'!C270)),"No","Yes")</f>
        <v>No</v>
      </c>
      <c r="E270" s="117" t="str">
        <f>IF(ISBLANK(INDEX('register map'!A:A,C270)),IF(ISBLANK(INDEX('register map'!A:A,C270-1)),IF(ISBLANK(INDEX('register map'!A:A,C270-2)),IF(ISBLANK(INDEX('register map'!A:A,C270-3)),IF(ISBLANK(INDEX('register map'!A:A,C270-4)),IF(ISBLANK(INDEX('register map'!A:A,C270-5)),IF(ISBLANK(INDEX('register map'!A:A,C270-6)),IF(ISBLANK(INDEX('register map'!A:A,C270-7)),IF(ISBLANK(INDEX('register map'!A:A,C270-8)),"ERROR",INDEX('register map'!A:A,C270-8)),INDEX('register map'!A:A,C270-7)),INDEX('register map'!A:A,C270-6)),INDEX('register map'!A:A,C270-5)),INDEX('register map'!A:A,C270-4)),INDEX('register map'!A:A,C270-3)),INDEX('register map'!A:A,C270-2)),INDEX('register map'!A:A,C270-1)),INDEX('register map'!A:A,C270))</f>
        <v>0x5E</v>
      </c>
      <c r="F270" s="117" t="str">
        <f>IF(ISBLANK(INDEX('register map'!B:B,C270)),IF(ISBLANK(INDEX('register map'!B:B,C270-1)),IF(ISBLANK(INDEX('register map'!B:B,C270-2)),IF(ISBLANK(INDEX('register map'!B:B,C270-3)),IF(ISBLANK(INDEX('register map'!B:B,C270-4)),IF(ISBLANK(INDEX('register map'!B:B,C270-5)),IF(ISBLANK(INDEX('register map'!B:B,C270-6)),IF(ISBLANK(INDEX('register map'!B:B,C270-7)),IF(ISBLANK(INDEX('register map'!B:B,C270-8)),"ERROR",INDEX('register map'!B:B,C270-8)),INDEX('register map'!B:B,C270-7)),INDEX('register map'!B:B,C270-6)),INDEX('register map'!B:B,C270-5)),INDEX('register map'!B:B,C270-4)),INDEX('register map'!B:B,C270-3)),INDEX('register map'!B:B,C270-2)),INDEX('register map'!B:B,C270-1)),INDEX('register map'!B:B,C270))</f>
        <v>0xAD</v>
      </c>
      <c r="G270" s="117" t="str">
        <f>CONCATENATE(IF(ISNUMBER(INDEX('register map'!D:D,C270)),7,""),IF(ISNUMBER(INDEX('register map'!E:E,C270)),6,""),IF(ISNUMBER(INDEX('register map'!F:F,C270)),5,""),IF(ISNUMBER(INDEX('register map'!G:G,C270)),4,""),IF(ISNUMBER(INDEX('register map'!H:H,C270)),3,""),IF(ISNUMBER(INDEX('register map'!I:I,C270)),2,""),IF(ISNUMBER(INDEX('register map'!J:J,C270)),1,""),IF(ISNUMBER(INDEX('register map'!K:K,C270)),0,""))</f>
        <v>7</v>
      </c>
      <c r="H270" s="117" t="str">
        <f>RIGHT(INDEX('register map'!V:V,MATCH('Logical Group Generator'!B270,'register map'!L:L,0)),LEN(G270))</f>
        <v>0</v>
      </c>
      <c r="I270" s="117" t="str">
        <f>CONCATENATE(IF(ISNUMBER(INDEX('register map'!K:K,C270)),0,""),IF(ISNUMBER(INDEX('register map'!J:J,C270)),1,""),IF(ISNUMBER(INDEX('register map'!I:I,C270)),2,""),IF(ISNUMBER(INDEX('register map'!H:H,C270)),3,""),IF(ISNUMBER(INDEX('register map'!G:G,C270)),4,""),IF(ISNUMBER(INDEX('register map'!F:F,C270)),5,""),IF(ISNUMBER(INDEX('register map'!E:E,C270)),6,""),IF(ISNUMBER(INDEX('register map'!D:D,C270)),7,""))</f>
        <v>7</v>
      </c>
      <c r="J270" s="117" t="str">
        <f t="shared" si="51"/>
        <v>0</v>
      </c>
      <c r="K270" s="117" t="str">
        <f t="shared" si="44"/>
        <v/>
      </c>
      <c r="L270" s="117" t="str">
        <f t="shared" si="52"/>
        <v/>
      </c>
      <c r="M270" s="117" t="str">
        <f t="shared" si="54"/>
        <v/>
      </c>
      <c r="N270" s="117" t="str">
        <f>IF(ISBLANK(INDEX('register map'!M:M,'Logical Group Generator'!C270)),"No","Yes")</f>
        <v>No</v>
      </c>
      <c r="O270" s="117" t="str">
        <f>IF(NOT(ISBLANK(INDEX('register map'!N:N,'Logical Group Generator'!C270))),"Yes","")</f>
        <v/>
      </c>
      <c r="P270" s="117" t="str">
        <f t="shared" si="45"/>
        <v/>
      </c>
      <c r="Q270" s="117" t="str">
        <f t="shared" si="46"/>
        <v/>
      </c>
      <c r="R270" s="117" t="str">
        <f t="shared" si="47"/>
        <v/>
      </c>
      <c r="S270" s="117" t="str">
        <f t="shared" si="48"/>
        <v>No</v>
      </c>
      <c r="T270" s="117" t="str">
        <f t="shared" si="49"/>
        <v/>
      </c>
      <c r="U270" s="117" t="b">
        <f t="shared" si="53"/>
        <v>0</v>
      </c>
      <c r="V270" s="157" t="b">
        <f>INDEX('register map'!P:P,C270)="yes"</f>
        <v>1</v>
      </c>
      <c r="W270" s="157" t="str">
        <f t="shared" si="50"/>
        <v>FALSE</v>
      </c>
    </row>
    <row r="271" spans="2:23">
      <c r="B271" s="157" t="str">
        <f t="array" ref="B271">IF(ROWS($3:271)&lt;=COUNTA('register map'!$L$5:$L$902),INDEX('register map'!$L$5:$L$902,SMALL(IF('register map'!$L$5:$L$902&lt;&gt;"",ROW('register map'!$L$5:$L$902)-MIN(ROW('register map'!$L$5:$L$902))+1),ROWS($3:271))),"")</f>
        <v>LDOA1_SWB2_CTRL</v>
      </c>
      <c r="C271" s="157">
        <f>IF(B271="PART_NUMBER",IF(COUNTIF($B$1:B270,"PART_NUMBER")=0,6,8),MATCH(B271,'register map'!L:L,0))</f>
        <v>284</v>
      </c>
      <c r="D271" s="117" t="str">
        <f>IF(ISBLANK(INDEX('register map'!C:C,'Logical Group Generator'!C271)),"No","Yes")</f>
        <v>Yes</v>
      </c>
      <c r="E271" s="117" t="str">
        <f>IF(ISBLANK(INDEX('register map'!A:A,C271)),IF(ISBLANK(INDEX('register map'!A:A,C271-1)),IF(ISBLANK(INDEX('register map'!A:A,C271-2)),IF(ISBLANK(INDEX('register map'!A:A,C271-3)),IF(ISBLANK(INDEX('register map'!A:A,C271-4)),IF(ISBLANK(INDEX('register map'!A:A,C271-5)),IF(ISBLANK(INDEX('register map'!A:A,C271-6)),IF(ISBLANK(INDEX('register map'!A:A,C271-7)),IF(ISBLANK(INDEX('register map'!A:A,C271-8)),"ERROR",INDEX('register map'!A:A,C271-8)),INDEX('register map'!A:A,C271-7)),INDEX('register map'!A:A,C271-6)),INDEX('register map'!A:A,C271-5)),INDEX('register map'!A:A,C271-4)),INDEX('register map'!A:A,C271-3)),INDEX('register map'!A:A,C271-2)),INDEX('register map'!A:A,C271-1)),INDEX('register map'!A:A,C271))</f>
        <v>0x5E</v>
      </c>
      <c r="F271" s="117" t="str">
        <f>IF(ISBLANK(INDEX('register map'!B:B,C271)),IF(ISBLANK(INDEX('register map'!B:B,C271-1)),IF(ISBLANK(INDEX('register map'!B:B,C271-2)),IF(ISBLANK(INDEX('register map'!B:B,C271-3)),IF(ISBLANK(INDEX('register map'!B:B,C271-4)),IF(ISBLANK(INDEX('register map'!B:B,C271-5)),IF(ISBLANK(INDEX('register map'!B:B,C271-6)),IF(ISBLANK(INDEX('register map'!B:B,C271-7)),IF(ISBLANK(INDEX('register map'!B:B,C271-8)),"ERROR",INDEX('register map'!B:B,C271-8)),INDEX('register map'!B:B,C271-7)),INDEX('register map'!B:B,C271-6)),INDEX('register map'!B:B,C271-5)),INDEX('register map'!B:B,C271-4)),INDEX('register map'!B:B,C271-3)),INDEX('register map'!B:B,C271-2)),INDEX('register map'!B:B,C271-1)),INDEX('register map'!B:B,C271))</f>
        <v>0xAE</v>
      </c>
      <c r="G271" s="117" t="str">
        <f>CONCATENATE(IF(ISNUMBER(INDEX('register map'!D:D,C271)),7,""),IF(ISNUMBER(INDEX('register map'!E:E,C271)),6,""),IF(ISNUMBER(INDEX('register map'!F:F,C271)),5,""),IF(ISNUMBER(INDEX('register map'!G:G,C271)),4,""),IF(ISNUMBER(INDEX('register map'!H:H,C271)),3,""),IF(ISNUMBER(INDEX('register map'!I:I,C271)),2,""),IF(ISNUMBER(INDEX('register map'!J:J,C271)),1,""),IF(ISNUMBER(INDEX('register map'!K:K,C271)),0,""))</f>
        <v/>
      </c>
      <c r="H271" s="117" t="str">
        <f>RIGHT(INDEX('register map'!V:V,MATCH('Logical Group Generator'!B271,'register map'!L:L,0)),LEN(G271))</f>
        <v/>
      </c>
      <c r="I271" s="117" t="str">
        <f>CONCATENATE(IF(ISNUMBER(INDEX('register map'!K:K,C271)),0,""),IF(ISNUMBER(INDEX('register map'!J:J,C271)),1,""),IF(ISNUMBER(INDEX('register map'!I:I,C271)),2,""),IF(ISNUMBER(INDEX('register map'!H:H,C271)),3,""),IF(ISNUMBER(INDEX('register map'!G:G,C271)),4,""),IF(ISNUMBER(INDEX('register map'!F:F,C271)),5,""),IF(ISNUMBER(INDEX('register map'!E:E,C271)),6,""),IF(ISNUMBER(INDEX('register map'!D:D,C271)),7,""))</f>
        <v/>
      </c>
      <c r="J271" s="117" t="str">
        <f t="shared" si="51"/>
        <v/>
      </c>
      <c r="K271" s="117" t="str">
        <f t="shared" si="44"/>
        <v>00111000</v>
      </c>
      <c r="L271" s="117" t="str">
        <f t="shared" si="52"/>
        <v>00011100</v>
      </c>
      <c r="M271" s="117" t="str">
        <f t="shared" si="54"/>
        <v>1C</v>
      </c>
      <c r="N271" s="117" t="str">
        <f>IF(ISBLANK(INDEX('register map'!M:M,'Logical Group Generator'!C271)),"No","Yes")</f>
        <v>No</v>
      </c>
      <c r="O271" s="117" t="str">
        <f>IF(NOT(ISBLANK(INDEX('register map'!N:N,'Logical Group Generator'!C271))),"Yes","")</f>
        <v/>
      </c>
      <c r="P271" s="117" t="str">
        <f t="shared" si="45"/>
        <v>No</v>
      </c>
      <c r="Q271" s="117" t="str">
        <f t="shared" si="46"/>
        <v>No</v>
      </c>
      <c r="R271" s="117" t="str">
        <f t="shared" si="47"/>
        <v>No</v>
      </c>
      <c r="S271" s="117" t="str">
        <f t="shared" si="48"/>
        <v/>
      </c>
      <c r="T271" s="117" t="b">
        <f t="shared" si="49"/>
        <v>1</v>
      </c>
      <c r="U271" s="117" t="b">
        <f t="shared" si="53"/>
        <v>1</v>
      </c>
      <c r="V271" s="157" t="b">
        <f>INDEX('register map'!P:P,C271)="yes"</f>
        <v>1</v>
      </c>
      <c r="W271" s="157" t="str">
        <f t="shared" si="50"/>
        <v>REGISTER</v>
      </c>
    </row>
    <row r="272" spans="2:23">
      <c r="B272" s="157" t="str">
        <f t="array" ref="B272">IF(ROWS($3:272)&lt;=COUNTA('register map'!$L$5:$L$902),INDEX('register map'!$L$5:$L$902,SMALL(IF('register map'!$L$5:$L$902&lt;&gt;"",ROW('register map'!$L$5:$L$902)-MIN(ROW('register map'!$L$5:$L$902))+1),ROWS($3:272))),"")</f>
        <v>LDOA1_SWB2_EN</v>
      </c>
      <c r="C272" s="157">
        <f>IF(B272="PART_NUMBER",IF(COUNTIF($B$1:B271,"PART_NUMBER")=0,6,8),MATCH(B272,'register map'!L:L,0))</f>
        <v>285</v>
      </c>
      <c r="D272" s="117" t="str">
        <f>IF(ISBLANK(INDEX('register map'!C:C,'Logical Group Generator'!C272)),"No","Yes")</f>
        <v>No</v>
      </c>
      <c r="E272" s="117" t="str">
        <f>IF(ISBLANK(INDEX('register map'!A:A,C272)),IF(ISBLANK(INDEX('register map'!A:A,C272-1)),IF(ISBLANK(INDEX('register map'!A:A,C272-2)),IF(ISBLANK(INDEX('register map'!A:A,C272-3)),IF(ISBLANK(INDEX('register map'!A:A,C272-4)),IF(ISBLANK(INDEX('register map'!A:A,C272-5)),IF(ISBLANK(INDEX('register map'!A:A,C272-6)),IF(ISBLANK(INDEX('register map'!A:A,C272-7)),IF(ISBLANK(INDEX('register map'!A:A,C272-8)),"ERROR",INDEX('register map'!A:A,C272-8)),INDEX('register map'!A:A,C272-7)),INDEX('register map'!A:A,C272-6)),INDEX('register map'!A:A,C272-5)),INDEX('register map'!A:A,C272-4)),INDEX('register map'!A:A,C272-3)),INDEX('register map'!A:A,C272-2)),INDEX('register map'!A:A,C272-1)),INDEX('register map'!A:A,C272))</f>
        <v>0x5E</v>
      </c>
      <c r="F272" s="117" t="str">
        <f>IF(ISBLANK(INDEX('register map'!B:B,C272)),IF(ISBLANK(INDEX('register map'!B:B,C272-1)),IF(ISBLANK(INDEX('register map'!B:B,C272-2)),IF(ISBLANK(INDEX('register map'!B:B,C272-3)),IF(ISBLANK(INDEX('register map'!B:B,C272-4)),IF(ISBLANK(INDEX('register map'!B:B,C272-5)),IF(ISBLANK(INDEX('register map'!B:B,C272-6)),IF(ISBLANK(INDEX('register map'!B:B,C272-7)),IF(ISBLANK(INDEX('register map'!B:B,C272-8)),"ERROR",INDEX('register map'!B:B,C272-8)),INDEX('register map'!B:B,C272-7)),INDEX('register map'!B:B,C272-6)),INDEX('register map'!B:B,C272-5)),INDEX('register map'!B:B,C272-4)),INDEX('register map'!B:B,C272-3)),INDEX('register map'!B:B,C272-2)),INDEX('register map'!B:B,C272-1)),INDEX('register map'!B:B,C272))</f>
        <v>0xAE</v>
      </c>
      <c r="G272" s="117" t="str">
        <f>CONCATENATE(IF(ISNUMBER(INDEX('register map'!D:D,C272)),7,""),IF(ISNUMBER(INDEX('register map'!E:E,C272)),6,""),IF(ISNUMBER(INDEX('register map'!F:F,C272)),5,""),IF(ISNUMBER(INDEX('register map'!G:G,C272)),4,""),IF(ISNUMBER(INDEX('register map'!H:H,C272)),3,""),IF(ISNUMBER(INDEX('register map'!I:I,C272)),2,""),IF(ISNUMBER(INDEX('register map'!J:J,C272)),1,""),IF(ISNUMBER(INDEX('register map'!K:K,C272)),0,""))</f>
        <v>0</v>
      </c>
      <c r="H272" s="117" t="str">
        <f>RIGHT(INDEX('register map'!V:V,MATCH('Logical Group Generator'!B272,'register map'!L:L,0)),LEN(G272))</f>
        <v>0</v>
      </c>
      <c r="I272" s="117" t="str">
        <f>CONCATENATE(IF(ISNUMBER(INDEX('register map'!K:K,C272)),0,""),IF(ISNUMBER(INDEX('register map'!J:J,C272)),1,""),IF(ISNUMBER(INDEX('register map'!I:I,C272)),2,""),IF(ISNUMBER(INDEX('register map'!H:H,C272)),3,""),IF(ISNUMBER(INDEX('register map'!G:G,C272)),4,""),IF(ISNUMBER(INDEX('register map'!F:F,C272)),5,""),IF(ISNUMBER(INDEX('register map'!E:E,C272)),6,""),IF(ISNUMBER(INDEX('register map'!D:D,C272)),7,""))</f>
        <v>0</v>
      </c>
      <c r="J272" s="117" t="str">
        <f t="shared" si="51"/>
        <v>0</v>
      </c>
      <c r="K272" s="117" t="str">
        <f t="shared" si="44"/>
        <v/>
      </c>
      <c r="L272" s="117" t="str">
        <f t="shared" si="52"/>
        <v/>
      </c>
      <c r="M272" s="117" t="str">
        <f t="shared" si="54"/>
        <v/>
      </c>
      <c r="N272" s="117" t="str">
        <f>IF(ISBLANK(INDEX('register map'!M:M,'Logical Group Generator'!C272)),"No","Yes")</f>
        <v>No</v>
      </c>
      <c r="O272" s="117" t="str">
        <f>IF(NOT(ISBLANK(INDEX('register map'!N:N,'Logical Group Generator'!C272))),"Yes","")</f>
        <v/>
      </c>
      <c r="P272" s="117" t="str">
        <f t="shared" si="45"/>
        <v/>
      </c>
      <c r="Q272" s="117" t="str">
        <f t="shared" si="46"/>
        <v/>
      </c>
      <c r="R272" s="117" t="str">
        <f t="shared" si="47"/>
        <v/>
      </c>
      <c r="S272" s="117" t="str">
        <f t="shared" si="48"/>
        <v>No</v>
      </c>
      <c r="T272" s="117" t="str">
        <f t="shared" si="49"/>
        <v/>
      </c>
      <c r="U272" s="117" t="b">
        <f t="shared" si="53"/>
        <v>0</v>
      </c>
      <c r="V272" s="157" t="b">
        <f>INDEX('register map'!P:P,C272)="yes"</f>
        <v>1</v>
      </c>
      <c r="W272" s="157" t="str">
        <f t="shared" si="50"/>
        <v>FALSE</v>
      </c>
    </row>
    <row r="273" spans="2:23">
      <c r="B273" s="157" t="str">
        <f t="array" ref="B273">IF(ROWS($3:273)&lt;=COUNTA('register map'!$L$5:$L$902),INDEX('register map'!$L$5:$L$902,SMALL(IF('register map'!$L$5:$L$902&lt;&gt;"",ROW('register map'!$L$5:$L$902)-MIN(ROW('register map'!$L$5:$L$902))+1),ROWS($3:273))),"")</f>
        <v>LDOA1_VID</v>
      </c>
      <c r="C273" s="157">
        <f>IF(B273="PART_NUMBER",IF(COUNTIF($B$1:B272,"PART_NUMBER")=0,6,8),MATCH(B273,'register map'!L:L,0))</f>
        <v>286</v>
      </c>
      <c r="D273" s="117" t="str">
        <f>IF(ISBLANK(INDEX('register map'!C:C,'Logical Group Generator'!C273)),"No","Yes")</f>
        <v>No</v>
      </c>
      <c r="E273" s="117" t="str">
        <f>IF(ISBLANK(INDEX('register map'!A:A,C273)),IF(ISBLANK(INDEX('register map'!A:A,C273-1)),IF(ISBLANK(INDEX('register map'!A:A,C273-2)),IF(ISBLANK(INDEX('register map'!A:A,C273-3)),IF(ISBLANK(INDEX('register map'!A:A,C273-4)),IF(ISBLANK(INDEX('register map'!A:A,C273-5)),IF(ISBLANK(INDEX('register map'!A:A,C273-6)),IF(ISBLANK(INDEX('register map'!A:A,C273-7)),IF(ISBLANK(INDEX('register map'!A:A,C273-8)),"ERROR",INDEX('register map'!A:A,C273-8)),INDEX('register map'!A:A,C273-7)),INDEX('register map'!A:A,C273-6)),INDEX('register map'!A:A,C273-5)),INDEX('register map'!A:A,C273-4)),INDEX('register map'!A:A,C273-3)),INDEX('register map'!A:A,C273-2)),INDEX('register map'!A:A,C273-1)),INDEX('register map'!A:A,C273))</f>
        <v>0x5E</v>
      </c>
      <c r="F273" s="117" t="str">
        <f>IF(ISBLANK(INDEX('register map'!B:B,C273)),IF(ISBLANK(INDEX('register map'!B:B,C273-1)),IF(ISBLANK(INDEX('register map'!B:B,C273-2)),IF(ISBLANK(INDEX('register map'!B:B,C273-3)),IF(ISBLANK(INDEX('register map'!B:B,C273-4)),IF(ISBLANK(INDEX('register map'!B:B,C273-5)),IF(ISBLANK(INDEX('register map'!B:B,C273-6)),IF(ISBLANK(INDEX('register map'!B:B,C273-7)),IF(ISBLANK(INDEX('register map'!B:B,C273-8)),"ERROR",INDEX('register map'!B:B,C273-8)),INDEX('register map'!B:B,C273-7)),INDEX('register map'!B:B,C273-6)),INDEX('register map'!B:B,C273-5)),INDEX('register map'!B:B,C273-4)),INDEX('register map'!B:B,C273-3)),INDEX('register map'!B:B,C273-2)),INDEX('register map'!B:B,C273-1)),INDEX('register map'!B:B,C273))</f>
        <v>0xAE</v>
      </c>
      <c r="G273" s="117" t="str">
        <f>CONCATENATE(IF(ISNUMBER(INDEX('register map'!D:D,C273)),7,""),IF(ISNUMBER(INDEX('register map'!E:E,C273)),6,""),IF(ISNUMBER(INDEX('register map'!F:F,C273)),5,""),IF(ISNUMBER(INDEX('register map'!G:G,C273)),4,""),IF(ISNUMBER(INDEX('register map'!H:H,C273)),3,""),IF(ISNUMBER(INDEX('register map'!I:I,C273)),2,""),IF(ISNUMBER(INDEX('register map'!J:J,C273)),1,""),IF(ISNUMBER(INDEX('register map'!K:K,C273)),0,""))</f>
        <v>4321</v>
      </c>
      <c r="H273" s="117" t="str">
        <f>RIGHT(INDEX('register map'!V:V,MATCH('Logical Group Generator'!B273,'register map'!L:L,0)),LEN(G273))</f>
        <v>1110</v>
      </c>
      <c r="I273" s="117" t="str">
        <f>CONCATENATE(IF(ISNUMBER(INDEX('register map'!K:K,C273)),0,""),IF(ISNUMBER(INDEX('register map'!J:J,C273)),1,""),IF(ISNUMBER(INDEX('register map'!I:I,C273)),2,""),IF(ISNUMBER(INDEX('register map'!H:H,C273)),3,""),IF(ISNUMBER(INDEX('register map'!G:G,C273)),4,""),IF(ISNUMBER(INDEX('register map'!F:F,C273)),5,""),IF(ISNUMBER(INDEX('register map'!E:E,C273)),6,""),IF(ISNUMBER(INDEX('register map'!D:D,C273)),7,""))</f>
        <v>1234</v>
      </c>
      <c r="J273" s="117" t="str">
        <f t="shared" si="51"/>
        <v>0111</v>
      </c>
      <c r="K273" s="117" t="str">
        <f t="shared" si="44"/>
        <v/>
      </c>
      <c r="L273" s="117" t="str">
        <f t="shared" si="52"/>
        <v/>
      </c>
      <c r="M273" s="117" t="str">
        <f t="shared" si="54"/>
        <v/>
      </c>
      <c r="N273" s="117" t="str">
        <f>IF(ISBLANK(INDEX('register map'!M:M,'Logical Group Generator'!C273)),"No","Yes")</f>
        <v>No</v>
      </c>
      <c r="O273" s="117" t="str">
        <f>IF(NOT(ISBLANK(INDEX('register map'!N:N,'Logical Group Generator'!C273))),"Yes","")</f>
        <v/>
      </c>
      <c r="P273" s="117" t="str">
        <f t="shared" si="45"/>
        <v/>
      </c>
      <c r="Q273" s="117" t="str">
        <f t="shared" si="46"/>
        <v/>
      </c>
      <c r="R273" s="117" t="str">
        <f t="shared" si="47"/>
        <v/>
      </c>
      <c r="S273" s="117" t="str">
        <f t="shared" si="48"/>
        <v>No</v>
      </c>
      <c r="T273" s="117" t="str">
        <f t="shared" si="49"/>
        <v/>
      </c>
      <c r="U273" s="117" t="b">
        <f t="shared" si="53"/>
        <v>0</v>
      </c>
      <c r="V273" s="157" t="b">
        <f>INDEX('register map'!P:P,C273)="yes"</f>
        <v>1</v>
      </c>
      <c r="W273" s="157" t="str">
        <f t="shared" si="50"/>
        <v>FALSE</v>
      </c>
    </row>
    <row r="274" spans="2:23">
      <c r="B274" s="157" t="str">
        <f t="array" ref="B274">IF(ROWS($3:274)&lt;=COUNTA('register map'!$L$5:$L$902),INDEX('register map'!$L$5:$L$902,SMALL(IF('register map'!$L$5:$L$902&lt;&gt;"",ROW('register map'!$L$5:$L$902)-MIN(ROW('register map'!$L$5:$L$902))+1),ROWS($3:274))),"")</f>
        <v>LDOA1_SWB2_SDWN_CONFIG</v>
      </c>
      <c r="C274" s="157">
        <f>IF(B274="PART_NUMBER",IF(COUNTIF($B$1:B273,"PART_NUMBER")=0,6,8),MATCH(B274,'register map'!L:L,0))</f>
        <v>287</v>
      </c>
      <c r="D274" s="117" t="str">
        <f>IF(ISBLANK(INDEX('register map'!C:C,'Logical Group Generator'!C274)),"No","Yes")</f>
        <v>No</v>
      </c>
      <c r="E274" s="117" t="str">
        <f>IF(ISBLANK(INDEX('register map'!A:A,C274)),IF(ISBLANK(INDEX('register map'!A:A,C274-1)),IF(ISBLANK(INDEX('register map'!A:A,C274-2)),IF(ISBLANK(INDEX('register map'!A:A,C274-3)),IF(ISBLANK(INDEX('register map'!A:A,C274-4)),IF(ISBLANK(INDEX('register map'!A:A,C274-5)),IF(ISBLANK(INDEX('register map'!A:A,C274-6)),IF(ISBLANK(INDEX('register map'!A:A,C274-7)),IF(ISBLANK(INDEX('register map'!A:A,C274-8)),"ERROR",INDEX('register map'!A:A,C274-8)),INDEX('register map'!A:A,C274-7)),INDEX('register map'!A:A,C274-6)),INDEX('register map'!A:A,C274-5)),INDEX('register map'!A:A,C274-4)),INDEX('register map'!A:A,C274-3)),INDEX('register map'!A:A,C274-2)),INDEX('register map'!A:A,C274-1)),INDEX('register map'!A:A,C274))</f>
        <v>0x5E</v>
      </c>
      <c r="F274" s="117" t="str">
        <f>IF(ISBLANK(INDEX('register map'!B:B,C274)),IF(ISBLANK(INDEX('register map'!B:B,C274-1)),IF(ISBLANK(INDEX('register map'!B:B,C274-2)),IF(ISBLANK(INDEX('register map'!B:B,C274-3)),IF(ISBLANK(INDEX('register map'!B:B,C274-4)),IF(ISBLANK(INDEX('register map'!B:B,C274-5)),IF(ISBLANK(INDEX('register map'!B:B,C274-6)),IF(ISBLANK(INDEX('register map'!B:B,C274-7)),IF(ISBLANK(INDEX('register map'!B:B,C274-8)),"ERROR",INDEX('register map'!B:B,C274-8)),INDEX('register map'!B:B,C274-7)),INDEX('register map'!B:B,C274-6)),INDEX('register map'!B:B,C274-5)),INDEX('register map'!B:B,C274-4)),INDEX('register map'!B:B,C274-3)),INDEX('register map'!B:B,C274-2)),INDEX('register map'!B:B,C274-1)),INDEX('register map'!B:B,C274))</f>
        <v>0xAE</v>
      </c>
      <c r="G274" s="117" t="str">
        <f>CONCATENATE(IF(ISNUMBER(INDEX('register map'!D:D,C274)),7,""),IF(ISNUMBER(INDEX('register map'!E:E,C274)),6,""),IF(ISNUMBER(INDEX('register map'!F:F,C274)),5,""),IF(ISNUMBER(INDEX('register map'!G:G,C274)),4,""),IF(ISNUMBER(INDEX('register map'!H:H,C274)),3,""),IF(ISNUMBER(INDEX('register map'!I:I,C274)),2,""),IF(ISNUMBER(INDEX('register map'!J:J,C274)),1,""),IF(ISNUMBER(INDEX('register map'!K:K,C274)),0,""))</f>
        <v>5</v>
      </c>
      <c r="H274" s="117" t="str">
        <f>RIGHT(INDEX('register map'!V:V,MATCH('Logical Group Generator'!B274,'register map'!L:L,0)),LEN(G274))</f>
        <v>0</v>
      </c>
      <c r="I274" s="117" t="str">
        <f>CONCATENATE(IF(ISNUMBER(INDEX('register map'!K:K,C274)),0,""),IF(ISNUMBER(INDEX('register map'!J:J,C274)),1,""),IF(ISNUMBER(INDEX('register map'!I:I,C274)),2,""),IF(ISNUMBER(INDEX('register map'!H:H,C274)),3,""),IF(ISNUMBER(INDEX('register map'!G:G,C274)),4,""),IF(ISNUMBER(INDEX('register map'!F:F,C274)),5,""),IF(ISNUMBER(INDEX('register map'!E:E,C274)),6,""),IF(ISNUMBER(INDEX('register map'!D:D,C274)),7,""))</f>
        <v>5</v>
      </c>
      <c r="J274" s="117" t="str">
        <f t="shared" si="51"/>
        <v>0</v>
      </c>
      <c r="K274" s="117" t="str">
        <f t="shared" si="44"/>
        <v/>
      </c>
      <c r="L274" s="117" t="str">
        <f t="shared" si="52"/>
        <v/>
      </c>
      <c r="M274" s="117" t="str">
        <f t="shared" si="54"/>
        <v/>
      </c>
      <c r="N274" s="117" t="str">
        <f>IF(ISBLANK(INDEX('register map'!M:M,'Logical Group Generator'!C274)),"No","Yes")</f>
        <v>No</v>
      </c>
      <c r="O274" s="117" t="str">
        <f>IF(NOT(ISBLANK(INDEX('register map'!N:N,'Logical Group Generator'!C274))),"Yes","")</f>
        <v/>
      </c>
      <c r="P274" s="117" t="str">
        <f t="shared" si="45"/>
        <v/>
      </c>
      <c r="Q274" s="117" t="str">
        <f t="shared" si="46"/>
        <v/>
      </c>
      <c r="R274" s="117" t="str">
        <f t="shared" si="47"/>
        <v/>
      </c>
      <c r="S274" s="117" t="str">
        <f t="shared" si="48"/>
        <v>No</v>
      </c>
      <c r="T274" s="117" t="str">
        <f t="shared" si="49"/>
        <v/>
      </c>
      <c r="U274" s="117" t="b">
        <f t="shared" si="53"/>
        <v>0</v>
      </c>
      <c r="V274" s="157" t="b">
        <f>INDEX('register map'!P:P,C274)="yes"</f>
        <v>1</v>
      </c>
      <c r="W274" s="157" t="str">
        <f t="shared" si="50"/>
        <v>FALSE</v>
      </c>
    </row>
    <row r="275" spans="2:23">
      <c r="B275" s="157" t="str">
        <f t="array" ref="B275">IF(ROWS($3:275)&lt;=COUNTA('register map'!$L$5:$L$902),INDEX('register map'!$L$5:$L$902,SMALL(IF('register map'!$L$5:$L$902&lt;&gt;"",ROW('register map'!$L$5:$L$902)-MIN(ROW('register map'!$L$5:$L$902))+1),ROWS($3:275))),"")</f>
        <v>LDOA1_DISCHG</v>
      </c>
      <c r="C275" s="157">
        <f>IF(B275="PART_NUMBER",IF(COUNTIF($B$1:B274,"PART_NUMBER")=0,6,8),MATCH(B275,'register map'!L:L,0))</f>
        <v>288</v>
      </c>
      <c r="D275" s="117" t="str">
        <f>IF(ISBLANK(INDEX('register map'!C:C,'Logical Group Generator'!C275)),"No","Yes")</f>
        <v>No</v>
      </c>
      <c r="E275" s="117" t="str">
        <f>IF(ISBLANK(INDEX('register map'!A:A,C275)),IF(ISBLANK(INDEX('register map'!A:A,C275-1)),IF(ISBLANK(INDEX('register map'!A:A,C275-2)),IF(ISBLANK(INDEX('register map'!A:A,C275-3)),IF(ISBLANK(INDEX('register map'!A:A,C275-4)),IF(ISBLANK(INDEX('register map'!A:A,C275-5)),IF(ISBLANK(INDEX('register map'!A:A,C275-6)),IF(ISBLANK(INDEX('register map'!A:A,C275-7)),IF(ISBLANK(INDEX('register map'!A:A,C275-8)),"ERROR",INDEX('register map'!A:A,C275-8)),INDEX('register map'!A:A,C275-7)),INDEX('register map'!A:A,C275-6)),INDEX('register map'!A:A,C275-5)),INDEX('register map'!A:A,C275-4)),INDEX('register map'!A:A,C275-3)),INDEX('register map'!A:A,C275-2)),INDEX('register map'!A:A,C275-1)),INDEX('register map'!A:A,C275))</f>
        <v>0x5E</v>
      </c>
      <c r="F275" s="117" t="str">
        <f>IF(ISBLANK(INDEX('register map'!B:B,C275)),IF(ISBLANK(INDEX('register map'!B:B,C275-1)),IF(ISBLANK(INDEX('register map'!B:B,C275-2)),IF(ISBLANK(INDEX('register map'!B:B,C275-3)),IF(ISBLANK(INDEX('register map'!B:B,C275-4)),IF(ISBLANK(INDEX('register map'!B:B,C275-5)),IF(ISBLANK(INDEX('register map'!B:B,C275-6)),IF(ISBLANK(INDEX('register map'!B:B,C275-7)),IF(ISBLANK(INDEX('register map'!B:B,C275-8)),"ERROR",INDEX('register map'!B:B,C275-8)),INDEX('register map'!B:B,C275-7)),INDEX('register map'!B:B,C275-6)),INDEX('register map'!B:B,C275-5)),INDEX('register map'!B:B,C275-4)),INDEX('register map'!B:B,C275-3)),INDEX('register map'!B:B,C275-2)),INDEX('register map'!B:B,C275-1)),INDEX('register map'!B:B,C275))</f>
        <v>0xAE</v>
      </c>
      <c r="G275" s="117" t="str">
        <f>CONCATENATE(IF(ISNUMBER(INDEX('register map'!D:D,C275)),7,""),IF(ISNUMBER(INDEX('register map'!E:E,C275)),6,""),IF(ISNUMBER(INDEX('register map'!F:F,C275)),5,""),IF(ISNUMBER(INDEX('register map'!G:G,C275)),4,""),IF(ISNUMBER(INDEX('register map'!H:H,C275)),3,""),IF(ISNUMBER(INDEX('register map'!I:I,C275)),2,""),IF(ISNUMBER(INDEX('register map'!J:J,C275)),1,""),IF(ISNUMBER(INDEX('register map'!K:K,C275)),0,""))</f>
        <v>76</v>
      </c>
      <c r="H275" s="117" t="str">
        <f>RIGHT(INDEX('register map'!V:V,MATCH('Logical Group Generator'!B275,'register map'!L:L,0)),LEN(G275))</f>
        <v>00</v>
      </c>
      <c r="I275" s="117" t="str">
        <f>CONCATENATE(IF(ISNUMBER(INDEX('register map'!K:K,C275)),0,""),IF(ISNUMBER(INDEX('register map'!J:J,C275)),1,""),IF(ISNUMBER(INDEX('register map'!I:I,C275)),2,""),IF(ISNUMBER(INDEX('register map'!H:H,C275)),3,""),IF(ISNUMBER(INDEX('register map'!G:G,C275)),4,""),IF(ISNUMBER(INDEX('register map'!F:F,C275)),5,""),IF(ISNUMBER(INDEX('register map'!E:E,C275)),6,""),IF(ISNUMBER(INDEX('register map'!D:D,C275)),7,""))</f>
        <v>67</v>
      </c>
      <c r="J275" s="117" t="str">
        <f t="shared" si="51"/>
        <v>00</v>
      </c>
      <c r="K275" s="117" t="str">
        <f t="shared" si="44"/>
        <v/>
      </c>
      <c r="L275" s="117" t="str">
        <f t="shared" si="52"/>
        <v/>
      </c>
      <c r="M275" s="117" t="str">
        <f t="shared" si="54"/>
        <v/>
      </c>
      <c r="N275" s="117" t="str">
        <f>IF(ISBLANK(INDEX('register map'!M:M,'Logical Group Generator'!C275)),"No","Yes")</f>
        <v>No</v>
      </c>
      <c r="O275" s="117" t="str">
        <f>IF(NOT(ISBLANK(INDEX('register map'!N:N,'Logical Group Generator'!C275))),"Yes","")</f>
        <v/>
      </c>
      <c r="P275" s="117" t="str">
        <f t="shared" si="45"/>
        <v/>
      </c>
      <c r="Q275" s="117" t="str">
        <f t="shared" si="46"/>
        <v/>
      </c>
      <c r="R275" s="117" t="str">
        <f t="shared" si="47"/>
        <v/>
      </c>
      <c r="S275" s="117" t="str">
        <f t="shared" si="48"/>
        <v>No</v>
      </c>
      <c r="T275" s="117" t="str">
        <f t="shared" si="49"/>
        <v/>
      </c>
      <c r="U275" s="117" t="b">
        <f t="shared" si="53"/>
        <v>0</v>
      </c>
      <c r="V275" s="157" t="b">
        <f>INDEX('register map'!P:P,C275)="yes"</f>
        <v>1</v>
      </c>
      <c r="W275" s="157" t="str">
        <f t="shared" si="50"/>
        <v>FALSE</v>
      </c>
    </row>
    <row r="276" spans="2:23">
      <c r="B276" s="157" t="str">
        <f t="array" ref="B276">IF(ROWS($3:276)&lt;=COUNTA('register map'!$L$5:$L$902),INDEX('register map'!$L$5:$L$902,SMALL(IF('register map'!$L$5:$L$902&lt;&gt;"",ROW('register map'!$L$5:$L$902)-MIN(ROW('register map'!$L$5:$L$902))+1),ROWS($3:276))),"")</f>
        <v>OTP_RSVD_5E_AF</v>
      </c>
      <c r="C276" s="157">
        <f>IF(B276="PART_NUMBER",IF(COUNTIF($B$1:B275,"PART_NUMBER")=0,6,8),MATCH(B276,'register map'!L:L,0))</f>
        <v>289</v>
      </c>
      <c r="D276" s="117" t="str">
        <f>IF(ISBLANK(INDEX('register map'!C:C,'Logical Group Generator'!C276)),"No","Yes")</f>
        <v>Yes</v>
      </c>
      <c r="E276" s="117" t="str">
        <f>IF(ISBLANK(INDEX('register map'!A:A,C276)),IF(ISBLANK(INDEX('register map'!A:A,C276-1)),IF(ISBLANK(INDEX('register map'!A:A,C276-2)),IF(ISBLANK(INDEX('register map'!A:A,C276-3)),IF(ISBLANK(INDEX('register map'!A:A,C276-4)),IF(ISBLANK(INDEX('register map'!A:A,C276-5)),IF(ISBLANK(INDEX('register map'!A:A,C276-6)),IF(ISBLANK(INDEX('register map'!A:A,C276-7)),IF(ISBLANK(INDEX('register map'!A:A,C276-8)),"ERROR",INDEX('register map'!A:A,C276-8)),INDEX('register map'!A:A,C276-7)),INDEX('register map'!A:A,C276-6)),INDEX('register map'!A:A,C276-5)),INDEX('register map'!A:A,C276-4)),INDEX('register map'!A:A,C276-3)),INDEX('register map'!A:A,C276-2)),INDEX('register map'!A:A,C276-1)),INDEX('register map'!A:A,C276))</f>
        <v>0x5E</v>
      </c>
      <c r="F276" s="117" t="str">
        <f>IF(ISBLANK(INDEX('register map'!B:B,C276)),IF(ISBLANK(INDEX('register map'!B:B,C276-1)),IF(ISBLANK(INDEX('register map'!B:B,C276-2)),IF(ISBLANK(INDEX('register map'!B:B,C276-3)),IF(ISBLANK(INDEX('register map'!B:B,C276-4)),IF(ISBLANK(INDEX('register map'!B:B,C276-5)),IF(ISBLANK(INDEX('register map'!B:B,C276-6)),IF(ISBLANK(INDEX('register map'!B:B,C276-7)),IF(ISBLANK(INDEX('register map'!B:B,C276-8)),"ERROR",INDEX('register map'!B:B,C276-8)),INDEX('register map'!B:B,C276-7)),INDEX('register map'!B:B,C276-6)),INDEX('register map'!B:B,C276-5)),INDEX('register map'!B:B,C276-4)),INDEX('register map'!B:B,C276-3)),INDEX('register map'!B:B,C276-2)),INDEX('register map'!B:B,C276-1)),INDEX('register map'!B:B,C276))</f>
        <v>0xAF</v>
      </c>
      <c r="G276" s="117" t="str">
        <f>CONCATENATE(IF(ISNUMBER(INDEX('register map'!D:D,C276)),7,""),IF(ISNUMBER(INDEX('register map'!E:E,C276)),6,""),IF(ISNUMBER(INDEX('register map'!F:F,C276)),5,""),IF(ISNUMBER(INDEX('register map'!G:G,C276)),4,""),IF(ISNUMBER(INDEX('register map'!H:H,C276)),3,""),IF(ISNUMBER(INDEX('register map'!I:I,C276)),2,""),IF(ISNUMBER(INDEX('register map'!J:J,C276)),1,""),IF(ISNUMBER(INDEX('register map'!K:K,C276)),0,""))</f>
        <v/>
      </c>
      <c r="H276" s="117" t="str">
        <f>RIGHT(INDEX('register map'!V:V,MATCH('Logical Group Generator'!B276,'register map'!L:L,0)),LEN(G276))</f>
        <v/>
      </c>
      <c r="I276" s="117" t="str">
        <f>CONCATENATE(IF(ISNUMBER(INDEX('register map'!K:K,C276)),0,""),IF(ISNUMBER(INDEX('register map'!J:J,C276)),1,""),IF(ISNUMBER(INDEX('register map'!I:I,C276)),2,""),IF(ISNUMBER(INDEX('register map'!H:H,C276)),3,""),IF(ISNUMBER(INDEX('register map'!G:G,C276)),4,""),IF(ISNUMBER(INDEX('register map'!F:F,C276)),5,""),IF(ISNUMBER(INDEX('register map'!E:E,C276)),6,""),IF(ISNUMBER(INDEX('register map'!D:D,C276)),7,""))</f>
        <v/>
      </c>
      <c r="J276" s="117" t="str">
        <f t="shared" si="51"/>
        <v/>
      </c>
      <c r="K276" s="117" t="str">
        <f t="shared" si="44"/>
        <v>00000000</v>
      </c>
      <c r="L276" s="117" t="str">
        <f t="shared" si="52"/>
        <v>00000000</v>
      </c>
      <c r="M276" s="117" t="str">
        <f t="shared" si="54"/>
        <v>00</v>
      </c>
      <c r="N276" s="117" t="str">
        <f>IF(ISBLANK(INDEX('register map'!M:M,'Logical Group Generator'!C276)),"No","Yes")</f>
        <v>No</v>
      </c>
      <c r="O276" s="117" t="str">
        <f>IF(NOT(ISBLANK(INDEX('register map'!N:N,'Logical Group Generator'!C276))),"Yes","")</f>
        <v/>
      </c>
      <c r="P276" s="117" t="str">
        <f t="shared" si="45"/>
        <v>No</v>
      </c>
      <c r="Q276" s="117" t="str">
        <f t="shared" si="46"/>
        <v>No</v>
      </c>
      <c r="R276" s="117" t="str">
        <f t="shared" si="47"/>
        <v>No</v>
      </c>
      <c r="S276" s="117" t="str">
        <f t="shared" si="48"/>
        <v/>
      </c>
      <c r="T276" s="117" t="b">
        <f t="shared" si="49"/>
        <v>1</v>
      </c>
      <c r="U276" s="117" t="b">
        <f t="shared" si="53"/>
        <v>1</v>
      </c>
      <c r="V276" s="157" t="b">
        <f>INDEX('register map'!P:P,C276)="yes"</f>
        <v>1</v>
      </c>
      <c r="W276" s="157" t="str">
        <f t="shared" si="50"/>
        <v>REGISTER</v>
      </c>
    </row>
    <row r="277" spans="2:23">
      <c r="B277" s="157" t="str">
        <f t="array" ref="B277">IF(ROWS($3:277)&lt;=COUNTA('register map'!$L$5:$L$902),INDEX('register map'!$L$5:$L$902,SMALL(IF('register map'!$L$5:$L$902&lt;&gt;"",ROW('register map'!$L$5:$L$902)-MIN(ROW('register map'!$L$5:$L$902))+1),ROWS($3:277))),"")</f>
        <v>OTP_RSVD_5E_AF_10</v>
      </c>
      <c r="C277" s="157">
        <f>IF(B277="PART_NUMBER",IF(COUNTIF($B$1:B276,"PART_NUMBER")=0,6,8),MATCH(B277,'register map'!L:L,0))</f>
        <v>290</v>
      </c>
      <c r="D277" s="117" t="str">
        <f>IF(ISBLANK(INDEX('register map'!C:C,'Logical Group Generator'!C277)),"No","Yes")</f>
        <v>No</v>
      </c>
      <c r="E277" s="117" t="str">
        <f>IF(ISBLANK(INDEX('register map'!A:A,C277)),IF(ISBLANK(INDEX('register map'!A:A,C277-1)),IF(ISBLANK(INDEX('register map'!A:A,C277-2)),IF(ISBLANK(INDEX('register map'!A:A,C277-3)),IF(ISBLANK(INDEX('register map'!A:A,C277-4)),IF(ISBLANK(INDEX('register map'!A:A,C277-5)),IF(ISBLANK(INDEX('register map'!A:A,C277-6)),IF(ISBLANK(INDEX('register map'!A:A,C277-7)),IF(ISBLANK(INDEX('register map'!A:A,C277-8)),"ERROR",INDEX('register map'!A:A,C277-8)),INDEX('register map'!A:A,C277-7)),INDEX('register map'!A:A,C277-6)),INDEX('register map'!A:A,C277-5)),INDEX('register map'!A:A,C277-4)),INDEX('register map'!A:A,C277-3)),INDEX('register map'!A:A,C277-2)),INDEX('register map'!A:A,C277-1)),INDEX('register map'!A:A,C277))</f>
        <v>0x5E</v>
      </c>
      <c r="F277" s="117" t="str">
        <f>IF(ISBLANK(INDEX('register map'!B:B,C277)),IF(ISBLANK(INDEX('register map'!B:B,C277-1)),IF(ISBLANK(INDEX('register map'!B:B,C277-2)),IF(ISBLANK(INDEX('register map'!B:B,C277-3)),IF(ISBLANK(INDEX('register map'!B:B,C277-4)),IF(ISBLANK(INDEX('register map'!B:B,C277-5)),IF(ISBLANK(INDEX('register map'!B:B,C277-6)),IF(ISBLANK(INDEX('register map'!B:B,C277-7)),IF(ISBLANK(INDEX('register map'!B:B,C277-8)),"ERROR",INDEX('register map'!B:B,C277-8)),INDEX('register map'!B:B,C277-7)),INDEX('register map'!B:B,C277-6)),INDEX('register map'!B:B,C277-5)),INDEX('register map'!B:B,C277-4)),INDEX('register map'!B:B,C277-3)),INDEX('register map'!B:B,C277-2)),INDEX('register map'!B:B,C277-1)),INDEX('register map'!B:B,C277))</f>
        <v>0xAF</v>
      </c>
      <c r="G277" s="117" t="str">
        <f>CONCATENATE(IF(ISNUMBER(INDEX('register map'!D:D,C277)),7,""),IF(ISNUMBER(INDEX('register map'!E:E,C277)),6,""),IF(ISNUMBER(INDEX('register map'!F:F,C277)),5,""),IF(ISNUMBER(INDEX('register map'!G:G,C277)),4,""),IF(ISNUMBER(INDEX('register map'!H:H,C277)),3,""),IF(ISNUMBER(INDEX('register map'!I:I,C277)),2,""),IF(ISNUMBER(INDEX('register map'!J:J,C277)),1,""),IF(ISNUMBER(INDEX('register map'!K:K,C277)),0,""))</f>
        <v>10</v>
      </c>
      <c r="H277" s="117" t="str">
        <f>RIGHT(INDEX('register map'!V:V,MATCH('Logical Group Generator'!B277,'register map'!L:L,0)),LEN(G277))</f>
        <v>00</v>
      </c>
      <c r="I277" s="117" t="str">
        <f>CONCATENATE(IF(ISNUMBER(INDEX('register map'!K:K,C277)),0,""),IF(ISNUMBER(INDEX('register map'!J:J,C277)),1,""),IF(ISNUMBER(INDEX('register map'!I:I,C277)),2,""),IF(ISNUMBER(INDEX('register map'!H:H,C277)),3,""),IF(ISNUMBER(INDEX('register map'!G:G,C277)),4,""),IF(ISNUMBER(INDEX('register map'!F:F,C277)),5,""),IF(ISNUMBER(INDEX('register map'!E:E,C277)),6,""),IF(ISNUMBER(INDEX('register map'!D:D,C277)),7,""))</f>
        <v>01</v>
      </c>
      <c r="J277" s="117" t="str">
        <f t="shared" si="51"/>
        <v>00</v>
      </c>
      <c r="K277" s="117" t="str">
        <f t="shared" si="44"/>
        <v/>
      </c>
      <c r="L277" s="117" t="str">
        <f t="shared" si="52"/>
        <v/>
      </c>
      <c r="M277" s="117" t="str">
        <f t="shared" si="54"/>
        <v/>
      </c>
      <c r="N277" s="117" t="str">
        <f>IF(ISBLANK(INDEX('register map'!M:M,'Logical Group Generator'!C277)),"No","Yes")</f>
        <v>No</v>
      </c>
      <c r="O277" s="117" t="str">
        <f>IF(NOT(ISBLANK(INDEX('register map'!N:N,'Logical Group Generator'!C277))),"Yes","")</f>
        <v/>
      </c>
      <c r="P277" s="117" t="str">
        <f t="shared" si="45"/>
        <v/>
      </c>
      <c r="Q277" s="117" t="str">
        <f t="shared" si="46"/>
        <v/>
      </c>
      <c r="R277" s="117" t="str">
        <f t="shared" si="47"/>
        <v/>
      </c>
      <c r="S277" s="117" t="str">
        <f t="shared" si="48"/>
        <v>No</v>
      </c>
      <c r="T277" s="117" t="str">
        <f t="shared" si="49"/>
        <v/>
      </c>
      <c r="U277" s="117" t="b">
        <f t="shared" si="53"/>
        <v>0</v>
      </c>
      <c r="V277" s="157" t="b">
        <f>INDEX('register map'!P:P,C277)="yes"</f>
        <v>1</v>
      </c>
      <c r="W277" s="157" t="str">
        <f t="shared" si="50"/>
        <v>FALSE</v>
      </c>
    </row>
    <row r="278" spans="2:23">
      <c r="B278" s="157" t="str">
        <f t="array" ref="B278">IF(ROWS($3:278)&lt;=COUNTA('register map'!$L$5:$L$902),INDEX('register map'!$L$5:$L$902,SMALL(IF('register map'!$L$5:$L$902&lt;&gt;"",ROW('register map'!$L$5:$L$902)-MIN(ROW('register map'!$L$5:$L$902))+1),ROWS($3:278))),"")</f>
        <v>OTP_RSVD_5E_AF_32</v>
      </c>
      <c r="C278" s="157">
        <f>IF(B278="PART_NUMBER",IF(COUNTIF($B$1:B277,"PART_NUMBER")=0,6,8),MATCH(B278,'register map'!L:L,0))</f>
        <v>291</v>
      </c>
      <c r="D278" s="117" t="str">
        <f>IF(ISBLANK(INDEX('register map'!C:C,'Logical Group Generator'!C278)),"No","Yes")</f>
        <v>No</v>
      </c>
      <c r="E278" s="117" t="str">
        <f>IF(ISBLANK(INDEX('register map'!A:A,C278)),IF(ISBLANK(INDEX('register map'!A:A,C278-1)),IF(ISBLANK(INDEX('register map'!A:A,C278-2)),IF(ISBLANK(INDEX('register map'!A:A,C278-3)),IF(ISBLANK(INDEX('register map'!A:A,C278-4)),IF(ISBLANK(INDEX('register map'!A:A,C278-5)),IF(ISBLANK(INDEX('register map'!A:A,C278-6)),IF(ISBLANK(INDEX('register map'!A:A,C278-7)),IF(ISBLANK(INDEX('register map'!A:A,C278-8)),"ERROR",INDEX('register map'!A:A,C278-8)),INDEX('register map'!A:A,C278-7)),INDEX('register map'!A:A,C278-6)),INDEX('register map'!A:A,C278-5)),INDEX('register map'!A:A,C278-4)),INDEX('register map'!A:A,C278-3)),INDEX('register map'!A:A,C278-2)),INDEX('register map'!A:A,C278-1)),INDEX('register map'!A:A,C278))</f>
        <v>0x5E</v>
      </c>
      <c r="F278" s="117" t="str">
        <f>IF(ISBLANK(INDEX('register map'!B:B,C278)),IF(ISBLANK(INDEX('register map'!B:B,C278-1)),IF(ISBLANK(INDEX('register map'!B:B,C278-2)),IF(ISBLANK(INDEX('register map'!B:B,C278-3)),IF(ISBLANK(INDEX('register map'!B:B,C278-4)),IF(ISBLANK(INDEX('register map'!B:B,C278-5)),IF(ISBLANK(INDEX('register map'!B:B,C278-6)),IF(ISBLANK(INDEX('register map'!B:B,C278-7)),IF(ISBLANK(INDEX('register map'!B:B,C278-8)),"ERROR",INDEX('register map'!B:B,C278-8)),INDEX('register map'!B:B,C278-7)),INDEX('register map'!B:B,C278-6)),INDEX('register map'!B:B,C278-5)),INDEX('register map'!B:B,C278-4)),INDEX('register map'!B:B,C278-3)),INDEX('register map'!B:B,C278-2)),INDEX('register map'!B:B,C278-1)),INDEX('register map'!B:B,C278))</f>
        <v>0xAF</v>
      </c>
      <c r="G278" s="117" t="str">
        <f>CONCATENATE(IF(ISNUMBER(INDEX('register map'!D:D,C278)),7,""),IF(ISNUMBER(INDEX('register map'!E:E,C278)),6,""),IF(ISNUMBER(INDEX('register map'!F:F,C278)),5,""),IF(ISNUMBER(INDEX('register map'!G:G,C278)),4,""),IF(ISNUMBER(INDEX('register map'!H:H,C278)),3,""),IF(ISNUMBER(INDEX('register map'!I:I,C278)),2,""),IF(ISNUMBER(INDEX('register map'!J:J,C278)),1,""),IF(ISNUMBER(INDEX('register map'!K:K,C278)),0,""))</f>
        <v>32</v>
      </c>
      <c r="H278" s="117" t="str">
        <f>RIGHT(INDEX('register map'!V:V,MATCH('Logical Group Generator'!B278,'register map'!L:L,0)),LEN(G278))</f>
        <v>00</v>
      </c>
      <c r="I278" s="117" t="str">
        <f>CONCATENATE(IF(ISNUMBER(INDEX('register map'!K:K,C278)),0,""),IF(ISNUMBER(INDEX('register map'!J:J,C278)),1,""),IF(ISNUMBER(INDEX('register map'!I:I,C278)),2,""),IF(ISNUMBER(INDEX('register map'!H:H,C278)),3,""),IF(ISNUMBER(INDEX('register map'!G:G,C278)),4,""),IF(ISNUMBER(INDEX('register map'!F:F,C278)),5,""),IF(ISNUMBER(INDEX('register map'!E:E,C278)),6,""),IF(ISNUMBER(INDEX('register map'!D:D,C278)),7,""))</f>
        <v>23</v>
      </c>
      <c r="J278" s="117" t="str">
        <f t="shared" si="51"/>
        <v>00</v>
      </c>
      <c r="K278" s="117" t="str">
        <f t="shared" si="44"/>
        <v/>
      </c>
      <c r="L278" s="117" t="str">
        <f t="shared" si="52"/>
        <v/>
      </c>
      <c r="M278" s="117" t="str">
        <f t="shared" si="54"/>
        <v/>
      </c>
      <c r="N278" s="117" t="str">
        <f>IF(ISBLANK(INDEX('register map'!M:M,'Logical Group Generator'!C278)),"No","Yes")</f>
        <v>No</v>
      </c>
      <c r="O278" s="117" t="str">
        <f>IF(NOT(ISBLANK(INDEX('register map'!N:N,'Logical Group Generator'!C278))),"Yes","")</f>
        <v/>
      </c>
      <c r="P278" s="117" t="str">
        <f t="shared" si="45"/>
        <v/>
      </c>
      <c r="Q278" s="117" t="str">
        <f t="shared" si="46"/>
        <v/>
      </c>
      <c r="R278" s="117" t="str">
        <f t="shared" si="47"/>
        <v/>
      </c>
      <c r="S278" s="117" t="str">
        <f t="shared" si="48"/>
        <v>No</v>
      </c>
      <c r="T278" s="117" t="str">
        <f t="shared" si="49"/>
        <v/>
      </c>
      <c r="U278" s="117" t="b">
        <f t="shared" si="53"/>
        <v>0</v>
      </c>
      <c r="V278" s="157" t="b">
        <f>INDEX('register map'!P:P,C278)="yes"</f>
        <v>1</v>
      </c>
      <c r="W278" s="157" t="str">
        <f t="shared" si="50"/>
        <v>FALSE</v>
      </c>
    </row>
    <row r="279" spans="2:23">
      <c r="B279" s="157" t="str">
        <f t="array" ref="B279">IF(ROWS($3:279)&lt;=COUNTA('register map'!$L$5:$L$902),INDEX('register map'!$L$5:$L$902,SMALL(IF('register map'!$L$5:$L$902&lt;&gt;"",ROW('register map'!$L$5:$L$902)-MIN(ROW('register map'!$L$5:$L$902))+1),ROWS($3:279))),"")</f>
        <v>OTP_RSVD_5E_AF_54</v>
      </c>
      <c r="C279" s="157">
        <f>IF(B279="PART_NUMBER",IF(COUNTIF($B$1:B278,"PART_NUMBER")=0,6,8),MATCH(B279,'register map'!L:L,0))</f>
        <v>292</v>
      </c>
      <c r="D279" s="117" t="str">
        <f>IF(ISBLANK(INDEX('register map'!C:C,'Logical Group Generator'!C279)),"No","Yes")</f>
        <v>No</v>
      </c>
      <c r="E279" s="117" t="str">
        <f>IF(ISBLANK(INDEX('register map'!A:A,C279)),IF(ISBLANK(INDEX('register map'!A:A,C279-1)),IF(ISBLANK(INDEX('register map'!A:A,C279-2)),IF(ISBLANK(INDEX('register map'!A:A,C279-3)),IF(ISBLANK(INDEX('register map'!A:A,C279-4)),IF(ISBLANK(INDEX('register map'!A:A,C279-5)),IF(ISBLANK(INDEX('register map'!A:A,C279-6)),IF(ISBLANK(INDEX('register map'!A:A,C279-7)),IF(ISBLANK(INDEX('register map'!A:A,C279-8)),"ERROR",INDEX('register map'!A:A,C279-8)),INDEX('register map'!A:A,C279-7)),INDEX('register map'!A:A,C279-6)),INDEX('register map'!A:A,C279-5)),INDEX('register map'!A:A,C279-4)),INDEX('register map'!A:A,C279-3)),INDEX('register map'!A:A,C279-2)),INDEX('register map'!A:A,C279-1)),INDEX('register map'!A:A,C279))</f>
        <v>0x5E</v>
      </c>
      <c r="F279" s="117" t="str">
        <f>IF(ISBLANK(INDEX('register map'!B:B,C279)),IF(ISBLANK(INDEX('register map'!B:B,C279-1)),IF(ISBLANK(INDEX('register map'!B:B,C279-2)),IF(ISBLANK(INDEX('register map'!B:B,C279-3)),IF(ISBLANK(INDEX('register map'!B:B,C279-4)),IF(ISBLANK(INDEX('register map'!B:B,C279-5)),IF(ISBLANK(INDEX('register map'!B:B,C279-6)),IF(ISBLANK(INDEX('register map'!B:B,C279-7)),IF(ISBLANK(INDEX('register map'!B:B,C279-8)),"ERROR",INDEX('register map'!B:B,C279-8)),INDEX('register map'!B:B,C279-7)),INDEX('register map'!B:B,C279-6)),INDEX('register map'!B:B,C279-5)),INDEX('register map'!B:B,C279-4)),INDEX('register map'!B:B,C279-3)),INDEX('register map'!B:B,C279-2)),INDEX('register map'!B:B,C279-1)),INDEX('register map'!B:B,C279))</f>
        <v>0xAF</v>
      </c>
      <c r="G279" s="117" t="str">
        <f>CONCATENATE(IF(ISNUMBER(INDEX('register map'!D:D,C279)),7,""),IF(ISNUMBER(INDEX('register map'!E:E,C279)),6,""),IF(ISNUMBER(INDEX('register map'!F:F,C279)),5,""),IF(ISNUMBER(INDEX('register map'!G:G,C279)),4,""),IF(ISNUMBER(INDEX('register map'!H:H,C279)),3,""),IF(ISNUMBER(INDEX('register map'!I:I,C279)),2,""),IF(ISNUMBER(INDEX('register map'!J:J,C279)),1,""),IF(ISNUMBER(INDEX('register map'!K:K,C279)),0,""))</f>
        <v>54</v>
      </c>
      <c r="H279" s="117" t="str">
        <f>RIGHT(INDEX('register map'!V:V,MATCH('Logical Group Generator'!B279,'register map'!L:L,0)),LEN(G279))</f>
        <v>00</v>
      </c>
      <c r="I279" s="117" t="str">
        <f>CONCATENATE(IF(ISNUMBER(INDEX('register map'!K:K,C279)),0,""),IF(ISNUMBER(INDEX('register map'!J:J,C279)),1,""),IF(ISNUMBER(INDEX('register map'!I:I,C279)),2,""),IF(ISNUMBER(INDEX('register map'!H:H,C279)),3,""),IF(ISNUMBER(INDEX('register map'!G:G,C279)),4,""),IF(ISNUMBER(INDEX('register map'!F:F,C279)),5,""),IF(ISNUMBER(INDEX('register map'!E:E,C279)),6,""),IF(ISNUMBER(INDEX('register map'!D:D,C279)),7,""))</f>
        <v>45</v>
      </c>
      <c r="J279" s="117" t="str">
        <f t="shared" si="51"/>
        <v>00</v>
      </c>
      <c r="K279" s="117" t="str">
        <f t="shared" si="44"/>
        <v/>
      </c>
      <c r="L279" s="117" t="str">
        <f t="shared" si="52"/>
        <v/>
      </c>
      <c r="M279" s="117" t="str">
        <f t="shared" si="54"/>
        <v/>
      </c>
      <c r="N279" s="117" t="str">
        <f>IF(ISBLANK(INDEX('register map'!M:M,'Logical Group Generator'!C279)),"No","Yes")</f>
        <v>No</v>
      </c>
      <c r="O279" s="117" t="str">
        <f>IF(NOT(ISBLANK(INDEX('register map'!N:N,'Logical Group Generator'!C279))),"Yes","")</f>
        <v/>
      </c>
      <c r="P279" s="117" t="str">
        <f t="shared" si="45"/>
        <v/>
      </c>
      <c r="Q279" s="117" t="str">
        <f t="shared" si="46"/>
        <v/>
      </c>
      <c r="R279" s="117" t="str">
        <f t="shared" si="47"/>
        <v/>
      </c>
      <c r="S279" s="117" t="str">
        <f t="shared" si="48"/>
        <v>No</v>
      </c>
      <c r="T279" s="117" t="str">
        <f t="shared" si="49"/>
        <v/>
      </c>
      <c r="U279" s="117" t="b">
        <f t="shared" si="53"/>
        <v>0</v>
      </c>
      <c r="V279" s="157" t="b">
        <f>INDEX('register map'!P:P,C279)="yes"</f>
        <v>1</v>
      </c>
      <c r="W279" s="157" t="str">
        <f t="shared" si="50"/>
        <v>FALSE</v>
      </c>
    </row>
    <row r="280" spans="2:23">
      <c r="B280" s="157" t="str">
        <f t="array" ref="B280">IF(ROWS($3:280)&lt;=COUNTA('register map'!$L$5:$L$902),INDEX('register map'!$L$5:$L$902,SMALL(IF('register map'!$L$5:$L$902&lt;&gt;"",ROW('register map'!$L$5:$L$902)-MIN(ROW('register map'!$L$5:$L$902))+1),ROWS($3:280))),"")</f>
        <v>SPARE_5E_AF_76</v>
      </c>
      <c r="C280" s="157">
        <f>IF(B280="PART_NUMBER",IF(COUNTIF($B$1:B279,"PART_NUMBER")=0,6,8),MATCH(B280,'register map'!L:L,0))</f>
        <v>293</v>
      </c>
      <c r="D280" s="117" t="str">
        <f>IF(ISBLANK(INDEX('register map'!C:C,'Logical Group Generator'!C280)),"No","Yes")</f>
        <v>No</v>
      </c>
      <c r="E280" s="117" t="str">
        <f>IF(ISBLANK(INDEX('register map'!A:A,C280)),IF(ISBLANK(INDEX('register map'!A:A,C280-1)),IF(ISBLANK(INDEX('register map'!A:A,C280-2)),IF(ISBLANK(INDEX('register map'!A:A,C280-3)),IF(ISBLANK(INDEX('register map'!A:A,C280-4)),IF(ISBLANK(INDEX('register map'!A:A,C280-5)),IF(ISBLANK(INDEX('register map'!A:A,C280-6)),IF(ISBLANK(INDEX('register map'!A:A,C280-7)),IF(ISBLANK(INDEX('register map'!A:A,C280-8)),"ERROR",INDEX('register map'!A:A,C280-8)),INDEX('register map'!A:A,C280-7)),INDEX('register map'!A:A,C280-6)),INDEX('register map'!A:A,C280-5)),INDEX('register map'!A:A,C280-4)),INDEX('register map'!A:A,C280-3)),INDEX('register map'!A:A,C280-2)),INDEX('register map'!A:A,C280-1)),INDEX('register map'!A:A,C280))</f>
        <v>0x5E</v>
      </c>
      <c r="F280" s="117" t="str">
        <f>IF(ISBLANK(INDEX('register map'!B:B,C280)),IF(ISBLANK(INDEX('register map'!B:B,C280-1)),IF(ISBLANK(INDEX('register map'!B:B,C280-2)),IF(ISBLANK(INDEX('register map'!B:B,C280-3)),IF(ISBLANK(INDEX('register map'!B:B,C280-4)),IF(ISBLANK(INDEX('register map'!B:B,C280-5)),IF(ISBLANK(INDEX('register map'!B:B,C280-6)),IF(ISBLANK(INDEX('register map'!B:B,C280-7)),IF(ISBLANK(INDEX('register map'!B:B,C280-8)),"ERROR",INDEX('register map'!B:B,C280-8)),INDEX('register map'!B:B,C280-7)),INDEX('register map'!B:B,C280-6)),INDEX('register map'!B:B,C280-5)),INDEX('register map'!B:B,C280-4)),INDEX('register map'!B:B,C280-3)),INDEX('register map'!B:B,C280-2)),INDEX('register map'!B:B,C280-1)),INDEX('register map'!B:B,C280))</f>
        <v>0xAF</v>
      </c>
      <c r="G280" s="117" t="str">
        <f>CONCATENATE(IF(ISNUMBER(INDEX('register map'!D:D,C280)),7,""),IF(ISNUMBER(INDEX('register map'!E:E,C280)),6,""),IF(ISNUMBER(INDEX('register map'!F:F,C280)),5,""),IF(ISNUMBER(INDEX('register map'!G:G,C280)),4,""),IF(ISNUMBER(INDEX('register map'!H:H,C280)),3,""),IF(ISNUMBER(INDEX('register map'!I:I,C280)),2,""),IF(ISNUMBER(INDEX('register map'!J:J,C280)),1,""),IF(ISNUMBER(INDEX('register map'!K:K,C280)),0,""))</f>
        <v>76</v>
      </c>
      <c r="H280" s="117" t="str">
        <f>RIGHT(INDEX('register map'!V:V,MATCH('Logical Group Generator'!B280,'register map'!L:L,0)),LEN(G280))</f>
        <v>00</v>
      </c>
      <c r="I280" s="117" t="str">
        <f>CONCATENATE(IF(ISNUMBER(INDEX('register map'!K:K,C280)),0,""),IF(ISNUMBER(INDEX('register map'!J:J,C280)),1,""),IF(ISNUMBER(INDEX('register map'!I:I,C280)),2,""),IF(ISNUMBER(INDEX('register map'!H:H,C280)),3,""),IF(ISNUMBER(INDEX('register map'!G:G,C280)),4,""),IF(ISNUMBER(INDEX('register map'!F:F,C280)),5,""),IF(ISNUMBER(INDEX('register map'!E:E,C280)),6,""),IF(ISNUMBER(INDEX('register map'!D:D,C280)),7,""))</f>
        <v>67</v>
      </c>
      <c r="J280" s="117" t="str">
        <f t="shared" si="51"/>
        <v>00</v>
      </c>
      <c r="K280" s="117" t="str">
        <f t="shared" si="44"/>
        <v/>
      </c>
      <c r="L280" s="117" t="str">
        <f t="shared" si="52"/>
        <v/>
      </c>
      <c r="M280" s="117" t="str">
        <f t="shared" si="54"/>
        <v/>
      </c>
      <c r="N280" s="117" t="str">
        <f>IF(ISBLANK(INDEX('register map'!M:M,'Logical Group Generator'!C280)),"No","Yes")</f>
        <v>No</v>
      </c>
      <c r="O280" s="117" t="str">
        <f>IF(NOT(ISBLANK(INDEX('register map'!N:N,'Logical Group Generator'!C280))),"Yes","")</f>
        <v/>
      </c>
      <c r="P280" s="117" t="str">
        <f t="shared" si="45"/>
        <v/>
      </c>
      <c r="Q280" s="117" t="str">
        <f t="shared" si="46"/>
        <v/>
      </c>
      <c r="R280" s="117" t="str">
        <f t="shared" si="47"/>
        <v/>
      </c>
      <c r="S280" s="117" t="str">
        <f t="shared" si="48"/>
        <v>No</v>
      </c>
      <c r="T280" s="117" t="str">
        <f t="shared" si="49"/>
        <v/>
      </c>
      <c r="U280" s="117" t="b">
        <f t="shared" si="53"/>
        <v>0</v>
      </c>
      <c r="V280" s="157" t="b">
        <f>INDEX('register map'!P:P,C280)="yes"</f>
        <v>1</v>
      </c>
      <c r="W280" s="157" t="str">
        <f t="shared" si="50"/>
        <v>FALSE</v>
      </c>
    </row>
    <row r="281" spans="2:23">
      <c r="B281" s="157" t="str">
        <f t="array" ref="B281">IF(ROWS($3:281)&lt;=COUNTA('register map'!$L$5:$L$902),INDEX('register map'!$L$5:$L$902,SMALL(IF('register map'!$L$5:$L$902&lt;&gt;"",ROW('register map'!$L$5:$L$902)-MIN(ROW('register map'!$L$5:$L$902))+1),ROWS($3:281))),"")</f>
        <v>OTP_CTRL_1</v>
      </c>
      <c r="C281" s="157">
        <f>IF(B281="PART_NUMBER",IF(COUNTIF($B$1:B280,"PART_NUMBER")=0,6,8),MATCH(B281,'register map'!L:L,0))</f>
        <v>375</v>
      </c>
      <c r="D281" s="117" t="str">
        <f>IF(ISBLANK(INDEX('register map'!C:C,'Logical Group Generator'!C281)),"No","Yes")</f>
        <v>Yes</v>
      </c>
      <c r="E281" s="117" t="str">
        <f>IF(ISBLANK(INDEX('register map'!A:A,C281)),IF(ISBLANK(INDEX('register map'!A:A,C281-1)),IF(ISBLANK(INDEX('register map'!A:A,C281-2)),IF(ISBLANK(INDEX('register map'!A:A,C281-3)),IF(ISBLANK(INDEX('register map'!A:A,C281-4)),IF(ISBLANK(INDEX('register map'!A:A,C281-5)),IF(ISBLANK(INDEX('register map'!A:A,C281-6)),IF(ISBLANK(INDEX('register map'!A:A,C281-7)),IF(ISBLANK(INDEX('register map'!A:A,C281-8)),"ERROR",INDEX('register map'!A:A,C281-8)),INDEX('register map'!A:A,C281-7)),INDEX('register map'!A:A,C281-6)),INDEX('register map'!A:A,C281-5)),INDEX('register map'!A:A,C281-4)),INDEX('register map'!A:A,C281-3)),INDEX('register map'!A:A,C281-2)),INDEX('register map'!A:A,C281-1)),INDEX('register map'!A:A,C281))</f>
        <v>0x38</v>
      </c>
      <c r="F281" s="117" t="str">
        <f>IF(ISBLANK(INDEX('register map'!B:B,C281)),IF(ISBLANK(INDEX('register map'!B:B,C281-1)),IF(ISBLANK(INDEX('register map'!B:B,C281-2)),IF(ISBLANK(INDEX('register map'!B:B,C281-3)),IF(ISBLANK(INDEX('register map'!B:B,C281-4)),IF(ISBLANK(INDEX('register map'!B:B,C281-5)),IF(ISBLANK(INDEX('register map'!B:B,C281-6)),IF(ISBLANK(INDEX('register map'!B:B,C281-7)),IF(ISBLANK(INDEX('register map'!B:B,C281-8)),"ERROR",INDEX('register map'!B:B,C281-8)),INDEX('register map'!B:B,C281-7)),INDEX('register map'!B:B,C281-6)),INDEX('register map'!B:B,C281-5)),INDEX('register map'!B:B,C281-4)),INDEX('register map'!B:B,C281-3)),INDEX('register map'!B:B,C281-2)),INDEX('register map'!B:B,C281-1)),INDEX('register map'!B:B,C281))</f>
        <v>0x02</v>
      </c>
      <c r="G281" s="117" t="str">
        <f>CONCATENATE(IF(ISNUMBER(INDEX('register map'!D:D,C281)),7,""),IF(ISNUMBER(INDEX('register map'!E:E,C281)),6,""),IF(ISNUMBER(INDEX('register map'!F:F,C281)),5,""),IF(ISNUMBER(INDEX('register map'!G:G,C281)),4,""),IF(ISNUMBER(INDEX('register map'!H:H,C281)),3,""),IF(ISNUMBER(INDEX('register map'!I:I,C281)),2,""),IF(ISNUMBER(INDEX('register map'!J:J,C281)),1,""),IF(ISNUMBER(INDEX('register map'!K:K,C281)),0,""))</f>
        <v/>
      </c>
      <c r="H281" s="117" t="str">
        <f>RIGHT(INDEX('register map'!V:V,MATCH('Logical Group Generator'!B281,'register map'!L:L,0)),LEN(G281))</f>
        <v/>
      </c>
      <c r="I281" s="117" t="str">
        <f>CONCATENATE(IF(ISNUMBER(INDEX('register map'!K:K,C281)),0,""),IF(ISNUMBER(INDEX('register map'!J:J,C281)),1,""),IF(ISNUMBER(INDEX('register map'!I:I,C281)),2,""),IF(ISNUMBER(INDEX('register map'!H:H,C281)),3,""),IF(ISNUMBER(INDEX('register map'!G:G,C281)),4,""),IF(ISNUMBER(INDEX('register map'!F:F,C281)),5,""),IF(ISNUMBER(INDEX('register map'!E:E,C281)),6,""),IF(ISNUMBER(INDEX('register map'!D:D,C281)),7,""))</f>
        <v/>
      </c>
      <c r="J281" s="117" t="str">
        <f t="shared" si="51"/>
        <v/>
      </c>
      <c r="K281" s="117" t="str">
        <f t="shared" si="44"/>
        <v>00000100</v>
      </c>
      <c r="L281" s="117" t="str">
        <f t="shared" si="52"/>
        <v>00100000</v>
      </c>
      <c r="M281" s="117" t="str">
        <f t="shared" si="54"/>
        <v>20</v>
      </c>
      <c r="N281" s="117" t="str">
        <f>IF(ISBLANK(INDEX('register map'!M:M,'Logical Group Generator'!C281)),"No","Yes")</f>
        <v>No</v>
      </c>
      <c r="O281" s="117" t="str">
        <f>IF(NOT(ISBLANK(INDEX('register map'!N:N,'Logical Group Generator'!C281))),"Yes","")</f>
        <v/>
      </c>
      <c r="P281" s="117" t="str">
        <f t="shared" si="45"/>
        <v>No</v>
      </c>
      <c r="Q281" s="117" t="str">
        <f t="shared" si="46"/>
        <v>No</v>
      </c>
      <c r="R281" s="117" t="str">
        <f t="shared" si="47"/>
        <v>No</v>
      </c>
      <c r="S281" s="117" t="str">
        <f t="shared" si="48"/>
        <v/>
      </c>
      <c r="T281" s="117" t="b">
        <f t="shared" si="49"/>
        <v>1</v>
      </c>
      <c r="U281" s="117" t="b">
        <f t="shared" si="53"/>
        <v>1</v>
      </c>
      <c r="V281" s="157" t="b">
        <f>INDEX('register map'!P:P,C281)="yes"</f>
        <v>0</v>
      </c>
      <c r="W281" s="157" t="str">
        <f t="shared" si="50"/>
        <v>FALSE</v>
      </c>
    </row>
    <row r="282" spans="2:23">
      <c r="B282" s="157" t="str">
        <f t="array" ref="B282">IF(ROWS($3:282)&lt;=COUNTA('register map'!$L$5:$L$902),INDEX('register map'!$L$5:$L$902,SMALL(IF('register map'!$L$5:$L$902&lt;&gt;"",ROW('register map'!$L$5:$L$902)-MIN(ROW('register map'!$L$5:$L$902))+1),ROWS($3:282))),"")</f>
        <v>OTP_RSVD_38_02_0</v>
      </c>
      <c r="C282" s="157">
        <f>IF(B282="PART_NUMBER",IF(COUNTIF($B$1:B281,"PART_NUMBER")=0,6,8),MATCH(B282,'register map'!L:L,0))</f>
        <v>376</v>
      </c>
      <c r="D282" s="117" t="str">
        <f>IF(ISBLANK(INDEX('register map'!C:C,'Logical Group Generator'!C282)),"No","Yes")</f>
        <v>No</v>
      </c>
      <c r="E282" s="117" t="str">
        <f>IF(ISBLANK(INDEX('register map'!A:A,C282)),IF(ISBLANK(INDEX('register map'!A:A,C282-1)),IF(ISBLANK(INDEX('register map'!A:A,C282-2)),IF(ISBLANK(INDEX('register map'!A:A,C282-3)),IF(ISBLANK(INDEX('register map'!A:A,C282-4)),IF(ISBLANK(INDEX('register map'!A:A,C282-5)),IF(ISBLANK(INDEX('register map'!A:A,C282-6)),IF(ISBLANK(INDEX('register map'!A:A,C282-7)),IF(ISBLANK(INDEX('register map'!A:A,C282-8)),"ERROR",INDEX('register map'!A:A,C282-8)),INDEX('register map'!A:A,C282-7)),INDEX('register map'!A:A,C282-6)),INDEX('register map'!A:A,C282-5)),INDEX('register map'!A:A,C282-4)),INDEX('register map'!A:A,C282-3)),INDEX('register map'!A:A,C282-2)),INDEX('register map'!A:A,C282-1)),INDEX('register map'!A:A,C282))</f>
        <v>0x38</v>
      </c>
      <c r="F282" s="117" t="str">
        <f>IF(ISBLANK(INDEX('register map'!B:B,C282)),IF(ISBLANK(INDEX('register map'!B:B,C282-1)),IF(ISBLANK(INDEX('register map'!B:B,C282-2)),IF(ISBLANK(INDEX('register map'!B:B,C282-3)),IF(ISBLANK(INDEX('register map'!B:B,C282-4)),IF(ISBLANK(INDEX('register map'!B:B,C282-5)),IF(ISBLANK(INDEX('register map'!B:B,C282-6)),IF(ISBLANK(INDEX('register map'!B:B,C282-7)),IF(ISBLANK(INDEX('register map'!B:B,C282-8)),"ERROR",INDEX('register map'!B:B,C282-8)),INDEX('register map'!B:B,C282-7)),INDEX('register map'!B:B,C282-6)),INDEX('register map'!B:B,C282-5)),INDEX('register map'!B:B,C282-4)),INDEX('register map'!B:B,C282-3)),INDEX('register map'!B:B,C282-2)),INDEX('register map'!B:B,C282-1)),INDEX('register map'!B:B,C282))</f>
        <v>0x02</v>
      </c>
      <c r="G282" s="117" t="str">
        <f>CONCATENATE(IF(ISNUMBER(INDEX('register map'!D:D,C282)),7,""),IF(ISNUMBER(INDEX('register map'!E:E,C282)),6,""),IF(ISNUMBER(INDEX('register map'!F:F,C282)),5,""),IF(ISNUMBER(INDEX('register map'!G:G,C282)),4,""),IF(ISNUMBER(INDEX('register map'!H:H,C282)),3,""),IF(ISNUMBER(INDEX('register map'!I:I,C282)),2,""),IF(ISNUMBER(INDEX('register map'!J:J,C282)),1,""),IF(ISNUMBER(INDEX('register map'!K:K,C282)),0,""))</f>
        <v>0</v>
      </c>
      <c r="H282" s="117" t="str">
        <f>RIGHT(INDEX('register map'!V:V,MATCH('Logical Group Generator'!B282,'register map'!L:L,0)),LEN(G282))</f>
        <v>0</v>
      </c>
      <c r="I282" s="117" t="str">
        <f>CONCATENATE(IF(ISNUMBER(INDEX('register map'!K:K,C282)),0,""),IF(ISNUMBER(INDEX('register map'!J:J,C282)),1,""),IF(ISNUMBER(INDEX('register map'!I:I,C282)),2,""),IF(ISNUMBER(INDEX('register map'!H:H,C282)),3,""),IF(ISNUMBER(INDEX('register map'!G:G,C282)),4,""),IF(ISNUMBER(INDEX('register map'!F:F,C282)),5,""),IF(ISNUMBER(INDEX('register map'!E:E,C282)),6,""),IF(ISNUMBER(INDEX('register map'!D:D,C282)),7,""))</f>
        <v>0</v>
      </c>
      <c r="J282" s="117" t="str">
        <f t="shared" si="51"/>
        <v>0</v>
      </c>
      <c r="K282" s="117" t="str">
        <f t="shared" si="44"/>
        <v/>
      </c>
      <c r="L282" s="117" t="str">
        <f t="shared" si="52"/>
        <v/>
      </c>
      <c r="M282" s="117" t="str">
        <f t="shared" si="54"/>
        <v/>
      </c>
      <c r="N282" s="117" t="str">
        <f>IF(ISBLANK(INDEX('register map'!M:M,'Logical Group Generator'!C282)),"No","Yes")</f>
        <v>No</v>
      </c>
      <c r="O282" s="117" t="str">
        <f>IF(NOT(ISBLANK(INDEX('register map'!N:N,'Logical Group Generator'!C282))),"Yes","")</f>
        <v/>
      </c>
      <c r="P282" s="117" t="str">
        <f t="shared" si="45"/>
        <v/>
      </c>
      <c r="Q282" s="117" t="str">
        <f t="shared" si="46"/>
        <v/>
      </c>
      <c r="R282" s="117" t="str">
        <f t="shared" si="47"/>
        <v/>
      </c>
      <c r="S282" s="117" t="str">
        <f t="shared" si="48"/>
        <v>No</v>
      </c>
      <c r="T282" s="117" t="str">
        <f t="shared" si="49"/>
        <v/>
      </c>
      <c r="U282" s="117" t="b">
        <f t="shared" si="53"/>
        <v>0</v>
      </c>
      <c r="V282" s="157" t="b">
        <f>INDEX('register map'!P:P,C282)="yes"</f>
        <v>0</v>
      </c>
      <c r="W282" s="157" t="str">
        <f t="shared" si="50"/>
        <v>FALSE</v>
      </c>
    </row>
    <row r="283" spans="2:23">
      <c r="B283" s="157" t="str">
        <f t="array" ref="B283">IF(ROWS($3:283)&lt;=COUNTA('register map'!$L$5:$L$902),INDEX('register map'!$L$5:$L$902,SMALL(IF('register map'!$L$5:$L$902&lt;&gt;"",ROW('register map'!$L$5:$L$902)-MIN(ROW('register map'!$L$5:$L$902))+1),ROWS($3:283))),"")</f>
        <v>PROGRAM_OTP</v>
      </c>
      <c r="C283" s="157">
        <f>IF(B283="PART_NUMBER",IF(COUNTIF($B$1:B282,"PART_NUMBER")=0,6,8),MATCH(B283,'register map'!L:L,0))</f>
        <v>377</v>
      </c>
      <c r="D283" s="117" t="str">
        <f>IF(ISBLANK(INDEX('register map'!C:C,'Logical Group Generator'!C283)),"No","Yes")</f>
        <v>No</v>
      </c>
      <c r="E283" s="117" t="str">
        <f>IF(ISBLANK(INDEX('register map'!A:A,C283)),IF(ISBLANK(INDEX('register map'!A:A,C283-1)),IF(ISBLANK(INDEX('register map'!A:A,C283-2)),IF(ISBLANK(INDEX('register map'!A:A,C283-3)),IF(ISBLANK(INDEX('register map'!A:A,C283-4)),IF(ISBLANK(INDEX('register map'!A:A,C283-5)),IF(ISBLANK(INDEX('register map'!A:A,C283-6)),IF(ISBLANK(INDEX('register map'!A:A,C283-7)),IF(ISBLANK(INDEX('register map'!A:A,C283-8)),"ERROR",INDEX('register map'!A:A,C283-8)),INDEX('register map'!A:A,C283-7)),INDEX('register map'!A:A,C283-6)),INDEX('register map'!A:A,C283-5)),INDEX('register map'!A:A,C283-4)),INDEX('register map'!A:A,C283-3)),INDEX('register map'!A:A,C283-2)),INDEX('register map'!A:A,C283-1)),INDEX('register map'!A:A,C283))</f>
        <v>0x38</v>
      </c>
      <c r="F283" s="117" t="str">
        <f>IF(ISBLANK(INDEX('register map'!B:B,C283)),IF(ISBLANK(INDEX('register map'!B:B,C283-1)),IF(ISBLANK(INDEX('register map'!B:B,C283-2)),IF(ISBLANK(INDEX('register map'!B:B,C283-3)),IF(ISBLANK(INDEX('register map'!B:B,C283-4)),IF(ISBLANK(INDEX('register map'!B:B,C283-5)),IF(ISBLANK(INDEX('register map'!B:B,C283-6)),IF(ISBLANK(INDEX('register map'!B:B,C283-7)),IF(ISBLANK(INDEX('register map'!B:B,C283-8)),"ERROR",INDEX('register map'!B:B,C283-8)),INDEX('register map'!B:B,C283-7)),INDEX('register map'!B:B,C283-6)),INDEX('register map'!B:B,C283-5)),INDEX('register map'!B:B,C283-4)),INDEX('register map'!B:B,C283-3)),INDEX('register map'!B:B,C283-2)),INDEX('register map'!B:B,C283-1)),INDEX('register map'!B:B,C283))</f>
        <v>0x02</v>
      </c>
      <c r="G283" s="117" t="str">
        <f>CONCATENATE(IF(ISNUMBER(INDEX('register map'!D:D,C283)),7,""),IF(ISNUMBER(INDEX('register map'!E:E,C283)),6,""),IF(ISNUMBER(INDEX('register map'!F:F,C283)),5,""),IF(ISNUMBER(INDEX('register map'!G:G,C283)),4,""),IF(ISNUMBER(INDEX('register map'!H:H,C283)),3,""),IF(ISNUMBER(INDEX('register map'!I:I,C283)),2,""),IF(ISNUMBER(INDEX('register map'!J:J,C283)),1,""),IF(ISNUMBER(INDEX('register map'!K:K,C283)),0,""))</f>
        <v>1</v>
      </c>
      <c r="H283" s="117" t="str">
        <f>RIGHT(INDEX('register map'!V:V,MATCH('Logical Group Generator'!B283,'register map'!L:L,0)),LEN(G283))</f>
        <v>0</v>
      </c>
      <c r="I283" s="117" t="str">
        <f>CONCATENATE(IF(ISNUMBER(INDEX('register map'!K:K,C283)),0,""),IF(ISNUMBER(INDEX('register map'!J:J,C283)),1,""),IF(ISNUMBER(INDEX('register map'!I:I,C283)),2,""),IF(ISNUMBER(INDEX('register map'!H:H,C283)),3,""),IF(ISNUMBER(INDEX('register map'!G:G,C283)),4,""),IF(ISNUMBER(INDEX('register map'!F:F,C283)),5,""),IF(ISNUMBER(INDEX('register map'!E:E,C283)),6,""),IF(ISNUMBER(INDEX('register map'!D:D,C283)),7,""))</f>
        <v>1</v>
      </c>
      <c r="J283" s="117" t="str">
        <f t="shared" si="51"/>
        <v>0</v>
      </c>
      <c r="K283" s="117" t="str">
        <f t="shared" si="44"/>
        <v/>
      </c>
      <c r="L283" s="117" t="str">
        <f t="shared" si="52"/>
        <v/>
      </c>
      <c r="M283" s="117" t="str">
        <f t="shared" si="54"/>
        <v/>
      </c>
      <c r="N283" s="117" t="str">
        <f>IF(ISBLANK(INDEX('register map'!M:M,'Logical Group Generator'!C283)),"No","Yes")</f>
        <v>No</v>
      </c>
      <c r="O283" s="117" t="str">
        <f>IF(NOT(ISBLANK(INDEX('register map'!N:N,'Logical Group Generator'!C283))),"Yes","")</f>
        <v/>
      </c>
      <c r="P283" s="117" t="str">
        <f t="shared" si="45"/>
        <v/>
      </c>
      <c r="Q283" s="117" t="str">
        <f t="shared" si="46"/>
        <v/>
      </c>
      <c r="R283" s="117" t="str">
        <f t="shared" si="47"/>
        <v/>
      </c>
      <c r="S283" s="117" t="str">
        <f t="shared" si="48"/>
        <v>No</v>
      </c>
      <c r="T283" s="117" t="str">
        <f t="shared" si="49"/>
        <v/>
      </c>
      <c r="U283" s="117" t="b">
        <f t="shared" si="53"/>
        <v>0</v>
      </c>
      <c r="V283" s="157" t="b">
        <f>INDEX('register map'!P:P,C283)="yes"</f>
        <v>0</v>
      </c>
      <c r="W283" s="157" t="str">
        <f t="shared" si="50"/>
        <v>FALSE</v>
      </c>
    </row>
    <row r="284" spans="2:23">
      <c r="B284" s="157" t="str">
        <f t="array" ref="B284">IF(ROWS($3:284)&lt;=COUNTA('register map'!$L$5:$L$902),INDEX('register map'!$L$5:$L$902,SMALL(IF('register map'!$L$5:$L$902&lt;&gt;"",ROW('register map'!$L$5:$L$902)-MIN(ROW('register map'!$L$5:$L$902))+1),ROWS($3:284))),"")</f>
        <v>OTP_RSVD_38_02_432</v>
      </c>
      <c r="C284" s="157">
        <f>IF(B284="PART_NUMBER",IF(COUNTIF($B$1:B283,"PART_NUMBER")=0,6,8),MATCH(B284,'register map'!L:L,0))</f>
        <v>378</v>
      </c>
      <c r="D284" s="117" t="str">
        <f>IF(ISBLANK(INDEX('register map'!C:C,'Logical Group Generator'!C284)),"No","Yes")</f>
        <v>No</v>
      </c>
      <c r="E284" s="117" t="str">
        <f>IF(ISBLANK(INDEX('register map'!A:A,C284)),IF(ISBLANK(INDEX('register map'!A:A,C284-1)),IF(ISBLANK(INDEX('register map'!A:A,C284-2)),IF(ISBLANK(INDEX('register map'!A:A,C284-3)),IF(ISBLANK(INDEX('register map'!A:A,C284-4)),IF(ISBLANK(INDEX('register map'!A:A,C284-5)),IF(ISBLANK(INDEX('register map'!A:A,C284-6)),IF(ISBLANK(INDEX('register map'!A:A,C284-7)),IF(ISBLANK(INDEX('register map'!A:A,C284-8)),"ERROR",INDEX('register map'!A:A,C284-8)),INDEX('register map'!A:A,C284-7)),INDEX('register map'!A:A,C284-6)),INDEX('register map'!A:A,C284-5)),INDEX('register map'!A:A,C284-4)),INDEX('register map'!A:A,C284-3)),INDEX('register map'!A:A,C284-2)),INDEX('register map'!A:A,C284-1)),INDEX('register map'!A:A,C284))</f>
        <v>0x38</v>
      </c>
      <c r="F284" s="117" t="str">
        <f>IF(ISBLANK(INDEX('register map'!B:B,C284)),IF(ISBLANK(INDEX('register map'!B:B,C284-1)),IF(ISBLANK(INDEX('register map'!B:B,C284-2)),IF(ISBLANK(INDEX('register map'!B:B,C284-3)),IF(ISBLANK(INDEX('register map'!B:B,C284-4)),IF(ISBLANK(INDEX('register map'!B:B,C284-5)),IF(ISBLANK(INDEX('register map'!B:B,C284-6)),IF(ISBLANK(INDEX('register map'!B:B,C284-7)),IF(ISBLANK(INDEX('register map'!B:B,C284-8)),"ERROR",INDEX('register map'!B:B,C284-8)),INDEX('register map'!B:B,C284-7)),INDEX('register map'!B:B,C284-6)),INDEX('register map'!B:B,C284-5)),INDEX('register map'!B:B,C284-4)),INDEX('register map'!B:B,C284-3)),INDEX('register map'!B:B,C284-2)),INDEX('register map'!B:B,C284-1)),INDEX('register map'!B:B,C284))</f>
        <v>0x02</v>
      </c>
      <c r="G284" s="117" t="str">
        <f>CONCATENATE(IF(ISNUMBER(INDEX('register map'!D:D,C284)),7,""),IF(ISNUMBER(INDEX('register map'!E:E,C284)),6,""),IF(ISNUMBER(INDEX('register map'!F:F,C284)),5,""),IF(ISNUMBER(INDEX('register map'!G:G,C284)),4,""),IF(ISNUMBER(INDEX('register map'!H:H,C284)),3,""),IF(ISNUMBER(INDEX('register map'!I:I,C284)),2,""),IF(ISNUMBER(INDEX('register map'!J:J,C284)),1,""),IF(ISNUMBER(INDEX('register map'!K:K,C284)),0,""))</f>
        <v>432</v>
      </c>
      <c r="H284" s="117" t="str">
        <f>RIGHT(INDEX('register map'!V:V,MATCH('Logical Group Generator'!B284,'register map'!L:L,0)),LEN(G284))</f>
        <v>000</v>
      </c>
      <c r="I284" s="117" t="str">
        <f>CONCATENATE(IF(ISNUMBER(INDEX('register map'!K:K,C284)),0,""),IF(ISNUMBER(INDEX('register map'!J:J,C284)),1,""),IF(ISNUMBER(INDEX('register map'!I:I,C284)),2,""),IF(ISNUMBER(INDEX('register map'!H:H,C284)),3,""),IF(ISNUMBER(INDEX('register map'!G:G,C284)),4,""),IF(ISNUMBER(INDEX('register map'!F:F,C284)),5,""),IF(ISNUMBER(INDEX('register map'!E:E,C284)),6,""),IF(ISNUMBER(INDEX('register map'!D:D,C284)),7,""))</f>
        <v>234</v>
      </c>
      <c r="J284" s="117" t="str">
        <f t="shared" si="51"/>
        <v>000</v>
      </c>
      <c r="K284" s="117" t="str">
        <f t="shared" si="44"/>
        <v/>
      </c>
      <c r="L284" s="117" t="str">
        <f t="shared" si="52"/>
        <v/>
      </c>
      <c r="M284" s="117" t="str">
        <f t="shared" si="54"/>
        <v/>
      </c>
      <c r="N284" s="117" t="str">
        <f>IF(ISBLANK(INDEX('register map'!M:M,'Logical Group Generator'!C284)),"No","Yes")</f>
        <v>No</v>
      </c>
      <c r="O284" s="117" t="str">
        <f>IF(NOT(ISBLANK(INDEX('register map'!N:N,'Logical Group Generator'!C284))),"Yes","")</f>
        <v/>
      </c>
      <c r="P284" s="117" t="str">
        <f t="shared" si="45"/>
        <v/>
      </c>
      <c r="Q284" s="117" t="str">
        <f t="shared" si="46"/>
        <v/>
      </c>
      <c r="R284" s="117" t="str">
        <f t="shared" si="47"/>
        <v/>
      </c>
      <c r="S284" s="117" t="str">
        <f t="shared" si="48"/>
        <v>No</v>
      </c>
      <c r="T284" s="117" t="str">
        <f t="shared" si="49"/>
        <v/>
      </c>
      <c r="U284" s="117" t="b">
        <f t="shared" si="53"/>
        <v>0</v>
      </c>
      <c r="V284" s="157" t="b">
        <f>INDEX('register map'!P:P,C284)="yes"</f>
        <v>0</v>
      </c>
      <c r="W284" s="157" t="str">
        <f t="shared" si="50"/>
        <v>FALSE</v>
      </c>
    </row>
    <row r="285" spans="2:23">
      <c r="B285" s="157" t="str">
        <f t="array" ref="B285">IF(ROWS($3:285)&lt;=COUNTA('register map'!$L$5:$L$902),INDEX('register map'!$L$5:$L$902,SMALL(IF('register map'!$L$5:$L$902&lt;&gt;"",ROW('register map'!$L$5:$L$902)-MIN(ROW('register map'!$L$5:$L$902))+1),ROWS($3:285))),"")</f>
        <v>OTP_RSVD_38_02_65</v>
      </c>
      <c r="C285" s="157">
        <f>IF(B285="PART_NUMBER",IF(COUNTIF($B$1:B284,"PART_NUMBER")=0,6,8),MATCH(B285,'register map'!L:L,0))</f>
        <v>379</v>
      </c>
      <c r="D285" s="117" t="str">
        <f>IF(ISBLANK(INDEX('register map'!C:C,'Logical Group Generator'!C285)),"No","Yes")</f>
        <v>No</v>
      </c>
      <c r="E285" s="117" t="str">
        <f>IF(ISBLANK(INDEX('register map'!A:A,C285)),IF(ISBLANK(INDEX('register map'!A:A,C285-1)),IF(ISBLANK(INDEX('register map'!A:A,C285-2)),IF(ISBLANK(INDEX('register map'!A:A,C285-3)),IF(ISBLANK(INDEX('register map'!A:A,C285-4)),IF(ISBLANK(INDEX('register map'!A:A,C285-5)),IF(ISBLANK(INDEX('register map'!A:A,C285-6)),IF(ISBLANK(INDEX('register map'!A:A,C285-7)),IF(ISBLANK(INDEX('register map'!A:A,C285-8)),"ERROR",INDEX('register map'!A:A,C285-8)),INDEX('register map'!A:A,C285-7)),INDEX('register map'!A:A,C285-6)),INDEX('register map'!A:A,C285-5)),INDEX('register map'!A:A,C285-4)),INDEX('register map'!A:A,C285-3)),INDEX('register map'!A:A,C285-2)),INDEX('register map'!A:A,C285-1)),INDEX('register map'!A:A,C285))</f>
        <v>0x38</v>
      </c>
      <c r="F285" s="117" t="str">
        <f>IF(ISBLANK(INDEX('register map'!B:B,C285)),IF(ISBLANK(INDEX('register map'!B:B,C285-1)),IF(ISBLANK(INDEX('register map'!B:B,C285-2)),IF(ISBLANK(INDEX('register map'!B:B,C285-3)),IF(ISBLANK(INDEX('register map'!B:B,C285-4)),IF(ISBLANK(INDEX('register map'!B:B,C285-5)),IF(ISBLANK(INDEX('register map'!B:B,C285-6)),IF(ISBLANK(INDEX('register map'!B:B,C285-7)),IF(ISBLANK(INDEX('register map'!B:B,C285-8)),"ERROR",INDEX('register map'!B:B,C285-8)),INDEX('register map'!B:B,C285-7)),INDEX('register map'!B:B,C285-6)),INDEX('register map'!B:B,C285-5)),INDEX('register map'!B:B,C285-4)),INDEX('register map'!B:B,C285-3)),INDEX('register map'!B:B,C285-2)),INDEX('register map'!B:B,C285-1)),INDEX('register map'!B:B,C285))</f>
        <v>0x02</v>
      </c>
      <c r="G285" s="117" t="str">
        <f>CONCATENATE(IF(ISNUMBER(INDEX('register map'!D:D,C285)),7,""),IF(ISNUMBER(INDEX('register map'!E:E,C285)),6,""),IF(ISNUMBER(INDEX('register map'!F:F,C285)),5,""),IF(ISNUMBER(INDEX('register map'!G:G,C285)),4,""),IF(ISNUMBER(INDEX('register map'!H:H,C285)),3,""),IF(ISNUMBER(INDEX('register map'!I:I,C285)),2,""),IF(ISNUMBER(INDEX('register map'!J:J,C285)),1,""),IF(ISNUMBER(INDEX('register map'!K:K,C285)),0,""))</f>
        <v>65</v>
      </c>
      <c r="H285" s="117" t="str">
        <f>RIGHT(INDEX('register map'!V:V,MATCH('Logical Group Generator'!B285,'register map'!L:L,0)),LEN(G285))</f>
        <v>01</v>
      </c>
      <c r="I285" s="117" t="str">
        <f>CONCATENATE(IF(ISNUMBER(INDEX('register map'!K:K,C285)),0,""),IF(ISNUMBER(INDEX('register map'!J:J,C285)),1,""),IF(ISNUMBER(INDEX('register map'!I:I,C285)),2,""),IF(ISNUMBER(INDEX('register map'!H:H,C285)),3,""),IF(ISNUMBER(INDEX('register map'!G:G,C285)),4,""),IF(ISNUMBER(INDEX('register map'!F:F,C285)),5,""),IF(ISNUMBER(INDEX('register map'!E:E,C285)),6,""),IF(ISNUMBER(INDEX('register map'!D:D,C285)),7,""))</f>
        <v>56</v>
      </c>
      <c r="J285" s="117" t="str">
        <f t="shared" si="51"/>
        <v>10</v>
      </c>
      <c r="K285" s="117" t="str">
        <f t="shared" si="44"/>
        <v/>
      </c>
      <c r="L285" s="117" t="str">
        <f t="shared" si="52"/>
        <v/>
      </c>
      <c r="M285" s="117" t="str">
        <f t="shared" si="54"/>
        <v/>
      </c>
      <c r="N285" s="117" t="str">
        <f>IF(ISBLANK(INDEX('register map'!M:M,'Logical Group Generator'!C285)),"No","Yes")</f>
        <v>No</v>
      </c>
      <c r="O285" s="117" t="str">
        <f>IF(NOT(ISBLANK(INDEX('register map'!N:N,'Logical Group Generator'!C285))),"Yes","")</f>
        <v/>
      </c>
      <c r="P285" s="117" t="str">
        <f t="shared" si="45"/>
        <v/>
      </c>
      <c r="Q285" s="117" t="str">
        <f t="shared" si="46"/>
        <v/>
      </c>
      <c r="R285" s="117" t="str">
        <f t="shared" si="47"/>
        <v/>
      </c>
      <c r="S285" s="117" t="str">
        <f t="shared" si="48"/>
        <v>No</v>
      </c>
      <c r="T285" s="117" t="str">
        <f t="shared" si="49"/>
        <v/>
      </c>
      <c r="U285" s="117" t="b">
        <f t="shared" si="53"/>
        <v>0</v>
      </c>
      <c r="V285" s="157" t="b">
        <f>INDEX('register map'!P:P,C285)="yes"</f>
        <v>0</v>
      </c>
      <c r="W285" s="157" t="str">
        <f t="shared" si="50"/>
        <v>FALSE</v>
      </c>
    </row>
    <row r="286" spans="2:23">
      <c r="B286" s="157" t="str">
        <f t="array" ref="B286">IF(ROWS($3:286)&lt;=COUNTA('register map'!$L$5:$L$902),INDEX('register map'!$L$5:$L$902,SMALL(IF('register map'!$L$5:$L$902&lt;&gt;"",ROW('register map'!$L$5:$L$902)-MIN(ROW('register map'!$L$5:$L$902))+1),ROWS($3:286))),"")</f>
        <v>PROGRAMMING_STATE</v>
      </c>
      <c r="C286" s="157">
        <f>IF(B286="PART_NUMBER",IF(COUNTIF($B$1:B285,"PART_NUMBER")=0,6,8),MATCH(B286,'register map'!L:L,0))</f>
        <v>380</v>
      </c>
      <c r="D286" s="117" t="str">
        <f>IF(ISBLANK(INDEX('register map'!C:C,'Logical Group Generator'!C286)),"No","Yes")</f>
        <v>No</v>
      </c>
      <c r="E286" s="117" t="str">
        <f>IF(ISBLANK(INDEX('register map'!A:A,C286)),IF(ISBLANK(INDEX('register map'!A:A,C286-1)),IF(ISBLANK(INDEX('register map'!A:A,C286-2)),IF(ISBLANK(INDEX('register map'!A:A,C286-3)),IF(ISBLANK(INDEX('register map'!A:A,C286-4)),IF(ISBLANK(INDEX('register map'!A:A,C286-5)),IF(ISBLANK(INDEX('register map'!A:A,C286-6)),IF(ISBLANK(INDEX('register map'!A:A,C286-7)),IF(ISBLANK(INDEX('register map'!A:A,C286-8)),"ERROR",INDEX('register map'!A:A,C286-8)),INDEX('register map'!A:A,C286-7)),INDEX('register map'!A:A,C286-6)),INDEX('register map'!A:A,C286-5)),INDEX('register map'!A:A,C286-4)),INDEX('register map'!A:A,C286-3)),INDEX('register map'!A:A,C286-2)),INDEX('register map'!A:A,C286-1)),INDEX('register map'!A:A,C286))</f>
        <v>0x38</v>
      </c>
      <c r="F286" s="117" t="str">
        <f>IF(ISBLANK(INDEX('register map'!B:B,C286)),IF(ISBLANK(INDEX('register map'!B:B,C286-1)),IF(ISBLANK(INDEX('register map'!B:B,C286-2)),IF(ISBLANK(INDEX('register map'!B:B,C286-3)),IF(ISBLANK(INDEX('register map'!B:B,C286-4)),IF(ISBLANK(INDEX('register map'!B:B,C286-5)),IF(ISBLANK(INDEX('register map'!B:B,C286-6)),IF(ISBLANK(INDEX('register map'!B:B,C286-7)),IF(ISBLANK(INDEX('register map'!B:B,C286-8)),"ERROR",INDEX('register map'!B:B,C286-8)),INDEX('register map'!B:B,C286-7)),INDEX('register map'!B:B,C286-6)),INDEX('register map'!B:B,C286-5)),INDEX('register map'!B:B,C286-4)),INDEX('register map'!B:B,C286-3)),INDEX('register map'!B:B,C286-2)),INDEX('register map'!B:B,C286-1)),INDEX('register map'!B:B,C286))</f>
        <v>0x02</v>
      </c>
      <c r="G286" s="117" t="str">
        <f>CONCATENATE(IF(ISNUMBER(INDEX('register map'!D:D,C286)),7,""),IF(ISNUMBER(INDEX('register map'!E:E,C286)),6,""),IF(ISNUMBER(INDEX('register map'!F:F,C286)),5,""),IF(ISNUMBER(INDEX('register map'!G:G,C286)),4,""),IF(ISNUMBER(INDEX('register map'!H:H,C286)),3,""),IF(ISNUMBER(INDEX('register map'!I:I,C286)),2,""),IF(ISNUMBER(INDEX('register map'!J:J,C286)),1,""),IF(ISNUMBER(INDEX('register map'!K:K,C286)),0,""))</f>
        <v>7</v>
      </c>
      <c r="H286" s="117" t="str">
        <f>RIGHT(INDEX('register map'!V:V,MATCH('Logical Group Generator'!B286,'register map'!L:L,0)),LEN(G286))</f>
        <v>0</v>
      </c>
      <c r="I286" s="117" t="str">
        <f>CONCATENATE(IF(ISNUMBER(INDEX('register map'!K:K,C286)),0,""),IF(ISNUMBER(INDEX('register map'!J:J,C286)),1,""),IF(ISNUMBER(INDEX('register map'!I:I,C286)),2,""),IF(ISNUMBER(INDEX('register map'!H:H,C286)),3,""),IF(ISNUMBER(INDEX('register map'!G:G,C286)),4,""),IF(ISNUMBER(INDEX('register map'!F:F,C286)),5,""),IF(ISNUMBER(INDEX('register map'!E:E,C286)),6,""),IF(ISNUMBER(INDEX('register map'!D:D,C286)),7,""))</f>
        <v>7</v>
      </c>
      <c r="J286" s="117" t="str">
        <f t="shared" si="51"/>
        <v>0</v>
      </c>
      <c r="K286" s="117" t="str">
        <f t="shared" si="44"/>
        <v/>
      </c>
      <c r="L286" s="117" t="str">
        <f t="shared" si="52"/>
        <v/>
      </c>
      <c r="M286" s="117" t="str">
        <f t="shared" si="54"/>
        <v/>
      </c>
      <c r="N286" s="117" t="str">
        <f>IF(ISBLANK(INDEX('register map'!M:M,'Logical Group Generator'!C286)),"No","Yes")</f>
        <v>No</v>
      </c>
      <c r="O286" s="117" t="str">
        <f>IF(NOT(ISBLANK(INDEX('register map'!N:N,'Logical Group Generator'!C286))),"Yes","")</f>
        <v/>
      </c>
      <c r="P286" s="117" t="str">
        <f t="shared" si="45"/>
        <v/>
      </c>
      <c r="Q286" s="117" t="str">
        <f t="shared" si="46"/>
        <v/>
      </c>
      <c r="R286" s="117" t="str">
        <f t="shared" si="47"/>
        <v/>
      </c>
      <c r="S286" s="117" t="str">
        <f t="shared" si="48"/>
        <v>No</v>
      </c>
      <c r="T286" s="117" t="str">
        <f t="shared" si="49"/>
        <v/>
      </c>
      <c r="U286" s="117" t="b">
        <f t="shared" si="53"/>
        <v>0</v>
      </c>
      <c r="V286" s="157" t="b">
        <f>INDEX('register map'!P:P,C286)="yes"</f>
        <v>0</v>
      </c>
      <c r="W286" s="157" t="str">
        <f t="shared" si="50"/>
        <v>FALSE</v>
      </c>
    </row>
    <row r="287" spans="2:23">
      <c r="B287" s="157" t="str">
        <f t="array" ref="B287">IF(ROWS($3:287)&lt;=COUNTA('register map'!$L$5:$L$902),INDEX('register map'!$L$5:$L$902,SMALL(IF('register map'!$L$5:$L$902&lt;&gt;"",ROW('register map'!$L$5:$L$902)-MIN(ROW('register map'!$L$5:$L$902))+1),ROWS($3:287))),"")</f>
        <v>OTP_CTRL_2</v>
      </c>
      <c r="C287" s="157">
        <f>IF(B287="PART_NUMBER",IF(COUNTIF($B$1:B286,"PART_NUMBER")=0,6,8),MATCH(B287,'register map'!L:L,0))</f>
        <v>381</v>
      </c>
      <c r="D287" s="117" t="str">
        <f>IF(ISBLANK(INDEX('register map'!C:C,'Logical Group Generator'!C287)),"No","Yes")</f>
        <v>Yes</v>
      </c>
      <c r="E287" s="117" t="str">
        <f>IF(ISBLANK(INDEX('register map'!A:A,C287)),IF(ISBLANK(INDEX('register map'!A:A,C287-1)),IF(ISBLANK(INDEX('register map'!A:A,C287-2)),IF(ISBLANK(INDEX('register map'!A:A,C287-3)),IF(ISBLANK(INDEX('register map'!A:A,C287-4)),IF(ISBLANK(INDEX('register map'!A:A,C287-5)),IF(ISBLANK(INDEX('register map'!A:A,C287-6)),IF(ISBLANK(INDEX('register map'!A:A,C287-7)),IF(ISBLANK(INDEX('register map'!A:A,C287-8)),"ERROR",INDEX('register map'!A:A,C287-8)),INDEX('register map'!A:A,C287-7)),INDEX('register map'!A:A,C287-6)),INDEX('register map'!A:A,C287-5)),INDEX('register map'!A:A,C287-4)),INDEX('register map'!A:A,C287-3)),INDEX('register map'!A:A,C287-2)),INDEX('register map'!A:A,C287-1)),INDEX('register map'!A:A,C287))</f>
        <v>0x38</v>
      </c>
      <c r="F287" s="117" t="str">
        <f>IF(ISBLANK(INDEX('register map'!B:B,C287)),IF(ISBLANK(INDEX('register map'!B:B,C287-1)),IF(ISBLANK(INDEX('register map'!B:B,C287-2)),IF(ISBLANK(INDEX('register map'!B:B,C287-3)),IF(ISBLANK(INDEX('register map'!B:B,C287-4)),IF(ISBLANK(INDEX('register map'!B:B,C287-5)),IF(ISBLANK(INDEX('register map'!B:B,C287-6)),IF(ISBLANK(INDEX('register map'!B:B,C287-7)),IF(ISBLANK(INDEX('register map'!B:B,C287-8)),"ERROR",INDEX('register map'!B:B,C287-8)),INDEX('register map'!B:B,C287-7)),INDEX('register map'!B:B,C287-6)),INDEX('register map'!B:B,C287-5)),INDEX('register map'!B:B,C287-4)),INDEX('register map'!B:B,C287-3)),INDEX('register map'!B:B,C287-2)),INDEX('register map'!B:B,C287-1)),INDEX('register map'!B:B,C287))</f>
        <v>0x03</v>
      </c>
      <c r="G287" s="117" t="str">
        <f>CONCATENATE(IF(ISNUMBER(INDEX('register map'!D:D,C287)),7,""),IF(ISNUMBER(INDEX('register map'!E:E,C287)),6,""),IF(ISNUMBER(INDEX('register map'!F:F,C287)),5,""),IF(ISNUMBER(INDEX('register map'!G:G,C287)),4,""),IF(ISNUMBER(INDEX('register map'!H:H,C287)),3,""),IF(ISNUMBER(INDEX('register map'!I:I,C287)),2,""),IF(ISNUMBER(INDEX('register map'!J:J,C287)),1,""),IF(ISNUMBER(INDEX('register map'!K:K,C287)),0,""))</f>
        <v/>
      </c>
      <c r="H287" s="117" t="str">
        <f>RIGHT(INDEX('register map'!V:V,MATCH('Logical Group Generator'!B287,'register map'!L:L,0)),LEN(G287))</f>
        <v/>
      </c>
      <c r="I287" s="117" t="str">
        <f>CONCATENATE(IF(ISNUMBER(INDEX('register map'!K:K,C287)),0,""),IF(ISNUMBER(INDEX('register map'!J:J,C287)),1,""),IF(ISNUMBER(INDEX('register map'!I:I,C287)),2,""),IF(ISNUMBER(INDEX('register map'!H:H,C287)),3,""),IF(ISNUMBER(INDEX('register map'!G:G,C287)),4,""),IF(ISNUMBER(INDEX('register map'!F:F,C287)),5,""),IF(ISNUMBER(INDEX('register map'!E:E,C287)),6,""),IF(ISNUMBER(INDEX('register map'!D:D,C287)),7,""))</f>
        <v/>
      </c>
      <c r="J287" s="117" t="str">
        <f t="shared" si="51"/>
        <v/>
      </c>
      <c r="K287" s="117" t="str">
        <f t="shared" si="44"/>
        <v>00000000</v>
      </c>
      <c r="L287" s="117" t="str">
        <f t="shared" si="52"/>
        <v>00000000</v>
      </c>
      <c r="M287" s="117" t="str">
        <f t="shared" si="54"/>
        <v>00</v>
      </c>
      <c r="N287" s="117" t="str">
        <f>IF(ISBLANK(INDEX('register map'!M:M,'Logical Group Generator'!C287)),"No","Yes")</f>
        <v>No</v>
      </c>
      <c r="O287" s="117" t="str">
        <f>IF(NOT(ISBLANK(INDEX('register map'!N:N,'Logical Group Generator'!C287))),"Yes","")</f>
        <v/>
      </c>
      <c r="P287" s="117" t="str">
        <f t="shared" si="45"/>
        <v>No</v>
      </c>
      <c r="Q287" s="117" t="str">
        <f t="shared" si="46"/>
        <v>No</v>
      </c>
      <c r="R287" s="117" t="str">
        <f t="shared" si="47"/>
        <v>No</v>
      </c>
      <c r="S287" s="117" t="str">
        <f t="shared" si="48"/>
        <v/>
      </c>
      <c r="T287" s="117" t="b">
        <f t="shared" si="49"/>
        <v>1</v>
      </c>
      <c r="U287" s="117" t="b">
        <f t="shared" si="53"/>
        <v>1</v>
      </c>
      <c r="V287" s="157" t="b">
        <f>INDEX('register map'!P:P,C287)="yes"</f>
        <v>1</v>
      </c>
      <c r="W287" s="157" t="str">
        <f t="shared" si="50"/>
        <v>REGISTER</v>
      </c>
    </row>
    <row r="288" spans="2:23">
      <c r="B288" s="157" t="str">
        <f t="array" ref="B288">IF(ROWS($3:288)&lt;=COUNTA('register map'!$L$5:$L$902),INDEX('register map'!$L$5:$L$902,SMALL(IF('register map'!$L$5:$L$902&lt;&gt;"",ROW('register map'!$L$5:$L$902)-MIN(ROW('register map'!$L$5:$L$902))+1),ROWS($3:288))),"")</f>
        <v>OTP_RSVD_38_03_6543210</v>
      </c>
      <c r="C288" s="157">
        <f>IF(B288="PART_NUMBER",IF(COUNTIF($B$1:B287,"PART_NUMBER")=0,6,8),MATCH(B288,'register map'!L:L,0))</f>
        <v>382</v>
      </c>
      <c r="D288" s="117" t="str">
        <f>IF(ISBLANK(INDEX('register map'!C:C,'Logical Group Generator'!C288)),"No","Yes")</f>
        <v>No</v>
      </c>
      <c r="E288" s="117" t="str">
        <f>IF(ISBLANK(INDEX('register map'!A:A,C288)),IF(ISBLANK(INDEX('register map'!A:A,C288-1)),IF(ISBLANK(INDEX('register map'!A:A,C288-2)),IF(ISBLANK(INDEX('register map'!A:A,C288-3)),IF(ISBLANK(INDEX('register map'!A:A,C288-4)),IF(ISBLANK(INDEX('register map'!A:A,C288-5)),IF(ISBLANK(INDEX('register map'!A:A,C288-6)),IF(ISBLANK(INDEX('register map'!A:A,C288-7)),IF(ISBLANK(INDEX('register map'!A:A,C288-8)),"ERROR",INDEX('register map'!A:A,C288-8)),INDEX('register map'!A:A,C288-7)),INDEX('register map'!A:A,C288-6)),INDEX('register map'!A:A,C288-5)),INDEX('register map'!A:A,C288-4)),INDEX('register map'!A:A,C288-3)),INDEX('register map'!A:A,C288-2)),INDEX('register map'!A:A,C288-1)),INDEX('register map'!A:A,C288))</f>
        <v>0x38</v>
      </c>
      <c r="F288" s="117" t="str">
        <f>IF(ISBLANK(INDEX('register map'!B:B,C288)),IF(ISBLANK(INDEX('register map'!B:B,C288-1)),IF(ISBLANK(INDEX('register map'!B:B,C288-2)),IF(ISBLANK(INDEX('register map'!B:B,C288-3)),IF(ISBLANK(INDEX('register map'!B:B,C288-4)),IF(ISBLANK(INDEX('register map'!B:B,C288-5)),IF(ISBLANK(INDEX('register map'!B:B,C288-6)),IF(ISBLANK(INDEX('register map'!B:B,C288-7)),IF(ISBLANK(INDEX('register map'!B:B,C288-8)),"ERROR",INDEX('register map'!B:B,C288-8)),INDEX('register map'!B:B,C288-7)),INDEX('register map'!B:B,C288-6)),INDEX('register map'!B:B,C288-5)),INDEX('register map'!B:B,C288-4)),INDEX('register map'!B:B,C288-3)),INDEX('register map'!B:B,C288-2)),INDEX('register map'!B:B,C288-1)),INDEX('register map'!B:B,C288))</f>
        <v>0x03</v>
      </c>
      <c r="G288" s="117" t="str">
        <f>CONCATENATE(IF(ISNUMBER(INDEX('register map'!D:D,C288)),7,""),IF(ISNUMBER(INDEX('register map'!E:E,C288)),6,""),IF(ISNUMBER(INDEX('register map'!F:F,C288)),5,""),IF(ISNUMBER(INDEX('register map'!G:G,C288)),4,""),IF(ISNUMBER(INDEX('register map'!H:H,C288)),3,""),IF(ISNUMBER(INDEX('register map'!I:I,C288)),2,""),IF(ISNUMBER(INDEX('register map'!J:J,C288)),1,""),IF(ISNUMBER(INDEX('register map'!K:K,C288)),0,""))</f>
        <v>6543210</v>
      </c>
      <c r="H288" s="117" t="str">
        <f>RIGHT(INDEX('register map'!V:V,MATCH('Logical Group Generator'!B288,'register map'!L:L,0)),LEN(G288))</f>
        <v>0000000</v>
      </c>
      <c r="I288" s="117" t="str">
        <f>CONCATENATE(IF(ISNUMBER(INDEX('register map'!K:K,C288)),0,""),IF(ISNUMBER(INDEX('register map'!J:J,C288)),1,""),IF(ISNUMBER(INDEX('register map'!I:I,C288)),2,""),IF(ISNUMBER(INDEX('register map'!H:H,C288)),3,""),IF(ISNUMBER(INDEX('register map'!G:G,C288)),4,""),IF(ISNUMBER(INDEX('register map'!F:F,C288)),5,""),IF(ISNUMBER(INDEX('register map'!E:E,C288)),6,""),IF(ISNUMBER(INDEX('register map'!D:D,C288)),7,""))</f>
        <v>0123456</v>
      </c>
      <c r="J288" s="117" t="str">
        <f t="shared" si="51"/>
        <v>0000000</v>
      </c>
      <c r="K288" s="117" t="str">
        <f t="shared" si="44"/>
        <v/>
      </c>
      <c r="L288" s="117" t="str">
        <f t="shared" si="52"/>
        <v/>
      </c>
      <c r="M288" s="117" t="str">
        <f t="shared" si="54"/>
        <v/>
      </c>
      <c r="N288" s="117" t="str">
        <f>IF(ISBLANK(INDEX('register map'!M:M,'Logical Group Generator'!C288)),"No","Yes")</f>
        <v>No</v>
      </c>
      <c r="O288" s="117" t="str">
        <f>IF(NOT(ISBLANK(INDEX('register map'!N:N,'Logical Group Generator'!C288))),"Yes","")</f>
        <v/>
      </c>
      <c r="P288" s="117" t="str">
        <f t="shared" si="45"/>
        <v/>
      </c>
      <c r="Q288" s="117" t="str">
        <f t="shared" si="46"/>
        <v/>
      </c>
      <c r="R288" s="117" t="str">
        <f t="shared" si="47"/>
        <v/>
      </c>
      <c r="S288" s="117" t="str">
        <f t="shared" si="48"/>
        <v>No</v>
      </c>
      <c r="T288" s="117" t="str">
        <f t="shared" si="49"/>
        <v/>
      </c>
      <c r="U288" s="117" t="b">
        <f t="shared" si="53"/>
        <v>0</v>
      </c>
      <c r="V288" s="157" t="b">
        <f>INDEX('register map'!P:P,C288)="yes"</f>
        <v>1</v>
      </c>
      <c r="W288" s="157" t="str">
        <f t="shared" si="50"/>
        <v>FALSE</v>
      </c>
    </row>
    <row r="289" spans="2:23">
      <c r="B289" s="157" t="str">
        <f t="array" ref="B289">IF(ROWS($3:289)&lt;=COUNTA('register map'!$L$5:$L$902),INDEX('register map'!$L$5:$L$902,SMALL(IF('register map'!$L$5:$L$902&lt;&gt;"",ROW('register map'!$L$5:$L$902)-MIN(ROW('register map'!$L$5:$L$902))+1),ROWS($3:289))),"")</f>
        <v>OTP_RSVD_38_03_7</v>
      </c>
      <c r="C289" s="157">
        <f>IF(B289="PART_NUMBER",IF(COUNTIF($B$1:B288,"PART_NUMBER")=0,6,8),MATCH(B289,'register map'!L:L,0))</f>
        <v>383</v>
      </c>
      <c r="D289" s="117" t="str">
        <f>IF(ISBLANK(INDEX('register map'!C:C,'Logical Group Generator'!C289)),"No","Yes")</f>
        <v>No</v>
      </c>
      <c r="E289" s="117" t="str">
        <f>IF(ISBLANK(INDEX('register map'!A:A,C289)),IF(ISBLANK(INDEX('register map'!A:A,C289-1)),IF(ISBLANK(INDEX('register map'!A:A,C289-2)),IF(ISBLANK(INDEX('register map'!A:A,C289-3)),IF(ISBLANK(INDEX('register map'!A:A,C289-4)),IF(ISBLANK(INDEX('register map'!A:A,C289-5)),IF(ISBLANK(INDEX('register map'!A:A,C289-6)),IF(ISBLANK(INDEX('register map'!A:A,C289-7)),IF(ISBLANK(INDEX('register map'!A:A,C289-8)),"ERROR",INDEX('register map'!A:A,C289-8)),INDEX('register map'!A:A,C289-7)),INDEX('register map'!A:A,C289-6)),INDEX('register map'!A:A,C289-5)),INDEX('register map'!A:A,C289-4)),INDEX('register map'!A:A,C289-3)),INDEX('register map'!A:A,C289-2)),INDEX('register map'!A:A,C289-1)),INDEX('register map'!A:A,C289))</f>
        <v>0x38</v>
      </c>
      <c r="F289" s="117" t="str">
        <f>IF(ISBLANK(INDEX('register map'!B:B,C289)),IF(ISBLANK(INDEX('register map'!B:B,C289-1)),IF(ISBLANK(INDEX('register map'!B:B,C289-2)),IF(ISBLANK(INDEX('register map'!B:B,C289-3)),IF(ISBLANK(INDEX('register map'!B:B,C289-4)),IF(ISBLANK(INDEX('register map'!B:B,C289-5)),IF(ISBLANK(INDEX('register map'!B:B,C289-6)),IF(ISBLANK(INDEX('register map'!B:B,C289-7)),IF(ISBLANK(INDEX('register map'!B:B,C289-8)),"ERROR",INDEX('register map'!B:B,C289-8)),INDEX('register map'!B:B,C289-7)),INDEX('register map'!B:B,C289-6)),INDEX('register map'!B:B,C289-5)),INDEX('register map'!B:B,C289-4)),INDEX('register map'!B:B,C289-3)),INDEX('register map'!B:B,C289-2)),INDEX('register map'!B:B,C289-1)),INDEX('register map'!B:B,C289))</f>
        <v>0x03</v>
      </c>
      <c r="G289" s="117" t="str">
        <f>CONCATENATE(IF(ISNUMBER(INDEX('register map'!D:D,C289)),7,""),IF(ISNUMBER(INDEX('register map'!E:E,C289)),6,""),IF(ISNUMBER(INDEX('register map'!F:F,C289)),5,""),IF(ISNUMBER(INDEX('register map'!G:G,C289)),4,""),IF(ISNUMBER(INDEX('register map'!H:H,C289)),3,""),IF(ISNUMBER(INDEX('register map'!I:I,C289)),2,""),IF(ISNUMBER(INDEX('register map'!J:J,C289)),1,""),IF(ISNUMBER(INDEX('register map'!K:K,C289)),0,""))</f>
        <v>7</v>
      </c>
      <c r="H289" s="117" t="str">
        <f>RIGHT(INDEX('register map'!V:V,MATCH('Logical Group Generator'!B289,'register map'!L:L,0)),LEN(G289))</f>
        <v>0</v>
      </c>
      <c r="I289" s="117" t="str">
        <f>CONCATENATE(IF(ISNUMBER(INDEX('register map'!K:K,C289)),0,""),IF(ISNUMBER(INDEX('register map'!J:J,C289)),1,""),IF(ISNUMBER(INDEX('register map'!I:I,C289)),2,""),IF(ISNUMBER(INDEX('register map'!H:H,C289)),3,""),IF(ISNUMBER(INDEX('register map'!G:G,C289)),4,""),IF(ISNUMBER(INDEX('register map'!F:F,C289)),5,""),IF(ISNUMBER(INDEX('register map'!E:E,C289)),6,""),IF(ISNUMBER(INDEX('register map'!D:D,C289)),7,""))</f>
        <v>7</v>
      </c>
      <c r="J289" s="117" t="str">
        <f t="shared" si="51"/>
        <v>0</v>
      </c>
      <c r="K289" s="117" t="str">
        <f t="shared" si="44"/>
        <v/>
      </c>
      <c r="L289" s="117" t="str">
        <f t="shared" si="52"/>
        <v/>
      </c>
      <c r="M289" s="117" t="str">
        <f t="shared" si="54"/>
        <v/>
      </c>
      <c r="N289" s="117" t="str">
        <f>IF(ISBLANK(INDEX('register map'!M:M,'Logical Group Generator'!C289)),"No","Yes")</f>
        <v>No</v>
      </c>
      <c r="O289" s="117" t="str">
        <f>IF(NOT(ISBLANK(INDEX('register map'!N:N,'Logical Group Generator'!C289))),"Yes","")</f>
        <v/>
      </c>
      <c r="P289" s="117" t="str">
        <f t="shared" si="45"/>
        <v/>
      </c>
      <c r="Q289" s="117" t="str">
        <f t="shared" si="46"/>
        <v/>
      </c>
      <c r="R289" s="117" t="str">
        <f t="shared" si="47"/>
        <v/>
      </c>
      <c r="S289" s="117" t="str">
        <f t="shared" si="48"/>
        <v>No</v>
      </c>
      <c r="T289" s="117" t="str">
        <f t="shared" si="49"/>
        <v/>
      </c>
      <c r="U289" s="117" t="b">
        <f t="shared" si="53"/>
        <v>0</v>
      </c>
      <c r="V289" s="157" t="b">
        <f>INDEX('register map'!P:P,C289)="yes"</f>
        <v>1</v>
      </c>
      <c r="W289" s="157" t="str">
        <f t="shared" si="50"/>
        <v>FALSE</v>
      </c>
    </row>
    <row r="290" spans="2:23">
      <c r="B290" s="157" t="str">
        <f t="array" ref="B290">IF(ROWS($3:290)&lt;=COUNTA('register map'!$L$5:$L$902),INDEX('register map'!$L$5:$L$902,SMALL(IF('register map'!$L$5:$L$902&lt;&gt;"",ROW('register map'!$L$5:$L$902)-MIN(ROW('register map'!$L$5:$L$902))+1),ROWS($3:290))),"")</f>
        <v>BUCK1_CTRL_EN1</v>
      </c>
      <c r="C290" s="157">
        <f>IF(B290="PART_NUMBER",IF(COUNTIF($B$1:B289,"PART_NUMBER")=0,6,8),MATCH(B290,'register map'!L:L,0))</f>
        <v>394</v>
      </c>
      <c r="D290" s="117" t="str">
        <f>IF(ISBLANK(INDEX('register map'!C:C,'Logical Group Generator'!C290)),"No","Yes")</f>
        <v>Yes</v>
      </c>
      <c r="E290" s="117" t="str">
        <f>IF(ISBLANK(INDEX('register map'!A:A,C290)),IF(ISBLANK(INDEX('register map'!A:A,C290-1)),IF(ISBLANK(INDEX('register map'!A:A,C290-2)),IF(ISBLANK(INDEX('register map'!A:A,C290-3)),IF(ISBLANK(INDEX('register map'!A:A,C290-4)),IF(ISBLANK(INDEX('register map'!A:A,C290-5)),IF(ISBLANK(INDEX('register map'!A:A,C290-6)),IF(ISBLANK(INDEX('register map'!A:A,C290-7)),IF(ISBLANK(INDEX('register map'!A:A,C290-8)),"ERROR",INDEX('register map'!A:A,C290-8)),INDEX('register map'!A:A,C290-7)),INDEX('register map'!A:A,C290-6)),INDEX('register map'!A:A,C290-5)),INDEX('register map'!A:A,C290-4)),INDEX('register map'!A:A,C290-3)),INDEX('register map'!A:A,C290-2)),INDEX('register map'!A:A,C290-1)),INDEX('register map'!A:A,C290))</f>
        <v>0x38</v>
      </c>
      <c r="F290" s="117" t="str">
        <f>IF(ISBLANK(INDEX('register map'!B:B,C290)),IF(ISBLANK(INDEX('register map'!B:B,C290-1)),IF(ISBLANK(INDEX('register map'!B:B,C290-2)),IF(ISBLANK(INDEX('register map'!B:B,C290-3)),IF(ISBLANK(INDEX('register map'!B:B,C290-4)),IF(ISBLANK(INDEX('register map'!B:B,C290-5)),IF(ISBLANK(INDEX('register map'!B:B,C290-6)),IF(ISBLANK(INDEX('register map'!B:B,C290-7)),IF(ISBLANK(INDEX('register map'!B:B,C290-8)),"ERROR",INDEX('register map'!B:B,C290-8)),INDEX('register map'!B:B,C290-7)),INDEX('register map'!B:B,C290-6)),INDEX('register map'!B:B,C290-5)),INDEX('register map'!B:B,C290-4)),INDEX('register map'!B:B,C290-3)),INDEX('register map'!B:B,C290-2)),INDEX('register map'!B:B,C290-1)),INDEX('register map'!B:B,C290))</f>
        <v>0x07</v>
      </c>
      <c r="G290" s="117" t="str">
        <f>CONCATENATE(IF(ISNUMBER(INDEX('register map'!D:D,C290)),7,""),IF(ISNUMBER(INDEX('register map'!E:E,C290)),6,""),IF(ISNUMBER(INDEX('register map'!F:F,C290)),5,""),IF(ISNUMBER(INDEX('register map'!G:G,C290)),4,""),IF(ISNUMBER(INDEX('register map'!H:H,C290)),3,""),IF(ISNUMBER(INDEX('register map'!I:I,C290)),2,""),IF(ISNUMBER(INDEX('register map'!J:J,C290)),1,""),IF(ISNUMBER(INDEX('register map'!K:K,C290)),0,""))</f>
        <v/>
      </c>
      <c r="H290" s="117" t="str">
        <f>RIGHT(INDEX('register map'!V:V,MATCH('Logical Group Generator'!B290,'register map'!L:L,0)),LEN(G290))</f>
        <v/>
      </c>
      <c r="I290" s="117" t="str">
        <f>CONCATENATE(IF(ISNUMBER(INDEX('register map'!K:K,C290)),0,""),IF(ISNUMBER(INDEX('register map'!J:J,C290)),1,""),IF(ISNUMBER(INDEX('register map'!I:I,C290)),2,""),IF(ISNUMBER(INDEX('register map'!H:H,C290)),3,""),IF(ISNUMBER(INDEX('register map'!G:G,C290)),4,""),IF(ISNUMBER(INDEX('register map'!F:F,C290)),5,""),IF(ISNUMBER(INDEX('register map'!E:E,C290)),6,""),IF(ISNUMBER(INDEX('register map'!D:D,C290)),7,""))</f>
        <v/>
      </c>
      <c r="J290" s="117" t="str">
        <f t="shared" si="51"/>
        <v/>
      </c>
      <c r="K290" s="117" t="str">
        <f t="shared" si="44"/>
        <v>11011111</v>
      </c>
      <c r="L290" s="117" t="str">
        <f>MID(K290,20,1) &amp; MID(K290,19,1) &amp; MID(K290,18,1) &amp; MID(K290,17,1) &amp; MID(K290,16,1) &amp; MID(K290,15,1) &amp; MID(K290,14,1) &amp; MID(K290,13,1) &amp; MID(K290,12,1) &amp; MID(K290,11,1) &amp; MID(K290,10,1) &amp; MID(K290,9,1) &amp; MID(K290,8,1) &amp; MID(K290,7,1) &amp; MID(K290,6,1) &amp; MID(K290,5,1) &amp; MID(K290,4,1) &amp; MID(K290,3,1) &amp; MID(K290,2,1) &amp; MID(K290,1,1)</f>
        <v>11111011</v>
      </c>
      <c r="M290" s="117" t="str">
        <f t="shared" si="54"/>
        <v>FB</v>
      </c>
      <c r="N290" s="117" t="str">
        <f>IF(ISBLANK(INDEX('register map'!M:M,'Logical Group Generator'!C290)),"No","Yes")</f>
        <v>No</v>
      </c>
      <c r="O290" s="117" t="str">
        <f>IF(NOT(ISBLANK(INDEX('register map'!N:N,'Logical Group Generator'!C290))),"Yes","")</f>
        <v/>
      </c>
      <c r="P290" s="117" t="str">
        <f t="shared" si="45"/>
        <v>No</v>
      </c>
      <c r="Q290" s="117" t="str">
        <f t="shared" si="46"/>
        <v>No</v>
      </c>
      <c r="R290" s="117" t="str">
        <f t="shared" si="47"/>
        <v>No</v>
      </c>
      <c r="S290" s="117" t="str">
        <f t="shared" si="48"/>
        <v/>
      </c>
      <c r="T290" s="117" t="b">
        <f t="shared" si="49"/>
        <v>1</v>
      </c>
      <c r="U290" s="117" t="b">
        <f t="shared" si="53"/>
        <v>1</v>
      </c>
      <c r="V290" s="157" t="b">
        <f>INDEX('register map'!P:P,C290)="yes"</f>
        <v>1</v>
      </c>
      <c r="W290" s="157" t="str">
        <f t="shared" si="50"/>
        <v>REGISTER</v>
      </c>
    </row>
    <row r="291" spans="2:23">
      <c r="B291" s="157" t="str">
        <f t="array" ref="B291">IF(ROWS($3:291)&lt;=COUNTA('register map'!$L$5:$L$902),INDEX('register map'!$L$5:$L$902,SMALL(IF('register map'!$L$5:$L$902&lt;&gt;"",ROW('register map'!$L$5:$L$902)-MIN(ROW('register map'!$L$5:$L$902))+1),ROWS($3:291))),"")</f>
        <v>OTP_RSVD_38_07_0</v>
      </c>
      <c r="C291" s="157">
        <f>IF(B291="PART_NUMBER",IF(COUNTIF($B$1:B290,"PART_NUMBER")=0,6,8),MATCH(B291,'register map'!L:L,0))</f>
        <v>395</v>
      </c>
      <c r="D291" s="117" t="str">
        <f>IF(ISBLANK(INDEX('register map'!C:C,'Logical Group Generator'!C291)),"No","Yes")</f>
        <v>No</v>
      </c>
      <c r="E291" s="117" t="str">
        <f>IF(ISBLANK(INDEX('register map'!A:A,C291)),IF(ISBLANK(INDEX('register map'!A:A,C291-1)),IF(ISBLANK(INDEX('register map'!A:A,C291-2)),IF(ISBLANK(INDEX('register map'!A:A,C291-3)),IF(ISBLANK(INDEX('register map'!A:A,C291-4)),IF(ISBLANK(INDEX('register map'!A:A,C291-5)),IF(ISBLANK(INDEX('register map'!A:A,C291-6)),IF(ISBLANK(INDEX('register map'!A:A,C291-7)),IF(ISBLANK(INDEX('register map'!A:A,C291-8)),"ERROR",INDEX('register map'!A:A,C291-8)),INDEX('register map'!A:A,C291-7)),INDEX('register map'!A:A,C291-6)),INDEX('register map'!A:A,C291-5)),INDEX('register map'!A:A,C291-4)),INDEX('register map'!A:A,C291-3)),INDEX('register map'!A:A,C291-2)),INDEX('register map'!A:A,C291-1)),INDEX('register map'!A:A,C291))</f>
        <v>0x38</v>
      </c>
      <c r="F291" s="117" t="str">
        <f>IF(ISBLANK(INDEX('register map'!B:B,C291)),IF(ISBLANK(INDEX('register map'!B:B,C291-1)),IF(ISBLANK(INDEX('register map'!B:B,C291-2)),IF(ISBLANK(INDEX('register map'!B:B,C291-3)),IF(ISBLANK(INDEX('register map'!B:B,C291-4)),IF(ISBLANK(INDEX('register map'!B:B,C291-5)),IF(ISBLANK(INDEX('register map'!B:B,C291-6)),IF(ISBLANK(INDEX('register map'!B:B,C291-7)),IF(ISBLANK(INDEX('register map'!B:B,C291-8)),"ERROR",INDEX('register map'!B:B,C291-8)),INDEX('register map'!B:B,C291-7)),INDEX('register map'!B:B,C291-6)),INDEX('register map'!B:B,C291-5)),INDEX('register map'!B:B,C291-4)),INDEX('register map'!B:B,C291-3)),INDEX('register map'!B:B,C291-2)),INDEX('register map'!B:B,C291-1)),INDEX('register map'!B:B,C291))</f>
        <v>0x07</v>
      </c>
      <c r="G291" s="117" t="str">
        <f>CONCATENATE(IF(ISNUMBER(INDEX('register map'!D:D,C291)),7,""),IF(ISNUMBER(INDEX('register map'!E:E,C291)),6,""),IF(ISNUMBER(INDEX('register map'!F:F,C291)),5,""),IF(ISNUMBER(INDEX('register map'!G:G,C291)),4,""),IF(ISNUMBER(INDEX('register map'!H:H,C291)),3,""),IF(ISNUMBER(INDEX('register map'!I:I,C291)),2,""),IF(ISNUMBER(INDEX('register map'!J:J,C291)),1,""),IF(ISNUMBER(INDEX('register map'!K:K,C291)),0,""))</f>
        <v>0</v>
      </c>
      <c r="H291" s="117" t="str">
        <f>RIGHT(INDEX('register map'!V:V,MATCH('Logical Group Generator'!B291,'register map'!L:L,0)),LEN(G291))</f>
        <v>1</v>
      </c>
      <c r="I291" s="117" t="str">
        <f>CONCATENATE(IF(ISNUMBER(INDEX('register map'!K:K,C291)),0,""),IF(ISNUMBER(INDEX('register map'!J:J,C291)),1,""),IF(ISNUMBER(INDEX('register map'!I:I,C291)),2,""),IF(ISNUMBER(INDEX('register map'!H:H,C291)),3,""),IF(ISNUMBER(INDEX('register map'!G:G,C291)),4,""),IF(ISNUMBER(INDEX('register map'!F:F,C291)),5,""),IF(ISNUMBER(INDEX('register map'!E:E,C291)),6,""),IF(ISNUMBER(INDEX('register map'!D:D,C291)),7,""))</f>
        <v>0</v>
      </c>
      <c r="J291" s="117" t="str">
        <f t="shared" si="51"/>
        <v>1</v>
      </c>
      <c r="K291" s="117" t="str">
        <f t="shared" si="44"/>
        <v/>
      </c>
      <c r="L291" s="117" t="str">
        <f t="shared" si="52"/>
        <v/>
      </c>
      <c r="M291" s="117" t="str">
        <f t="shared" si="54"/>
        <v/>
      </c>
      <c r="N291" s="117" t="str">
        <f>IF(ISBLANK(INDEX('register map'!M:M,'Logical Group Generator'!C291)),"No","Yes")</f>
        <v>No</v>
      </c>
      <c r="O291" s="117" t="str">
        <f>IF(NOT(ISBLANK(INDEX('register map'!N:N,'Logical Group Generator'!C291))),"Yes","")</f>
        <v/>
      </c>
      <c r="P291" s="117" t="str">
        <f t="shared" si="45"/>
        <v/>
      </c>
      <c r="Q291" s="117" t="str">
        <f t="shared" si="46"/>
        <v/>
      </c>
      <c r="R291" s="117" t="str">
        <f t="shared" si="47"/>
        <v/>
      </c>
      <c r="S291" s="117" t="str">
        <f t="shared" si="48"/>
        <v>No</v>
      </c>
      <c r="T291" s="117" t="str">
        <f t="shared" si="49"/>
        <v/>
      </c>
      <c r="U291" s="117" t="b">
        <f t="shared" si="53"/>
        <v>0</v>
      </c>
      <c r="V291" s="157" t="b">
        <f>INDEX('register map'!P:P,C291)="yes"</f>
        <v>1</v>
      </c>
      <c r="W291" s="157" t="str">
        <f t="shared" si="50"/>
        <v>FALSE</v>
      </c>
    </row>
    <row r="292" spans="2:23">
      <c r="B292" s="157" t="str">
        <f t="array" ref="B292">IF(ROWS($3:292)&lt;=COUNTA('register map'!$L$5:$L$902),INDEX('register map'!$L$5:$L$902,SMALL(IF('register map'!$L$5:$L$902&lt;&gt;"",ROW('register map'!$L$5:$L$902)-MIN(ROW('register map'!$L$5:$L$902))+1),ROWS($3:292))),"")</f>
        <v>OTP_RSVD_38_07_1</v>
      </c>
      <c r="C292" s="157">
        <f>IF(B292="PART_NUMBER",IF(COUNTIF($B$1:B291,"PART_NUMBER")=0,6,8),MATCH(B292,'register map'!L:L,0))</f>
        <v>396</v>
      </c>
      <c r="D292" s="117" t="str">
        <f>IF(ISBLANK(INDEX('register map'!C:C,'Logical Group Generator'!C292)),"No","Yes")</f>
        <v>No</v>
      </c>
      <c r="E292" s="117" t="str">
        <f>IF(ISBLANK(INDEX('register map'!A:A,C292)),IF(ISBLANK(INDEX('register map'!A:A,C292-1)),IF(ISBLANK(INDEX('register map'!A:A,C292-2)),IF(ISBLANK(INDEX('register map'!A:A,C292-3)),IF(ISBLANK(INDEX('register map'!A:A,C292-4)),IF(ISBLANK(INDEX('register map'!A:A,C292-5)),IF(ISBLANK(INDEX('register map'!A:A,C292-6)),IF(ISBLANK(INDEX('register map'!A:A,C292-7)),IF(ISBLANK(INDEX('register map'!A:A,C292-8)),"ERROR",INDEX('register map'!A:A,C292-8)),INDEX('register map'!A:A,C292-7)),INDEX('register map'!A:A,C292-6)),INDEX('register map'!A:A,C292-5)),INDEX('register map'!A:A,C292-4)),INDEX('register map'!A:A,C292-3)),INDEX('register map'!A:A,C292-2)),INDEX('register map'!A:A,C292-1)),INDEX('register map'!A:A,C292))</f>
        <v>0x38</v>
      </c>
      <c r="F292" s="117" t="str">
        <f>IF(ISBLANK(INDEX('register map'!B:B,C292)),IF(ISBLANK(INDEX('register map'!B:B,C292-1)),IF(ISBLANK(INDEX('register map'!B:B,C292-2)),IF(ISBLANK(INDEX('register map'!B:B,C292-3)),IF(ISBLANK(INDEX('register map'!B:B,C292-4)),IF(ISBLANK(INDEX('register map'!B:B,C292-5)),IF(ISBLANK(INDEX('register map'!B:B,C292-6)),IF(ISBLANK(INDEX('register map'!B:B,C292-7)),IF(ISBLANK(INDEX('register map'!B:B,C292-8)),"ERROR",INDEX('register map'!B:B,C292-8)),INDEX('register map'!B:B,C292-7)),INDEX('register map'!B:B,C292-6)),INDEX('register map'!B:B,C292-5)),INDEX('register map'!B:B,C292-4)),INDEX('register map'!B:B,C292-3)),INDEX('register map'!B:B,C292-2)),INDEX('register map'!B:B,C292-1)),INDEX('register map'!B:B,C292))</f>
        <v>0x07</v>
      </c>
      <c r="G292" s="117" t="str">
        <f>CONCATENATE(IF(ISNUMBER(INDEX('register map'!D:D,C292)),7,""),IF(ISNUMBER(INDEX('register map'!E:E,C292)),6,""),IF(ISNUMBER(INDEX('register map'!F:F,C292)),5,""),IF(ISNUMBER(INDEX('register map'!G:G,C292)),4,""),IF(ISNUMBER(INDEX('register map'!H:H,C292)),3,""),IF(ISNUMBER(INDEX('register map'!I:I,C292)),2,""),IF(ISNUMBER(INDEX('register map'!J:J,C292)),1,""),IF(ISNUMBER(INDEX('register map'!K:K,C292)),0,""))</f>
        <v>1</v>
      </c>
      <c r="H292" s="117" t="str">
        <f>RIGHT(INDEX('register map'!V:V,MATCH('Logical Group Generator'!B292,'register map'!L:L,0)),LEN(G292))</f>
        <v>1</v>
      </c>
      <c r="I292" s="117" t="str">
        <f>CONCATENATE(IF(ISNUMBER(INDEX('register map'!K:K,C292)),0,""),IF(ISNUMBER(INDEX('register map'!J:J,C292)),1,""),IF(ISNUMBER(INDEX('register map'!I:I,C292)),2,""),IF(ISNUMBER(INDEX('register map'!H:H,C292)),3,""),IF(ISNUMBER(INDEX('register map'!G:G,C292)),4,""),IF(ISNUMBER(INDEX('register map'!F:F,C292)),5,""),IF(ISNUMBER(INDEX('register map'!E:E,C292)),6,""),IF(ISNUMBER(INDEX('register map'!D:D,C292)),7,""))</f>
        <v>1</v>
      </c>
      <c r="J292" s="117" t="str">
        <f t="shared" si="51"/>
        <v>1</v>
      </c>
      <c r="K292" s="117" t="str">
        <f t="shared" si="44"/>
        <v/>
      </c>
      <c r="L292" s="117" t="str">
        <f t="shared" si="52"/>
        <v/>
      </c>
      <c r="M292" s="117" t="str">
        <f t="shared" si="54"/>
        <v/>
      </c>
      <c r="N292" s="117" t="str">
        <f>IF(ISBLANK(INDEX('register map'!M:M,'Logical Group Generator'!C292)),"No","Yes")</f>
        <v>No</v>
      </c>
      <c r="O292" s="117" t="str">
        <f>IF(NOT(ISBLANK(INDEX('register map'!N:N,'Logical Group Generator'!C292))),"Yes","")</f>
        <v/>
      </c>
      <c r="P292" s="117" t="str">
        <f t="shared" si="45"/>
        <v/>
      </c>
      <c r="Q292" s="117" t="str">
        <f t="shared" si="46"/>
        <v/>
      </c>
      <c r="R292" s="117" t="str">
        <f t="shared" si="47"/>
        <v/>
      </c>
      <c r="S292" s="117" t="str">
        <f t="shared" si="48"/>
        <v>No</v>
      </c>
      <c r="T292" s="117" t="str">
        <f t="shared" si="49"/>
        <v/>
      </c>
      <c r="U292" s="117" t="b">
        <f t="shared" si="53"/>
        <v>0</v>
      </c>
      <c r="V292" s="157" t="b">
        <f>INDEX('register map'!P:P,C292)="yes"</f>
        <v>1</v>
      </c>
      <c r="W292" s="157" t="str">
        <f t="shared" si="50"/>
        <v>FALSE</v>
      </c>
    </row>
    <row r="293" spans="2:23">
      <c r="B293" s="157" t="str">
        <f t="array" ref="B293">IF(ROWS($3:293)&lt;=COUNTA('register map'!$L$5:$L$902),INDEX('register map'!$L$5:$L$902,SMALL(IF('register map'!$L$5:$L$902&lt;&gt;"",ROW('register map'!$L$5:$L$902)-MIN(ROW('register map'!$L$5:$L$902))+1),ROWS($3:293))),"")</f>
        <v>OTP_RSVD_38_07_2</v>
      </c>
      <c r="C293" s="157">
        <f>IF(B293="PART_NUMBER",IF(COUNTIF($B$1:B292,"PART_NUMBER")=0,6,8),MATCH(B293,'register map'!L:L,0))</f>
        <v>397</v>
      </c>
      <c r="D293" s="117" t="str">
        <f>IF(ISBLANK(INDEX('register map'!C:C,'Logical Group Generator'!C293)),"No","Yes")</f>
        <v>No</v>
      </c>
      <c r="E293" s="117" t="str">
        <f>IF(ISBLANK(INDEX('register map'!A:A,C293)),IF(ISBLANK(INDEX('register map'!A:A,C293-1)),IF(ISBLANK(INDEX('register map'!A:A,C293-2)),IF(ISBLANK(INDEX('register map'!A:A,C293-3)),IF(ISBLANK(INDEX('register map'!A:A,C293-4)),IF(ISBLANK(INDEX('register map'!A:A,C293-5)),IF(ISBLANK(INDEX('register map'!A:A,C293-6)),IF(ISBLANK(INDEX('register map'!A:A,C293-7)),IF(ISBLANK(INDEX('register map'!A:A,C293-8)),"ERROR",INDEX('register map'!A:A,C293-8)),INDEX('register map'!A:A,C293-7)),INDEX('register map'!A:A,C293-6)),INDEX('register map'!A:A,C293-5)),INDEX('register map'!A:A,C293-4)),INDEX('register map'!A:A,C293-3)),INDEX('register map'!A:A,C293-2)),INDEX('register map'!A:A,C293-1)),INDEX('register map'!A:A,C293))</f>
        <v>0x38</v>
      </c>
      <c r="F293" s="117" t="str">
        <f>IF(ISBLANK(INDEX('register map'!B:B,C293)),IF(ISBLANK(INDEX('register map'!B:B,C293-1)),IF(ISBLANK(INDEX('register map'!B:B,C293-2)),IF(ISBLANK(INDEX('register map'!B:B,C293-3)),IF(ISBLANK(INDEX('register map'!B:B,C293-4)),IF(ISBLANK(INDEX('register map'!B:B,C293-5)),IF(ISBLANK(INDEX('register map'!B:B,C293-6)),IF(ISBLANK(INDEX('register map'!B:B,C293-7)),IF(ISBLANK(INDEX('register map'!B:B,C293-8)),"ERROR",INDEX('register map'!B:B,C293-8)),INDEX('register map'!B:B,C293-7)),INDEX('register map'!B:B,C293-6)),INDEX('register map'!B:B,C293-5)),INDEX('register map'!B:B,C293-4)),INDEX('register map'!B:B,C293-3)),INDEX('register map'!B:B,C293-2)),INDEX('register map'!B:B,C293-1)),INDEX('register map'!B:B,C293))</f>
        <v>0x07</v>
      </c>
      <c r="G293" s="117" t="str">
        <f>CONCATENATE(IF(ISNUMBER(INDEX('register map'!D:D,C293)),7,""),IF(ISNUMBER(INDEX('register map'!E:E,C293)),6,""),IF(ISNUMBER(INDEX('register map'!F:F,C293)),5,""),IF(ISNUMBER(INDEX('register map'!G:G,C293)),4,""),IF(ISNUMBER(INDEX('register map'!H:H,C293)),3,""),IF(ISNUMBER(INDEX('register map'!I:I,C293)),2,""),IF(ISNUMBER(INDEX('register map'!J:J,C293)),1,""),IF(ISNUMBER(INDEX('register map'!K:K,C293)),0,""))</f>
        <v>2</v>
      </c>
      <c r="H293" s="117" t="str">
        <f>RIGHT(INDEX('register map'!V:V,MATCH('Logical Group Generator'!B293,'register map'!L:L,0)),LEN(G293))</f>
        <v>0</v>
      </c>
      <c r="I293" s="117" t="str">
        <f>CONCATENATE(IF(ISNUMBER(INDEX('register map'!K:K,C293)),0,""),IF(ISNUMBER(INDEX('register map'!J:J,C293)),1,""),IF(ISNUMBER(INDEX('register map'!I:I,C293)),2,""),IF(ISNUMBER(INDEX('register map'!H:H,C293)),3,""),IF(ISNUMBER(INDEX('register map'!G:G,C293)),4,""),IF(ISNUMBER(INDEX('register map'!F:F,C293)),5,""),IF(ISNUMBER(INDEX('register map'!E:E,C293)),6,""),IF(ISNUMBER(INDEX('register map'!D:D,C293)),7,""))</f>
        <v>2</v>
      </c>
      <c r="J293" s="117" t="str">
        <f t="shared" si="51"/>
        <v>0</v>
      </c>
      <c r="K293" s="117" t="str">
        <f t="shared" si="44"/>
        <v/>
      </c>
      <c r="L293" s="117" t="str">
        <f t="shared" si="52"/>
        <v/>
      </c>
      <c r="M293" s="117" t="str">
        <f t="shared" si="54"/>
        <v/>
      </c>
      <c r="N293" s="117" t="str">
        <f>IF(ISBLANK(INDEX('register map'!M:M,'Logical Group Generator'!C293)),"No","Yes")</f>
        <v>No</v>
      </c>
      <c r="O293" s="117" t="str">
        <f>IF(NOT(ISBLANK(INDEX('register map'!N:N,'Logical Group Generator'!C293))),"Yes","")</f>
        <v/>
      </c>
      <c r="P293" s="117" t="str">
        <f t="shared" si="45"/>
        <v/>
      </c>
      <c r="Q293" s="117" t="str">
        <f t="shared" si="46"/>
        <v/>
      </c>
      <c r="R293" s="117" t="str">
        <f t="shared" si="47"/>
        <v/>
      </c>
      <c r="S293" s="117" t="str">
        <f t="shared" si="48"/>
        <v>No</v>
      </c>
      <c r="T293" s="117" t="str">
        <f t="shared" si="49"/>
        <v/>
      </c>
      <c r="U293" s="117" t="b">
        <f t="shared" si="53"/>
        <v>0</v>
      </c>
      <c r="V293" s="157" t="b">
        <f>INDEX('register map'!P:P,C293)="yes"</f>
        <v>1</v>
      </c>
      <c r="W293" s="157" t="str">
        <f t="shared" si="50"/>
        <v>FALSE</v>
      </c>
    </row>
    <row r="294" spans="2:23">
      <c r="B294" s="157" t="str">
        <f t="array" ref="B294">IF(ROWS($3:294)&lt;=COUNTA('register map'!$L$5:$L$902),INDEX('register map'!$L$5:$L$902,SMALL(IF('register map'!$L$5:$L$902&lt;&gt;"",ROW('register map'!$L$5:$L$902)-MIN(ROW('register map'!$L$5:$L$902))+1),ROWS($3:294))),"")</f>
        <v>OTP_RSVD_38_07_3</v>
      </c>
      <c r="C294" s="157">
        <f>IF(B294="PART_NUMBER",IF(COUNTIF($B$1:B293,"PART_NUMBER")=0,6,8),MATCH(B294,'register map'!L:L,0))</f>
        <v>398</v>
      </c>
      <c r="D294" s="117" t="str">
        <f>IF(ISBLANK(INDEX('register map'!C:C,'Logical Group Generator'!C294)),"No","Yes")</f>
        <v>No</v>
      </c>
      <c r="E294" s="117" t="str">
        <f>IF(ISBLANK(INDEX('register map'!A:A,C294)),IF(ISBLANK(INDEX('register map'!A:A,C294-1)),IF(ISBLANK(INDEX('register map'!A:A,C294-2)),IF(ISBLANK(INDEX('register map'!A:A,C294-3)),IF(ISBLANK(INDEX('register map'!A:A,C294-4)),IF(ISBLANK(INDEX('register map'!A:A,C294-5)),IF(ISBLANK(INDEX('register map'!A:A,C294-6)),IF(ISBLANK(INDEX('register map'!A:A,C294-7)),IF(ISBLANK(INDEX('register map'!A:A,C294-8)),"ERROR",INDEX('register map'!A:A,C294-8)),INDEX('register map'!A:A,C294-7)),INDEX('register map'!A:A,C294-6)),INDEX('register map'!A:A,C294-5)),INDEX('register map'!A:A,C294-4)),INDEX('register map'!A:A,C294-3)),INDEX('register map'!A:A,C294-2)),INDEX('register map'!A:A,C294-1)),INDEX('register map'!A:A,C294))</f>
        <v>0x38</v>
      </c>
      <c r="F294" s="117" t="str">
        <f>IF(ISBLANK(INDEX('register map'!B:B,C294)),IF(ISBLANK(INDEX('register map'!B:B,C294-1)),IF(ISBLANK(INDEX('register map'!B:B,C294-2)),IF(ISBLANK(INDEX('register map'!B:B,C294-3)),IF(ISBLANK(INDEX('register map'!B:B,C294-4)),IF(ISBLANK(INDEX('register map'!B:B,C294-5)),IF(ISBLANK(INDEX('register map'!B:B,C294-6)),IF(ISBLANK(INDEX('register map'!B:B,C294-7)),IF(ISBLANK(INDEX('register map'!B:B,C294-8)),"ERROR",INDEX('register map'!B:B,C294-8)),INDEX('register map'!B:B,C294-7)),INDEX('register map'!B:B,C294-6)),INDEX('register map'!B:B,C294-5)),INDEX('register map'!B:B,C294-4)),INDEX('register map'!B:B,C294-3)),INDEX('register map'!B:B,C294-2)),INDEX('register map'!B:B,C294-1)),INDEX('register map'!B:B,C294))</f>
        <v>0x07</v>
      </c>
      <c r="G294" s="117" t="str">
        <f>CONCATENATE(IF(ISNUMBER(INDEX('register map'!D:D,C294)),7,""),IF(ISNUMBER(INDEX('register map'!E:E,C294)),6,""),IF(ISNUMBER(INDEX('register map'!F:F,C294)),5,""),IF(ISNUMBER(INDEX('register map'!G:G,C294)),4,""),IF(ISNUMBER(INDEX('register map'!H:H,C294)),3,""),IF(ISNUMBER(INDEX('register map'!I:I,C294)),2,""),IF(ISNUMBER(INDEX('register map'!J:J,C294)),1,""),IF(ISNUMBER(INDEX('register map'!K:K,C294)),0,""))</f>
        <v>3</v>
      </c>
      <c r="H294" s="117" t="str">
        <f>RIGHT(INDEX('register map'!V:V,MATCH('Logical Group Generator'!B294,'register map'!L:L,0)),LEN(G294))</f>
        <v>1</v>
      </c>
      <c r="I294" s="117" t="str">
        <f>CONCATENATE(IF(ISNUMBER(INDEX('register map'!K:K,C294)),0,""),IF(ISNUMBER(INDEX('register map'!J:J,C294)),1,""),IF(ISNUMBER(INDEX('register map'!I:I,C294)),2,""),IF(ISNUMBER(INDEX('register map'!H:H,C294)),3,""),IF(ISNUMBER(INDEX('register map'!G:G,C294)),4,""),IF(ISNUMBER(INDEX('register map'!F:F,C294)),5,""),IF(ISNUMBER(INDEX('register map'!E:E,C294)),6,""),IF(ISNUMBER(INDEX('register map'!D:D,C294)),7,""))</f>
        <v>3</v>
      </c>
      <c r="J294" s="117" t="str">
        <f t="shared" si="51"/>
        <v>1</v>
      </c>
      <c r="K294" s="117" t="str">
        <f t="shared" si="44"/>
        <v/>
      </c>
      <c r="L294" s="117" t="str">
        <f t="shared" si="52"/>
        <v/>
      </c>
      <c r="M294" s="117" t="str">
        <f t="shared" si="54"/>
        <v/>
      </c>
      <c r="N294" s="117" t="str">
        <f>IF(ISBLANK(INDEX('register map'!M:M,'Logical Group Generator'!C294)),"No","Yes")</f>
        <v>No</v>
      </c>
      <c r="O294" s="117" t="str">
        <f>IF(NOT(ISBLANK(INDEX('register map'!N:N,'Logical Group Generator'!C294))),"Yes","")</f>
        <v/>
      </c>
      <c r="P294" s="117" t="str">
        <f t="shared" si="45"/>
        <v/>
      </c>
      <c r="Q294" s="117" t="str">
        <f t="shared" si="46"/>
        <v/>
      </c>
      <c r="R294" s="117" t="str">
        <f t="shared" si="47"/>
        <v/>
      </c>
      <c r="S294" s="117" t="str">
        <f t="shared" si="48"/>
        <v>No</v>
      </c>
      <c r="T294" s="117" t="str">
        <f t="shared" si="49"/>
        <v/>
      </c>
      <c r="U294" s="117" t="b">
        <f t="shared" si="53"/>
        <v>0</v>
      </c>
      <c r="V294" s="157" t="b">
        <f>INDEX('register map'!P:P,C294)="yes"</f>
        <v>1</v>
      </c>
      <c r="W294" s="157" t="str">
        <f t="shared" si="50"/>
        <v>FALSE</v>
      </c>
    </row>
    <row r="295" spans="2:23">
      <c r="B295" s="157" t="str">
        <f t="array" ref="B295">IF(ROWS($3:295)&lt;=COUNTA('register map'!$L$5:$L$902),INDEX('register map'!$L$5:$L$902,SMALL(IF('register map'!$L$5:$L$902&lt;&gt;"",ROW('register map'!$L$5:$L$902)-MIN(ROW('register map'!$L$5:$L$902))+1),ROWS($3:295))),"")</f>
        <v>OTP_RSVD_38_07_4</v>
      </c>
      <c r="C295" s="157">
        <f>IF(B295="PART_NUMBER",IF(COUNTIF($B$1:B294,"PART_NUMBER")=0,6,8),MATCH(B295,'register map'!L:L,0))</f>
        <v>399</v>
      </c>
      <c r="D295" s="117" t="str">
        <f>IF(ISBLANK(INDEX('register map'!C:C,'Logical Group Generator'!C295)),"No","Yes")</f>
        <v>No</v>
      </c>
      <c r="E295" s="117" t="str">
        <f>IF(ISBLANK(INDEX('register map'!A:A,C295)),IF(ISBLANK(INDEX('register map'!A:A,C295-1)),IF(ISBLANK(INDEX('register map'!A:A,C295-2)),IF(ISBLANK(INDEX('register map'!A:A,C295-3)),IF(ISBLANK(INDEX('register map'!A:A,C295-4)),IF(ISBLANK(INDEX('register map'!A:A,C295-5)),IF(ISBLANK(INDEX('register map'!A:A,C295-6)),IF(ISBLANK(INDEX('register map'!A:A,C295-7)),IF(ISBLANK(INDEX('register map'!A:A,C295-8)),"ERROR",INDEX('register map'!A:A,C295-8)),INDEX('register map'!A:A,C295-7)),INDEX('register map'!A:A,C295-6)),INDEX('register map'!A:A,C295-5)),INDEX('register map'!A:A,C295-4)),INDEX('register map'!A:A,C295-3)),INDEX('register map'!A:A,C295-2)),INDEX('register map'!A:A,C295-1)),INDEX('register map'!A:A,C295))</f>
        <v>0x38</v>
      </c>
      <c r="F295" s="117" t="str">
        <f>IF(ISBLANK(INDEX('register map'!B:B,C295)),IF(ISBLANK(INDEX('register map'!B:B,C295-1)),IF(ISBLANK(INDEX('register map'!B:B,C295-2)),IF(ISBLANK(INDEX('register map'!B:B,C295-3)),IF(ISBLANK(INDEX('register map'!B:B,C295-4)),IF(ISBLANK(INDEX('register map'!B:B,C295-5)),IF(ISBLANK(INDEX('register map'!B:B,C295-6)),IF(ISBLANK(INDEX('register map'!B:B,C295-7)),IF(ISBLANK(INDEX('register map'!B:B,C295-8)),"ERROR",INDEX('register map'!B:B,C295-8)),INDEX('register map'!B:B,C295-7)),INDEX('register map'!B:B,C295-6)),INDEX('register map'!B:B,C295-5)),INDEX('register map'!B:B,C295-4)),INDEX('register map'!B:B,C295-3)),INDEX('register map'!B:B,C295-2)),INDEX('register map'!B:B,C295-1)),INDEX('register map'!B:B,C295))</f>
        <v>0x07</v>
      </c>
      <c r="G295" s="117" t="str">
        <f>CONCATENATE(IF(ISNUMBER(INDEX('register map'!D:D,C295)),7,""),IF(ISNUMBER(INDEX('register map'!E:E,C295)),6,""),IF(ISNUMBER(INDEX('register map'!F:F,C295)),5,""),IF(ISNUMBER(INDEX('register map'!G:G,C295)),4,""),IF(ISNUMBER(INDEX('register map'!H:H,C295)),3,""),IF(ISNUMBER(INDEX('register map'!I:I,C295)),2,""),IF(ISNUMBER(INDEX('register map'!J:J,C295)),1,""),IF(ISNUMBER(INDEX('register map'!K:K,C295)),0,""))</f>
        <v>4</v>
      </c>
      <c r="H295" s="117" t="str">
        <f>RIGHT(INDEX('register map'!V:V,MATCH('Logical Group Generator'!B295,'register map'!L:L,0)),LEN(G295))</f>
        <v>1</v>
      </c>
      <c r="I295" s="117" t="str">
        <f>CONCATENATE(IF(ISNUMBER(INDEX('register map'!K:K,C295)),0,""),IF(ISNUMBER(INDEX('register map'!J:J,C295)),1,""),IF(ISNUMBER(INDEX('register map'!I:I,C295)),2,""),IF(ISNUMBER(INDEX('register map'!H:H,C295)),3,""),IF(ISNUMBER(INDEX('register map'!G:G,C295)),4,""),IF(ISNUMBER(INDEX('register map'!F:F,C295)),5,""),IF(ISNUMBER(INDEX('register map'!E:E,C295)),6,""),IF(ISNUMBER(INDEX('register map'!D:D,C295)),7,""))</f>
        <v>4</v>
      </c>
      <c r="J295" s="117" t="str">
        <f t="shared" si="51"/>
        <v>1</v>
      </c>
      <c r="K295" s="117" t="str">
        <f t="shared" si="44"/>
        <v/>
      </c>
      <c r="L295" s="117" t="str">
        <f t="shared" si="52"/>
        <v/>
      </c>
      <c r="M295" s="117" t="str">
        <f t="shared" si="54"/>
        <v/>
      </c>
      <c r="N295" s="117" t="str">
        <f>IF(ISBLANK(INDEX('register map'!M:M,'Logical Group Generator'!C295)),"No","Yes")</f>
        <v>No</v>
      </c>
      <c r="O295" s="117" t="str">
        <f>IF(NOT(ISBLANK(INDEX('register map'!N:N,'Logical Group Generator'!C295))),"Yes","")</f>
        <v/>
      </c>
      <c r="P295" s="117" t="str">
        <f t="shared" si="45"/>
        <v/>
      </c>
      <c r="Q295" s="117" t="str">
        <f t="shared" si="46"/>
        <v/>
      </c>
      <c r="R295" s="117" t="str">
        <f t="shared" si="47"/>
        <v/>
      </c>
      <c r="S295" s="117" t="str">
        <f t="shared" si="48"/>
        <v>No</v>
      </c>
      <c r="T295" s="117" t="str">
        <f t="shared" si="49"/>
        <v/>
      </c>
      <c r="U295" s="117" t="b">
        <f t="shared" si="53"/>
        <v>0</v>
      </c>
      <c r="V295" s="157" t="b">
        <f>INDEX('register map'!P:P,C295)="yes"</f>
        <v>1</v>
      </c>
      <c r="W295" s="157" t="str">
        <f t="shared" si="50"/>
        <v>FALSE</v>
      </c>
    </row>
    <row r="296" spans="2:23">
      <c r="B296" s="157" t="str">
        <f t="array" ref="B296">IF(ROWS($3:296)&lt;=COUNTA('register map'!$L$5:$L$902),INDEX('register map'!$L$5:$L$902,SMALL(IF('register map'!$L$5:$L$902&lt;&gt;"",ROW('register map'!$L$5:$L$902)-MIN(ROW('register map'!$L$5:$L$902))+1),ROWS($3:296))),"")</f>
        <v>OTP_RSVD_38_07_5</v>
      </c>
      <c r="C296" s="157">
        <f>IF(B296="PART_NUMBER",IF(COUNTIF($B$1:B295,"PART_NUMBER")=0,6,8),MATCH(B296,'register map'!L:L,0))</f>
        <v>400</v>
      </c>
      <c r="D296" s="117" t="str">
        <f>IF(ISBLANK(INDEX('register map'!C:C,'Logical Group Generator'!C296)),"No","Yes")</f>
        <v>No</v>
      </c>
      <c r="E296" s="117" t="str">
        <f>IF(ISBLANK(INDEX('register map'!A:A,C296)),IF(ISBLANK(INDEX('register map'!A:A,C296-1)),IF(ISBLANK(INDEX('register map'!A:A,C296-2)),IF(ISBLANK(INDEX('register map'!A:A,C296-3)),IF(ISBLANK(INDEX('register map'!A:A,C296-4)),IF(ISBLANK(INDEX('register map'!A:A,C296-5)),IF(ISBLANK(INDEX('register map'!A:A,C296-6)),IF(ISBLANK(INDEX('register map'!A:A,C296-7)),IF(ISBLANK(INDEX('register map'!A:A,C296-8)),"ERROR",INDEX('register map'!A:A,C296-8)),INDEX('register map'!A:A,C296-7)),INDEX('register map'!A:A,C296-6)),INDEX('register map'!A:A,C296-5)),INDEX('register map'!A:A,C296-4)),INDEX('register map'!A:A,C296-3)),INDEX('register map'!A:A,C296-2)),INDEX('register map'!A:A,C296-1)),INDEX('register map'!A:A,C296))</f>
        <v>0x38</v>
      </c>
      <c r="F296" s="117" t="str">
        <f>IF(ISBLANK(INDEX('register map'!B:B,C296)),IF(ISBLANK(INDEX('register map'!B:B,C296-1)),IF(ISBLANK(INDEX('register map'!B:B,C296-2)),IF(ISBLANK(INDEX('register map'!B:B,C296-3)),IF(ISBLANK(INDEX('register map'!B:B,C296-4)),IF(ISBLANK(INDEX('register map'!B:B,C296-5)),IF(ISBLANK(INDEX('register map'!B:B,C296-6)),IF(ISBLANK(INDEX('register map'!B:B,C296-7)),IF(ISBLANK(INDEX('register map'!B:B,C296-8)),"ERROR",INDEX('register map'!B:B,C296-8)),INDEX('register map'!B:B,C296-7)),INDEX('register map'!B:B,C296-6)),INDEX('register map'!B:B,C296-5)),INDEX('register map'!B:B,C296-4)),INDEX('register map'!B:B,C296-3)),INDEX('register map'!B:B,C296-2)),INDEX('register map'!B:B,C296-1)),INDEX('register map'!B:B,C296))</f>
        <v>0x07</v>
      </c>
      <c r="G296" s="117" t="str">
        <f>CONCATENATE(IF(ISNUMBER(INDEX('register map'!D:D,C296)),7,""),IF(ISNUMBER(INDEX('register map'!E:E,C296)),6,""),IF(ISNUMBER(INDEX('register map'!F:F,C296)),5,""),IF(ISNUMBER(INDEX('register map'!G:G,C296)),4,""),IF(ISNUMBER(INDEX('register map'!H:H,C296)),3,""),IF(ISNUMBER(INDEX('register map'!I:I,C296)),2,""),IF(ISNUMBER(INDEX('register map'!J:J,C296)),1,""),IF(ISNUMBER(INDEX('register map'!K:K,C296)),0,""))</f>
        <v>5</v>
      </c>
      <c r="H296" s="117" t="str">
        <f>RIGHT(INDEX('register map'!V:V,MATCH('Logical Group Generator'!B296,'register map'!L:L,0)),LEN(G296))</f>
        <v>1</v>
      </c>
      <c r="I296" s="117" t="str">
        <f>CONCATENATE(IF(ISNUMBER(INDEX('register map'!K:K,C296)),0,""),IF(ISNUMBER(INDEX('register map'!J:J,C296)),1,""),IF(ISNUMBER(INDEX('register map'!I:I,C296)),2,""),IF(ISNUMBER(INDEX('register map'!H:H,C296)),3,""),IF(ISNUMBER(INDEX('register map'!G:G,C296)),4,""),IF(ISNUMBER(INDEX('register map'!F:F,C296)),5,""),IF(ISNUMBER(INDEX('register map'!E:E,C296)),6,""),IF(ISNUMBER(INDEX('register map'!D:D,C296)),7,""))</f>
        <v>5</v>
      </c>
      <c r="J296" s="117" t="str">
        <f t="shared" si="51"/>
        <v>1</v>
      </c>
      <c r="K296" s="117" t="str">
        <f t="shared" si="44"/>
        <v/>
      </c>
      <c r="L296" s="117" t="str">
        <f t="shared" si="52"/>
        <v/>
      </c>
      <c r="M296" s="117" t="str">
        <f t="shared" si="54"/>
        <v/>
      </c>
      <c r="N296" s="117" t="str">
        <f>IF(ISBLANK(INDEX('register map'!M:M,'Logical Group Generator'!C296)),"No","Yes")</f>
        <v>No</v>
      </c>
      <c r="O296" s="117" t="str">
        <f>IF(NOT(ISBLANK(INDEX('register map'!N:N,'Logical Group Generator'!C296))),"Yes","")</f>
        <v/>
      </c>
      <c r="P296" s="117" t="str">
        <f t="shared" si="45"/>
        <v/>
      </c>
      <c r="Q296" s="117" t="str">
        <f t="shared" si="46"/>
        <v/>
      </c>
      <c r="R296" s="117" t="str">
        <f t="shared" si="47"/>
        <v/>
      </c>
      <c r="S296" s="117" t="str">
        <f t="shared" si="48"/>
        <v>No</v>
      </c>
      <c r="T296" s="117" t="str">
        <f t="shared" si="49"/>
        <v/>
      </c>
      <c r="U296" s="117" t="b">
        <f t="shared" si="53"/>
        <v>0</v>
      </c>
      <c r="V296" s="157" t="b">
        <f>INDEX('register map'!P:P,C296)="yes"</f>
        <v>1</v>
      </c>
      <c r="W296" s="157" t="str">
        <f t="shared" si="50"/>
        <v>FALSE</v>
      </c>
    </row>
    <row r="297" spans="2:23">
      <c r="B297" s="157" t="str">
        <f t="array" ref="B297">IF(ROWS($3:297)&lt;=COUNTA('register map'!$L$5:$L$902),INDEX('register map'!$L$5:$L$902,SMALL(IF('register map'!$L$5:$L$902&lt;&gt;"",ROW('register map'!$L$5:$L$902)-MIN(ROW('register map'!$L$5:$L$902))+1),ROWS($3:297))),"")</f>
        <v>OTP_RSVD_38_07_6</v>
      </c>
      <c r="C297" s="157">
        <f>IF(B297="PART_NUMBER",IF(COUNTIF($B$1:B296,"PART_NUMBER")=0,6,8),MATCH(B297,'register map'!L:L,0))</f>
        <v>401</v>
      </c>
      <c r="D297" s="117" t="str">
        <f>IF(ISBLANK(INDEX('register map'!C:C,'Logical Group Generator'!C297)),"No","Yes")</f>
        <v>No</v>
      </c>
      <c r="E297" s="117" t="str">
        <f>IF(ISBLANK(INDEX('register map'!A:A,C297)),IF(ISBLANK(INDEX('register map'!A:A,C297-1)),IF(ISBLANK(INDEX('register map'!A:A,C297-2)),IF(ISBLANK(INDEX('register map'!A:A,C297-3)),IF(ISBLANK(INDEX('register map'!A:A,C297-4)),IF(ISBLANK(INDEX('register map'!A:A,C297-5)),IF(ISBLANK(INDEX('register map'!A:A,C297-6)),IF(ISBLANK(INDEX('register map'!A:A,C297-7)),IF(ISBLANK(INDEX('register map'!A:A,C297-8)),"ERROR",INDEX('register map'!A:A,C297-8)),INDEX('register map'!A:A,C297-7)),INDEX('register map'!A:A,C297-6)),INDEX('register map'!A:A,C297-5)),INDEX('register map'!A:A,C297-4)),INDEX('register map'!A:A,C297-3)),INDEX('register map'!A:A,C297-2)),INDEX('register map'!A:A,C297-1)),INDEX('register map'!A:A,C297))</f>
        <v>0x38</v>
      </c>
      <c r="F297" s="117" t="str">
        <f>IF(ISBLANK(INDEX('register map'!B:B,C297)),IF(ISBLANK(INDEX('register map'!B:B,C297-1)),IF(ISBLANK(INDEX('register map'!B:B,C297-2)),IF(ISBLANK(INDEX('register map'!B:B,C297-3)),IF(ISBLANK(INDEX('register map'!B:B,C297-4)),IF(ISBLANK(INDEX('register map'!B:B,C297-5)),IF(ISBLANK(INDEX('register map'!B:B,C297-6)),IF(ISBLANK(INDEX('register map'!B:B,C297-7)),IF(ISBLANK(INDEX('register map'!B:B,C297-8)),"ERROR",INDEX('register map'!B:B,C297-8)),INDEX('register map'!B:B,C297-7)),INDEX('register map'!B:B,C297-6)),INDEX('register map'!B:B,C297-5)),INDEX('register map'!B:B,C297-4)),INDEX('register map'!B:B,C297-3)),INDEX('register map'!B:B,C297-2)),INDEX('register map'!B:B,C297-1)),INDEX('register map'!B:B,C297))</f>
        <v>0x07</v>
      </c>
      <c r="G297" s="117" t="str">
        <f>CONCATENATE(IF(ISNUMBER(INDEX('register map'!D:D,C297)),7,""),IF(ISNUMBER(INDEX('register map'!E:E,C297)),6,""),IF(ISNUMBER(INDEX('register map'!F:F,C297)),5,""),IF(ISNUMBER(INDEX('register map'!G:G,C297)),4,""),IF(ISNUMBER(INDEX('register map'!H:H,C297)),3,""),IF(ISNUMBER(INDEX('register map'!I:I,C297)),2,""),IF(ISNUMBER(INDEX('register map'!J:J,C297)),1,""),IF(ISNUMBER(INDEX('register map'!K:K,C297)),0,""))</f>
        <v>6</v>
      </c>
      <c r="H297" s="117" t="str">
        <f>RIGHT(INDEX('register map'!V:V,MATCH('Logical Group Generator'!B297,'register map'!L:L,0)),LEN(G297))</f>
        <v>1</v>
      </c>
      <c r="I297" s="117" t="str">
        <f>CONCATENATE(IF(ISNUMBER(INDEX('register map'!K:K,C297)),0,""),IF(ISNUMBER(INDEX('register map'!J:J,C297)),1,""),IF(ISNUMBER(INDEX('register map'!I:I,C297)),2,""),IF(ISNUMBER(INDEX('register map'!H:H,C297)),3,""),IF(ISNUMBER(INDEX('register map'!G:G,C297)),4,""),IF(ISNUMBER(INDEX('register map'!F:F,C297)),5,""),IF(ISNUMBER(INDEX('register map'!E:E,C297)),6,""),IF(ISNUMBER(INDEX('register map'!D:D,C297)),7,""))</f>
        <v>6</v>
      </c>
      <c r="J297" s="117" t="str">
        <f t="shared" si="51"/>
        <v>1</v>
      </c>
      <c r="K297" s="117" t="str">
        <f t="shared" si="44"/>
        <v/>
      </c>
      <c r="L297" s="117" t="str">
        <f t="shared" si="52"/>
        <v/>
      </c>
      <c r="M297" s="117" t="str">
        <f t="shared" si="54"/>
        <v/>
      </c>
      <c r="N297" s="117" t="str">
        <f>IF(ISBLANK(INDEX('register map'!M:M,'Logical Group Generator'!C297)),"No","Yes")</f>
        <v>No</v>
      </c>
      <c r="O297" s="117" t="str">
        <f>IF(NOT(ISBLANK(INDEX('register map'!N:N,'Logical Group Generator'!C297))),"Yes","")</f>
        <v/>
      </c>
      <c r="P297" s="117" t="str">
        <f t="shared" si="45"/>
        <v/>
      </c>
      <c r="Q297" s="117" t="str">
        <f t="shared" si="46"/>
        <v/>
      </c>
      <c r="R297" s="117" t="str">
        <f t="shared" si="47"/>
        <v/>
      </c>
      <c r="S297" s="117" t="str">
        <f t="shared" si="48"/>
        <v>No</v>
      </c>
      <c r="T297" s="117" t="str">
        <f t="shared" si="49"/>
        <v/>
      </c>
      <c r="U297" s="117" t="b">
        <f t="shared" si="53"/>
        <v>0</v>
      </c>
      <c r="V297" s="157" t="b">
        <f>INDEX('register map'!P:P,C297)="yes"</f>
        <v>1</v>
      </c>
      <c r="W297" s="157" t="str">
        <f t="shared" si="50"/>
        <v>FALSE</v>
      </c>
    </row>
    <row r="298" spans="2:23">
      <c r="B298" s="157" t="str">
        <f t="array" ref="B298">IF(ROWS($3:298)&lt;=COUNTA('register map'!$L$5:$L$902),INDEX('register map'!$L$5:$L$902,SMALL(IF('register map'!$L$5:$L$902&lt;&gt;"",ROW('register map'!$L$5:$L$902)-MIN(ROW('register map'!$L$5:$L$902))+1),ROWS($3:298))),"")</f>
        <v>OTP_RSVD_38_07_7</v>
      </c>
      <c r="C298" s="157">
        <f>IF(B298="PART_NUMBER",IF(COUNTIF($B$1:B297,"PART_NUMBER")=0,6,8),MATCH(B298,'register map'!L:L,0))</f>
        <v>402</v>
      </c>
      <c r="D298" s="117" t="str">
        <f>IF(ISBLANK(INDEX('register map'!C:C,'Logical Group Generator'!C298)),"No","Yes")</f>
        <v>No</v>
      </c>
      <c r="E298" s="117" t="str">
        <f>IF(ISBLANK(INDEX('register map'!A:A,C298)),IF(ISBLANK(INDEX('register map'!A:A,C298-1)),IF(ISBLANK(INDEX('register map'!A:A,C298-2)),IF(ISBLANK(INDEX('register map'!A:A,C298-3)),IF(ISBLANK(INDEX('register map'!A:A,C298-4)),IF(ISBLANK(INDEX('register map'!A:A,C298-5)),IF(ISBLANK(INDEX('register map'!A:A,C298-6)),IF(ISBLANK(INDEX('register map'!A:A,C298-7)),IF(ISBLANK(INDEX('register map'!A:A,C298-8)),"ERROR",INDEX('register map'!A:A,C298-8)),INDEX('register map'!A:A,C298-7)),INDEX('register map'!A:A,C298-6)),INDEX('register map'!A:A,C298-5)),INDEX('register map'!A:A,C298-4)),INDEX('register map'!A:A,C298-3)),INDEX('register map'!A:A,C298-2)),INDEX('register map'!A:A,C298-1)),INDEX('register map'!A:A,C298))</f>
        <v>0x38</v>
      </c>
      <c r="F298" s="117" t="str">
        <f>IF(ISBLANK(INDEX('register map'!B:B,C298)),IF(ISBLANK(INDEX('register map'!B:B,C298-1)),IF(ISBLANK(INDEX('register map'!B:B,C298-2)),IF(ISBLANK(INDEX('register map'!B:B,C298-3)),IF(ISBLANK(INDEX('register map'!B:B,C298-4)),IF(ISBLANK(INDEX('register map'!B:B,C298-5)),IF(ISBLANK(INDEX('register map'!B:B,C298-6)),IF(ISBLANK(INDEX('register map'!B:B,C298-7)),IF(ISBLANK(INDEX('register map'!B:B,C298-8)),"ERROR",INDEX('register map'!B:B,C298-8)),INDEX('register map'!B:B,C298-7)),INDEX('register map'!B:B,C298-6)),INDEX('register map'!B:B,C298-5)),INDEX('register map'!B:B,C298-4)),INDEX('register map'!B:B,C298-3)),INDEX('register map'!B:B,C298-2)),INDEX('register map'!B:B,C298-1)),INDEX('register map'!B:B,C298))</f>
        <v>0x07</v>
      </c>
      <c r="G298" s="117" t="str">
        <f>CONCATENATE(IF(ISNUMBER(INDEX('register map'!D:D,C298)),7,""),IF(ISNUMBER(INDEX('register map'!E:E,C298)),6,""),IF(ISNUMBER(INDEX('register map'!F:F,C298)),5,""),IF(ISNUMBER(INDEX('register map'!G:G,C298)),4,""),IF(ISNUMBER(INDEX('register map'!H:H,C298)),3,""),IF(ISNUMBER(INDEX('register map'!I:I,C298)),2,""),IF(ISNUMBER(INDEX('register map'!J:J,C298)),1,""),IF(ISNUMBER(INDEX('register map'!K:K,C298)),0,""))</f>
        <v>7</v>
      </c>
      <c r="H298" s="117" t="str">
        <f>RIGHT(INDEX('register map'!V:V,MATCH('Logical Group Generator'!B298,'register map'!L:L,0)),LEN(G298))</f>
        <v>1</v>
      </c>
      <c r="I298" s="117" t="str">
        <f>CONCATENATE(IF(ISNUMBER(INDEX('register map'!K:K,C298)),0,""),IF(ISNUMBER(INDEX('register map'!J:J,C298)),1,""),IF(ISNUMBER(INDEX('register map'!I:I,C298)),2,""),IF(ISNUMBER(INDEX('register map'!H:H,C298)),3,""),IF(ISNUMBER(INDEX('register map'!G:G,C298)),4,""),IF(ISNUMBER(INDEX('register map'!F:F,C298)),5,""),IF(ISNUMBER(INDEX('register map'!E:E,C298)),6,""),IF(ISNUMBER(INDEX('register map'!D:D,C298)),7,""))</f>
        <v>7</v>
      </c>
      <c r="J298" s="117" t="str">
        <f t="shared" si="51"/>
        <v>1</v>
      </c>
      <c r="K298" s="117" t="str">
        <f t="shared" si="44"/>
        <v/>
      </c>
      <c r="L298" s="117" t="str">
        <f t="shared" si="52"/>
        <v/>
      </c>
      <c r="M298" s="117" t="str">
        <f t="shared" si="54"/>
        <v/>
      </c>
      <c r="N298" s="117" t="str">
        <f>IF(ISBLANK(INDEX('register map'!M:M,'Logical Group Generator'!C298)),"No","Yes")</f>
        <v>No</v>
      </c>
      <c r="O298" s="117" t="str">
        <f>IF(NOT(ISBLANK(INDEX('register map'!N:N,'Logical Group Generator'!C298))),"Yes","")</f>
        <v/>
      </c>
      <c r="P298" s="117" t="str">
        <f t="shared" si="45"/>
        <v/>
      </c>
      <c r="Q298" s="117" t="str">
        <f t="shared" si="46"/>
        <v/>
      </c>
      <c r="R298" s="117" t="str">
        <f t="shared" si="47"/>
        <v/>
      </c>
      <c r="S298" s="117" t="str">
        <f t="shared" si="48"/>
        <v>No</v>
      </c>
      <c r="T298" s="117" t="str">
        <f t="shared" si="49"/>
        <v/>
      </c>
      <c r="U298" s="117" t="b">
        <f t="shared" si="53"/>
        <v>0</v>
      </c>
      <c r="V298" s="157" t="b">
        <f>INDEX('register map'!P:P,C298)="yes"</f>
        <v>1</v>
      </c>
      <c r="W298" s="157" t="str">
        <f t="shared" si="50"/>
        <v>FALSE</v>
      </c>
    </row>
    <row r="299" spans="2:23">
      <c r="B299" s="157" t="str">
        <f t="array" ref="B299">IF(ROWS($3:299)&lt;=COUNTA('register map'!$L$5:$L$902),INDEX('register map'!$L$5:$L$902,SMALL(IF('register map'!$L$5:$L$902&lt;&gt;"",ROW('register map'!$L$5:$L$902)-MIN(ROW('register map'!$L$5:$L$902))+1),ROWS($3:299))),"")</f>
        <v>BUCK1_CTRL_EN2</v>
      </c>
      <c r="C299" s="157">
        <f>IF(B299="PART_NUMBER",IF(COUNTIF($B$1:B298,"PART_NUMBER")=0,6,8),MATCH(B299,'register map'!L:L,0))</f>
        <v>403</v>
      </c>
      <c r="D299" s="117" t="str">
        <f>IF(ISBLANK(INDEX('register map'!C:C,'Logical Group Generator'!C299)),"No","Yes")</f>
        <v>Yes</v>
      </c>
      <c r="E299" s="117" t="str">
        <f>IF(ISBLANK(INDEX('register map'!A:A,C299)),IF(ISBLANK(INDEX('register map'!A:A,C299-1)),IF(ISBLANK(INDEX('register map'!A:A,C299-2)),IF(ISBLANK(INDEX('register map'!A:A,C299-3)),IF(ISBLANK(INDEX('register map'!A:A,C299-4)),IF(ISBLANK(INDEX('register map'!A:A,C299-5)),IF(ISBLANK(INDEX('register map'!A:A,C299-6)),IF(ISBLANK(INDEX('register map'!A:A,C299-7)),IF(ISBLANK(INDEX('register map'!A:A,C299-8)),"ERROR",INDEX('register map'!A:A,C299-8)),INDEX('register map'!A:A,C299-7)),INDEX('register map'!A:A,C299-6)),INDEX('register map'!A:A,C299-5)),INDEX('register map'!A:A,C299-4)),INDEX('register map'!A:A,C299-3)),INDEX('register map'!A:A,C299-2)),INDEX('register map'!A:A,C299-1)),INDEX('register map'!A:A,C299))</f>
        <v>0x38</v>
      </c>
      <c r="F299" s="117" t="str">
        <f>IF(ISBLANK(INDEX('register map'!B:B,C299)),IF(ISBLANK(INDEX('register map'!B:B,C299-1)),IF(ISBLANK(INDEX('register map'!B:B,C299-2)),IF(ISBLANK(INDEX('register map'!B:B,C299-3)),IF(ISBLANK(INDEX('register map'!B:B,C299-4)),IF(ISBLANK(INDEX('register map'!B:B,C299-5)),IF(ISBLANK(INDEX('register map'!B:B,C299-6)),IF(ISBLANK(INDEX('register map'!B:B,C299-7)),IF(ISBLANK(INDEX('register map'!B:B,C299-8)),"ERROR",INDEX('register map'!B:B,C299-8)),INDEX('register map'!B:B,C299-7)),INDEX('register map'!B:B,C299-6)),INDEX('register map'!B:B,C299-5)),INDEX('register map'!B:B,C299-4)),INDEX('register map'!B:B,C299-3)),INDEX('register map'!B:B,C299-2)),INDEX('register map'!B:B,C299-1)),INDEX('register map'!B:B,C299))</f>
        <v>0x08</v>
      </c>
      <c r="G299" s="117" t="str">
        <f>CONCATENATE(IF(ISNUMBER(INDEX('register map'!D:D,C299)),7,""),IF(ISNUMBER(INDEX('register map'!E:E,C299)),6,""),IF(ISNUMBER(INDEX('register map'!F:F,C299)),5,""),IF(ISNUMBER(INDEX('register map'!G:G,C299)),4,""),IF(ISNUMBER(INDEX('register map'!H:H,C299)),3,""),IF(ISNUMBER(INDEX('register map'!I:I,C299)),2,""),IF(ISNUMBER(INDEX('register map'!J:J,C299)),1,""),IF(ISNUMBER(INDEX('register map'!K:K,C299)),0,""))</f>
        <v/>
      </c>
      <c r="H299" s="117" t="str">
        <f>RIGHT(INDEX('register map'!V:V,MATCH('Logical Group Generator'!B299,'register map'!L:L,0)),LEN(G299))</f>
        <v/>
      </c>
      <c r="I299" s="117" t="str">
        <f>CONCATENATE(IF(ISNUMBER(INDEX('register map'!K:K,C299)),0,""),IF(ISNUMBER(INDEX('register map'!J:J,C299)),1,""),IF(ISNUMBER(INDEX('register map'!I:I,C299)),2,""),IF(ISNUMBER(INDEX('register map'!H:H,C299)),3,""),IF(ISNUMBER(INDEX('register map'!G:G,C299)),4,""),IF(ISNUMBER(INDEX('register map'!F:F,C299)),5,""),IF(ISNUMBER(INDEX('register map'!E:E,C299)),6,""),IF(ISNUMBER(INDEX('register map'!D:D,C299)),7,""))</f>
        <v/>
      </c>
      <c r="J299" s="117" t="str">
        <f t="shared" si="51"/>
        <v/>
      </c>
      <c r="K299" s="117" t="str">
        <f t="shared" si="44"/>
        <v>11000111</v>
      </c>
      <c r="L299" s="117" t="str">
        <f t="shared" si="52"/>
        <v>11100011</v>
      </c>
      <c r="M299" s="117" t="str">
        <f t="shared" si="54"/>
        <v>E3</v>
      </c>
      <c r="N299" s="117" t="str">
        <f>IF(ISBLANK(INDEX('register map'!M:M,'Logical Group Generator'!C299)),"No","Yes")</f>
        <v>No</v>
      </c>
      <c r="O299" s="117" t="str">
        <f>IF(NOT(ISBLANK(INDEX('register map'!N:N,'Logical Group Generator'!C299))),"Yes","")</f>
        <v/>
      </c>
      <c r="P299" s="117" t="str">
        <f t="shared" si="45"/>
        <v>No</v>
      </c>
      <c r="Q299" s="117" t="str">
        <f t="shared" si="46"/>
        <v>No</v>
      </c>
      <c r="R299" s="117" t="str">
        <f t="shared" si="47"/>
        <v>No</v>
      </c>
      <c r="S299" s="117" t="str">
        <f t="shared" si="48"/>
        <v/>
      </c>
      <c r="T299" s="117" t="b">
        <f t="shared" si="49"/>
        <v>1</v>
      </c>
      <c r="U299" s="117" t="b">
        <f t="shared" si="53"/>
        <v>1</v>
      </c>
      <c r="V299" s="157" t="b">
        <f>INDEX('register map'!P:P,C299)="yes"</f>
        <v>1</v>
      </c>
      <c r="W299" s="157" t="str">
        <f t="shared" si="50"/>
        <v>REGISTER</v>
      </c>
    </row>
    <row r="300" spans="2:23">
      <c r="B300" s="157" t="str">
        <f t="array" ref="B300">IF(ROWS($3:300)&lt;=COUNTA('register map'!$L$5:$L$902),INDEX('register map'!$L$5:$L$902,SMALL(IF('register map'!$L$5:$L$902&lt;&gt;"",ROW('register map'!$L$5:$L$902)-MIN(ROW('register map'!$L$5:$L$902))+1),ROWS($3:300))),"")</f>
        <v>OTP_RSVD_38_08_0</v>
      </c>
      <c r="C300" s="157">
        <f>IF(B300="PART_NUMBER",IF(COUNTIF($B$1:B299,"PART_NUMBER")=0,6,8),MATCH(B300,'register map'!L:L,0))</f>
        <v>404</v>
      </c>
      <c r="D300" s="117" t="str">
        <f>IF(ISBLANK(INDEX('register map'!C:C,'Logical Group Generator'!C300)),"No","Yes")</f>
        <v>No</v>
      </c>
      <c r="E300" s="117" t="str">
        <f>IF(ISBLANK(INDEX('register map'!A:A,C300)),IF(ISBLANK(INDEX('register map'!A:A,C300-1)),IF(ISBLANK(INDEX('register map'!A:A,C300-2)),IF(ISBLANK(INDEX('register map'!A:A,C300-3)),IF(ISBLANK(INDEX('register map'!A:A,C300-4)),IF(ISBLANK(INDEX('register map'!A:A,C300-5)),IF(ISBLANK(INDEX('register map'!A:A,C300-6)),IF(ISBLANK(INDEX('register map'!A:A,C300-7)),IF(ISBLANK(INDEX('register map'!A:A,C300-8)),"ERROR",INDEX('register map'!A:A,C300-8)),INDEX('register map'!A:A,C300-7)),INDEX('register map'!A:A,C300-6)),INDEX('register map'!A:A,C300-5)),INDEX('register map'!A:A,C300-4)),INDEX('register map'!A:A,C300-3)),INDEX('register map'!A:A,C300-2)),INDEX('register map'!A:A,C300-1)),INDEX('register map'!A:A,C300))</f>
        <v>0x38</v>
      </c>
      <c r="F300" s="117" t="str">
        <f>IF(ISBLANK(INDEX('register map'!B:B,C300)),IF(ISBLANK(INDEX('register map'!B:B,C300-1)),IF(ISBLANK(INDEX('register map'!B:B,C300-2)),IF(ISBLANK(INDEX('register map'!B:B,C300-3)),IF(ISBLANK(INDEX('register map'!B:B,C300-4)),IF(ISBLANK(INDEX('register map'!B:B,C300-5)),IF(ISBLANK(INDEX('register map'!B:B,C300-6)),IF(ISBLANK(INDEX('register map'!B:B,C300-7)),IF(ISBLANK(INDEX('register map'!B:B,C300-8)),"ERROR",INDEX('register map'!B:B,C300-8)),INDEX('register map'!B:B,C300-7)),INDEX('register map'!B:B,C300-6)),INDEX('register map'!B:B,C300-5)),INDEX('register map'!B:B,C300-4)),INDEX('register map'!B:B,C300-3)),INDEX('register map'!B:B,C300-2)),INDEX('register map'!B:B,C300-1)),INDEX('register map'!B:B,C300))</f>
        <v>0x08</v>
      </c>
      <c r="G300" s="117" t="str">
        <f>CONCATENATE(IF(ISNUMBER(INDEX('register map'!D:D,C300)),7,""),IF(ISNUMBER(INDEX('register map'!E:E,C300)),6,""),IF(ISNUMBER(INDEX('register map'!F:F,C300)),5,""),IF(ISNUMBER(INDEX('register map'!G:G,C300)),4,""),IF(ISNUMBER(INDEX('register map'!H:H,C300)),3,""),IF(ISNUMBER(INDEX('register map'!I:I,C300)),2,""),IF(ISNUMBER(INDEX('register map'!J:J,C300)),1,""),IF(ISNUMBER(INDEX('register map'!K:K,C300)),0,""))</f>
        <v>0</v>
      </c>
      <c r="H300" s="117" t="str">
        <f>RIGHT(INDEX('register map'!V:V,MATCH('Logical Group Generator'!B300,'register map'!L:L,0)),LEN(G300))</f>
        <v>1</v>
      </c>
      <c r="I300" s="117" t="str">
        <f>CONCATENATE(IF(ISNUMBER(INDEX('register map'!K:K,C300)),0,""),IF(ISNUMBER(INDEX('register map'!J:J,C300)),1,""),IF(ISNUMBER(INDEX('register map'!I:I,C300)),2,""),IF(ISNUMBER(INDEX('register map'!H:H,C300)),3,""),IF(ISNUMBER(INDEX('register map'!G:G,C300)),4,""),IF(ISNUMBER(INDEX('register map'!F:F,C300)),5,""),IF(ISNUMBER(INDEX('register map'!E:E,C300)),6,""),IF(ISNUMBER(INDEX('register map'!D:D,C300)),7,""))</f>
        <v>0</v>
      </c>
      <c r="J300" s="117" t="str">
        <f t="shared" si="51"/>
        <v>1</v>
      </c>
      <c r="K300" s="117" t="str">
        <f t="shared" si="44"/>
        <v/>
      </c>
      <c r="L300" s="117" t="str">
        <f t="shared" si="52"/>
        <v/>
      </c>
      <c r="M300" s="117" t="str">
        <f t="shared" si="54"/>
        <v/>
      </c>
      <c r="N300" s="117" t="str">
        <f>IF(ISBLANK(INDEX('register map'!M:M,'Logical Group Generator'!C300)),"No","Yes")</f>
        <v>No</v>
      </c>
      <c r="O300" s="117" t="str">
        <f>IF(NOT(ISBLANK(INDEX('register map'!N:N,'Logical Group Generator'!C300))),"Yes","")</f>
        <v/>
      </c>
      <c r="P300" s="117" t="str">
        <f t="shared" si="45"/>
        <v/>
      </c>
      <c r="Q300" s="117" t="str">
        <f t="shared" si="46"/>
        <v/>
      </c>
      <c r="R300" s="117" t="str">
        <f t="shared" si="47"/>
        <v/>
      </c>
      <c r="S300" s="117" t="str">
        <f t="shared" si="48"/>
        <v>No</v>
      </c>
      <c r="T300" s="117" t="str">
        <f t="shared" si="49"/>
        <v/>
      </c>
      <c r="U300" s="117" t="b">
        <f t="shared" si="53"/>
        <v>0</v>
      </c>
      <c r="V300" s="157" t="b">
        <f>INDEX('register map'!P:P,C300)="yes"</f>
        <v>1</v>
      </c>
      <c r="W300" s="157" t="str">
        <f t="shared" si="50"/>
        <v>FALSE</v>
      </c>
    </row>
    <row r="301" spans="2:23">
      <c r="B301" s="157" t="str">
        <f t="array" ref="B301">IF(ROWS($3:301)&lt;=COUNTA('register map'!$L$5:$L$902),INDEX('register map'!$L$5:$L$902,SMALL(IF('register map'!$L$5:$L$902&lt;&gt;"",ROW('register map'!$L$5:$L$902)-MIN(ROW('register map'!$L$5:$L$902))+1),ROWS($3:301))),"")</f>
        <v>OTP_RSVD_38_08_1</v>
      </c>
      <c r="C301" s="157">
        <f>IF(B301="PART_NUMBER",IF(COUNTIF($B$1:B300,"PART_NUMBER")=0,6,8),MATCH(B301,'register map'!L:L,0))</f>
        <v>405</v>
      </c>
      <c r="D301" s="117" t="str">
        <f>IF(ISBLANK(INDEX('register map'!C:C,'Logical Group Generator'!C301)),"No","Yes")</f>
        <v>No</v>
      </c>
      <c r="E301" s="117" t="str">
        <f>IF(ISBLANK(INDEX('register map'!A:A,C301)),IF(ISBLANK(INDEX('register map'!A:A,C301-1)),IF(ISBLANK(INDEX('register map'!A:A,C301-2)),IF(ISBLANK(INDEX('register map'!A:A,C301-3)),IF(ISBLANK(INDEX('register map'!A:A,C301-4)),IF(ISBLANK(INDEX('register map'!A:A,C301-5)),IF(ISBLANK(INDEX('register map'!A:A,C301-6)),IF(ISBLANK(INDEX('register map'!A:A,C301-7)),IF(ISBLANK(INDEX('register map'!A:A,C301-8)),"ERROR",INDEX('register map'!A:A,C301-8)),INDEX('register map'!A:A,C301-7)),INDEX('register map'!A:A,C301-6)),INDEX('register map'!A:A,C301-5)),INDEX('register map'!A:A,C301-4)),INDEX('register map'!A:A,C301-3)),INDEX('register map'!A:A,C301-2)),INDEX('register map'!A:A,C301-1)),INDEX('register map'!A:A,C301))</f>
        <v>0x38</v>
      </c>
      <c r="F301" s="117" t="str">
        <f>IF(ISBLANK(INDEX('register map'!B:B,C301)),IF(ISBLANK(INDEX('register map'!B:B,C301-1)),IF(ISBLANK(INDEX('register map'!B:B,C301-2)),IF(ISBLANK(INDEX('register map'!B:B,C301-3)),IF(ISBLANK(INDEX('register map'!B:B,C301-4)),IF(ISBLANK(INDEX('register map'!B:B,C301-5)),IF(ISBLANK(INDEX('register map'!B:B,C301-6)),IF(ISBLANK(INDEX('register map'!B:B,C301-7)),IF(ISBLANK(INDEX('register map'!B:B,C301-8)),"ERROR",INDEX('register map'!B:B,C301-8)),INDEX('register map'!B:B,C301-7)),INDEX('register map'!B:B,C301-6)),INDEX('register map'!B:B,C301-5)),INDEX('register map'!B:B,C301-4)),INDEX('register map'!B:B,C301-3)),INDEX('register map'!B:B,C301-2)),INDEX('register map'!B:B,C301-1)),INDEX('register map'!B:B,C301))</f>
        <v>0x08</v>
      </c>
      <c r="G301" s="117" t="str">
        <f>CONCATENATE(IF(ISNUMBER(INDEX('register map'!D:D,C301)),7,""),IF(ISNUMBER(INDEX('register map'!E:E,C301)),6,""),IF(ISNUMBER(INDEX('register map'!F:F,C301)),5,""),IF(ISNUMBER(INDEX('register map'!G:G,C301)),4,""),IF(ISNUMBER(INDEX('register map'!H:H,C301)),3,""),IF(ISNUMBER(INDEX('register map'!I:I,C301)),2,""),IF(ISNUMBER(INDEX('register map'!J:J,C301)),1,""),IF(ISNUMBER(INDEX('register map'!K:K,C301)),0,""))</f>
        <v>1</v>
      </c>
      <c r="H301" s="117" t="str">
        <f>RIGHT(INDEX('register map'!V:V,MATCH('Logical Group Generator'!B301,'register map'!L:L,0)),LEN(G301))</f>
        <v>1</v>
      </c>
      <c r="I301" s="117" t="str">
        <f>CONCATENATE(IF(ISNUMBER(INDEX('register map'!K:K,C301)),0,""),IF(ISNUMBER(INDEX('register map'!J:J,C301)),1,""),IF(ISNUMBER(INDEX('register map'!I:I,C301)),2,""),IF(ISNUMBER(INDEX('register map'!H:H,C301)),3,""),IF(ISNUMBER(INDEX('register map'!G:G,C301)),4,""),IF(ISNUMBER(INDEX('register map'!F:F,C301)),5,""),IF(ISNUMBER(INDEX('register map'!E:E,C301)),6,""),IF(ISNUMBER(INDEX('register map'!D:D,C301)),7,""))</f>
        <v>1</v>
      </c>
      <c r="J301" s="117" t="str">
        <f t="shared" si="51"/>
        <v>1</v>
      </c>
      <c r="K301" s="117" t="str">
        <f t="shared" si="44"/>
        <v/>
      </c>
      <c r="L301" s="117" t="str">
        <f t="shared" si="52"/>
        <v/>
      </c>
      <c r="M301" s="117" t="str">
        <f t="shared" si="54"/>
        <v/>
      </c>
      <c r="N301" s="117" t="str">
        <f>IF(ISBLANK(INDEX('register map'!M:M,'Logical Group Generator'!C301)),"No","Yes")</f>
        <v>No</v>
      </c>
      <c r="O301" s="117" t="str">
        <f>IF(NOT(ISBLANK(INDEX('register map'!N:N,'Logical Group Generator'!C301))),"Yes","")</f>
        <v/>
      </c>
      <c r="P301" s="117" t="str">
        <f t="shared" si="45"/>
        <v/>
      </c>
      <c r="Q301" s="117" t="str">
        <f t="shared" si="46"/>
        <v/>
      </c>
      <c r="R301" s="117" t="str">
        <f t="shared" si="47"/>
        <v/>
      </c>
      <c r="S301" s="117" t="str">
        <f t="shared" si="48"/>
        <v>No</v>
      </c>
      <c r="T301" s="117" t="str">
        <f t="shared" si="49"/>
        <v/>
      </c>
      <c r="U301" s="117" t="b">
        <f t="shared" si="53"/>
        <v>0</v>
      </c>
      <c r="V301" s="157" t="b">
        <f>INDEX('register map'!P:P,C301)="yes"</f>
        <v>1</v>
      </c>
      <c r="W301" s="157" t="str">
        <f t="shared" si="50"/>
        <v>FALSE</v>
      </c>
    </row>
    <row r="302" spans="2:23">
      <c r="B302" s="157" t="str">
        <f t="array" ref="B302">IF(ROWS($3:302)&lt;=COUNTA('register map'!$L$5:$L$902),INDEX('register map'!$L$5:$L$902,SMALL(IF('register map'!$L$5:$L$902&lt;&gt;"",ROW('register map'!$L$5:$L$902)-MIN(ROW('register map'!$L$5:$L$902))+1),ROWS($3:302))),"")</f>
        <v>OTP_RSVD_38_08_432</v>
      </c>
      <c r="C302" s="157">
        <f>IF(B302="PART_NUMBER",IF(COUNTIF($B$1:B301,"PART_NUMBER")=0,6,8),MATCH(B302,'register map'!L:L,0))</f>
        <v>406</v>
      </c>
      <c r="D302" s="117" t="str">
        <f>IF(ISBLANK(INDEX('register map'!C:C,'Logical Group Generator'!C302)),"No","Yes")</f>
        <v>No</v>
      </c>
      <c r="E302" s="117" t="str">
        <f>IF(ISBLANK(INDEX('register map'!A:A,C302)),IF(ISBLANK(INDEX('register map'!A:A,C302-1)),IF(ISBLANK(INDEX('register map'!A:A,C302-2)),IF(ISBLANK(INDEX('register map'!A:A,C302-3)),IF(ISBLANK(INDEX('register map'!A:A,C302-4)),IF(ISBLANK(INDEX('register map'!A:A,C302-5)),IF(ISBLANK(INDEX('register map'!A:A,C302-6)),IF(ISBLANK(INDEX('register map'!A:A,C302-7)),IF(ISBLANK(INDEX('register map'!A:A,C302-8)),"ERROR",INDEX('register map'!A:A,C302-8)),INDEX('register map'!A:A,C302-7)),INDEX('register map'!A:A,C302-6)),INDEX('register map'!A:A,C302-5)),INDEX('register map'!A:A,C302-4)),INDEX('register map'!A:A,C302-3)),INDEX('register map'!A:A,C302-2)),INDEX('register map'!A:A,C302-1)),INDEX('register map'!A:A,C302))</f>
        <v>0x38</v>
      </c>
      <c r="F302" s="117" t="str">
        <f>IF(ISBLANK(INDEX('register map'!B:B,C302)),IF(ISBLANK(INDEX('register map'!B:B,C302-1)),IF(ISBLANK(INDEX('register map'!B:B,C302-2)),IF(ISBLANK(INDEX('register map'!B:B,C302-3)),IF(ISBLANK(INDEX('register map'!B:B,C302-4)),IF(ISBLANK(INDEX('register map'!B:B,C302-5)),IF(ISBLANK(INDEX('register map'!B:B,C302-6)),IF(ISBLANK(INDEX('register map'!B:B,C302-7)),IF(ISBLANK(INDEX('register map'!B:B,C302-8)),"ERROR",INDEX('register map'!B:B,C302-8)),INDEX('register map'!B:B,C302-7)),INDEX('register map'!B:B,C302-6)),INDEX('register map'!B:B,C302-5)),INDEX('register map'!B:B,C302-4)),INDEX('register map'!B:B,C302-3)),INDEX('register map'!B:B,C302-2)),INDEX('register map'!B:B,C302-1)),INDEX('register map'!B:B,C302))</f>
        <v>0x08</v>
      </c>
      <c r="G302" s="117" t="str">
        <f>CONCATENATE(IF(ISNUMBER(INDEX('register map'!D:D,C302)),7,""),IF(ISNUMBER(INDEX('register map'!E:E,C302)),6,""),IF(ISNUMBER(INDEX('register map'!F:F,C302)),5,""),IF(ISNUMBER(INDEX('register map'!G:G,C302)),4,""),IF(ISNUMBER(INDEX('register map'!H:H,C302)),3,""),IF(ISNUMBER(INDEX('register map'!I:I,C302)),2,""),IF(ISNUMBER(INDEX('register map'!J:J,C302)),1,""),IF(ISNUMBER(INDEX('register map'!K:K,C302)),0,""))</f>
        <v>432</v>
      </c>
      <c r="H302" s="117" t="str">
        <f>RIGHT(INDEX('register map'!V:V,MATCH('Logical Group Generator'!B302,'register map'!L:L,0)),LEN(G302))</f>
        <v>000</v>
      </c>
      <c r="I302" s="117" t="str">
        <f>CONCATENATE(IF(ISNUMBER(INDEX('register map'!K:K,C302)),0,""),IF(ISNUMBER(INDEX('register map'!J:J,C302)),1,""),IF(ISNUMBER(INDEX('register map'!I:I,C302)),2,""),IF(ISNUMBER(INDEX('register map'!H:H,C302)),3,""),IF(ISNUMBER(INDEX('register map'!G:G,C302)),4,""),IF(ISNUMBER(INDEX('register map'!F:F,C302)),5,""),IF(ISNUMBER(INDEX('register map'!E:E,C302)),6,""),IF(ISNUMBER(INDEX('register map'!D:D,C302)),7,""))</f>
        <v>234</v>
      </c>
      <c r="J302" s="117" t="str">
        <f t="shared" si="51"/>
        <v>000</v>
      </c>
      <c r="K302" s="117" t="str">
        <f t="shared" si="44"/>
        <v/>
      </c>
      <c r="L302" s="117" t="str">
        <f t="shared" si="52"/>
        <v/>
      </c>
      <c r="M302" s="117" t="str">
        <f t="shared" si="54"/>
        <v/>
      </c>
      <c r="N302" s="117" t="str">
        <f>IF(ISBLANK(INDEX('register map'!M:M,'Logical Group Generator'!C302)),"No","Yes")</f>
        <v>No</v>
      </c>
      <c r="O302" s="117" t="str">
        <f>IF(NOT(ISBLANK(INDEX('register map'!N:N,'Logical Group Generator'!C302))),"Yes","")</f>
        <v/>
      </c>
      <c r="P302" s="117" t="str">
        <f t="shared" si="45"/>
        <v/>
      </c>
      <c r="Q302" s="117" t="str">
        <f t="shared" si="46"/>
        <v/>
      </c>
      <c r="R302" s="117" t="str">
        <f t="shared" si="47"/>
        <v/>
      </c>
      <c r="S302" s="117" t="str">
        <f t="shared" si="48"/>
        <v>No</v>
      </c>
      <c r="T302" s="117" t="str">
        <f t="shared" si="49"/>
        <v/>
      </c>
      <c r="U302" s="117" t="b">
        <f t="shared" si="53"/>
        <v>0</v>
      </c>
      <c r="V302" s="157" t="b">
        <f>INDEX('register map'!P:P,C302)="yes"</f>
        <v>1</v>
      </c>
      <c r="W302" s="157" t="str">
        <f t="shared" si="50"/>
        <v>FALSE</v>
      </c>
    </row>
    <row r="303" spans="2:23">
      <c r="B303" s="157" t="str">
        <f t="array" ref="B303">IF(ROWS($3:303)&lt;=COUNTA('register map'!$L$5:$L$902),INDEX('register map'!$L$5:$L$902,SMALL(IF('register map'!$L$5:$L$902&lt;&gt;"",ROW('register map'!$L$5:$L$902)-MIN(ROW('register map'!$L$5:$L$902))+1),ROWS($3:303))),"")</f>
        <v>OTP_RSVD_38_08_5</v>
      </c>
      <c r="C303" s="157">
        <f>IF(B303="PART_NUMBER",IF(COUNTIF($B$1:B302,"PART_NUMBER")=0,6,8),MATCH(B303,'register map'!L:L,0))</f>
        <v>407</v>
      </c>
      <c r="D303" s="117" t="str">
        <f>IF(ISBLANK(INDEX('register map'!C:C,'Logical Group Generator'!C303)),"No","Yes")</f>
        <v>No</v>
      </c>
      <c r="E303" s="117" t="str">
        <f>IF(ISBLANK(INDEX('register map'!A:A,C303)),IF(ISBLANK(INDEX('register map'!A:A,C303-1)),IF(ISBLANK(INDEX('register map'!A:A,C303-2)),IF(ISBLANK(INDEX('register map'!A:A,C303-3)),IF(ISBLANK(INDEX('register map'!A:A,C303-4)),IF(ISBLANK(INDEX('register map'!A:A,C303-5)),IF(ISBLANK(INDEX('register map'!A:A,C303-6)),IF(ISBLANK(INDEX('register map'!A:A,C303-7)),IF(ISBLANK(INDEX('register map'!A:A,C303-8)),"ERROR",INDEX('register map'!A:A,C303-8)),INDEX('register map'!A:A,C303-7)),INDEX('register map'!A:A,C303-6)),INDEX('register map'!A:A,C303-5)),INDEX('register map'!A:A,C303-4)),INDEX('register map'!A:A,C303-3)),INDEX('register map'!A:A,C303-2)),INDEX('register map'!A:A,C303-1)),INDEX('register map'!A:A,C303))</f>
        <v>0x38</v>
      </c>
      <c r="F303" s="117" t="str">
        <f>IF(ISBLANK(INDEX('register map'!B:B,C303)),IF(ISBLANK(INDEX('register map'!B:B,C303-1)),IF(ISBLANK(INDEX('register map'!B:B,C303-2)),IF(ISBLANK(INDEX('register map'!B:B,C303-3)),IF(ISBLANK(INDEX('register map'!B:B,C303-4)),IF(ISBLANK(INDEX('register map'!B:B,C303-5)),IF(ISBLANK(INDEX('register map'!B:B,C303-6)),IF(ISBLANK(INDEX('register map'!B:B,C303-7)),IF(ISBLANK(INDEX('register map'!B:B,C303-8)),"ERROR",INDEX('register map'!B:B,C303-8)),INDEX('register map'!B:B,C303-7)),INDEX('register map'!B:B,C303-6)),INDEX('register map'!B:B,C303-5)),INDEX('register map'!B:B,C303-4)),INDEX('register map'!B:B,C303-3)),INDEX('register map'!B:B,C303-2)),INDEX('register map'!B:B,C303-1)),INDEX('register map'!B:B,C303))</f>
        <v>0x08</v>
      </c>
      <c r="G303" s="117" t="str">
        <f>CONCATENATE(IF(ISNUMBER(INDEX('register map'!D:D,C303)),7,""),IF(ISNUMBER(INDEX('register map'!E:E,C303)),6,""),IF(ISNUMBER(INDEX('register map'!F:F,C303)),5,""),IF(ISNUMBER(INDEX('register map'!G:G,C303)),4,""),IF(ISNUMBER(INDEX('register map'!H:H,C303)),3,""),IF(ISNUMBER(INDEX('register map'!I:I,C303)),2,""),IF(ISNUMBER(INDEX('register map'!J:J,C303)),1,""),IF(ISNUMBER(INDEX('register map'!K:K,C303)),0,""))</f>
        <v>5</v>
      </c>
      <c r="H303" s="117" t="str">
        <f>RIGHT(INDEX('register map'!V:V,MATCH('Logical Group Generator'!B303,'register map'!L:L,0)),LEN(G303))</f>
        <v>1</v>
      </c>
      <c r="I303" s="117" t="str">
        <f>CONCATENATE(IF(ISNUMBER(INDEX('register map'!K:K,C303)),0,""),IF(ISNUMBER(INDEX('register map'!J:J,C303)),1,""),IF(ISNUMBER(INDEX('register map'!I:I,C303)),2,""),IF(ISNUMBER(INDEX('register map'!H:H,C303)),3,""),IF(ISNUMBER(INDEX('register map'!G:G,C303)),4,""),IF(ISNUMBER(INDEX('register map'!F:F,C303)),5,""),IF(ISNUMBER(INDEX('register map'!E:E,C303)),6,""),IF(ISNUMBER(INDEX('register map'!D:D,C303)),7,""))</f>
        <v>5</v>
      </c>
      <c r="J303" s="117" t="str">
        <f t="shared" si="51"/>
        <v>1</v>
      </c>
      <c r="K303" s="117" t="str">
        <f t="shared" si="44"/>
        <v/>
      </c>
      <c r="L303" s="117" t="str">
        <f t="shared" si="52"/>
        <v/>
      </c>
      <c r="M303" s="117" t="str">
        <f t="shared" si="54"/>
        <v/>
      </c>
      <c r="N303" s="117" t="str">
        <f>IF(ISBLANK(INDEX('register map'!M:M,'Logical Group Generator'!C303)),"No","Yes")</f>
        <v>No</v>
      </c>
      <c r="O303" s="117" t="str">
        <f>IF(NOT(ISBLANK(INDEX('register map'!N:N,'Logical Group Generator'!C303))),"Yes","")</f>
        <v/>
      </c>
      <c r="P303" s="117" t="str">
        <f t="shared" si="45"/>
        <v/>
      </c>
      <c r="Q303" s="117" t="str">
        <f t="shared" si="46"/>
        <v/>
      </c>
      <c r="R303" s="117" t="str">
        <f t="shared" si="47"/>
        <v/>
      </c>
      <c r="S303" s="117" t="str">
        <f t="shared" si="48"/>
        <v>No</v>
      </c>
      <c r="T303" s="117" t="str">
        <f t="shared" si="49"/>
        <v/>
      </c>
      <c r="U303" s="117" t="b">
        <f t="shared" si="53"/>
        <v>0</v>
      </c>
      <c r="V303" s="157" t="b">
        <f>INDEX('register map'!P:P,C303)="yes"</f>
        <v>1</v>
      </c>
      <c r="W303" s="157" t="str">
        <f t="shared" si="50"/>
        <v>FALSE</v>
      </c>
    </row>
    <row r="304" spans="2:23">
      <c r="B304" s="157" t="str">
        <f t="array" ref="B304">IF(ROWS($3:304)&lt;=COUNTA('register map'!$L$5:$L$902),INDEX('register map'!$L$5:$L$902,SMALL(IF('register map'!$L$5:$L$902&lt;&gt;"",ROW('register map'!$L$5:$L$902)-MIN(ROW('register map'!$L$5:$L$902))+1),ROWS($3:304))),"")</f>
        <v>OTP_RSVD_38_08_76</v>
      </c>
      <c r="C304" s="157">
        <f>IF(B304="PART_NUMBER",IF(COUNTIF($B$1:B303,"PART_NUMBER")=0,6,8),MATCH(B304,'register map'!L:L,0))</f>
        <v>408</v>
      </c>
      <c r="D304" s="117" t="str">
        <f>IF(ISBLANK(INDEX('register map'!C:C,'Logical Group Generator'!C304)),"No","Yes")</f>
        <v>No</v>
      </c>
      <c r="E304" s="117" t="str">
        <f>IF(ISBLANK(INDEX('register map'!A:A,C304)),IF(ISBLANK(INDEX('register map'!A:A,C304-1)),IF(ISBLANK(INDEX('register map'!A:A,C304-2)),IF(ISBLANK(INDEX('register map'!A:A,C304-3)),IF(ISBLANK(INDEX('register map'!A:A,C304-4)),IF(ISBLANK(INDEX('register map'!A:A,C304-5)),IF(ISBLANK(INDEX('register map'!A:A,C304-6)),IF(ISBLANK(INDEX('register map'!A:A,C304-7)),IF(ISBLANK(INDEX('register map'!A:A,C304-8)),"ERROR",INDEX('register map'!A:A,C304-8)),INDEX('register map'!A:A,C304-7)),INDEX('register map'!A:A,C304-6)),INDEX('register map'!A:A,C304-5)),INDEX('register map'!A:A,C304-4)),INDEX('register map'!A:A,C304-3)),INDEX('register map'!A:A,C304-2)),INDEX('register map'!A:A,C304-1)),INDEX('register map'!A:A,C304))</f>
        <v>0x38</v>
      </c>
      <c r="F304" s="117" t="str">
        <f>IF(ISBLANK(INDEX('register map'!B:B,C304)),IF(ISBLANK(INDEX('register map'!B:B,C304-1)),IF(ISBLANK(INDEX('register map'!B:B,C304-2)),IF(ISBLANK(INDEX('register map'!B:B,C304-3)),IF(ISBLANK(INDEX('register map'!B:B,C304-4)),IF(ISBLANK(INDEX('register map'!B:B,C304-5)),IF(ISBLANK(INDEX('register map'!B:B,C304-6)),IF(ISBLANK(INDEX('register map'!B:B,C304-7)),IF(ISBLANK(INDEX('register map'!B:B,C304-8)),"ERROR",INDEX('register map'!B:B,C304-8)),INDEX('register map'!B:B,C304-7)),INDEX('register map'!B:B,C304-6)),INDEX('register map'!B:B,C304-5)),INDEX('register map'!B:B,C304-4)),INDEX('register map'!B:B,C304-3)),INDEX('register map'!B:B,C304-2)),INDEX('register map'!B:B,C304-1)),INDEX('register map'!B:B,C304))</f>
        <v>0x08</v>
      </c>
      <c r="G304" s="117" t="str">
        <f>CONCATENATE(IF(ISNUMBER(INDEX('register map'!D:D,C304)),7,""),IF(ISNUMBER(INDEX('register map'!E:E,C304)),6,""),IF(ISNUMBER(INDEX('register map'!F:F,C304)),5,""),IF(ISNUMBER(INDEX('register map'!G:G,C304)),4,""),IF(ISNUMBER(INDEX('register map'!H:H,C304)),3,""),IF(ISNUMBER(INDEX('register map'!I:I,C304)),2,""),IF(ISNUMBER(INDEX('register map'!J:J,C304)),1,""),IF(ISNUMBER(INDEX('register map'!K:K,C304)),0,""))</f>
        <v>76</v>
      </c>
      <c r="H304" s="117" t="str">
        <f>RIGHT(INDEX('register map'!V:V,MATCH('Logical Group Generator'!B304,'register map'!L:L,0)),LEN(G304))</f>
        <v>11</v>
      </c>
      <c r="I304" s="117" t="str">
        <f>CONCATENATE(IF(ISNUMBER(INDEX('register map'!K:K,C304)),0,""),IF(ISNUMBER(INDEX('register map'!J:J,C304)),1,""),IF(ISNUMBER(INDEX('register map'!I:I,C304)),2,""),IF(ISNUMBER(INDEX('register map'!H:H,C304)),3,""),IF(ISNUMBER(INDEX('register map'!G:G,C304)),4,""),IF(ISNUMBER(INDEX('register map'!F:F,C304)),5,""),IF(ISNUMBER(INDEX('register map'!E:E,C304)),6,""),IF(ISNUMBER(INDEX('register map'!D:D,C304)),7,""))</f>
        <v>67</v>
      </c>
      <c r="J304" s="117" t="str">
        <f t="shared" si="51"/>
        <v>11</v>
      </c>
      <c r="K304" s="117" t="str">
        <f t="shared" si="44"/>
        <v/>
      </c>
      <c r="L304" s="117" t="str">
        <f t="shared" si="52"/>
        <v/>
      </c>
      <c r="M304" s="117" t="str">
        <f t="shared" si="54"/>
        <v/>
      </c>
      <c r="N304" s="117" t="str">
        <f>IF(ISBLANK(INDEX('register map'!M:M,'Logical Group Generator'!C304)),"No","Yes")</f>
        <v>No</v>
      </c>
      <c r="O304" s="117" t="str">
        <f>IF(NOT(ISBLANK(INDEX('register map'!N:N,'Logical Group Generator'!C304))),"Yes","")</f>
        <v/>
      </c>
      <c r="P304" s="117" t="str">
        <f t="shared" si="45"/>
        <v/>
      </c>
      <c r="Q304" s="117" t="str">
        <f t="shared" si="46"/>
        <v/>
      </c>
      <c r="R304" s="117" t="str">
        <f t="shared" si="47"/>
        <v/>
      </c>
      <c r="S304" s="117" t="str">
        <f t="shared" si="48"/>
        <v>No</v>
      </c>
      <c r="T304" s="117" t="str">
        <f t="shared" si="49"/>
        <v/>
      </c>
      <c r="U304" s="117" t="b">
        <f t="shared" si="53"/>
        <v>0</v>
      </c>
      <c r="V304" s="157" t="b">
        <f>INDEX('register map'!P:P,C304)="yes"</f>
        <v>1</v>
      </c>
      <c r="W304" s="157" t="str">
        <f t="shared" si="50"/>
        <v>FALSE</v>
      </c>
    </row>
    <row r="305" spans="2:23">
      <c r="B305" s="157" t="str">
        <f t="array" ref="B305">IF(ROWS($3:305)&lt;=COUNTA('register map'!$L$5:$L$902),INDEX('register map'!$L$5:$L$902,SMALL(IF('register map'!$L$5:$L$902&lt;&gt;"",ROW('register map'!$L$5:$L$902)-MIN(ROW('register map'!$L$5:$L$902))+1),ROWS($3:305))),"")</f>
        <v>BUCK1_CTRL_EN3</v>
      </c>
      <c r="C305" s="157">
        <f>IF(B305="PART_NUMBER",IF(COUNTIF($B$1:B304,"PART_NUMBER")=0,6,8),MATCH(B305,'register map'!L:L,0))</f>
        <v>409</v>
      </c>
      <c r="D305" s="117" t="str">
        <f>IF(ISBLANK(INDEX('register map'!C:C,'Logical Group Generator'!C305)),"No","Yes")</f>
        <v>Yes</v>
      </c>
      <c r="E305" s="117" t="str">
        <f>IF(ISBLANK(INDEX('register map'!A:A,C305)),IF(ISBLANK(INDEX('register map'!A:A,C305-1)),IF(ISBLANK(INDEX('register map'!A:A,C305-2)),IF(ISBLANK(INDEX('register map'!A:A,C305-3)),IF(ISBLANK(INDEX('register map'!A:A,C305-4)),IF(ISBLANK(INDEX('register map'!A:A,C305-5)),IF(ISBLANK(INDEX('register map'!A:A,C305-6)),IF(ISBLANK(INDEX('register map'!A:A,C305-7)),IF(ISBLANK(INDEX('register map'!A:A,C305-8)),"ERROR",INDEX('register map'!A:A,C305-8)),INDEX('register map'!A:A,C305-7)),INDEX('register map'!A:A,C305-6)),INDEX('register map'!A:A,C305-5)),INDEX('register map'!A:A,C305-4)),INDEX('register map'!A:A,C305-3)),INDEX('register map'!A:A,C305-2)),INDEX('register map'!A:A,C305-1)),INDEX('register map'!A:A,C305))</f>
        <v>0x38</v>
      </c>
      <c r="F305" s="117" t="str">
        <f>IF(ISBLANK(INDEX('register map'!B:B,C305)),IF(ISBLANK(INDEX('register map'!B:B,C305-1)),IF(ISBLANK(INDEX('register map'!B:B,C305-2)),IF(ISBLANK(INDEX('register map'!B:B,C305-3)),IF(ISBLANK(INDEX('register map'!B:B,C305-4)),IF(ISBLANK(INDEX('register map'!B:B,C305-5)),IF(ISBLANK(INDEX('register map'!B:B,C305-6)),IF(ISBLANK(INDEX('register map'!B:B,C305-7)),IF(ISBLANK(INDEX('register map'!B:B,C305-8)),"ERROR",INDEX('register map'!B:B,C305-8)),INDEX('register map'!B:B,C305-7)),INDEX('register map'!B:B,C305-6)),INDEX('register map'!B:B,C305-5)),INDEX('register map'!B:B,C305-4)),INDEX('register map'!B:B,C305-3)),INDEX('register map'!B:B,C305-2)),INDEX('register map'!B:B,C305-1)),INDEX('register map'!B:B,C305))</f>
        <v>0x09</v>
      </c>
      <c r="G305" s="117" t="str">
        <f>CONCATENATE(IF(ISNUMBER(INDEX('register map'!D:D,C305)),7,""),IF(ISNUMBER(INDEX('register map'!E:E,C305)),6,""),IF(ISNUMBER(INDEX('register map'!F:F,C305)),5,""),IF(ISNUMBER(INDEX('register map'!G:G,C305)),4,""),IF(ISNUMBER(INDEX('register map'!H:H,C305)),3,""),IF(ISNUMBER(INDEX('register map'!I:I,C305)),2,""),IF(ISNUMBER(INDEX('register map'!J:J,C305)),1,""),IF(ISNUMBER(INDEX('register map'!K:K,C305)),0,""))</f>
        <v/>
      </c>
      <c r="H305" s="117" t="str">
        <f>RIGHT(INDEX('register map'!V:V,MATCH('Logical Group Generator'!B305,'register map'!L:L,0)),LEN(G305))</f>
        <v/>
      </c>
      <c r="I305" s="117" t="str">
        <f>CONCATENATE(IF(ISNUMBER(INDEX('register map'!K:K,C305)),0,""),IF(ISNUMBER(INDEX('register map'!J:J,C305)),1,""),IF(ISNUMBER(INDEX('register map'!I:I,C305)),2,""),IF(ISNUMBER(INDEX('register map'!H:H,C305)),3,""),IF(ISNUMBER(INDEX('register map'!G:G,C305)),4,""),IF(ISNUMBER(INDEX('register map'!F:F,C305)),5,""),IF(ISNUMBER(INDEX('register map'!E:E,C305)),6,""),IF(ISNUMBER(INDEX('register map'!D:D,C305)),7,""))</f>
        <v/>
      </c>
      <c r="J305" s="117" t="str">
        <f t="shared" si="51"/>
        <v/>
      </c>
      <c r="K305" s="117" t="str">
        <f t="shared" si="44"/>
        <v>00100100</v>
      </c>
      <c r="L305" s="117" t="str">
        <f t="shared" si="52"/>
        <v>00100100</v>
      </c>
      <c r="M305" s="117" t="str">
        <f t="shared" si="54"/>
        <v>24</v>
      </c>
      <c r="N305" s="117" t="str">
        <f>IF(ISBLANK(INDEX('register map'!M:M,'Logical Group Generator'!C305)),"No","Yes")</f>
        <v>No</v>
      </c>
      <c r="O305" s="117" t="str">
        <f>IF(NOT(ISBLANK(INDEX('register map'!N:N,'Logical Group Generator'!C305))),"Yes","")</f>
        <v/>
      </c>
      <c r="P305" s="117" t="str">
        <f t="shared" si="45"/>
        <v>No</v>
      </c>
      <c r="Q305" s="117" t="str">
        <f t="shared" si="46"/>
        <v>No</v>
      </c>
      <c r="R305" s="117" t="str">
        <f t="shared" si="47"/>
        <v>No</v>
      </c>
      <c r="S305" s="117" t="str">
        <f t="shared" si="48"/>
        <v/>
      </c>
      <c r="T305" s="117" t="b">
        <f t="shared" si="49"/>
        <v>1</v>
      </c>
      <c r="U305" s="117" t="b">
        <f t="shared" si="53"/>
        <v>1</v>
      </c>
      <c r="V305" s="157" t="b">
        <f>INDEX('register map'!P:P,C305)="yes"</f>
        <v>1</v>
      </c>
      <c r="W305" s="157" t="str">
        <f t="shared" si="50"/>
        <v>REGISTER</v>
      </c>
    </row>
    <row r="306" spans="2:23">
      <c r="B306" s="157" t="str">
        <f t="array" ref="B306">IF(ROWS($3:306)&lt;=COUNTA('register map'!$L$5:$L$902),INDEX('register map'!$L$5:$L$902,SMALL(IF('register map'!$L$5:$L$902&lt;&gt;"",ROW('register map'!$L$5:$L$902)-MIN(ROW('register map'!$L$5:$L$902))+1),ROWS($3:306))),"")</f>
        <v>OTP_RSVD_38_09_210</v>
      </c>
      <c r="C306" s="157">
        <f>IF(B306="PART_NUMBER",IF(COUNTIF($B$1:B305,"PART_NUMBER")=0,6,8),MATCH(B306,'register map'!L:L,0))</f>
        <v>410</v>
      </c>
      <c r="D306" s="117" t="str">
        <f>IF(ISBLANK(INDEX('register map'!C:C,'Logical Group Generator'!C306)),"No","Yes")</f>
        <v>No</v>
      </c>
      <c r="E306" s="117" t="str">
        <f>IF(ISBLANK(INDEX('register map'!A:A,C306)),IF(ISBLANK(INDEX('register map'!A:A,C306-1)),IF(ISBLANK(INDEX('register map'!A:A,C306-2)),IF(ISBLANK(INDEX('register map'!A:A,C306-3)),IF(ISBLANK(INDEX('register map'!A:A,C306-4)),IF(ISBLANK(INDEX('register map'!A:A,C306-5)),IF(ISBLANK(INDEX('register map'!A:A,C306-6)),IF(ISBLANK(INDEX('register map'!A:A,C306-7)),IF(ISBLANK(INDEX('register map'!A:A,C306-8)),"ERROR",INDEX('register map'!A:A,C306-8)),INDEX('register map'!A:A,C306-7)),INDEX('register map'!A:A,C306-6)),INDEX('register map'!A:A,C306-5)),INDEX('register map'!A:A,C306-4)),INDEX('register map'!A:A,C306-3)),INDEX('register map'!A:A,C306-2)),INDEX('register map'!A:A,C306-1)),INDEX('register map'!A:A,C306))</f>
        <v>0x38</v>
      </c>
      <c r="F306" s="117" t="str">
        <f>IF(ISBLANK(INDEX('register map'!B:B,C306)),IF(ISBLANK(INDEX('register map'!B:B,C306-1)),IF(ISBLANK(INDEX('register map'!B:B,C306-2)),IF(ISBLANK(INDEX('register map'!B:B,C306-3)),IF(ISBLANK(INDEX('register map'!B:B,C306-4)),IF(ISBLANK(INDEX('register map'!B:B,C306-5)),IF(ISBLANK(INDEX('register map'!B:B,C306-6)),IF(ISBLANK(INDEX('register map'!B:B,C306-7)),IF(ISBLANK(INDEX('register map'!B:B,C306-8)),"ERROR",INDEX('register map'!B:B,C306-8)),INDEX('register map'!B:B,C306-7)),INDEX('register map'!B:B,C306-6)),INDEX('register map'!B:B,C306-5)),INDEX('register map'!B:B,C306-4)),INDEX('register map'!B:B,C306-3)),INDEX('register map'!B:B,C306-2)),INDEX('register map'!B:B,C306-1)),INDEX('register map'!B:B,C306))</f>
        <v>0x09</v>
      </c>
      <c r="G306" s="117" t="str">
        <f>CONCATENATE(IF(ISNUMBER(INDEX('register map'!D:D,C306)),7,""),IF(ISNUMBER(INDEX('register map'!E:E,C306)),6,""),IF(ISNUMBER(INDEX('register map'!F:F,C306)),5,""),IF(ISNUMBER(INDEX('register map'!G:G,C306)),4,""),IF(ISNUMBER(INDEX('register map'!H:H,C306)),3,""),IF(ISNUMBER(INDEX('register map'!I:I,C306)),2,""),IF(ISNUMBER(INDEX('register map'!J:J,C306)),1,""),IF(ISNUMBER(INDEX('register map'!K:K,C306)),0,""))</f>
        <v>210</v>
      </c>
      <c r="H306" s="117" t="str">
        <f>RIGHT(INDEX('register map'!V:V,MATCH('Logical Group Generator'!B306,'register map'!L:L,0)),LEN(G306))</f>
        <v>100</v>
      </c>
      <c r="I306" s="117" t="str">
        <f>CONCATENATE(IF(ISNUMBER(INDEX('register map'!K:K,C306)),0,""),IF(ISNUMBER(INDEX('register map'!J:J,C306)),1,""),IF(ISNUMBER(INDEX('register map'!I:I,C306)),2,""),IF(ISNUMBER(INDEX('register map'!H:H,C306)),3,""),IF(ISNUMBER(INDEX('register map'!G:G,C306)),4,""),IF(ISNUMBER(INDEX('register map'!F:F,C306)),5,""),IF(ISNUMBER(INDEX('register map'!E:E,C306)),6,""),IF(ISNUMBER(INDEX('register map'!D:D,C306)),7,""))</f>
        <v>012</v>
      </c>
      <c r="J306" s="117" t="str">
        <f t="shared" si="51"/>
        <v>001</v>
      </c>
      <c r="K306" s="117" t="str">
        <f t="shared" si="44"/>
        <v/>
      </c>
      <c r="L306" s="117" t="str">
        <f t="shared" si="52"/>
        <v/>
      </c>
      <c r="M306" s="117" t="str">
        <f t="shared" si="54"/>
        <v/>
      </c>
      <c r="N306" s="117" t="str">
        <f>IF(ISBLANK(INDEX('register map'!M:M,'Logical Group Generator'!C306)),"No","Yes")</f>
        <v>No</v>
      </c>
      <c r="O306" s="117" t="str">
        <f>IF(NOT(ISBLANK(INDEX('register map'!N:N,'Logical Group Generator'!C306))),"Yes","")</f>
        <v/>
      </c>
      <c r="P306" s="117" t="str">
        <f t="shared" si="45"/>
        <v/>
      </c>
      <c r="Q306" s="117" t="str">
        <f t="shared" si="46"/>
        <v/>
      </c>
      <c r="R306" s="117" t="str">
        <f t="shared" si="47"/>
        <v/>
      </c>
      <c r="S306" s="117" t="str">
        <f t="shared" si="48"/>
        <v>No</v>
      </c>
      <c r="T306" s="117" t="str">
        <f t="shared" si="49"/>
        <v/>
      </c>
      <c r="U306" s="117" t="b">
        <f t="shared" si="53"/>
        <v>0</v>
      </c>
      <c r="V306" s="157" t="b">
        <f>INDEX('register map'!P:P,C306)="yes"</f>
        <v>1</v>
      </c>
      <c r="W306" s="157" t="str">
        <f t="shared" si="50"/>
        <v>FALSE</v>
      </c>
    </row>
    <row r="307" spans="2:23">
      <c r="B307" s="157" t="str">
        <f t="array" ref="B307">IF(ROWS($3:307)&lt;=COUNTA('register map'!$L$5:$L$902),INDEX('register map'!$L$5:$L$902,SMALL(IF('register map'!$L$5:$L$902&lt;&gt;"",ROW('register map'!$L$5:$L$902)-MIN(ROW('register map'!$L$5:$L$902))+1),ROWS($3:307))),"")</f>
        <v>OTP_RSVD_38_09_543</v>
      </c>
      <c r="C307" s="157">
        <f>IF(B307="PART_NUMBER",IF(COUNTIF($B$1:B306,"PART_NUMBER")=0,6,8),MATCH(B307,'register map'!L:L,0))</f>
        <v>411</v>
      </c>
      <c r="D307" s="117" t="str">
        <f>IF(ISBLANK(INDEX('register map'!C:C,'Logical Group Generator'!C307)),"No","Yes")</f>
        <v>No</v>
      </c>
      <c r="E307" s="117" t="str">
        <f>IF(ISBLANK(INDEX('register map'!A:A,C307)),IF(ISBLANK(INDEX('register map'!A:A,C307-1)),IF(ISBLANK(INDEX('register map'!A:A,C307-2)),IF(ISBLANK(INDEX('register map'!A:A,C307-3)),IF(ISBLANK(INDEX('register map'!A:A,C307-4)),IF(ISBLANK(INDEX('register map'!A:A,C307-5)),IF(ISBLANK(INDEX('register map'!A:A,C307-6)),IF(ISBLANK(INDEX('register map'!A:A,C307-7)),IF(ISBLANK(INDEX('register map'!A:A,C307-8)),"ERROR",INDEX('register map'!A:A,C307-8)),INDEX('register map'!A:A,C307-7)),INDEX('register map'!A:A,C307-6)),INDEX('register map'!A:A,C307-5)),INDEX('register map'!A:A,C307-4)),INDEX('register map'!A:A,C307-3)),INDEX('register map'!A:A,C307-2)),INDEX('register map'!A:A,C307-1)),INDEX('register map'!A:A,C307))</f>
        <v>0x38</v>
      </c>
      <c r="F307" s="117" t="str">
        <f>IF(ISBLANK(INDEX('register map'!B:B,C307)),IF(ISBLANK(INDEX('register map'!B:B,C307-1)),IF(ISBLANK(INDEX('register map'!B:B,C307-2)),IF(ISBLANK(INDEX('register map'!B:B,C307-3)),IF(ISBLANK(INDEX('register map'!B:B,C307-4)),IF(ISBLANK(INDEX('register map'!B:B,C307-5)),IF(ISBLANK(INDEX('register map'!B:B,C307-6)),IF(ISBLANK(INDEX('register map'!B:B,C307-7)),IF(ISBLANK(INDEX('register map'!B:B,C307-8)),"ERROR",INDEX('register map'!B:B,C307-8)),INDEX('register map'!B:B,C307-7)),INDEX('register map'!B:B,C307-6)),INDEX('register map'!B:B,C307-5)),INDEX('register map'!B:B,C307-4)),INDEX('register map'!B:B,C307-3)),INDEX('register map'!B:B,C307-2)),INDEX('register map'!B:B,C307-1)),INDEX('register map'!B:B,C307))</f>
        <v>0x09</v>
      </c>
      <c r="G307" s="117" t="str">
        <f>CONCATENATE(IF(ISNUMBER(INDEX('register map'!D:D,C307)),7,""),IF(ISNUMBER(INDEX('register map'!E:E,C307)),6,""),IF(ISNUMBER(INDEX('register map'!F:F,C307)),5,""),IF(ISNUMBER(INDEX('register map'!G:G,C307)),4,""),IF(ISNUMBER(INDEX('register map'!H:H,C307)),3,""),IF(ISNUMBER(INDEX('register map'!I:I,C307)),2,""),IF(ISNUMBER(INDEX('register map'!J:J,C307)),1,""),IF(ISNUMBER(INDEX('register map'!K:K,C307)),0,""))</f>
        <v>543</v>
      </c>
      <c r="H307" s="117" t="str">
        <f>RIGHT(INDEX('register map'!V:V,MATCH('Logical Group Generator'!B307,'register map'!L:L,0)),LEN(G307))</f>
        <v>100</v>
      </c>
      <c r="I307" s="117" t="str">
        <f>CONCATENATE(IF(ISNUMBER(INDEX('register map'!K:K,C307)),0,""),IF(ISNUMBER(INDEX('register map'!J:J,C307)),1,""),IF(ISNUMBER(INDEX('register map'!I:I,C307)),2,""),IF(ISNUMBER(INDEX('register map'!H:H,C307)),3,""),IF(ISNUMBER(INDEX('register map'!G:G,C307)),4,""),IF(ISNUMBER(INDEX('register map'!F:F,C307)),5,""),IF(ISNUMBER(INDEX('register map'!E:E,C307)),6,""),IF(ISNUMBER(INDEX('register map'!D:D,C307)),7,""))</f>
        <v>345</v>
      </c>
      <c r="J307" s="117" t="str">
        <f t="shared" si="51"/>
        <v>001</v>
      </c>
      <c r="K307" s="117" t="str">
        <f t="shared" si="44"/>
        <v/>
      </c>
      <c r="L307" s="117" t="str">
        <f t="shared" si="52"/>
        <v/>
      </c>
      <c r="M307" s="117" t="str">
        <f t="shared" si="54"/>
        <v/>
      </c>
      <c r="N307" s="117" t="str">
        <f>IF(ISBLANK(INDEX('register map'!M:M,'Logical Group Generator'!C307)),"No","Yes")</f>
        <v>No</v>
      </c>
      <c r="O307" s="117" t="str">
        <f>IF(NOT(ISBLANK(INDEX('register map'!N:N,'Logical Group Generator'!C307))),"Yes","")</f>
        <v/>
      </c>
      <c r="P307" s="117" t="str">
        <f t="shared" si="45"/>
        <v/>
      </c>
      <c r="Q307" s="117" t="str">
        <f t="shared" si="46"/>
        <v/>
      </c>
      <c r="R307" s="117" t="str">
        <f t="shared" si="47"/>
        <v/>
      </c>
      <c r="S307" s="117" t="str">
        <f t="shared" si="48"/>
        <v>No</v>
      </c>
      <c r="T307" s="117" t="str">
        <f t="shared" si="49"/>
        <v/>
      </c>
      <c r="U307" s="117" t="b">
        <f t="shared" si="53"/>
        <v>0</v>
      </c>
      <c r="V307" s="157" t="b">
        <f>INDEX('register map'!P:P,C307)="yes"</f>
        <v>1</v>
      </c>
      <c r="W307" s="157" t="str">
        <f t="shared" si="50"/>
        <v>FALSE</v>
      </c>
    </row>
    <row r="308" spans="2:23">
      <c r="B308" s="157" t="str">
        <f t="array" ref="B308">IF(ROWS($3:308)&lt;=COUNTA('register map'!$L$5:$L$902),INDEX('register map'!$L$5:$L$902,SMALL(IF('register map'!$L$5:$L$902&lt;&gt;"",ROW('register map'!$L$5:$L$902)-MIN(ROW('register map'!$L$5:$L$902))+1),ROWS($3:308))),"")</f>
        <v>OTP_RSVD_38_09_76</v>
      </c>
      <c r="C308" s="157">
        <f>IF(B308="PART_NUMBER",IF(COUNTIF($B$1:B307,"PART_NUMBER")=0,6,8),MATCH(B308,'register map'!L:L,0))</f>
        <v>412</v>
      </c>
      <c r="D308" s="117" t="str">
        <f>IF(ISBLANK(INDEX('register map'!C:C,'Logical Group Generator'!C308)),"No","Yes")</f>
        <v>No</v>
      </c>
      <c r="E308" s="117" t="str">
        <f>IF(ISBLANK(INDEX('register map'!A:A,C308)),IF(ISBLANK(INDEX('register map'!A:A,C308-1)),IF(ISBLANK(INDEX('register map'!A:A,C308-2)),IF(ISBLANK(INDEX('register map'!A:A,C308-3)),IF(ISBLANK(INDEX('register map'!A:A,C308-4)),IF(ISBLANK(INDEX('register map'!A:A,C308-5)),IF(ISBLANK(INDEX('register map'!A:A,C308-6)),IF(ISBLANK(INDEX('register map'!A:A,C308-7)),IF(ISBLANK(INDEX('register map'!A:A,C308-8)),"ERROR",INDEX('register map'!A:A,C308-8)),INDEX('register map'!A:A,C308-7)),INDEX('register map'!A:A,C308-6)),INDEX('register map'!A:A,C308-5)),INDEX('register map'!A:A,C308-4)),INDEX('register map'!A:A,C308-3)),INDEX('register map'!A:A,C308-2)),INDEX('register map'!A:A,C308-1)),INDEX('register map'!A:A,C308))</f>
        <v>0x38</v>
      </c>
      <c r="F308" s="117" t="str">
        <f>IF(ISBLANK(INDEX('register map'!B:B,C308)),IF(ISBLANK(INDEX('register map'!B:B,C308-1)),IF(ISBLANK(INDEX('register map'!B:B,C308-2)),IF(ISBLANK(INDEX('register map'!B:B,C308-3)),IF(ISBLANK(INDEX('register map'!B:B,C308-4)),IF(ISBLANK(INDEX('register map'!B:B,C308-5)),IF(ISBLANK(INDEX('register map'!B:B,C308-6)),IF(ISBLANK(INDEX('register map'!B:B,C308-7)),IF(ISBLANK(INDEX('register map'!B:B,C308-8)),"ERROR",INDEX('register map'!B:B,C308-8)),INDEX('register map'!B:B,C308-7)),INDEX('register map'!B:B,C308-6)),INDEX('register map'!B:B,C308-5)),INDEX('register map'!B:B,C308-4)),INDEX('register map'!B:B,C308-3)),INDEX('register map'!B:B,C308-2)),INDEX('register map'!B:B,C308-1)),INDEX('register map'!B:B,C308))</f>
        <v>0x09</v>
      </c>
      <c r="G308" s="117" t="str">
        <f>CONCATENATE(IF(ISNUMBER(INDEX('register map'!D:D,C308)),7,""),IF(ISNUMBER(INDEX('register map'!E:E,C308)),6,""),IF(ISNUMBER(INDEX('register map'!F:F,C308)),5,""),IF(ISNUMBER(INDEX('register map'!G:G,C308)),4,""),IF(ISNUMBER(INDEX('register map'!H:H,C308)),3,""),IF(ISNUMBER(INDEX('register map'!I:I,C308)),2,""),IF(ISNUMBER(INDEX('register map'!J:J,C308)),1,""),IF(ISNUMBER(INDEX('register map'!K:K,C308)),0,""))</f>
        <v>76</v>
      </c>
      <c r="H308" s="117" t="str">
        <f>RIGHT(INDEX('register map'!V:V,MATCH('Logical Group Generator'!B308,'register map'!L:L,0)),LEN(G308))</f>
        <v>00</v>
      </c>
      <c r="I308" s="117" t="str">
        <f>CONCATENATE(IF(ISNUMBER(INDEX('register map'!K:K,C308)),0,""),IF(ISNUMBER(INDEX('register map'!J:J,C308)),1,""),IF(ISNUMBER(INDEX('register map'!I:I,C308)),2,""),IF(ISNUMBER(INDEX('register map'!H:H,C308)),3,""),IF(ISNUMBER(INDEX('register map'!G:G,C308)),4,""),IF(ISNUMBER(INDEX('register map'!F:F,C308)),5,""),IF(ISNUMBER(INDEX('register map'!E:E,C308)),6,""),IF(ISNUMBER(INDEX('register map'!D:D,C308)),7,""))</f>
        <v>67</v>
      </c>
      <c r="J308" s="117" t="str">
        <f t="shared" si="51"/>
        <v>00</v>
      </c>
      <c r="K308" s="117" t="str">
        <f t="shared" si="44"/>
        <v/>
      </c>
      <c r="L308" s="117" t="str">
        <f t="shared" si="52"/>
        <v/>
      </c>
      <c r="M308" s="117" t="str">
        <f t="shared" si="54"/>
        <v/>
      </c>
      <c r="N308" s="117" t="str">
        <f>IF(ISBLANK(INDEX('register map'!M:M,'Logical Group Generator'!C308)),"No","Yes")</f>
        <v>No</v>
      </c>
      <c r="O308" s="117" t="str">
        <f>IF(NOT(ISBLANK(INDEX('register map'!N:N,'Logical Group Generator'!C308))),"Yes","")</f>
        <v/>
      </c>
      <c r="P308" s="117" t="str">
        <f t="shared" si="45"/>
        <v/>
      </c>
      <c r="Q308" s="117" t="str">
        <f t="shared" si="46"/>
        <v/>
      </c>
      <c r="R308" s="117" t="str">
        <f t="shared" si="47"/>
        <v/>
      </c>
      <c r="S308" s="117" t="str">
        <f t="shared" si="48"/>
        <v>No</v>
      </c>
      <c r="T308" s="117" t="str">
        <f t="shared" si="49"/>
        <v/>
      </c>
      <c r="U308" s="117" t="b">
        <f t="shared" si="53"/>
        <v>0</v>
      </c>
      <c r="V308" s="157" t="b">
        <f>INDEX('register map'!P:P,C308)="yes"</f>
        <v>1</v>
      </c>
      <c r="W308" s="157" t="str">
        <f t="shared" si="50"/>
        <v>FALSE</v>
      </c>
    </row>
    <row r="309" spans="2:23">
      <c r="B309" s="157" t="str">
        <f t="array" ref="B309">IF(ROWS($3:309)&lt;=COUNTA('register map'!$L$5:$L$902),INDEX('register map'!$L$5:$L$902,SMALL(IF('register map'!$L$5:$L$902&lt;&gt;"",ROW('register map'!$L$5:$L$902)-MIN(ROW('register map'!$L$5:$L$902))+1),ROWS($3:309))),"")</f>
        <v>BUCK2_CTRL_EN1</v>
      </c>
      <c r="C309" s="157">
        <f>IF(B309="PART_NUMBER",IF(COUNTIF($B$1:B308,"PART_NUMBER")=0,6,8),MATCH(B309,'register map'!L:L,0))</f>
        <v>413</v>
      </c>
      <c r="D309" s="117" t="str">
        <f>IF(ISBLANK(INDEX('register map'!C:C,'Logical Group Generator'!C309)),"No","Yes")</f>
        <v>Yes</v>
      </c>
      <c r="E309" s="117" t="str">
        <f>IF(ISBLANK(INDEX('register map'!A:A,C309)),IF(ISBLANK(INDEX('register map'!A:A,C309-1)),IF(ISBLANK(INDEX('register map'!A:A,C309-2)),IF(ISBLANK(INDEX('register map'!A:A,C309-3)),IF(ISBLANK(INDEX('register map'!A:A,C309-4)),IF(ISBLANK(INDEX('register map'!A:A,C309-5)),IF(ISBLANK(INDEX('register map'!A:A,C309-6)),IF(ISBLANK(INDEX('register map'!A:A,C309-7)),IF(ISBLANK(INDEX('register map'!A:A,C309-8)),"ERROR",INDEX('register map'!A:A,C309-8)),INDEX('register map'!A:A,C309-7)),INDEX('register map'!A:A,C309-6)),INDEX('register map'!A:A,C309-5)),INDEX('register map'!A:A,C309-4)),INDEX('register map'!A:A,C309-3)),INDEX('register map'!A:A,C309-2)),INDEX('register map'!A:A,C309-1)),INDEX('register map'!A:A,C309))</f>
        <v>0x38</v>
      </c>
      <c r="F309" s="117" t="str">
        <f>IF(ISBLANK(INDEX('register map'!B:B,C309)),IF(ISBLANK(INDEX('register map'!B:B,C309-1)),IF(ISBLANK(INDEX('register map'!B:B,C309-2)),IF(ISBLANK(INDEX('register map'!B:B,C309-3)),IF(ISBLANK(INDEX('register map'!B:B,C309-4)),IF(ISBLANK(INDEX('register map'!B:B,C309-5)),IF(ISBLANK(INDEX('register map'!B:B,C309-6)),IF(ISBLANK(INDEX('register map'!B:B,C309-7)),IF(ISBLANK(INDEX('register map'!B:B,C309-8)),"ERROR",INDEX('register map'!B:B,C309-8)),INDEX('register map'!B:B,C309-7)),INDEX('register map'!B:B,C309-6)),INDEX('register map'!B:B,C309-5)),INDEX('register map'!B:B,C309-4)),INDEX('register map'!B:B,C309-3)),INDEX('register map'!B:B,C309-2)),INDEX('register map'!B:B,C309-1)),INDEX('register map'!B:B,C309))</f>
        <v>0x0A</v>
      </c>
      <c r="G309" s="117" t="str">
        <f>CONCATENATE(IF(ISNUMBER(INDEX('register map'!D:D,C309)),7,""),IF(ISNUMBER(INDEX('register map'!E:E,C309)),6,""),IF(ISNUMBER(INDEX('register map'!F:F,C309)),5,""),IF(ISNUMBER(INDEX('register map'!G:G,C309)),4,""),IF(ISNUMBER(INDEX('register map'!H:H,C309)),3,""),IF(ISNUMBER(INDEX('register map'!I:I,C309)),2,""),IF(ISNUMBER(INDEX('register map'!J:J,C309)),1,""),IF(ISNUMBER(INDEX('register map'!K:K,C309)),0,""))</f>
        <v/>
      </c>
      <c r="H309" s="117" t="str">
        <f>RIGHT(INDEX('register map'!V:V,MATCH('Logical Group Generator'!B309,'register map'!L:L,0)),LEN(G309))</f>
        <v/>
      </c>
      <c r="I309" s="117" t="str">
        <f>CONCATENATE(IF(ISNUMBER(INDEX('register map'!K:K,C309)),0,""),IF(ISNUMBER(INDEX('register map'!J:J,C309)),1,""),IF(ISNUMBER(INDEX('register map'!I:I,C309)),2,""),IF(ISNUMBER(INDEX('register map'!H:H,C309)),3,""),IF(ISNUMBER(INDEX('register map'!G:G,C309)),4,""),IF(ISNUMBER(INDEX('register map'!F:F,C309)),5,""),IF(ISNUMBER(INDEX('register map'!E:E,C309)),6,""),IF(ISNUMBER(INDEX('register map'!D:D,C309)),7,""))</f>
        <v/>
      </c>
      <c r="J309" s="117" t="str">
        <f t="shared" si="51"/>
        <v/>
      </c>
      <c r="K309" s="117" t="str">
        <f t="shared" si="44"/>
        <v>11111110</v>
      </c>
      <c r="L309" s="117" t="str">
        <f t="shared" si="52"/>
        <v>01111111</v>
      </c>
      <c r="M309" s="117" t="str">
        <f t="shared" si="54"/>
        <v>7F</v>
      </c>
      <c r="N309" s="117" t="str">
        <f>IF(ISBLANK(INDEX('register map'!M:M,'Logical Group Generator'!C309)),"No","Yes")</f>
        <v>No</v>
      </c>
      <c r="O309" s="117" t="str">
        <f>IF(NOT(ISBLANK(INDEX('register map'!N:N,'Logical Group Generator'!C309))),"Yes","")</f>
        <v/>
      </c>
      <c r="P309" s="117" t="str">
        <f t="shared" si="45"/>
        <v>No</v>
      </c>
      <c r="Q309" s="117" t="str">
        <f t="shared" si="46"/>
        <v>No</v>
      </c>
      <c r="R309" s="117" t="str">
        <f t="shared" si="47"/>
        <v>No</v>
      </c>
      <c r="S309" s="117" t="str">
        <f t="shared" si="48"/>
        <v/>
      </c>
      <c r="T309" s="117" t="b">
        <f t="shared" si="49"/>
        <v>1</v>
      </c>
      <c r="U309" s="117" t="b">
        <f t="shared" si="53"/>
        <v>1</v>
      </c>
      <c r="V309" s="157" t="b">
        <f>INDEX('register map'!P:P,C309)="yes"</f>
        <v>1</v>
      </c>
      <c r="W309" s="157" t="str">
        <f t="shared" si="50"/>
        <v>REGISTER</v>
      </c>
    </row>
    <row r="310" spans="2:23">
      <c r="B310" s="157" t="str">
        <f t="array" ref="B310">IF(ROWS($3:310)&lt;=COUNTA('register map'!$L$5:$L$902),INDEX('register map'!$L$5:$L$902,SMALL(IF('register map'!$L$5:$L$902&lt;&gt;"",ROW('register map'!$L$5:$L$902)-MIN(ROW('register map'!$L$5:$L$902))+1),ROWS($3:310))),"")</f>
        <v>OTP_RSVD_38_0A_0</v>
      </c>
      <c r="C310" s="157">
        <f>IF(B310="PART_NUMBER",IF(COUNTIF($B$1:B309,"PART_NUMBER")=0,6,8),MATCH(B310,'register map'!L:L,0))</f>
        <v>414</v>
      </c>
      <c r="D310" s="117" t="str">
        <f>IF(ISBLANK(INDEX('register map'!C:C,'Logical Group Generator'!C310)),"No","Yes")</f>
        <v>No</v>
      </c>
      <c r="E310" s="117" t="str">
        <f>IF(ISBLANK(INDEX('register map'!A:A,C310)),IF(ISBLANK(INDEX('register map'!A:A,C310-1)),IF(ISBLANK(INDEX('register map'!A:A,C310-2)),IF(ISBLANK(INDEX('register map'!A:A,C310-3)),IF(ISBLANK(INDEX('register map'!A:A,C310-4)),IF(ISBLANK(INDEX('register map'!A:A,C310-5)),IF(ISBLANK(INDEX('register map'!A:A,C310-6)),IF(ISBLANK(INDEX('register map'!A:A,C310-7)),IF(ISBLANK(INDEX('register map'!A:A,C310-8)),"ERROR",INDEX('register map'!A:A,C310-8)),INDEX('register map'!A:A,C310-7)),INDEX('register map'!A:A,C310-6)),INDEX('register map'!A:A,C310-5)),INDEX('register map'!A:A,C310-4)),INDEX('register map'!A:A,C310-3)),INDEX('register map'!A:A,C310-2)),INDEX('register map'!A:A,C310-1)),INDEX('register map'!A:A,C310))</f>
        <v>0x38</v>
      </c>
      <c r="F310" s="117" t="str">
        <f>IF(ISBLANK(INDEX('register map'!B:B,C310)),IF(ISBLANK(INDEX('register map'!B:B,C310-1)),IF(ISBLANK(INDEX('register map'!B:B,C310-2)),IF(ISBLANK(INDEX('register map'!B:B,C310-3)),IF(ISBLANK(INDEX('register map'!B:B,C310-4)),IF(ISBLANK(INDEX('register map'!B:B,C310-5)),IF(ISBLANK(INDEX('register map'!B:B,C310-6)),IF(ISBLANK(INDEX('register map'!B:B,C310-7)),IF(ISBLANK(INDEX('register map'!B:B,C310-8)),"ERROR",INDEX('register map'!B:B,C310-8)),INDEX('register map'!B:B,C310-7)),INDEX('register map'!B:B,C310-6)),INDEX('register map'!B:B,C310-5)),INDEX('register map'!B:B,C310-4)),INDEX('register map'!B:B,C310-3)),INDEX('register map'!B:B,C310-2)),INDEX('register map'!B:B,C310-1)),INDEX('register map'!B:B,C310))</f>
        <v>0x0A</v>
      </c>
      <c r="G310" s="117" t="str">
        <f>CONCATENATE(IF(ISNUMBER(INDEX('register map'!D:D,C310)),7,""),IF(ISNUMBER(INDEX('register map'!E:E,C310)),6,""),IF(ISNUMBER(INDEX('register map'!F:F,C310)),5,""),IF(ISNUMBER(INDEX('register map'!G:G,C310)),4,""),IF(ISNUMBER(INDEX('register map'!H:H,C310)),3,""),IF(ISNUMBER(INDEX('register map'!I:I,C310)),2,""),IF(ISNUMBER(INDEX('register map'!J:J,C310)),1,""),IF(ISNUMBER(INDEX('register map'!K:K,C310)),0,""))</f>
        <v>0</v>
      </c>
      <c r="H310" s="117" t="str">
        <f>RIGHT(INDEX('register map'!V:V,MATCH('Logical Group Generator'!B310,'register map'!L:L,0)),LEN(G310))</f>
        <v>1</v>
      </c>
      <c r="I310" s="117" t="str">
        <f>CONCATENATE(IF(ISNUMBER(INDEX('register map'!K:K,C310)),0,""),IF(ISNUMBER(INDEX('register map'!J:J,C310)),1,""),IF(ISNUMBER(INDEX('register map'!I:I,C310)),2,""),IF(ISNUMBER(INDEX('register map'!H:H,C310)),3,""),IF(ISNUMBER(INDEX('register map'!G:G,C310)),4,""),IF(ISNUMBER(INDEX('register map'!F:F,C310)),5,""),IF(ISNUMBER(INDEX('register map'!E:E,C310)),6,""),IF(ISNUMBER(INDEX('register map'!D:D,C310)),7,""))</f>
        <v>0</v>
      </c>
      <c r="J310" s="117" t="str">
        <f t="shared" si="51"/>
        <v>1</v>
      </c>
      <c r="K310" s="117" t="str">
        <f t="shared" si="44"/>
        <v/>
      </c>
      <c r="L310" s="117" t="str">
        <f t="shared" si="52"/>
        <v/>
      </c>
      <c r="M310" s="117" t="str">
        <f t="shared" si="54"/>
        <v/>
      </c>
      <c r="N310" s="117" t="str">
        <f>IF(ISBLANK(INDEX('register map'!M:M,'Logical Group Generator'!C310)),"No","Yes")</f>
        <v>No</v>
      </c>
      <c r="O310" s="117" t="str">
        <f>IF(NOT(ISBLANK(INDEX('register map'!N:N,'Logical Group Generator'!C310))),"Yes","")</f>
        <v/>
      </c>
      <c r="P310" s="117" t="str">
        <f t="shared" si="45"/>
        <v/>
      </c>
      <c r="Q310" s="117" t="str">
        <f t="shared" si="46"/>
        <v/>
      </c>
      <c r="R310" s="117" t="str">
        <f t="shared" si="47"/>
        <v/>
      </c>
      <c r="S310" s="117" t="str">
        <f t="shared" si="48"/>
        <v>No</v>
      </c>
      <c r="T310" s="117" t="str">
        <f t="shared" si="49"/>
        <v/>
      </c>
      <c r="U310" s="117" t="b">
        <f t="shared" si="53"/>
        <v>0</v>
      </c>
      <c r="V310" s="157" t="b">
        <f>INDEX('register map'!P:P,C310)="yes"</f>
        <v>1</v>
      </c>
      <c r="W310" s="157" t="str">
        <f t="shared" si="50"/>
        <v>FALSE</v>
      </c>
    </row>
    <row r="311" spans="2:23">
      <c r="B311" s="157" t="str">
        <f t="array" ref="B311">IF(ROWS($3:311)&lt;=COUNTA('register map'!$L$5:$L$902),INDEX('register map'!$L$5:$L$902,SMALL(IF('register map'!$L$5:$L$902&lt;&gt;"",ROW('register map'!$L$5:$L$902)-MIN(ROW('register map'!$L$5:$L$902))+1),ROWS($3:311))),"")</f>
        <v>OTP_RSVD_38_0A_1</v>
      </c>
      <c r="C311" s="157">
        <f>IF(B311="PART_NUMBER",IF(COUNTIF($B$1:B310,"PART_NUMBER")=0,6,8),MATCH(B311,'register map'!L:L,0))</f>
        <v>415</v>
      </c>
      <c r="D311" s="117" t="str">
        <f>IF(ISBLANK(INDEX('register map'!C:C,'Logical Group Generator'!C311)),"No","Yes")</f>
        <v>No</v>
      </c>
      <c r="E311" s="117" t="str">
        <f>IF(ISBLANK(INDEX('register map'!A:A,C311)),IF(ISBLANK(INDEX('register map'!A:A,C311-1)),IF(ISBLANK(INDEX('register map'!A:A,C311-2)),IF(ISBLANK(INDEX('register map'!A:A,C311-3)),IF(ISBLANK(INDEX('register map'!A:A,C311-4)),IF(ISBLANK(INDEX('register map'!A:A,C311-5)),IF(ISBLANK(INDEX('register map'!A:A,C311-6)),IF(ISBLANK(INDEX('register map'!A:A,C311-7)),IF(ISBLANK(INDEX('register map'!A:A,C311-8)),"ERROR",INDEX('register map'!A:A,C311-8)),INDEX('register map'!A:A,C311-7)),INDEX('register map'!A:A,C311-6)),INDEX('register map'!A:A,C311-5)),INDEX('register map'!A:A,C311-4)),INDEX('register map'!A:A,C311-3)),INDEX('register map'!A:A,C311-2)),INDEX('register map'!A:A,C311-1)),INDEX('register map'!A:A,C311))</f>
        <v>0x38</v>
      </c>
      <c r="F311" s="117" t="str">
        <f>IF(ISBLANK(INDEX('register map'!B:B,C311)),IF(ISBLANK(INDEX('register map'!B:B,C311-1)),IF(ISBLANK(INDEX('register map'!B:B,C311-2)),IF(ISBLANK(INDEX('register map'!B:B,C311-3)),IF(ISBLANK(INDEX('register map'!B:B,C311-4)),IF(ISBLANK(INDEX('register map'!B:B,C311-5)),IF(ISBLANK(INDEX('register map'!B:B,C311-6)),IF(ISBLANK(INDEX('register map'!B:B,C311-7)),IF(ISBLANK(INDEX('register map'!B:B,C311-8)),"ERROR",INDEX('register map'!B:B,C311-8)),INDEX('register map'!B:B,C311-7)),INDEX('register map'!B:B,C311-6)),INDEX('register map'!B:B,C311-5)),INDEX('register map'!B:B,C311-4)),INDEX('register map'!B:B,C311-3)),INDEX('register map'!B:B,C311-2)),INDEX('register map'!B:B,C311-1)),INDEX('register map'!B:B,C311))</f>
        <v>0x0A</v>
      </c>
      <c r="G311" s="117" t="str">
        <f>CONCATENATE(IF(ISNUMBER(INDEX('register map'!D:D,C311)),7,""),IF(ISNUMBER(INDEX('register map'!E:E,C311)),6,""),IF(ISNUMBER(INDEX('register map'!F:F,C311)),5,""),IF(ISNUMBER(INDEX('register map'!G:G,C311)),4,""),IF(ISNUMBER(INDEX('register map'!H:H,C311)),3,""),IF(ISNUMBER(INDEX('register map'!I:I,C311)),2,""),IF(ISNUMBER(INDEX('register map'!J:J,C311)),1,""),IF(ISNUMBER(INDEX('register map'!K:K,C311)),0,""))</f>
        <v>1</v>
      </c>
      <c r="H311" s="117" t="str">
        <f>RIGHT(INDEX('register map'!V:V,MATCH('Logical Group Generator'!B311,'register map'!L:L,0)),LEN(G311))</f>
        <v>1</v>
      </c>
      <c r="I311" s="117" t="str">
        <f>CONCATENATE(IF(ISNUMBER(INDEX('register map'!K:K,C311)),0,""),IF(ISNUMBER(INDEX('register map'!J:J,C311)),1,""),IF(ISNUMBER(INDEX('register map'!I:I,C311)),2,""),IF(ISNUMBER(INDEX('register map'!H:H,C311)),3,""),IF(ISNUMBER(INDEX('register map'!G:G,C311)),4,""),IF(ISNUMBER(INDEX('register map'!F:F,C311)),5,""),IF(ISNUMBER(INDEX('register map'!E:E,C311)),6,""),IF(ISNUMBER(INDEX('register map'!D:D,C311)),7,""))</f>
        <v>1</v>
      </c>
      <c r="J311" s="117" t="str">
        <f t="shared" si="51"/>
        <v>1</v>
      </c>
      <c r="K311" s="117" t="str">
        <f t="shared" si="44"/>
        <v/>
      </c>
      <c r="L311" s="117" t="str">
        <f t="shared" si="52"/>
        <v/>
      </c>
      <c r="M311" s="117" t="str">
        <f t="shared" si="54"/>
        <v/>
      </c>
      <c r="N311" s="117" t="str">
        <f>IF(ISBLANK(INDEX('register map'!M:M,'Logical Group Generator'!C311)),"No","Yes")</f>
        <v>No</v>
      </c>
      <c r="O311" s="117" t="str">
        <f>IF(NOT(ISBLANK(INDEX('register map'!N:N,'Logical Group Generator'!C311))),"Yes","")</f>
        <v/>
      </c>
      <c r="P311" s="117" t="str">
        <f t="shared" si="45"/>
        <v/>
      </c>
      <c r="Q311" s="117" t="str">
        <f t="shared" si="46"/>
        <v/>
      </c>
      <c r="R311" s="117" t="str">
        <f t="shared" si="47"/>
        <v/>
      </c>
      <c r="S311" s="117" t="str">
        <f t="shared" si="48"/>
        <v>No</v>
      </c>
      <c r="T311" s="117" t="str">
        <f t="shared" si="49"/>
        <v/>
      </c>
      <c r="U311" s="117" t="b">
        <f t="shared" si="53"/>
        <v>0</v>
      </c>
      <c r="V311" s="157" t="b">
        <f>INDEX('register map'!P:P,C311)="yes"</f>
        <v>1</v>
      </c>
      <c r="W311" s="157" t="str">
        <f t="shared" si="50"/>
        <v>FALSE</v>
      </c>
    </row>
    <row r="312" spans="2:23">
      <c r="B312" s="157" t="str">
        <f t="array" ref="B312">IF(ROWS($3:312)&lt;=COUNTA('register map'!$L$5:$L$902),INDEX('register map'!$L$5:$L$902,SMALL(IF('register map'!$L$5:$L$902&lt;&gt;"",ROW('register map'!$L$5:$L$902)-MIN(ROW('register map'!$L$5:$L$902))+1),ROWS($3:312))),"")</f>
        <v>OTP_RSVD_38_0A_2</v>
      </c>
      <c r="C312" s="157">
        <f>IF(B312="PART_NUMBER",IF(COUNTIF($B$1:B311,"PART_NUMBER")=0,6,8),MATCH(B312,'register map'!L:L,0))</f>
        <v>416</v>
      </c>
      <c r="D312" s="117" t="str">
        <f>IF(ISBLANK(INDEX('register map'!C:C,'Logical Group Generator'!C312)),"No","Yes")</f>
        <v>No</v>
      </c>
      <c r="E312" s="117" t="str">
        <f>IF(ISBLANK(INDEX('register map'!A:A,C312)),IF(ISBLANK(INDEX('register map'!A:A,C312-1)),IF(ISBLANK(INDEX('register map'!A:A,C312-2)),IF(ISBLANK(INDEX('register map'!A:A,C312-3)),IF(ISBLANK(INDEX('register map'!A:A,C312-4)),IF(ISBLANK(INDEX('register map'!A:A,C312-5)),IF(ISBLANK(INDEX('register map'!A:A,C312-6)),IF(ISBLANK(INDEX('register map'!A:A,C312-7)),IF(ISBLANK(INDEX('register map'!A:A,C312-8)),"ERROR",INDEX('register map'!A:A,C312-8)),INDEX('register map'!A:A,C312-7)),INDEX('register map'!A:A,C312-6)),INDEX('register map'!A:A,C312-5)),INDEX('register map'!A:A,C312-4)),INDEX('register map'!A:A,C312-3)),INDEX('register map'!A:A,C312-2)),INDEX('register map'!A:A,C312-1)),INDEX('register map'!A:A,C312))</f>
        <v>0x38</v>
      </c>
      <c r="F312" s="117" t="str">
        <f>IF(ISBLANK(INDEX('register map'!B:B,C312)),IF(ISBLANK(INDEX('register map'!B:B,C312-1)),IF(ISBLANK(INDEX('register map'!B:B,C312-2)),IF(ISBLANK(INDEX('register map'!B:B,C312-3)),IF(ISBLANK(INDEX('register map'!B:B,C312-4)),IF(ISBLANK(INDEX('register map'!B:B,C312-5)),IF(ISBLANK(INDEX('register map'!B:B,C312-6)),IF(ISBLANK(INDEX('register map'!B:B,C312-7)),IF(ISBLANK(INDEX('register map'!B:B,C312-8)),"ERROR",INDEX('register map'!B:B,C312-8)),INDEX('register map'!B:B,C312-7)),INDEX('register map'!B:B,C312-6)),INDEX('register map'!B:B,C312-5)),INDEX('register map'!B:B,C312-4)),INDEX('register map'!B:B,C312-3)),INDEX('register map'!B:B,C312-2)),INDEX('register map'!B:B,C312-1)),INDEX('register map'!B:B,C312))</f>
        <v>0x0A</v>
      </c>
      <c r="G312" s="117" t="str">
        <f>CONCATENATE(IF(ISNUMBER(INDEX('register map'!D:D,C312)),7,""),IF(ISNUMBER(INDEX('register map'!E:E,C312)),6,""),IF(ISNUMBER(INDEX('register map'!F:F,C312)),5,""),IF(ISNUMBER(INDEX('register map'!G:G,C312)),4,""),IF(ISNUMBER(INDEX('register map'!H:H,C312)),3,""),IF(ISNUMBER(INDEX('register map'!I:I,C312)),2,""),IF(ISNUMBER(INDEX('register map'!J:J,C312)),1,""),IF(ISNUMBER(INDEX('register map'!K:K,C312)),0,""))</f>
        <v>2</v>
      </c>
      <c r="H312" s="117" t="str">
        <f>RIGHT(INDEX('register map'!V:V,MATCH('Logical Group Generator'!B312,'register map'!L:L,0)),LEN(G312))</f>
        <v>1</v>
      </c>
      <c r="I312" s="117" t="str">
        <f>CONCATENATE(IF(ISNUMBER(INDEX('register map'!K:K,C312)),0,""),IF(ISNUMBER(INDEX('register map'!J:J,C312)),1,""),IF(ISNUMBER(INDEX('register map'!I:I,C312)),2,""),IF(ISNUMBER(INDEX('register map'!H:H,C312)),3,""),IF(ISNUMBER(INDEX('register map'!G:G,C312)),4,""),IF(ISNUMBER(INDEX('register map'!F:F,C312)),5,""),IF(ISNUMBER(INDEX('register map'!E:E,C312)),6,""),IF(ISNUMBER(INDEX('register map'!D:D,C312)),7,""))</f>
        <v>2</v>
      </c>
      <c r="J312" s="117" t="str">
        <f t="shared" si="51"/>
        <v>1</v>
      </c>
      <c r="K312" s="117" t="str">
        <f t="shared" si="44"/>
        <v/>
      </c>
      <c r="L312" s="117" t="str">
        <f t="shared" si="52"/>
        <v/>
      </c>
      <c r="M312" s="117" t="str">
        <f t="shared" si="54"/>
        <v/>
      </c>
      <c r="N312" s="117" t="str">
        <f>IF(ISBLANK(INDEX('register map'!M:M,'Logical Group Generator'!C312)),"No","Yes")</f>
        <v>No</v>
      </c>
      <c r="O312" s="117" t="str">
        <f>IF(NOT(ISBLANK(INDEX('register map'!N:N,'Logical Group Generator'!C312))),"Yes","")</f>
        <v/>
      </c>
      <c r="P312" s="117" t="str">
        <f t="shared" si="45"/>
        <v/>
      </c>
      <c r="Q312" s="117" t="str">
        <f t="shared" si="46"/>
        <v/>
      </c>
      <c r="R312" s="117" t="str">
        <f t="shared" si="47"/>
        <v/>
      </c>
      <c r="S312" s="117" t="str">
        <f t="shared" si="48"/>
        <v>No</v>
      </c>
      <c r="T312" s="117" t="str">
        <f t="shared" si="49"/>
        <v/>
      </c>
      <c r="U312" s="117" t="b">
        <f t="shared" si="53"/>
        <v>0</v>
      </c>
      <c r="V312" s="157" t="b">
        <f>INDEX('register map'!P:P,C312)="yes"</f>
        <v>1</v>
      </c>
      <c r="W312" s="157" t="str">
        <f t="shared" si="50"/>
        <v>FALSE</v>
      </c>
    </row>
    <row r="313" spans="2:23">
      <c r="B313" s="157" t="str">
        <f t="array" ref="B313">IF(ROWS($3:313)&lt;=COUNTA('register map'!$L$5:$L$902),INDEX('register map'!$L$5:$L$902,SMALL(IF('register map'!$L$5:$L$902&lt;&gt;"",ROW('register map'!$L$5:$L$902)-MIN(ROW('register map'!$L$5:$L$902))+1),ROWS($3:313))),"")</f>
        <v>OTP_RSVD_38_0A_3</v>
      </c>
      <c r="C313" s="157">
        <f>IF(B313="PART_NUMBER",IF(COUNTIF($B$1:B312,"PART_NUMBER")=0,6,8),MATCH(B313,'register map'!L:L,0))</f>
        <v>417</v>
      </c>
      <c r="D313" s="117" t="str">
        <f>IF(ISBLANK(INDEX('register map'!C:C,'Logical Group Generator'!C313)),"No","Yes")</f>
        <v>No</v>
      </c>
      <c r="E313" s="117" t="str">
        <f>IF(ISBLANK(INDEX('register map'!A:A,C313)),IF(ISBLANK(INDEX('register map'!A:A,C313-1)),IF(ISBLANK(INDEX('register map'!A:A,C313-2)),IF(ISBLANK(INDEX('register map'!A:A,C313-3)),IF(ISBLANK(INDEX('register map'!A:A,C313-4)),IF(ISBLANK(INDEX('register map'!A:A,C313-5)),IF(ISBLANK(INDEX('register map'!A:A,C313-6)),IF(ISBLANK(INDEX('register map'!A:A,C313-7)),IF(ISBLANK(INDEX('register map'!A:A,C313-8)),"ERROR",INDEX('register map'!A:A,C313-8)),INDEX('register map'!A:A,C313-7)),INDEX('register map'!A:A,C313-6)),INDEX('register map'!A:A,C313-5)),INDEX('register map'!A:A,C313-4)),INDEX('register map'!A:A,C313-3)),INDEX('register map'!A:A,C313-2)),INDEX('register map'!A:A,C313-1)),INDEX('register map'!A:A,C313))</f>
        <v>0x38</v>
      </c>
      <c r="F313" s="117" t="str">
        <f>IF(ISBLANK(INDEX('register map'!B:B,C313)),IF(ISBLANK(INDEX('register map'!B:B,C313-1)),IF(ISBLANK(INDEX('register map'!B:B,C313-2)),IF(ISBLANK(INDEX('register map'!B:B,C313-3)),IF(ISBLANK(INDEX('register map'!B:B,C313-4)),IF(ISBLANK(INDEX('register map'!B:B,C313-5)),IF(ISBLANK(INDEX('register map'!B:B,C313-6)),IF(ISBLANK(INDEX('register map'!B:B,C313-7)),IF(ISBLANK(INDEX('register map'!B:B,C313-8)),"ERROR",INDEX('register map'!B:B,C313-8)),INDEX('register map'!B:B,C313-7)),INDEX('register map'!B:B,C313-6)),INDEX('register map'!B:B,C313-5)),INDEX('register map'!B:B,C313-4)),INDEX('register map'!B:B,C313-3)),INDEX('register map'!B:B,C313-2)),INDEX('register map'!B:B,C313-1)),INDEX('register map'!B:B,C313))</f>
        <v>0x0A</v>
      </c>
      <c r="G313" s="117" t="str">
        <f>CONCATENATE(IF(ISNUMBER(INDEX('register map'!D:D,C313)),7,""),IF(ISNUMBER(INDEX('register map'!E:E,C313)),6,""),IF(ISNUMBER(INDEX('register map'!F:F,C313)),5,""),IF(ISNUMBER(INDEX('register map'!G:G,C313)),4,""),IF(ISNUMBER(INDEX('register map'!H:H,C313)),3,""),IF(ISNUMBER(INDEX('register map'!I:I,C313)),2,""),IF(ISNUMBER(INDEX('register map'!J:J,C313)),1,""),IF(ISNUMBER(INDEX('register map'!K:K,C313)),0,""))</f>
        <v>3</v>
      </c>
      <c r="H313" s="117" t="str">
        <f>RIGHT(INDEX('register map'!V:V,MATCH('Logical Group Generator'!B313,'register map'!L:L,0)),LEN(G313))</f>
        <v>1</v>
      </c>
      <c r="I313" s="117" t="str">
        <f>CONCATENATE(IF(ISNUMBER(INDEX('register map'!K:K,C313)),0,""),IF(ISNUMBER(INDEX('register map'!J:J,C313)),1,""),IF(ISNUMBER(INDEX('register map'!I:I,C313)),2,""),IF(ISNUMBER(INDEX('register map'!H:H,C313)),3,""),IF(ISNUMBER(INDEX('register map'!G:G,C313)),4,""),IF(ISNUMBER(INDEX('register map'!F:F,C313)),5,""),IF(ISNUMBER(INDEX('register map'!E:E,C313)),6,""),IF(ISNUMBER(INDEX('register map'!D:D,C313)),7,""))</f>
        <v>3</v>
      </c>
      <c r="J313" s="117" t="str">
        <f t="shared" si="51"/>
        <v>1</v>
      </c>
      <c r="K313" s="117" t="str">
        <f t="shared" si="44"/>
        <v/>
      </c>
      <c r="L313" s="117" t="str">
        <f t="shared" si="52"/>
        <v/>
      </c>
      <c r="M313" s="117" t="str">
        <f t="shared" si="54"/>
        <v/>
      </c>
      <c r="N313" s="117" t="str">
        <f>IF(ISBLANK(INDEX('register map'!M:M,'Logical Group Generator'!C313)),"No","Yes")</f>
        <v>No</v>
      </c>
      <c r="O313" s="117" t="str">
        <f>IF(NOT(ISBLANK(INDEX('register map'!N:N,'Logical Group Generator'!C313))),"Yes","")</f>
        <v/>
      </c>
      <c r="P313" s="117" t="str">
        <f t="shared" si="45"/>
        <v/>
      </c>
      <c r="Q313" s="117" t="str">
        <f t="shared" si="46"/>
        <v/>
      </c>
      <c r="R313" s="117" t="str">
        <f t="shared" si="47"/>
        <v/>
      </c>
      <c r="S313" s="117" t="str">
        <f t="shared" si="48"/>
        <v>No</v>
      </c>
      <c r="T313" s="117" t="str">
        <f t="shared" si="49"/>
        <v/>
      </c>
      <c r="U313" s="117" t="b">
        <f t="shared" si="53"/>
        <v>0</v>
      </c>
      <c r="V313" s="157" t="b">
        <f>INDEX('register map'!P:P,C313)="yes"</f>
        <v>1</v>
      </c>
      <c r="W313" s="157" t="str">
        <f t="shared" si="50"/>
        <v>FALSE</v>
      </c>
    </row>
    <row r="314" spans="2:23">
      <c r="B314" s="157" t="str">
        <f t="array" ref="B314">IF(ROWS($3:314)&lt;=COUNTA('register map'!$L$5:$L$902),INDEX('register map'!$L$5:$L$902,SMALL(IF('register map'!$L$5:$L$902&lt;&gt;"",ROW('register map'!$L$5:$L$902)-MIN(ROW('register map'!$L$5:$L$902))+1),ROWS($3:314))),"")</f>
        <v>OTP_RSVD_38_0A_4</v>
      </c>
      <c r="C314" s="157">
        <f>IF(B314="PART_NUMBER",IF(COUNTIF($B$1:B313,"PART_NUMBER")=0,6,8),MATCH(B314,'register map'!L:L,0))</f>
        <v>418</v>
      </c>
      <c r="D314" s="117" t="str">
        <f>IF(ISBLANK(INDEX('register map'!C:C,'Logical Group Generator'!C314)),"No","Yes")</f>
        <v>No</v>
      </c>
      <c r="E314" s="117" t="str">
        <f>IF(ISBLANK(INDEX('register map'!A:A,C314)),IF(ISBLANK(INDEX('register map'!A:A,C314-1)),IF(ISBLANK(INDEX('register map'!A:A,C314-2)),IF(ISBLANK(INDEX('register map'!A:A,C314-3)),IF(ISBLANK(INDEX('register map'!A:A,C314-4)),IF(ISBLANK(INDEX('register map'!A:A,C314-5)),IF(ISBLANK(INDEX('register map'!A:A,C314-6)),IF(ISBLANK(INDEX('register map'!A:A,C314-7)),IF(ISBLANK(INDEX('register map'!A:A,C314-8)),"ERROR",INDEX('register map'!A:A,C314-8)),INDEX('register map'!A:A,C314-7)),INDEX('register map'!A:A,C314-6)),INDEX('register map'!A:A,C314-5)),INDEX('register map'!A:A,C314-4)),INDEX('register map'!A:A,C314-3)),INDEX('register map'!A:A,C314-2)),INDEX('register map'!A:A,C314-1)),INDEX('register map'!A:A,C314))</f>
        <v>0x38</v>
      </c>
      <c r="F314" s="117" t="str">
        <f>IF(ISBLANK(INDEX('register map'!B:B,C314)),IF(ISBLANK(INDEX('register map'!B:B,C314-1)),IF(ISBLANK(INDEX('register map'!B:B,C314-2)),IF(ISBLANK(INDEX('register map'!B:B,C314-3)),IF(ISBLANK(INDEX('register map'!B:B,C314-4)),IF(ISBLANK(INDEX('register map'!B:B,C314-5)),IF(ISBLANK(INDEX('register map'!B:B,C314-6)),IF(ISBLANK(INDEX('register map'!B:B,C314-7)),IF(ISBLANK(INDEX('register map'!B:B,C314-8)),"ERROR",INDEX('register map'!B:B,C314-8)),INDEX('register map'!B:B,C314-7)),INDEX('register map'!B:B,C314-6)),INDEX('register map'!B:B,C314-5)),INDEX('register map'!B:B,C314-4)),INDEX('register map'!B:B,C314-3)),INDEX('register map'!B:B,C314-2)),INDEX('register map'!B:B,C314-1)),INDEX('register map'!B:B,C314))</f>
        <v>0x0A</v>
      </c>
      <c r="G314" s="117" t="str">
        <f>CONCATENATE(IF(ISNUMBER(INDEX('register map'!D:D,C314)),7,""),IF(ISNUMBER(INDEX('register map'!E:E,C314)),6,""),IF(ISNUMBER(INDEX('register map'!F:F,C314)),5,""),IF(ISNUMBER(INDEX('register map'!G:G,C314)),4,""),IF(ISNUMBER(INDEX('register map'!H:H,C314)),3,""),IF(ISNUMBER(INDEX('register map'!I:I,C314)),2,""),IF(ISNUMBER(INDEX('register map'!J:J,C314)),1,""),IF(ISNUMBER(INDEX('register map'!K:K,C314)),0,""))</f>
        <v>4</v>
      </c>
      <c r="H314" s="117" t="str">
        <f>RIGHT(INDEX('register map'!V:V,MATCH('Logical Group Generator'!B314,'register map'!L:L,0)),LEN(G314))</f>
        <v>1</v>
      </c>
      <c r="I314" s="117" t="str">
        <f>CONCATENATE(IF(ISNUMBER(INDEX('register map'!K:K,C314)),0,""),IF(ISNUMBER(INDEX('register map'!J:J,C314)),1,""),IF(ISNUMBER(INDEX('register map'!I:I,C314)),2,""),IF(ISNUMBER(INDEX('register map'!H:H,C314)),3,""),IF(ISNUMBER(INDEX('register map'!G:G,C314)),4,""),IF(ISNUMBER(INDEX('register map'!F:F,C314)),5,""),IF(ISNUMBER(INDEX('register map'!E:E,C314)),6,""),IF(ISNUMBER(INDEX('register map'!D:D,C314)),7,""))</f>
        <v>4</v>
      </c>
      <c r="J314" s="117" t="str">
        <f t="shared" si="51"/>
        <v>1</v>
      </c>
      <c r="K314" s="117" t="str">
        <f t="shared" si="44"/>
        <v/>
      </c>
      <c r="L314" s="117" t="str">
        <f t="shared" si="52"/>
        <v/>
      </c>
      <c r="M314" s="117" t="str">
        <f t="shared" si="54"/>
        <v/>
      </c>
      <c r="N314" s="117" t="str">
        <f>IF(ISBLANK(INDEX('register map'!M:M,'Logical Group Generator'!C314)),"No","Yes")</f>
        <v>No</v>
      </c>
      <c r="O314" s="117" t="str">
        <f>IF(NOT(ISBLANK(INDEX('register map'!N:N,'Logical Group Generator'!C314))),"Yes","")</f>
        <v/>
      </c>
      <c r="P314" s="117" t="str">
        <f t="shared" si="45"/>
        <v/>
      </c>
      <c r="Q314" s="117" t="str">
        <f t="shared" si="46"/>
        <v/>
      </c>
      <c r="R314" s="117" t="str">
        <f t="shared" si="47"/>
        <v/>
      </c>
      <c r="S314" s="117" t="str">
        <f t="shared" si="48"/>
        <v>No</v>
      </c>
      <c r="T314" s="117" t="str">
        <f t="shared" si="49"/>
        <v/>
      </c>
      <c r="U314" s="117" t="b">
        <f t="shared" si="53"/>
        <v>0</v>
      </c>
      <c r="V314" s="157" t="b">
        <f>INDEX('register map'!P:P,C314)="yes"</f>
        <v>1</v>
      </c>
      <c r="W314" s="157" t="str">
        <f t="shared" si="50"/>
        <v>FALSE</v>
      </c>
    </row>
    <row r="315" spans="2:23">
      <c r="B315" s="157" t="str">
        <f t="array" ref="B315">IF(ROWS($3:315)&lt;=COUNTA('register map'!$L$5:$L$902),INDEX('register map'!$L$5:$L$902,SMALL(IF('register map'!$L$5:$L$902&lt;&gt;"",ROW('register map'!$L$5:$L$902)-MIN(ROW('register map'!$L$5:$L$902))+1),ROWS($3:315))),"")</f>
        <v>OTP_RSVD_38_0A_5</v>
      </c>
      <c r="C315" s="157">
        <f>IF(B315="PART_NUMBER",IF(COUNTIF($B$1:B314,"PART_NUMBER")=0,6,8),MATCH(B315,'register map'!L:L,0))</f>
        <v>419</v>
      </c>
      <c r="D315" s="117" t="str">
        <f>IF(ISBLANK(INDEX('register map'!C:C,'Logical Group Generator'!C315)),"No","Yes")</f>
        <v>No</v>
      </c>
      <c r="E315" s="117" t="str">
        <f>IF(ISBLANK(INDEX('register map'!A:A,C315)),IF(ISBLANK(INDEX('register map'!A:A,C315-1)),IF(ISBLANK(INDEX('register map'!A:A,C315-2)),IF(ISBLANK(INDEX('register map'!A:A,C315-3)),IF(ISBLANK(INDEX('register map'!A:A,C315-4)),IF(ISBLANK(INDEX('register map'!A:A,C315-5)),IF(ISBLANK(INDEX('register map'!A:A,C315-6)),IF(ISBLANK(INDEX('register map'!A:A,C315-7)),IF(ISBLANK(INDEX('register map'!A:A,C315-8)),"ERROR",INDEX('register map'!A:A,C315-8)),INDEX('register map'!A:A,C315-7)),INDEX('register map'!A:A,C315-6)),INDEX('register map'!A:A,C315-5)),INDEX('register map'!A:A,C315-4)),INDEX('register map'!A:A,C315-3)),INDEX('register map'!A:A,C315-2)),INDEX('register map'!A:A,C315-1)),INDEX('register map'!A:A,C315))</f>
        <v>0x38</v>
      </c>
      <c r="F315" s="117" t="str">
        <f>IF(ISBLANK(INDEX('register map'!B:B,C315)),IF(ISBLANK(INDEX('register map'!B:B,C315-1)),IF(ISBLANK(INDEX('register map'!B:B,C315-2)),IF(ISBLANK(INDEX('register map'!B:B,C315-3)),IF(ISBLANK(INDEX('register map'!B:B,C315-4)),IF(ISBLANK(INDEX('register map'!B:B,C315-5)),IF(ISBLANK(INDEX('register map'!B:B,C315-6)),IF(ISBLANK(INDEX('register map'!B:B,C315-7)),IF(ISBLANK(INDEX('register map'!B:B,C315-8)),"ERROR",INDEX('register map'!B:B,C315-8)),INDEX('register map'!B:B,C315-7)),INDEX('register map'!B:B,C315-6)),INDEX('register map'!B:B,C315-5)),INDEX('register map'!B:B,C315-4)),INDEX('register map'!B:B,C315-3)),INDEX('register map'!B:B,C315-2)),INDEX('register map'!B:B,C315-1)),INDEX('register map'!B:B,C315))</f>
        <v>0x0A</v>
      </c>
      <c r="G315" s="117" t="str">
        <f>CONCATENATE(IF(ISNUMBER(INDEX('register map'!D:D,C315)),7,""),IF(ISNUMBER(INDEX('register map'!E:E,C315)),6,""),IF(ISNUMBER(INDEX('register map'!F:F,C315)),5,""),IF(ISNUMBER(INDEX('register map'!G:G,C315)),4,""),IF(ISNUMBER(INDEX('register map'!H:H,C315)),3,""),IF(ISNUMBER(INDEX('register map'!I:I,C315)),2,""),IF(ISNUMBER(INDEX('register map'!J:J,C315)),1,""),IF(ISNUMBER(INDEX('register map'!K:K,C315)),0,""))</f>
        <v>5</v>
      </c>
      <c r="H315" s="117" t="str">
        <f>RIGHT(INDEX('register map'!V:V,MATCH('Logical Group Generator'!B315,'register map'!L:L,0)),LEN(G315))</f>
        <v>1</v>
      </c>
      <c r="I315" s="117" t="str">
        <f>CONCATENATE(IF(ISNUMBER(INDEX('register map'!K:K,C315)),0,""),IF(ISNUMBER(INDEX('register map'!J:J,C315)),1,""),IF(ISNUMBER(INDEX('register map'!I:I,C315)),2,""),IF(ISNUMBER(INDEX('register map'!H:H,C315)),3,""),IF(ISNUMBER(INDEX('register map'!G:G,C315)),4,""),IF(ISNUMBER(INDEX('register map'!F:F,C315)),5,""),IF(ISNUMBER(INDEX('register map'!E:E,C315)),6,""),IF(ISNUMBER(INDEX('register map'!D:D,C315)),7,""))</f>
        <v>5</v>
      </c>
      <c r="J315" s="117" t="str">
        <f t="shared" si="51"/>
        <v>1</v>
      </c>
      <c r="K315" s="117" t="str">
        <f t="shared" si="44"/>
        <v/>
      </c>
      <c r="L315" s="117" t="str">
        <f t="shared" si="52"/>
        <v/>
      </c>
      <c r="M315" s="117" t="str">
        <f t="shared" si="54"/>
        <v/>
      </c>
      <c r="N315" s="117" t="str">
        <f>IF(ISBLANK(INDEX('register map'!M:M,'Logical Group Generator'!C315)),"No","Yes")</f>
        <v>No</v>
      </c>
      <c r="O315" s="117" t="str">
        <f>IF(NOT(ISBLANK(INDEX('register map'!N:N,'Logical Group Generator'!C315))),"Yes","")</f>
        <v/>
      </c>
      <c r="P315" s="117" t="str">
        <f t="shared" si="45"/>
        <v/>
      </c>
      <c r="Q315" s="117" t="str">
        <f t="shared" si="46"/>
        <v/>
      </c>
      <c r="R315" s="117" t="str">
        <f t="shared" si="47"/>
        <v/>
      </c>
      <c r="S315" s="117" t="str">
        <f t="shared" si="48"/>
        <v>No</v>
      </c>
      <c r="T315" s="117" t="str">
        <f t="shared" si="49"/>
        <v/>
      </c>
      <c r="U315" s="117" t="b">
        <f t="shared" si="53"/>
        <v>0</v>
      </c>
      <c r="V315" s="157" t="b">
        <f>INDEX('register map'!P:P,C315)="yes"</f>
        <v>1</v>
      </c>
      <c r="W315" s="157" t="str">
        <f t="shared" si="50"/>
        <v>FALSE</v>
      </c>
    </row>
    <row r="316" spans="2:23">
      <c r="B316" s="157" t="str">
        <f t="array" ref="B316">IF(ROWS($3:316)&lt;=COUNTA('register map'!$L$5:$L$902),INDEX('register map'!$L$5:$L$902,SMALL(IF('register map'!$L$5:$L$902&lt;&gt;"",ROW('register map'!$L$5:$L$902)-MIN(ROW('register map'!$L$5:$L$902))+1),ROWS($3:316))),"")</f>
        <v>OTP_RSVD_38_0A_6</v>
      </c>
      <c r="C316" s="157">
        <f>IF(B316="PART_NUMBER",IF(COUNTIF($B$1:B315,"PART_NUMBER")=0,6,8),MATCH(B316,'register map'!L:L,0))</f>
        <v>420</v>
      </c>
      <c r="D316" s="117" t="str">
        <f>IF(ISBLANK(INDEX('register map'!C:C,'Logical Group Generator'!C316)),"No","Yes")</f>
        <v>No</v>
      </c>
      <c r="E316" s="117" t="str">
        <f>IF(ISBLANK(INDEX('register map'!A:A,C316)),IF(ISBLANK(INDEX('register map'!A:A,C316-1)),IF(ISBLANK(INDEX('register map'!A:A,C316-2)),IF(ISBLANK(INDEX('register map'!A:A,C316-3)),IF(ISBLANK(INDEX('register map'!A:A,C316-4)),IF(ISBLANK(INDEX('register map'!A:A,C316-5)),IF(ISBLANK(INDEX('register map'!A:A,C316-6)),IF(ISBLANK(INDEX('register map'!A:A,C316-7)),IF(ISBLANK(INDEX('register map'!A:A,C316-8)),"ERROR",INDEX('register map'!A:A,C316-8)),INDEX('register map'!A:A,C316-7)),INDEX('register map'!A:A,C316-6)),INDEX('register map'!A:A,C316-5)),INDEX('register map'!A:A,C316-4)),INDEX('register map'!A:A,C316-3)),INDEX('register map'!A:A,C316-2)),INDEX('register map'!A:A,C316-1)),INDEX('register map'!A:A,C316))</f>
        <v>0x38</v>
      </c>
      <c r="F316" s="117" t="str">
        <f>IF(ISBLANK(INDEX('register map'!B:B,C316)),IF(ISBLANK(INDEX('register map'!B:B,C316-1)),IF(ISBLANK(INDEX('register map'!B:B,C316-2)),IF(ISBLANK(INDEX('register map'!B:B,C316-3)),IF(ISBLANK(INDEX('register map'!B:B,C316-4)),IF(ISBLANK(INDEX('register map'!B:B,C316-5)),IF(ISBLANK(INDEX('register map'!B:B,C316-6)),IF(ISBLANK(INDEX('register map'!B:B,C316-7)),IF(ISBLANK(INDEX('register map'!B:B,C316-8)),"ERROR",INDEX('register map'!B:B,C316-8)),INDEX('register map'!B:B,C316-7)),INDEX('register map'!B:B,C316-6)),INDEX('register map'!B:B,C316-5)),INDEX('register map'!B:B,C316-4)),INDEX('register map'!B:B,C316-3)),INDEX('register map'!B:B,C316-2)),INDEX('register map'!B:B,C316-1)),INDEX('register map'!B:B,C316))</f>
        <v>0x0A</v>
      </c>
      <c r="G316" s="117" t="str">
        <f>CONCATENATE(IF(ISNUMBER(INDEX('register map'!D:D,C316)),7,""),IF(ISNUMBER(INDEX('register map'!E:E,C316)),6,""),IF(ISNUMBER(INDEX('register map'!F:F,C316)),5,""),IF(ISNUMBER(INDEX('register map'!G:G,C316)),4,""),IF(ISNUMBER(INDEX('register map'!H:H,C316)),3,""),IF(ISNUMBER(INDEX('register map'!I:I,C316)),2,""),IF(ISNUMBER(INDEX('register map'!J:J,C316)),1,""),IF(ISNUMBER(INDEX('register map'!K:K,C316)),0,""))</f>
        <v>6</v>
      </c>
      <c r="H316" s="117" t="str">
        <f>RIGHT(INDEX('register map'!V:V,MATCH('Logical Group Generator'!B316,'register map'!L:L,0)),LEN(G316))</f>
        <v>1</v>
      </c>
      <c r="I316" s="117" t="str">
        <f>CONCATENATE(IF(ISNUMBER(INDEX('register map'!K:K,C316)),0,""),IF(ISNUMBER(INDEX('register map'!J:J,C316)),1,""),IF(ISNUMBER(INDEX('register map'!I:I,C316)),2,""),IF(ISNUMBER(INDEX('register map'!H:H,C316)),3,""),IF(ISNUMBER(INDEX('register map'!G:G,C316)),4,""),IF(ISNUMBER(INDEX('register map'!F:F,C316)),5,""),IF(ISNUMBER(INDEX('register map'!E:E,C316)),6,""),IF(ISNUMBER(INDEX('register map'!D:D,C316)),7,""))</f>
        <v>6</v>
      </c>
      <c r="J316" s="117" t="str">
        <f t="shared" si="51"/>
        <v>1</v>
      </c>
      <c r="K316" s="117" t="str">
        <f t="shared" si="44"/>
        <v/>
      </c>
      <c r="L316" s="117" t="str">
        <f t="shared" si="52"/>
        <v/>
      </c>
      <c r="M316" s="117" t="str">
        <f t="shared" si="54"/>
        <v/>
      </c>
      <c r="N316" s="117" t="str">
        <f>IF(ISBLANK(INDEX('register map'!M:M,'Logical Group Generator'!C316)),"No","Yes")</f>
        <v>No</v>
      </c>
      <c r="O316" s="117" t="str">
        <f>IF(NOT(ISBLANK(INDEX('register map'!N:N,'Logical Group Generator'!C316))),"Yes","")</f>
        <v/>
      </c>
      <c r="P316" s="117" t="str">
        <f t="shared" si="45"/>
        <v/>
      </c>
      <c r="Q316" s="117" t="str">
        <f t="shared" si="46"/>
        <v/>
      </c>
      <c r="R316" s="117" t="str">
        <f t="shared" si="47"/>
        <v/>
      </c>
      <c r="S316" s="117" t="str">
        <f t="shared" si="48"/>
        <v>No</v>
      </c>
      <c r="T316" s="117" t="str">
        <f t="shared" si="49"/>
        <v/>
      </c>
      <c r="U316" s="117" t="b">
        <f t="shared" si="53"/>
        <v>0</v>
      </c>
      <c r="V316" s="157" t="b">
        <f>INDEX('register map'!P:P,C316)="yes"</f>
        <v>1</v>
      </c>
      <c r="W316" s="157" t="str">
        <f t="shared" si="50"/>
        <v>FALSE</v>
      </c>
    </row>
    <row r="317" spans="2:23">
      <c r="B317" s="157" t="str">
        <f t="array" ref="B317">IF(ROWS($3:317)&lt;=COUNTA('register map'!$L$5:$L$902),INDEX('register map'!$L$5:$L$902,SMALL(IF('register map'!$L$5:$L$902&lt;&gt;"",ROW('register map'!$L$5:$L$902)-MIN(ROW('register map'!$L$5:$L$902))+1),ROWS($3:317))),"")</f>
        <v>OTP_RSVD_38_0A_7</v>
      </c>
      <c r="C317" s="157">
        <f>IF(B317="PART_NUMBER",IF(COUNTIF($B$1:B316,"PART_NUMBER")=0,6,8),MATCH(B317,'register map'!L:L,0))</f>
        <v>421</v>
      </c>
      <c r="D317" s="117" t="str">
        <f>IF(ISBLANK(INDEX('register map'!C:C,'Logical Group Generator'!C317)),"No","Yes")</f>
        <v>No</v>
      </c>
      <c r="E317" s="117" t="str">
        <f>IF(ISBLANK(INDEX('register map'!A:A,C317)),IF(ISBLANK(INDEX('register map'!A:A,C317-1)),IF(ISBLANK(INDEX('register map'!A:A,C317-2)),IF(ISBLANK(INDEX('register map'!A:A,C317-3)),IF(ISBLANK(INDEX('register map'!A:A,C317-4)),IF(ISBLANK(INDEX('register map'!A:A,C317-5)),IF(ISBLANK(INDEX('register map'!A:A,C317-6)),IF(ISBLANK(INDEX('register map'!A:A,C317-7)),IF(ISBLANK(INDEX('register map'!A:A,C317-8)),"ERROR",INDEX('register map'!A:A,C317-8)),INDEX('register map'!A:A,C317-7)),INDEX('register map'!A:A,C317-6)),INDEX('register map'!A:A,C317-5)),INDEX('register map'!A:A,C317-4)),INDEX('register map'!A:A,C317-3)),INDEX('register map'!A:A,C317-2)),INDEX('register map'!A:A,C317-1)),INDEX('register map'!A:A,C317))</f>
        <v>0x38</v>
      </c>
      <c r="F317" s="117" t="str">
        <f>IF(ISBLANK(INDEX('register map'!B:B,C317)),IF(ISBLANK(INDEX('register map'!B:B,C317-1)),IF(ISBLANK(INDEX('register map'!B:B,C317-2)),IF(ISBLANK(INDEX('register map'!B:B,C317-3)),IF(ISBLANK(INDEX('register map'!B:B,C317-4)),IF(ISBLANK(INDEX('register map'!B:B,C317-5)),IF(ISBLANK(INDEX('register map'!B:B,C317-6)),IF(ISBLANK(INDEX('register map'!B:B,C317-7)),IF(ISBLANK(INDEX('register map'!B:B,C317-8)),"ERROR",INDEX('register map'!B:B,C317-8)),INDEX('register map'!B:B,C317-7)),INDEX('register map'!B:B,C317-6)),INDEX('register map'!B:B,C317-5)),INDEX('register map'!B:B,C317-4)),INDEX('register map'!B:B,C317-3)),INDEX('register map'!B:B,C317-2)),INDEX('register map'!B:B,C317-1)),INDEX('register map'!B:B,C317))</f>
        <v>0x0A</v>
      </c>
      <c r="G317" s="117" t="str">
        <f>CONCATENATE(IF(ISNUMBER(INDEX('register map'!D:D,C317)),7,""),IF(ISNUMBER(INDEX('register map'!E:E,C317)),6,""),IF(ISNUMBER(INDEX('register map'!F:F,C317)),5,""),IF(ISNUMBER(INDEX('register map'!G:G,C317)),4,""),IF(ISNUMBER(INDEX('register map'!H:H,C317)),3,""),IF(ISNUMBER(INDEX('register map'!I:I,C317)),2,""),IF(ISNUMBER(INDEX('register map'!J:J,C317)),1,""),IF(ISNUMBER(INDEX('register map'!K:K,C317)),0,""))</f>
        <v>7</v>
      </c>
      <c r="H317" s="117" t="str">
        <f>RIGHT(INDEX('register map'!V:V,MATCH('Logical Group Generator'!B317,'register map'!L:L,0)),LEN(G317))</f>
        <v>0</v>
      </c>
      <c r="I317" s="117" t="str">
        <f>CONCATENATE(IF(ISNUMBER(INDEX('register map'!K:K,C317)),0,""),IF(ISNUMBER(INDEX('register map'!J:J,C317)),1,""),IF(ISNUMBER(INDEX('register map'!I:I,C317)),2,""),IF(ISNUMBER(INDEX('register map'!H:H,C317)),3,""),IF(ISNUMBER(INDEX('register map'!G:G,C317)),4,""),IF(ISNUMBER(INDEX('register map'!F:F,C317)),5,""),IF(ISNUMBER(INDEX('register map'!E:E,C317)),6,""),IF(ISNUMBER(INDEX('register map'!D:D,C317)),7,""))</f>
        <v>7</v>
      </c>
      <c r="J317" s="117" t="str">
        <f t="shared" si="51"/>
        <v>0</v>
      </c>
      <c r="K317" s="117" t="str">
        <f t="shared" si="44"/>
        <v/>
      </c>
      <c r="L317" s="117" t="str">
        <f t="shared" si="52"/>
        <v/>
      </c>
      <c r="M317" s="117" t="str">
        <f t="shared" si="54"/>
        <v/>
      </c>
      <c r="N317" s="117" t="str">
        <f>IF(ISBLANK(INDEX('register map'!M:M,'Logical Group Generator'!C317)),"No","Yes")</f>
        <v>No</v>
      </c>
      <c r="O317" s="117" t="str">
        <f>IF(NOT(ISBLANK(INDEX('register map'!N:N,'Logical Group Generator'!C317))),"Yes","")</f>
        <v/>
      </c>
      <c r="P317" s="117" t="str">
        <f t="shared" si="45"/>
        <v/>
      </c>
      <c r="Q317" s="117" t="str">
        <f t="shared" si="46"/>
        <v/>
      </c>
      <c r="R317" s="117" t="str">
        <f t="shared" si="47"/>
        <v/>
      </c>
      <c r="S317" s="117" t="str">
        <f t="shared" si="48"/>
        <v>No</v>
      </c>
      <c r="T317" s="117" t="str">
        <f t="shared" si="49"/>
        <v/>
      </c>
      <c r="U317" s="117" t="b">
        <f t="shared" si="53"/>
        <v>0</v>
      </c>
      <c r="V317" s="157" t="b">
        <f>INDEX('register map'!P:P,C317)="yes"</f>
        <v>1</v>
      </c>
      <c r="W317" s="157" t="str">
        <f t="shared" si="50"/>
        <v>FALSE</v>
      </c>
    </row>
    <row r="318" spans="2:23">
      <c r="B318" s="157" t="str">
        <f t="array" ref="B318">IF(ROWS($3:318)&lt;=COUNTA('register map'!$L$5:$L$902),INDEX('register map'!$L$5:$L$902,SMALL(IF('register map'!$L$5:$L$902&lt;&gt;"",ROW('register map'!$L$5:$L$902)-MIN(ROW('register map'!$L$5:$L$902))+1),ROWS($3:318))),"")</f>
        <v>BUCK2_CTRL_EN2</v>
      </c>
      <c r="C318" s="157">
        <f>IF(B318="PART_NUMBER",IF(COUNTIF($B$1:B317,"PART_NUMBER")=0,6,8),MATCH(B318,'register map'!L:L,0))</f>
        <v>422</v>
      </c>
      <c r="D318" s="117" t="str">
        <f>IF(ISBLANK(INDEX('register map'!C:C,'Logical Group Generator'!C318)),"No","Yes")</f>
        <v>Yes</v>
      </c>
      <c r="E318" s="117" t="str">
        <f>IF(ISBLANK(INDEX('register map'!A:A,C318)),IF(ISBLANK(INDEX('register map'!A:A,C318-1)),IF(ISBLANK(INDEX('register map'!A:A,C318-2)),IF(ISBLANK(INDEX('register map'!A:A,C318-3)),IF(ISBLANK(INDEX('register map'!A:A,C318-4)),IF(ISBLANK(INDEX('register map'!A:A,C318-5)),IF(ISBLANK(INDEX('register map'!A:A,C318-6)),IF(ISBLANK(INDEX('register map'!A:A,C318-7)),IF(ISBLANK(INDEX('register map'!A:A,C318-8)),"ERROR",INDEX('register map'!A:A,C318-8)),INDEX('register map'!A:A,C318-7)),INDEX('register map'!A:A,C318-6)),INDEX('register map'!A:A,C318-5)),INDEX('register map'!A:A,C318-4)),INDEX('register map'!A:A,C318-3)),INDEX('register map'!A:A,C318-2)),INDEX('register map'!A:A,C318-1)),INDEX('register map'!A:A,C318))</f>
        <v>0x38</v>
      </c>
      <c r="F318" s="117" t="str">
        <f>IF(ISBLANK(INDEX('register map'!B:B,C318)),IF(ISBLANK(INDEX('register map'!B:B,C318-1)),IF(ISBLANK(INDEX('register map'!B:B,C318-2)),IF(ISBLANK(INDEX('register map'!B:B,C318-3)),IF(ISBLANK(INDEX('register map'!B:B,C318-4)),IF(ISBLANK(INDEX('register map'!B:B,C318-5)),IF(ISBLANK(INDEX('register map'!B:B,C318-6)),IF(ISBLANK(INDEX('register map'!B:B,C318-7)),IF(ISBLANK(INDEX('register map'!B:B,C318-8)),"ERROR",INDEX('register map'!B:B,C318-8)),INDEX('register map'!B:B,C318-7)),INDEX('register map'!B:B,C318-6)),INDEX('register map'!B:B,C318-5)),INDEX('register map'!B:B,C318-4)),INDEX('register map'!B:B,C318-3)),INDEX('register map'!B:B,C318-2)),INDEX('register map'!B:B,C318-1)),INDEX('register map'!B:B,C318))</f>
        <v>0x0B</v>
      </c>
      <c r="G318" s="117" t="str">
        <f>CONCATENATE(IF(ISNUMBER(INDEX('register map'!D:D,C318)),7,""),IF(ISNUMBER(INDEX('register map'!E:E,C318)),6,""),IF(ISNUMBER(INDEX('register map'!F:F,C318)),5,""),IF(ISNUMBER(INDEX('register map'!G:G,C318)),4,""),IF(ISNUMBER(INDEX('register map'!H:H,C318)),3,""),IF(ISNUMBER(INDEX('register map'!I:I,C318)),2,""),IF(ISNUMBER(INDEX('register map'!J:J,C318)),1,""),IF(ISNUMBER(INDEX('register map'!K:K,C318)),0,""))</f>
        <v/>
      </c>
      <c r="H318" s="117" t="str">
        <f>RIGHT(INDEX('register map'!V:V,MATCH('Logical Group Generator'!B318,'register map'!L:L,0)),LEN(G318))</f>
        <v/>
      </c>
      <c r="I318" s="117" t="str">
        <f>CONCATENATE(IF(ISNUMBER(INDEX('register map'!K:K,C318)),0,""),IF(ISNUMBER(INDEX('register map'!J:J,C318)),1,""),IF(ISNUMBER(INDEX('register map'!I:I,C318)),2,""),IF(ISNUMBER(INDEX('register map'!H:H,C318)),3,""),IF(ISNUMBER(INDEX('register map'!G:G,C318)),4,""),IF(ISNUMBER(INDEX('register map'!F:F,C318)),5,""),IF(ISNUMBER(INDEX('register map'!E:E,C318)),6,""),IF(ISNUMBER(INDEX('register map'!D:D,C318)),7,""))</f>
        <v/>
      </c>
      <c r="J318" s="117" t="str">
        <f t="shared" si="51"/>
        <v/>
      </c>
      <c r="K318" s="117" t="str">
        <f t="shared" si="44"/>
        <v>11100011</v>
      </c>
      <c r="L318" s="117" t="str">
        <f t="shared" si="52"/>
        <v>11000111</v>
      </c>
      <c r="M318" s="117" t="str">
        <f t="shared" si="54"/>
        <v>C7</v>
      </c>
      <c r="N318" s="117" t="str">
        <f>IF(ISBLANK(INDEX('register map'!M:M,'Logical Group Generator'!C318)),"No","Yes")</f>
        <v>No</v>
      </c>
      <c r="O318" s="117" t="str">
        <f>IF(NOT(ISBLANK(INDEX('register map'!N:N,'Logical Group Generator'!C318))),"Yes","")</f>
        <v/>
      </c>
      <c r="P318" s="117" t="str">
        <f t="shared" si="45"/>
        <v>No</v>
      </c>
      <c r="Q318" s="117" t="str">
        <f t="shared" si="46"/>
        <v>No</v>
      </c>
      <c r="R318" s="117" t="str">
        <f t="shared" si="47"/>
        <v>No</v>
      </c>
      <c r="S318" s="117" t="str">
        <f t="shared" si="48"/>
        <v/>
      </c>
      <c r="T318" s="117" t="b">
        <f t="shared" si="49"/>
        <v>1</v>
      </c>
      <c r="U318" s="117" t="b">
        <f t="shared" si="53"/>
        <v>1</v>
      </c>
      <c r="V318" s="157" t="b">
        <f>INDEX('register map'!P:P,C318)="yes"</f>
        <v>1</v>
      </c>
      <c r="W318" s="157" t="str">
        <f t="shared" si="50"/>
        <v>REGISTER</v>
      </c>
    </row>
    <row r="319" spans="2:23">
      <c r="B319" s="157" t="str">
        <f t="array" ref="B319">IF(ROWS($3:319)&lt;=COUNTA('register map'!$L$5:$L$902),INDEX('register map'!$L$5:$L$902,SMALL(IF('register map'!$L$5:$L$902&lt;&gt;"",ROW('register map'!$L$5:$L$902)-MIN(ROW('register map'!$L$5:$L$902))+1),ROWS($3:319))),"")</f>
        <v>OTP_RSVD_38_0B_0</v>
      </c>
      <c r="C319" s="157">
        <f>IF(B319="PART_NUMBER",IF(COUNTIF($B$1:B318,"PART_NUMBER")=0,6,8),MATCH(B319,'register map'!L:L,0))</f>
        <v>423</v>
      </c>
      <c r="D319" s="117" t="str">
        <f>IF(ISBLANK(INDEX('register map'!C:C,'Logical Group Generator'!C319)),"No","Yes")</f>
        <v>No</v>
      </c>
      <c r="E319" s="117" t="str">
        <f>IF(ISBLANK(INDEX('register map'!A:A,C319)),IF(ISBLANK(INDEX('register map'!A:A,C319-1)),IF(ISBLANK(INDEX('register map'!A:A,C319-2)),IF(ISBLANK(INDEX('register map'!A:A,C319-3)),IF(ISBLANK(INDEX('register map'!A:A,C319-4)),IF(ISBLANK(INDEX('register map'!A:A,C319-5)),IF(ISBLANK(INDEX('register map'!A:A,C319-6)),IF(ISBLANK(INDEX('register map'!A:A,C319-7)),IF(ISBLANK(INDEX('register map'!A:A,C319-8)),"ERROR",INDEX('register map'!A:A,C319-8)),INDEX('register map'!A:A,C319-7)),INDEX('register map'!A:A,C319-6)),INDEX('register map'!A:A,C319-5)),INDEX('register map'!A:A,C319-4)),INDEX('register map'!A:A,C319-3)),INDEX('register map'!A:A,C319-2)),INDEX('register map'!A:A,C319-1)),INDEX('register map'!A:A,C319))</f>
        <v>0x38</v>
      </c>
      <c r="F319" s="117" t="str">
        <f>IF(ISBLANK(INDEX('register map'!B:B,C319)),IF(ISBLANK(INDEX('register map'!B:B,C319-1)),IF(ISBLANK(INDEX('register map'!B:B,C319-2)),IF(ISBLANK(INDEX('register map'!B:B,C319-3)),IF(ISBLANK(INDEX('register map'!B:B,C319-4)),IF(ISBLANK(INDEX('register map'!B:B,C319-5)),IF(ISBLANK(INDEX('register map'!B:B,C319-6)),IF(ISBLANK(INDEX('register map'!B:B,C319-7)),IF(ISBLANK(INDEX('register map'!B:B,C319-8)),"ERROR",INDEX('register map'!B:B,C319-8)),INDEX('register map'!B:B,C319-7)),INDEX('register map'!B:B,C319-6)),INDEX('register map'!B:B,C319-5)),INDEX('register map'!B:B,C319-4)),INDEX('register map'!B:B,C319-3)),INDEX('register map'!B:B,C319-2)),INDEX('register map'!B:B,C319-1)),INDEX('register map'!B:B,C319))</f>
        <v>0x0B</v>
      </c>
      <c r="G319" s="117" t="str">
        <f>CONCATENATE(IF(ISNUMBER(INDEX('register map'!D:D,C319)),7,""),IF(ISNUMBER(INDEX('register map'!E:E,C319)),6,""),IF(ISNUMBER(INDEX('register map'!F:F,C319)),5,""),IF(ISNUMBER(INDEX('register map'!G:G,C319)),4,""),IF(ISNUMBER(INDEX('register map'!H:H,C319)),3,""),IF(ISNUMBER(INDEX('register map'!I:I,C319)),2,""),IF(ISNUMBER(INDEX('register map'!J:J,C319)),1,""),IF(ISNUMBER(INDEX('register map'!K:K,C319)),0,""))</f>
        <v>0</v>
      </c>
      <c r="H319" s="117" t="str">
        <f>RIGHT(INDEX('register map'!V:V,MATCH('Logical Group Generator'!B319,'register map'!L:L,0)),LEN(G319))</f>
        <v>1</v>
      </c>
      <c r="I319" s="117" t="str">
        <f>CONCATENATE(IF(ISNUMBER(INDEX('register map'!K:K,C319)),0,""),IF(ISNUMBER(INDEX('register map'!J:J,C319)),1,""),IF(ISNUMBER(INDEX('register map'!I:I,C319)),2,""),IF(ISNUMBER(INDEX('register map'!H:H,C319)),3,""),IF(ISNUMBER(INDEX('register map'!G:G,C319)),4,""),IF(ISNUMBER(INDEX('register map'!F:F,C319)),5,""),IF(ISNUMBER(INDEX('register map'!E:E,C319)),6,""),IF(ISNUMBER(INDEX('register map'!D:D,C319)),7,""))</f>
        <v>0</v>
      </c>
      <c r="J319" s="117" t="str">
        <f t="shared" si="51"/>
        <v>1</v>
      </c>
      <c r="K319" s="117" t="str">
        <f t="shared" si="44"/>
        <v/>
      </c>
      <c r="L319" s="117" t="str">
        <f t="shared" si="52"/>
        <v/>
      </c>
      <c r="M319" s="117" t="str">
        <f t="shared" si="54"/>
        <v/>
      </c>
      <c r="N319" s="117" t="str">
        <f>IF(ISBLANK(INDEX('register map'!M:M,'Logical Group Generator'!C319)),"No","Yes")</f>
        <v>No</v>
      </c>
      <c r="O319" s="117" t="str">
        <f>IF(NOT(ISBLANK(INDEX('register map'!N:N,'Logical Group Generator'!C319))),"Yes","")</f>
        <v/>
      </c>
      <c r="P319" s="117" t="str">
        <f t="shared" si="45"/>
        <v/>
      </c>
      <c r="Q319" s="117" t="str">
        <f t="shared" si="46"/>
        <v/>
      </c>
      <c r="R319" s="117" t="str">
        <f t="shared" si="47"/>
        <v/>
      </c>
      <c r="S319" s="117" t="str">
        <f t="shared" si="48"/>
        <v>No</v>
      </c>
      <c r="T319" s="117" t="str">
        <f t="shared" si="49"/>
        <v/>
      </c>
      <c r="U319" s="117" t="b">
        <f t="shared" si="53"/>
        <v>0</v>
      </c>
      <c r="V319" s="157" t="b">
        <f>INDEX('register map'!P:P,C319)="yes"</f>
        <v>1</v>
      </c>
      <c r="W319" s="157" t="str">
        <f t="shared" si="50"/>
        <v>FALSE</v>
      </c>
    </row>
    <row r="320" spans="2:23">
      <c r="B320" s="157" t="str">
        <f t="array" ref="B320">IF(ROWS($3:320)&lt;=COUNTA('register map'!$L$5:$L$902),INDEX('register map'!$L$5:$L$902,SMALL(IF('register map'!$L$5:$L$902&lt;&gt;"",ROW('register map'!$L$5:$L$902)-MIN(ROW('register map'!$L$5:$L$902))+1),ROWS($3:320))),"")</f>
        <v>OTP_RSVD_38_0B_1</v>
      </c>
      <c r="C320" s="157">
        <f>IF(B320="PART_NUMBER",IF(COUNTIF($B$1:B319,"PART_NUMBER")=0,6,8),MATCH(B320,'register map'!L:L,0))</f>
        <v>424</v>
      </c>
      <c r="D320" s="117" t="str">
        <f>IF(ISBLANK(INDEX('register map'!C:C,'Logical Group Generator'!C320)),"No","Yes")</f>
        <v>No</v>
      </c>
      <c r="E320" s="117" t="str">
        <f>IF(ISBLANK(INDEX('register map'!A:A,C320)),IF(ISBLANK(INDEX('register map'!A:A,C320-1)),IF(ISBLANK(INDEX('register map'!A:A,C320-2)),IF(ISBLANK(INDEX('register map'!A:A,C320-3)),IF(ISBLANK(INDEX('register map'!A:A,C320-4)),IF(ISBLANK(INDEX('register map'!A:A,C320-5)),IF(ISBLANK(INDEX('register map'!A:A,C320-6)),IF(ISBLANK(INDEX('register map'!A:A,C320-7)),IF(ISBLANK(INDEX('register map'!A:A,C320-8)),"ERROR",INDEX('register map'!A:A,C320-8)),INDEX('register map'!A:A,C320-7)),INDEX('register map'!A:A,C320-6)),INDEX('register map'!A:A,C320-5)),INDEX('register map'!A:A,C320-4)),INDEX('register map'!A:A,C320-3)),INDEX('register map'!A:A,C320-2)),INDEX('register map'!A:A,C320-1)),INDEX('register map'!A:A,C320))</f>
        <v>0x38</v>
      </c>
      <c r="F320" s="117" t="str">
        <f>IF(ISBLANK(INDEX('register map'!B:B,C320)),IF(ISBLANK(INDEX('register map'!B:B,C320-1)),IF(ISBLANK(INDEX('register map'!B:B,C320-2)),IF(ISBLANK(INDEX('register map'!B:B,C320-3)),IF(ISBLANK(INDEX('register map'!B:B,C320-4)),IF(ISBLANK(INDEX('register map'!B:B,C320-5)),IF(ISBLANK(INDEX('register map'!B:B,C320-6)),IF(ISBLANK(INDEX('register map'!B:B,C320-7)),IF(ISBLANK(INDEX('register map'!B:B,C320-8)),"ERROR",INDEX('register map'!B:B,C320-8)),INDEX('register map'!B:B,C320-7)),INDEX('register map'!B:B,C320-6)),INDEX('register map'!B:B,C320-5)),INDEX('register map'!B:B,C320-4)),INDEX('register map'!B:B,C320-3)),INDEX('register map'!B:B,C320-2)),INDEX('register map'!B:B,C320-1)),INDEX('register map'!B:B,C320))</f>
        <v>0x0B</v>
      </c>
      <c r="G320" s="117" t="str">
        <f>CONCATENATE(IF(ISNUMBER(INDEX('register map'!D:D,C320)),7,""),IF(ISNUMBER(INDEX('register map'!E:E,C320)),6,""),IF(ISNUMBER(INDEX('register map'!F:F,C320)),5,""),IF(ISNUMBER(INDEX('register map'!G:G,C320)),4,""),IF(ISNUMBER(INDEX('register map'!H:H,C320)),3,""),IF(ISNUMBER(INDEX('register map'!I:I,C320)),2,""),IF(ISNUMBER(INDEX('register map'!J:J,C320)),1,""),IF(ISNUMBER(INDEX('register map'!K:K,C320)),0,""))</f>
        <v>1</v>
      </c>
      <c r="H320" s="117" t="str">
        <f>RIGHT(INDEX('register map'!V:V,MATCH('Logical Group Generator'!B320,'register map'!L:L,0)),LEN(G320))</f>
        <v>1</v>
      </c>
      <c r="I320" s="117" t="str">
        <f>CONCATENATE(IF(ISNUMBER(INDEX('register map'!K:K,C320)),0,""),IF(ISNUMBER(INDEX('register map'!J:J,C320)),1,""),IF(ISNUMBER(INDEX('register map'!I:I,C320)),2,""),IF(ISNUMBER(INDEX('register map'!H:H,C320)),3,""),IF(ISNUMBER(INDEX('register map'!G:G,C320)),4,""),IF(ISNUMBER(INDEX('register map'!F:F,C320)),5,""),IF(ISNUMBER(INDEX('register map'!E:E,C320)),6,""),IF(ISNUMBER(INDEX('register map'!D:D,C320)),7,""))</f>
        <v>1</v>
      </c>
      <c r="J320" s="117" t="str">
        <f t="shared" si="51"/>
        <v>1</v>
      </c>
      <c r="K320" s="117" t="str">
        <f t="shared" si="44"/>
        <v/>
      </c>
      <c r="L320" s="117" t="str">
        <f t="shared" si="52"/>
        <v/>
      </c>
      <c r="M320" s="117" t="str">
        <f t="shared" si="54"/>
        <v/>
      </c>
      <c r="N320" s="117" t="str">
        <f>IF(ISBLANK(INDEX('register map'!M:M,'Logical Group Generator'!C320)),"No","Yes")</f>
        <v>No</v>
      </c>
      <c r="O320" s="117" t="str">
        <f>IF(NOT(ISBLANK(INDEX('register map'!N:N,'Logical Group Generator'!C320))),"Yes","")</f>
        <v/>
      </c>
      <c r="P320" s="117" t="str">
        <f t="shared" si="45"/>
        <v/>
      </c>
      <c r="Q320" s="117" t="str">
        <f t="shared" si="46"/>
        <v/>
      </c>
      <c r="R320" s="117" t="str">
        <f t="shared" si="47"/>
        <v/>
      </c>
      <c r="S320" s="117" t="str">
        <f t="shared" si="48"/>
        <v>No</v>
      </c>
      <c r="T320" s="117" t="str">
        <f t="shared" si="49"/>
        <v/>
      </c>
      <c r="U320" s="117" t="b">
        <f t="shared" si="53"/>
        <v>0</v>
      </c>
      <c r="V320" s="157" t="b">
        <f>INDEX('register map'!P:P,C320)="yes"</f>
        <v>1</v>
      </c>
      <c r="W320" s="157" t="str">
        <f t="shared" si="50"/>
        <v>FALSE</v>
      </c>
    </row>
    <row r="321" spans="2:23">
      <c r="B321" s="157" t="str">
        <f t="array" ref="B321">IF(ROWS($3:321)&lt;=COUNTA('register map'!$L$5:$L$902),INDEX('register map'!$L$5:$L$902,SMALL(IF('register map'!$L$5:$L$902&lt;&gt;"",ROW('register map'!$L$5:$L$902)-MIN(ROW('register map'!$L$5:$L$902))+1),ROWS($3:321))),"")</f>
        <v>OTP_RSVD_38_0B_432</v>
      </c>
      <c r="C321" s="157">
        <f>IF(B321="PART_NUMBER",IF(COUNTIF($B$1:B320,"PART_NUMBER")=0,6,8),MATCH(B321,'register map'!L:L,0))</f>
        <v>425</v>
      </c>
      <c r="D321" s="117" t="str">
        <f>IF(ISBLANK(INDEX('register map'!C:C,'Logical Group Generator'!C321)),"No","Yes")</f>
        <v>No</v>
      </c>
      <c r="E321" s="117" t="str">
        <f>IF(ISBLANK(INDEX('register map'!A:A,C321)),IF(ISBLANK(INDEX('register map'!A:A,C321-1)),IF(ISBLANK(INDEX('register map'!A:A,C321-2)),IF(ISBLANK(INDEX('register map'!A:A,C321-3)),IF(ISBLANK(INDEX('register map'!A:A,C321-4)),IF(ISBLANK(INDEX('register map'!A:A,C321-5)),IF(ISBLANK(INDEX('register map'!A:A,C321-6)),IF(ISBLANK(INDEX('register map'!A:A,C321-7)),IF(ISBLANK(INDEX('register map'!A:A,C321-8)),"ERROR",INDEX('register map'!A:A,C321-8)),INDEX('register map'!A:A,C321-7)),INDEX('register map'!A:A,C321-6)),INDEX('register map'!A:A,C321-5)),INDEX('register map'!A:A,C321-4)),INDEX('register map'!A:A,C321-3)),INDEX('register map'!A:A,C321-2)),INDEX('register map'!A:A,C321-1)),INDEX('register map'!A:A,C321))</f>
        <v>0x38</v>
      </c>
      <c r="F321" s="117" t="str">
        <f>IF(ISBLANK(INDEX('register map'!B:B,C321)),IF(ISBLANK(INDEX('register map'!B:B,C321-1)),IF(ISBLANK(INDEX('register map'!B:B,C321-2)),IF(ISBLANK(INDEX('register map'!B:B,C321-3)),IF(ISBLANK(INDEX('register map'!B:B,C321-4)),IF(ISBLANK(INDEX('register map'!B:B,C321-5)),IF(ISBLANK(INDEX('register map'!B:B,C321-6)),IF(ISBLANK(INDEX('register map'!B:B,C321-7)),IF(ISBLANK(INDEX('register map'!B:B,C321-8)),"ERROR",INDEX('register map'!B:B,C321-8)),INDEX('register map'!B:B,C321-7)),INDEX('register map'!B:B,C321-6)),INDEX('register map'!B:B,C321-5)),INDEX('register map'!B:B,C321-4)),INDEX('register map'!B:B,C321-3)),INDEX('register map'!B:B,C321-2)),INDEX('register map'!B:B,C321-1)),INDEX('register map'!B:B,C321))</f>
        <v>0x0B</v>
      </c>
      <c r="G321" s="117" t="str">
        <f>CONCATENATE(IF(ISNUMBER(INDEX('register map'!D:D,C321)),7,""),IF(ISNUMBER(INDEX('register map'!E:E,C321)),6,""),IF(ISNUMBER(INDEX('register map'!F:F,C321)),5,""),IF(ISNUMBER(INDEX('register map'!G:G,C321)),4,""),IF(ISNUMBER(INDEX('register map'!H:H,C321)),3,""),IF(ISNUMBER(INDEX('register map'!I:I,C321)),2,""),IF(ISNUMBER(INDEX('register map'!J:J,C321)),1,""),IF(ISNUMBER(INDEX('register map'!K:K,C321)),0,""))</f>
        <v>432</v>
      </c>
      <c r="H321" s="117" t="str">
        <f>RIGHT(INDEX('register map'!V:V,MATCH('Logical Group Generator'!B321,'register map'!L:L,0)),LEN(G321))</f>
        <v>001</v>
      </c>
      <c r="I321" s="117" t="str">
        <f>CONCATENATE(IF(ISNUMBER(INDEX('register map'!K:K,C321)),0,""),IF(ISNUMBER(INDEX('register map'!J:J,C321)),1,""),IF(ISNUMBER(INDEX('register map'!I:I,C321)),2,""),IF(ISNUMBER(INDEX('register map'!H:H,C321)),3,""),IF(ISNUMBER(INDEX('register map'!G:G,C321)),4,""),IF(ISNUMBER(INDEX('register map'!F:F,C321)),5,""),IF(ISNUMBER(INDEX('register map'!E:E,C321)),6,""),IF(ISNUMBER(INDEX('register map'!D:D,C321)),7,""))</f>
        <v>234</v>
      </c>
      <c r="J321" s="117" t="str">
        <f t="shared" si="51"/>
        <v>100</v>
      </c>
      <c r="K321" s="117" t="str">
        <f t="shared" si="44"/>
        <v/>
      </c>
      <c r="L321" s="117" t="str">
        <f t="shared" si="52"/>
        <v/>
      </c>
      <c r="M321" s="117" t="str">
        <f t="shared" si="54"/>
        <v/>
      </c>
      <c r="N321" s="117" t="str">
        <f>IF(ISBLANK(INDEX('register map'!M:M,'Logical Group Generator'!C321)),"No","Yes")</f>
        <v>No</v>
      </c>
      <c r="O321" s="117" t="str">
        <f>IF(NOT(ISBLANK(INDEX('register map'!N:N,'Logical Group Generator'!C321))),"Yes","")</f>
        <v/>
      </c>
      <c r="P321" s="117" t="str">
        <f t="shared" si="45"/>
        <v/>
      </c>
      <c r="Q321" s="117" t="str">
        <f t="shared" si="46"/>
        <v/>
      </c>
      <c r="R321" s="117" t="str">
        <f t="shared" si="47"/>
        <v/>
      </c>
      <c r="S321" s="117" t="str">
        <f t="shared" si="48"/>
        <v>No</v>
      </c>
      <c r="T321" s="117" t="str">
        <f t="shared" si="49"/>
        <v/>
      </c>
      <c r="U321" s="117" t="b">
        <f t="shared" si="53"/>
        <v>0</v>
      </c>
      <c r="V321" s="157" t="b">
        <f>INDEX('register map'!P:P,C321)="yes"</f>
        <v>1</v>
      </c>
      <c r="W321" s="157" t="str">
        <f t="shared" si="50"/>
        <v>FALSE</v>
      </c>
    </row>
    <row r="322" spans="2:23">
      <c r="B322" s="157" t="str">
        <f t="array" ref="B322">IF(ROWS($3:322)&lt;=COUNTA('register map'!$L$5:$L$902),INDEX('register map'!$L$5:$L$902,SMALL(IF('register map'!$L$5:$L$902&lt;&gt;"",ROW('register map'!$L$5:$L$902)-MIN(ROW('register map'!$L$5:$L$902))+1),ROWS($3:322))),"")</f>
        <v>OTP_RSVD_38_0B_5</v>
      </c>
      <c r="C322" s="157">
        <f>IF(B322="PART_NUMBER",IF(COUNTIF($B$1:B321,"PART_NUMBER")=0,6,8),MATCH(B322,'register map'!L:L,0))</f>
        <v>426</v>
      </c>
      <c r="D322" s="117" t="str">
        <f>IF(ISBLANK(INDEX('register map'!C:C,'Logical Group Generator'!C322)),"No","Yes")</f>
        <v>No</v>
      </c>
      <c r="E322" s="117" t="str">
        <f>IF(ISBLANK(INDEX('register map'!A:A,C322)),IF(ISBLANK(INDEX('register map'!A:A,C322-1)),IF(ISBLANK(INDEX('register map'!A:A,C322-2)),IF(ISBLANK(INDEX('register map'!A:A,C322-3)),IF(ISBLANK(INDEX('register map'!A:A,C322-4)),IF(ISBLANK(INDEX('register map'!A:A,C322-5)),IF(ISBLANK(INDEX('register map'!A:A,C322-6)),IF(ISBLANK(INDEX('register map'!A:A,C322-7)),IF(ISBLANK(INDEX('register map'!A:A,C322-8)),"ERROR",INDEX('register map'!A:A,C322-8)),INDEX('register map'!A:A,C322-7)),INDEX('register map'!A:A,C322-6)),INDEX('register map'!A:A,C322-5)),INDEX('register map'!A:A,C322-4)),INDEX('register map'!A:A,C322-3)),INDEX('register map'!A:A,C322-2)),INDEX('register map'!A:A,C322-1)),INDEX('register map'!A:A,C322))</f>
        <v>0x38</v>
      </c>
      <c r="F322" s="117" t="str">
        <f>IF(ISBLANK(INDEX('register map'!B:B,C322)),IF(ISBLANK(INDEX('register map'!B:B,C322-1)),IF(ISBLANK(INDEX('register map'!B:B,C322-2)),IF(ISBLANK(INDEX('register map'!B:B,C322-3)),IF(ISBLANK(INDEX('register map'!B:B,C322-4)),IF(ISBLANK(INDEX('register map'!B:B,C322-5)),IF(ISBLANK(INDEX('register map'!B:B,C322-6)),IF(ISBLANK(INDEX('register map'!B:B,C322-7)),IF(ISBLANK(INDEX('register map'!B:B,C322-8)),"ERROR",INDEX('register map'!B:B,C322-8)),INDEX('register map'!B:B,C322-7)),INDEX('register map'!B:B,C322-6)),INDEX('register map'!B:B,C322-5)),INDEX('register map'!B:B,C322-4)),INDEX('register map'!B:B,C322-3)),INDEX('register map'!B:B,C322-2)),INDEX('register map'!B:B,C322-1)),INDEX('register map'!B:B,C322))</f>
        <v>0x0B</v>
      </c>
      <c r="G322" s="117" t="str">
        <f>CONCATENATE(IF(ISNUMBER(INDEX('register map'!D:D,C322)),7,""),IF(ISNUMBER(INDEX('register map'!E:E,C322)),6,""),IF(ISNUMBER(INDEX('register map'!F:F,C322)),5,""),IF(ISNUMBER(INDEX('register map'!G:G,C322)),4,""),IF(ISNUMBER(INDEX('register map'!H:H,C322)),3,""),IF(ISNUMBER(INDEX('register map'!I:I,C322)),2,""),IF(ISNUMBER(INDEX('register map'!J:J,C322)),1,""),IF(ISNUMBER(INDEX('register map'!K:K,C322)),0,""))</f>
        <v>5</v>
      </c>
      <c r="H322" s="117" t="str">
        <f>RIGHT(INDEX('register map'!V:V,MATCH('Logical Group Generator'!B322,'register map'!L:L,0)),LEN(G322))</f>
        <v>0</v>
      </c>
      <c r="I322" s="117" t="str">
        <f>CONCATENATE(IF(ISNUMBER(INDEX('register map'!K:K,C322)),0,""),IF(ISNUMBER(INDEX('register map'!J:J,C322)),1,""),IF(ISNUMBER(INDEX('register map'!I:I,C322)),2,""),IF(ISNUMBER(INDEX('register map'!H:H,C322)),3,""),IF(ISNUMBER(INDEX('register map'!G:G,C322)),4,""),IF(ISNUMBER(INDEX('register map'!F:F,C322)),5,""),IF(ISNUMBER(INDEX('register map'!E:E,C322)),6,""),IF(ISNUMBER(INDEX('register map'!D:D,C322)),7,""))</f>
        <v>5</v>
      </c>
      <c r="J322" s="117" t="str">
        <f t="shared" si="51"/>
        <v>0</v>
      </c>
      <c r="K322" s="117" t="str">
        <f t="shared" si="44"/>
        <v/>
      </c>
      <c r="L322" s="117" t="str">
        <f t="shared" si="52"/>
        <v/>
      </c>
      <c r="M322" s="117" t="str">
        <f t="shared" si="54"/>
        <v/>
      </c>
      <c r="N322" s="117" t="str">
        <f>IF(ISBLANK(INDEX('register map'!M:M,'Logical Group Generator'!C322)),"No","Yes")</f>
        <v>No</v>
      </c>
      <c r="O322" s="117" t="str">
        <f>IF(NOT(ISBLANK(INDEX('register map'!N:N,'Logical Group Generator'!C322))),"Yes","")</f>
        <v/>
      </c>
      <c r="P322" s="117" t="str">
        <f t="shared" si="45"/>
        <v/>
      </c>
      <c r="Q322" s="117" t="str">
        <f t="shared" si="46"/>
        <v/>
      </c>
      <c r="R322" s="117" t="str">
        <f t="shared" si="47"/>
        <v/>
      </c>
      <c r="S322" s="117" t="str">
        <f t="shared" si="48"/>
        <v>No</v>
      </c>
      <c r="T322" s="117" t="str">
        <f t="shared" si="49"/>
        <v/>
      </c>
      <c r="U322" s="117" t="b">
        <f t="shared" si="53"/>
        <v>0</v>
      </c>
      <c r="V322" s="157" t="b">
        <f>INDEX('register map'!P:P,C322)="yes"</f>
        <v>1</v>
      </c>
      <c r="W322" s="157" t="str">
        <f t="shared" si="50"/>
        <v>FALSE</v>
      </c>
    </row>
    <row r="323" spans="2:23">
      <c r="B323" s="157" t="str">
        <f t="array" ref="B323">IF(ROWS($3:323)&lt;=COUNTA('register map'!$L$5:$L$902),INDEX('register map'!$L$5:$L$902,SMALL(IF('register map'!$L$5:$L$902&lt;&gt;"",ROW('register map'!$L$5:$L$902)-MIN(ROW('register map'!$L$5:$L$902))+1),ROWS($3:323))),"")</f>
        <v>OTP_RSVD_38_0B_76</v>
      </c>
      <c r="C323" s="157">
        <f>IF(B323="PART_NUMBER",IF(COUNTIF($B$1:B322,"PART_NUMBER")=0,6,8),MATCH(B323,'register map'!L:L,0))</f>
        <v>427</v>
      </c>
      <c r="D323" s="117" t="str">
        <f>IF(ISBLANK(INDEX('register map'!C:C,'Logical Group Generator'!C323)),"No","Yes")</f>
        <v>No</v>
      </c>
      <c r="E323" s="117" t="str">
        <f>IF(ISBLANK(INDEX('register map'!A:A,C323)),IF(ISBLANK(INDEX('register map'!A:A,C323-1)),IF(ISBLANK(INDEX('register map'!A:A,C323-2)),IF(ISBLANK(INDEX('register map'!A:A,C323-3)),IF(ISBLANK(INDEX('register map'!A:A,C323-4)),IF(ISBLANK(INDEX('register map'!A:A,C323-5)),IF(ISBLANK(INDEX('register map'!A:A,C323-6)),IF(ISBLANK(INDEX('register map'!A:A,C323-7)),IF(ISBLANK(INDEX('register map'!A:A,C323-8)),"ERROR",INDEX('register map'!A:A,C323-8)),INDEX('register map'!A:A,C323-7)),INDEX('register map'!A:A,C323-6)),INDEX('register map'!A:A,C323-5)),INDEX('register map'!A:A,C323-4)),INDEX('register map'!A:A,C323-3)),INDEX('register map'!A:A,C323-2)),INDEX('register map'!A:A,C323-1)),INDEX('register map'!A:A,C323))</f>
        <v>0x38</v>
      </c>
      <c r="F323" s="117" t="str">
        <f>IF(ISBLANK(INDEX('register map'!B:B,C323)),IF(ISBLANK(INDEX('register map'!B:B,C323-1)),IF(ISBLANK(INDEX('register map'!B:B,C323-2)),IF(ISBLANK(INDEX('register map'!B:B,C323-3)),IF(ISBLANK(INDEX('register map'!B:B,C323-4)),IF(ISBLANK(INDEX('register map'!B:B,C323-5)),IF(ISBLANK(INDEX('register map'!B:B,C323-6)),IF(ISBLANK(INDEX('register map'!B:B,C323-7)),IF(ISBLANK(INDEX('register map'!B:B,C323-8)),"ERROR",INDEX('register map'!B:B,C323-8)),INDEX('register map'!B:B,C323-7)),INDEX('register map'!B:B,C323-6)),INDEX('register map'!B:B,C323-5)),INDEX('register map'!B:B,C323-4)),INDEX('register map'!B:B,C323-3)),INDEX('register map'!B:B,C323-2)),INDEX('register map'!B:B,C323-1)),INDEX('register map'!B:B,C323))</f>
        <v>0x0B</v>
      </c>
      <c r="G323" s="117" t="str">
        <f>CONCATENATE(IF(ISNUMBER(INDEX('register map'!D:D,C323)),7,""),IF(ISNUMBER(INDEX('register map'!E:E,C323)),6,""),IF(ISNUMBER(INDEX('register map'!F:F,C323)),5,""),IF(ISNUMBER(INDEX('register map'!G:G,C323)),4,""),IF(ISNUMBER(INDEX('register map'!H:H,C323)),3,""),IF(ISNUMBER(INDEX('register map'!I:I,C323)),2,""),IF(ISNUMBER(INDEX('register map'!J:J,C323)),1,""),IF(ISNUMBER(INDEX('register map'!K:K,C323)),0,""))</f>
        <v>76</v>
      </c>
      <c r="H323" s="117" t="str">
        <f>RIGHT(INDEX('register map'!V:V,MATCH('Logical Group Generator'!B323,'register map'!L:L,0)),LEN(G323))</f>
        <v>11</v>
      </c>
      <c r="I323" s="117" t="str">
        <f>CONCATENATE(IF(ISNUMBER(INDEX('register map'!K:K,C323)),0,""),IF(ISNUMBER(INDEX('register map'!J:J,C323)),1,""),IF(ISNUMBER(INDEX('register map'!I:I,C323)),2,""),IF(ISNUMBER(INDEX('register map'!H:H,C323)),3,""),IF(ISNUMBER(INDEX('register map'!G:G,C323)),4,""),IF(ISNUMBER(INDEX('register map'!F:F,C323)),5,""),IF(ISNUMBER(INDEX('register map'!E:E,C323)),6,""),IF(ISNUMBER(INDEX('register map'!D:D,C323)),7,""))</f>
        <v>67</v>
      </c>
      <c r="J323" s="117" t="str">
        <f t="shared" si="51"/>
        <v>11</v>
      </c>
      <c r="K323" s="117" t="str">
        <f t="shared" ref="K323:K386" si="55">IF(D323="Yes",CONCATENATE(IF(F324=F323,J324,""),IF(F325=F323,J325,""),IF(F326=F323,J326,""),IF(F327=F323,J327,""),IF(F328=F323,J328,""),IF(F329=F323,J329,""),IF(F330=F323,J330,""),IF(F331=F323,J331,"")),"")</f>
        <v/>
      </c>
      <c r="L323" s="117" t="str">
        <f t="shared" si="52"/>
        <v/>
      </c>
      <c r="M323" s="117" t="str">
        <f t="shared" si="54"/>
        <v/>
      </c>
      <c r="N323" s="117" t="str">
        <f>IF(ISBLANK(INDEX('register map'!M:M,'Logical Group Generator'!C323)),"No","Yes")</f>
        <v>No</v>
      </c>
      <c r="O323" s="117" t="str">
        <f>IF(NOT(ISBLANK(INDEX('register map'!N:N,'Logical Group Generator'!C323))),"Yes","")</f>
        <v/>
      </c>
      <c r="P323" s="117" t="str">
        <f t="shared" ref="P323:P386" si="56">IF(D323="Yes",IF(OR(AND(F324=F323,N324="Yes"),AND(F325=F323,N325="Yes"),AND(F326=F323,N326="Yes"),AND(F327=F323,N327="Yes"),AND(F328=F323,N328="Yes"),AND(F329=F323,N329="Yes"),AND(F330=F323,N330="Yes"),AND(F331=F323,N331="Yes")),"Yes","No"),"")</f>
        <v/>
      </c>
      <c r="Q323" s="117" t="str">
        <f t="shared" ref="Q323:Q386" si="57">IF(D323="Yes",IF(AND(IF(F324=F323,OR(N324="Yes",O324="Yes"),TRUE),IF(F325=F323,OR(N325="Yes",O325="Yes"),TRUE),IF(F326=F323,OR(N326="Yes",O326="Yes"),TRUE),IF(F327=F323,OR(N327="Yes",O327="Yes"),TRUE),IF(F328=F323,OR(N328="Yes",O328="Yes"),TRUE),IF(F329=F323,OR(N329="Yes",O329="Yes"),TRUE),IF(F330=F323,OR(N330="Yes",O330="Yes"),TRUE),IF(F331=F323,OR(N331="Yes",O331="Yes"),TRUE)),"Yes","No"),"")</f>
        <v/>
      </c>
      <c r="R323" s="117" t="str">
        <f t="shared" ref="R323:R386" si="58">IF(D323="Yes",IF(AND(P323="Yes",Q323="No"),"Yes","No"),"")</f>
        <v/>
      </c>
      <c r="S323" s="117" t="str">
        <f t="shared" ref="S323:S386" si="59">IF(D323="No",IF(AND(N323="No",NOT(O323="Yes"),INDEX(R:R,MATCH(F323,F:F,0))="Yes"),"Yes","No"),"")</f>
        <v>No</v>
      </c>
      <c r="T323" s="117" t="str">
        <f t="shared" ref="T323:T386" si="60">IF(D323="Yes",LEN(L323)=8,"")</f>
        <v/>
      </c>
      <c r="U323" s="117" t="b">
        <f t="shared" si="53"/>
        <v>0</v>
      </c>
      <c r="V323" s="157" t="b">
        <f>INDEX('register map'!P:P,C323)="yes"</f>
        <v>1</v>
      </c>
      <c r="W323" s="157" t="str">
        <f t="shared" ref="W323:W386" si="61">IF(AND(D323="Yes",P323="No",Q323="No",V323),"REGISTER",IF(AND(D323="No",S323="Yes",V323),"BIT","FALSE"))</f>
        <v>FALSE</v>
      </c>
    </row>
    <row r="324" spans="2:23">
      <c r="B324" s="157" t="str">
        <f t="array" ref="B324">IF(ROWS($3:324)&lt;=COUNTA('register map'!$L$5:$L$902),INDEX('register map'!$L$5:$L$902,SMALL(IF('register map'!$L$5:$L$902&lt;&gt;"",ROW('register map'!$L$5:$L$902)-MIN(ROW('register map'!$L$5:$L$902))+1),ROWS($3:324))),"")</f>
        <v>BUCK2_CTRL_EN3</v>
      </c>
      <c r="C324" s="157">
        <f>IF(B324="PART_NUMBER",IF(COUNTIF($B$1:B323,"PART_NUMBER")=0,6,8),MATCH(B324,'register map'!L:L,0))</f>
        <v>428</v>
      </c>
      <c r="D324" s="117" t="str">
        <f>IF(ISBLANK(INDEX('register map'!C:C,'Logical Group Generator'!C324)),"No","Yes")</f>
        <v>Yes</v>
      </c>
      <c r="E324" s="117" t="str">
        <f>IF(ISBLANK(INDEX('register map'!A:A,C324)),IF(ISBLANK(INDEX('register map'!A:A,C324-1)),IF(ISBLANK(INDEX('register map'!A:A,C324-2)),IF(ISBLANK(INDEX('register map'!A:A,C324-3)),IF(ISBLANK(INDEX('register map'!A:A,C324-4)),IF(ISBLANK(INDEX('register map'!A:A,C324-5)),IF(ISBLANK(INDEX('register map'!A:A,C324-6)),IF(ISBLANK(INDEX('register map'!A:A,C324-7)),IF(ISBLANK(INDEX('register map'!A:A,C324-8)),"ERROR",INDEX('register map'!A:A,C324-8)),INDEX('register map'!A:A,C324-7)),INDEX('register map'!A:A,C324-6)),INDEX('register map'!A:A,C324-5)),INDEX('register map'!A:A,C324-4)),INDEX('register map'!A:A,C324-3)),INDEX('register map'!A:A,C324-2)),INDEX('register map'!A:A,C324-1)),INDEX('register map'!A:A,C324))</f>
        <v>0x38</v>
      </c>
      <c r="F324" s="117" t="str">
        <f>IF(ISBLANK(INDEX('register map'!B:B,C324)),IF(ISBLANK(INDEX('register map'!B:B,C324-1)),IF(ISBLANK(INDEX('register map'!B:B,C324-2)),IF(ISBLANK(INDEX('register map'!B:B,C324-3)),IF(ISBLANK(INDEX('register map'!B:B,C324-4)),IF(ISBLANK(INDEX('register map'!B:B,C324-5)),IF(ISBLANK(INDEX('register map'!B:B,C324-6)),IF(ISBLANK(INDEX('register map'!B:B,C324-7)),IF(ISBLANK(INDEX('register map'!B:B,C324-8)),"ERROR",INDEX('register map'!B:B,C324-8)),INDEX('register map'!B:B,C324-7)),INDEX('register map'!B:B,C324-6)),INDEX('register map'!B:B,C324-5)),INDEX('register map'!B:B,C324-4)),INDEX('register map'!B:B,C324-3)),INDEX('register map'!B:B,C324-2)),INDEX('register map'!B:B,C324-1)),INDEX('register map'!B:B,C324))</f>
        <v>0x0C</v>
      </c>
      <c r="G324" s="117" t="str">
        <f>CONCATENATE(IF(ISNUMBER(INDEX('register map'!D:D,C324)),7,""),IF(ISNUMBER(INDEX('register map'!E:E,C324)),6,""),IF(ISNUMBER(INDEX('register map'!F:F,C324)),5,""),IF(ISNUMBER(INDEX('register map'!G:G,C324)),4,""),IF(ISNUMBER(INDEX('register map'!H:H,C324)),3,""),IF(ISNUMBER(INDEX('register map'!I:I,C324)),2,""),IF(ISNUMBER(INDEX('register map'!J:J,C324)),1,""),IF(ISNUMBER(INDEX('register map'!K:K,C324)),0,""))</f>
        <v/>
      </c>
      <c r="H324" s="117" t="str">
        <f>RIGHT(INDEX('register map'!V:V,MATCH('Logical Group Generator'!B324,'register map'!L:L,0)),LEN(G324))</f>
        <v/>
      </c>
      <c r="I324" s="117" t="str">
        <f>CONCATENATE(IF(ISNUMBER(INDEX('register map'!K:K,C324)),0,""),IF(ISNUMBER(INDEX('register map'!J:J,C324)),1,""),IF(ISNUMBER(INDEX('register map'!I:I,C324)),2,""),IF(ISNUMBER(INDEX('register map'!H:H,C324)),3,""),IF(ISNUMBER(INDEX('register map'!G:G,C324)),4,""),IF(ISNUMBER(INDEX('register map'!F:F,C324)),5,""),IF(ISNUMBER(INDEX('register map'!E:E,C324)),6,""),IF(ISNUMBER(INDEX('register map'!D:D,C324)),7,""))</f>
        <v/>
      </c>
      <c r="J324" s="117" t="str">
        <f t="shared" ref="J324:J387" si="62">MID(H324,20,1) &amp; MID(H324,19,1) &amp; MID(H324,18,1) &amp; MID(H324,17,1) &amp; MID(H324,16,1) &amp; MID(H324,15,1) &amp; MID(H324,14,1) &amp; MID(H324,13,1) &amp; MID(H324,12,1) &amp; MID(H324,11,1) &amp; MID(H324,10,1) &amp; MID(H324,9,1) &amp; MID(H324,8,1) &amp; MID(H324,7,1) &amp; MID(H324,6,1) &amp; MID(H324,5,1) &amp; MID(H324,4,1) &amp; MID(H324,3,1) &amp; MID(H324,2,1) &amp; MID(H324,1,1)</f>
        <v/>
      </c>
      <c r="K324" s="117" t="str">
        <f t="shared" si="55"/>
        <v>00100100</v>
      </c>
      <c r="L324" s="117" t="str">
        <f t="shared" ref="L324:L387" si="63">MID(K324,20,1) &amp; MID(K324,19,1) &amp; MID(K324,18,1) &amp; MID(K324,17,1) &amp; MID(K324,16,1) &amp; MID(K324,15,1) &amp; MID(K324,14,1) &amp; MID(K324,13,1) &amp; MID(K324,12,1) &amp; MID(K324,11,1) &amp; MID(K324,10,1) &amp; MID(K324,9,1) &amp; MID(K324,8,1) &amp; MID(K324,7,1) &amp; MID(K324,6,1) &amp; MID(K324,5,1) &amp; MID(K324,4,1) &amp; MID(K324,3,1) &amp; MID(K324,2,1) &amp; MID(K324,1,1)</f>
        <v>00100100</v>
      </c>
      <c r="M324" s="117" t="str">
        <f t="shared" si="54"/>
        <v>24</v>
      </c>
      <c r="N324" s="117" t="str">
        <f>IF(ISBLANK(INDEX('register map'!M:M,'Logical Group Generator'!C324)),"No","Yes")</f>
        <v>No</v>
      </c>
      <c r="O324" s="117" t="str">
        <f>IF(NOT(ISBLANK(INDEX('register map'!N:N,'Logical Group Generator'!C324))),"Yes","")</f>
        <v/>
      </c>
      <c r="P324" s="117" t="str">
        <f t="shared" si="56"/>
        <v>No</v>
      </c>
      <c r="Q324" s="117" t="str">
        <f t="shared" si="57"/>
        <v>No</v>
      </c>
      <c r="R324" s="117" t="str">
        <f t="shared" si="58"/>
        <v>No</v>
      </c>
      <c r="S324" s="117" t="str">
        <f t="shared" si="59"/>
        <v/>
      </c>
      <c r="T324" s="117" t="b">
        <f t="shared" si="60"/>
        <v>1</v>
      </c>
      <c r="U324" s="117" t="b">
        <f t="shared" ref="U324:U387" si="64">OR(P324="No",S324="Yes")</f>
        <v>1</v>
      </c>
      <c r="V324" s="157" t="b">
        <f>INDEX('register map'!P:P,C324)="yes"</f>
        <v>1</v>
      </c>
      <c r="W324" s="157" t="str">
        <f t="shared" si="61"/>
        <v>REGISTER</v>
      </c>
    </row>
    <row r="325" spans="2:23">
      <c r="B325" s="157" t="str">
        <f t="array" ref="B325">IF(ROWS($3:325)&lt;=COUNTA('register map'!$L$5:$L$902),INDEX('register map'!$L$5:$L$902,SMALL(IF('register map'!$L$5:$L$902&lt;&gt;"",ROW('register map'!$L$5:$L$902)-MIN(ROW('register map'!$L$5:$L$902))+1),ROWS($3:325))),"")</f>
        <v>OTP_RSVD_38_0C_210</v>
      </c>
      <c r="C325" s="157">
        <f>IF(B325="PART_NUMBER",IF(COUNTIF($B$1:B324,"PART_NUMBER")=0,6,8),MATCH(B325,'register map'!L:L,0))</f>
        <v>429</v>
      </c>
      <c r="D325" s="117" t="str">
        <f>IF(ISBLANK(INDEX('register map'!C:C,'Logical Group Generator'!C325)),"No","Yes")</f>
        <v>No</v>
      </c>
      <c r="E325" s="117" t="str">
        <f>IF(ISBLANK(INDEX('register map'!A:A,C325)),IF(ISBLANK(INDEX('register map'!A:A,C325-1)),IF(ISBLANK(INDEX('register map'!A:A,C325-2)),IF(ISBLANK(INDEX('register map'!A:A,C325-3)),IF(ISBLANK(INDEX('register map'!A:A,C325-4)),IF(ISBLANK(INDEX('register map'!A:A,C325-5)),IF(ISBLANK(INDEX('register map'!A:A,C325-6)),IF(ISBLANK(INDEX('register map'!A:A,C325-7)),IF(ISBLANK(INDEX('register map'!A:A,C325-8)),"ERROR",INDEX('register map'!A:A,C325-8)),INDEX('register map'!A:A,C325-7)),INDEX('register map'!A:A,C325-6)),INDEX('register map'!A:A,C325-5)),INDEX('register map'!A:A,C325-4)),INDEX('register map'!A:A,C325-3)),INDEX('register map'!A:A,C325-2)),INDEX('register map'!A:A,C325-1)),INDEX('register map'!A:A,C325))</f>
        <v>0x38</v>
      </c>
      <c r="F325" s="117" t="str">
        <f>IF(ISBLANK(INDEX('register map'!B:B,C325)),IF(ISBLANK(INDEX('register map'!B:B,C325-1)),IF(ISBLANK(INDEX('register map'!B:B,C325-2)),IF(ISBLANK(INDEX('register map'!B:B,C325-3)),IF(ISBLANK(INDEX('register map'!B:B,C325-4)),IF(ISBLANK(INDEX('register map'!B:B,C325-5)),IF(ISBLANK(INDEX('register map'!B:B,C325-6)),IF(ISBLANK(INDEX('register map'!B:B,C325-7)),IF(ISBLANK(INDEX('register map'!B:B,C325-8)),"ERROR",INDEX('register map'!B:B,C325-8)),INDEX('register map'!B:B,C325-7)),INDEX('register map'!B:B,C325-6)),INDEX('register map'!B:B,C325-5)),INDEX('register map'!B:B,C325-4)),INDEX('register map'!B:B,C325-3)),INDEX('register map'!B:B,C325-2)),INDEX('register map'!B:B,C325-1)),INDEX('register map'!B:B,C325))</f>
        <v>0x0C</v>
      </c>
      <c r="G325" s="117" t="str">
        <f>CONCATENATE(IF(ISNUMBER(INDEX('register map'!D:D,C325)),7,""),IF(ISNUMBER(INDEX('register map'!E:E,C325)),6,""),IF(ISNUMBER(INDEX('register map'!F:F,C325)),5,""),IF(ISNUMBER(INDEX('register map'!G:G,C325)),4,""),IF(ISNUMBER(INDEX('register map'!H:H,C325)),3,""),IF(ISNUMBER(INDEX('register map'!I:I,C325)),2,""),IF(ISNUMBER(INDEX('register map'!J:J,C325)),1,""),IF(ISNUMBER(INDEX('register map'!K:K,C325)),0,""))</f>
        <v>210</v>
      </c>
      <c r="H325" s="117" t="str">
        <f>RIGHT(INDEX('register map'!V:V,MATCH('Logical Group Generator'!B325,'register map'!L:L,0)),LEN(G325))</f>
        <v>100</v>
      </c>
      <c r="I325" s="117" t="str">
        <f>CONCATENATE(IF(ISNUMBER(INDEX('register map'!K:K,C325)),0,""),IF(ISNUMBER(INDEX('register map'!J:J,C325)),1,""),IF(ISNUMBER(INDEX('register map'!I:I,C325)),2,""),IF(ISNUMBER(INDEX('register map'!H:H,C325)),3,""),IF(ISNUMBER(INDEX('register map'!G:G,C325)),4,""),IF(ISNUMBER(INDEX('register map'!F:F,C325)),5,""),IF(ISNUMBER(INDEX('register map'!E:E,C325)),6,""),IF(ISNUMBER(INDEX('register map'!D:D,C325)),7,""))</f>
        <v>012</v>
      </c>
      <c r="J325" s="117" t="str">
        <f t="shared" si="62"/>
        <v>001</v>
      </c>
      <c r="K325" s="117" t="str">
        <f t="shared" si="55"/>
        <v/>
      </c>
      <c r="L325" s="117" t="str">
        <f t="shared" si="63"/>
        <v/>
      </c>
      <c r="M325" s="117" t="str">
        <f t="shared" ref="M325:M388" si="65">IF(L325="","",BIN2HEX(L325,2))</f>
        <v/>
      </c>
      <c r="N325" s="117" t="str">
        <f>IF(ISBLANK(INDEX('register map'!M:M,'Logical Group Generator'!C325)),"No","Yes")</f>
        <v>No</v>
      </c>
      <c r="O325" s="117" t="str">
        <f>IF(NOT(ISBLANK(INDEX('register map'!N:N,'Logical Group Generator'!C325))),"Yes","")</f>
        <v/>
      </c>
      <c r="P325" s="117" t="str">
        <f t="shared" si="56"/>
        <v/>
      </c>
      <c r="Q325" s="117" t="str">
        <f t="shared" si="57"/>
        <v/>
      </c>
      <c r="R325" s="117" t="str">
        <f t="shared" si="58"/>
        <v/>
      </c>
      <c r="S325" s="117" t="str">
        <f t="shared" si="59"/>
        <v>No</v>
      </c>
      <c r="T325" s="117" t="str">
        <f t="shared" si="60"/>
        <v/>
      </c>
      <c r="U325" s="117" t="b">
        <f t="shared" si="64"/>
        <v>0</v>
      </c>
      <c r="V325" s="157" t="b">
        <f>INDEX('register map'!P:P,C325)="yes"</f>
        <v>1</v>
      </c>
      <c r="W325" s="157" t="str">
        <f t="shared" si="61"/>
        <v>FALSE</v>
      </c>
    </row>
    <row r="326" spans="2:23">
      <c r="B326" s="157" t="str">
        <f t="array" ref="B326">IF(ROWS($3:326)&lt;=COUNTA('register map'!$L$5:$L$902),INDEX('register map'!$L$5:$L$902,SMALL(IF('register map'!$L$5:$L$902&lt;&gt;"",ROW('register map'!$L$5:$L$902)-MIN(ROW('register map'!$L$5:$L$902))+1),ROWS($3:326))),"")</f>
        <v>OTP_RSVD_38_0C_543</v>
      </c>
      <c r="C326" s="157">
        <f>IF(B326="PART_NUMBER",IF(COUNTIF($B$1:B325,"PART_NUMBER")=0,6,8),MATCH(B326,'register map'!L:L,0))</f>
        <v>430</v>
      </c>
      <c r="D326" s="117" t="str">
        <f>IF(ISBLANK(INDEX('register map'!C:C,'Logical Group Generator'!C326)),"No","Yes")</f>
        <v>No</v>
      </c>
      <c r="E326" s="117" t="str">
        <f>IF(ISBLANK(INDEX('register map'!A:A,C326)),IF(ISBLANK(INDEX('register map'!A:A,C326-1)),IF(ISBLANK(INDEX('register map'!A:A,C326-2)),IF(ISBLANK(INDEX('register map'!A:A,C326-3)),IF(ISBLANK(INDEX('register map'!A:A,C326-4)),IF(ISBLANK(INDEX('register map'!A:A,C326-5)),IF(ISBLANK(INDEX('register map'!A:A,C326-6)),IF(ISBLANK(INDEX('register map'!A:A,C326-7)),IF(ISBLANK(INDEX('register map'!A:A,C326-8)),"ERROR",INDEX('register map'!A:A,C326-8)),INDEX('register map'!A:A,C326-7)),INDEX('register map'!A:A,C326-6)),INDEX('register map'!A:A,C326-5)),INDEX('register map'!A:A,C326-4)),INDEX('register map'!A:A,C326-3)),INDEX('register map'!A:A,C326-2)),INDEX('register map'!A:A,C326-1)),INDEX('register map'!A:A,C326))</f>
        <v>0x38</v>
      </c>
      <c r="F326" s="117" t="str">
        <f>IF(ISBLANK(INDEX('register map'!B:B,C326)),IF(ISBLANK(INDEX('register map'!B:B,C326-1)),IF(ISBLANK(INDEX('register map'!B:B,C326-2)),IF(ISBLANK(INDEX('register map'!B:B,C326-3)),IF(ISBLANK(INDEX('register map'!B:B,C326-4)),IF(ISBLANK(INDEX('register map'!B:B,C326-5)),IF(ISBLANK(INDEX('register map'!B:B,C326-6)),IF(ISBLANK(INDEX('register map'!B:B,C326-7)),IF(ISBLANK(INDEX('register map'!B:B,C326-8)),"ERROR",INDEX('register map'!B:B,C326-8)),INDEX('register map'!B:B,C326-7)),INDEX('register map'!B:B,C326-6)),INDEX('register map'!B:B,C326-5)),INDEX('register map'!B:B,C326-4)),INDEX('register map'!B:B,C326-3)),INDEX('register map'!B:B,C326-2)),INDEX('register map'!B:B,C326-1)),INDEX('register map'!B:B,C326))</f>
        <v>0x0C</v>
      </c>
      <c r="G326" s="117" t="str">
        <f>CONCATENATE(IF(ISNUMBER(INDEX('register map'!D:D,C326)),7,""),IF(ISNUMBER(INDEX('register map'!E:E,C326)),6,""),IF(ISNUMBER(INDEX('register map'!F:F,C326)),5,""),IF(ISNUMBER(INDEX('register map'!G:G,C326)),4,""),IF(ISNUMBER(INDEX('register map'!H:H,C326)),3,""),IF(ISNUMBER(INDEX('register map'!I:I,C326)),2,""),IF(ISNUMBER(INDEX('register map'!J:J,C326)),1,""),IF(ISNUMBER(INDEX('register map'!K:K,C326)),0,""))</f>
        <v>543</v>
      </c>
      <c r="H326" s="117" t="str">
        <f>RIGHT(INDEX('register map'!V:V,MATCH('Logical Group Generator'!B326,'register map'!L:L,0)),LEN(G326))</f>
        <v>100</v>
      </c>
      <c r="I326" s="117" t="str">
        <f>CONCATENATE(IF(ISNUMBER(INDEX('register map'!K:K,C326)),0,""),IF(ISNUMBER(INDEX('register map'!J:J,C326)),1,""),IF(ISNUMBER(INDEX('register map'!I:I,C326)),2,""),IF(ISNUMBER(INDEX('register map'!H:H,C326)),3,""),IF(ISNUMBER(INDEX('register map'!G:G,C326)),4,""),IF(ISNUMBER(INDEX('register map'!F:F,C326)),5,""),IF(ISNUMBER(INDEX('register map'!E:E,C326)),6,""),IF(ISNUMBER(INDEX('register map'!D:D,C326)),7,""))</f>
        <v>345</v>
      </c>
      <c r="J326" s="117" t="str">
        <f t="shared" si="62"/>
        <v>001</v>
      </c>
      <c r="K326" s="117" t="str">
        <f t="shared" si="55"/>
        <v/>
      </c>
      <c r="L326" s="117" t="str">
        <f t="shared" si="63"/>
        <v/>
      </c>
      <c r="M326" s="117" t="str">
        <f t="shared" si="65"/>
        <v/>
      </c>
      <c r="N326" s="117" t="str">
        <f>IF(ISBLANK(INDEX('register map'!M:M,'Logical Group Generator'!C326)),"No","Yes")</f>
        <v>No</v>
      </c>
      <c r="O326" s="117" t="str">
        <f>IF(NOT(ISBLANK(INDEX('register map'!N:N,'Logical Group Generator'!C326))),"Yes","")</f>
        <v/>
      </c>
      <c r="P326" s="117" t="str">
        <f t="shared" si="56"/>
        <v/>
      </c>
      <c r="Q326" s="117" t="str">
        <f t="shared" si="57"/>
        <v/>
      </c>
      <c r="R326" s="117" t="str">
        <f t="shared" si="58"/>
        <v/>
      </c>
      <c r="S326" s="117" t="str">
        <f t="shared" si="59"/>
        <v>No</v>
      </c>
      <c r="T326" s="117" t="str">
        <f t="shared" si="60"/>
        <v/>
      </c>
      <c r="U326" s="117" t="b">
        <f t="shared" si="64"/>
        <v>0</v>
      </c>
      <c r="V326" s="157" t="b">
        <f>INDEX('register map'!P:P,C326)="yes"</f>
        <v>1</v>
      </c>
      <c r="W326" s="157" t="str">
        <f t="shared" si="61"/>
        <v>FALSE</v>
      </c>
    </row>
    <row r="327" spans="2:23">
      <c r="B327" s="157" t="str">
        <f t="array" ref="B327">IF(ROWS($3:327)&lt;=COUNTA('register map'!$L$5:$L$902),INDEX('register map'!$L$5:$L$902,SMALL(IF('register map'!$L$5:$L$902&lt;&gt;"",ROW('register map'!$L$5:$L$902)-MIN(ROW('register map'!$L$5:$L$902))+1),ROWS($3:327))),"")</f>
        <v>OTP_RSVD_38_0C_76</v>
      </c>
      <c r="C327" s="157">
        <f>IF(B327="PART_NUMBER",IF(COUNTIF($B$1:B326,"PART_NUMBER")=0,6,8),MATCH(B327,'register map'!L:L,0))</f>
        <v>431</v>
      </c>
      <c r="D327" s="117" t="str">
        <f>IF(ISBLANK(INDEX('register map'!C:C,'Logical Group Generator'!C327)),"No","Yes")</f>
        <v>No</v>
      </c>
      <c r="E327" s="117" t="str">
        <f>IF(ISBLANK(INDEX('register map'!A:A,C327)),IF(ISBLANK(INDEX('register map'!A:A,C327-1)),IF(ISBLANK(INDEX('register map'!A:A,C327-2)),IF(ISBLANK(INDEX('register map'!A:A,C327-3)),IF(ISBLANK(INDEX('register map'!A:A,C327-4)),IF(ISBLANK(INDEX('register map'!A:A,C327-5)),IF(ISBLANK(INDEX('register map'!A:A,C327-6)),IF(ISBLANK(INDEX('register map'!A:A,C327-7)),IF(ISBLANK(INDEX('register map'!A:A,C327-8)),"ERROR",INDEX('register map'!A:A,C327-8)),INDEX('register map'!A:A,C327-7)),INDEX('register map'!A:A,C327-6)),INDEX('register map'!A:A,C327-5)),INDEX('register map'!A:A,C327-4)),INDEX('register map'!A:A,C327-3)),INDEX('register map'!A:A,C327-2)),INDEX('register map'!A:A,C327-1)),INDEX('register map'!A:A,C327))</f>
        <v>0x38</v>
      </c>
      <c r="F327" s="117" t="str">
        <f>IF(ISBLANK(INDEX('register map'!B:B,C327)),IF(ISBLANK(INDEX('register map'!B:B,C327-1)),IF(ISBLANK(INDEX('register map'!B:B,C327-2)),IF(ISBLANK(INDEX('register map'!B:B,C327-3)),IF(ISBLANK(INDEX('register map'!B:B,C327-4)),IF(ISBLANK(INDEX('register map'!B:B,C327-5)),IF(ISBLANK(INDEX('register map'!B:B,C327-6)),IF(ISBLANK(INDEX('register map'!B:B,C327-7)),IF(ISBLANK(INDEX('register map'!B:B,C327-8)),"ERROR",INDEX('register map'!B:B,C327-8)),INDEX('register map'!B:B,C327-7)),INDEX('register map'!B:B,C327-6)),INDEX('register map'!B:B,C327-5)),INDEX('register map'!B:B,C327-4)),INDEX('register map'!B:B,C327-3)),INDEX('register map'!B:B,C327-2)),INDEX('register map'!B:B,C327-1)),INDEX('register map'!B:B,C327))</f>
        <v>0x0C</v>
      </c>
      <c r="G327" s="117" t="str">
        <f>CONCATENATE(IF(ISNUMBER(INDEX('register map'!D:D,C327)),7,""),IF(ISNUMBER(INDEX('register map'!E:E,C327)),6,""),IF(ISNUMBER(INDEX('register map'!F:F,C327)),5,""),IF(ISNUMBER(INDEX('register map'!G:G,C327)),4,""),IF(ISNUMBER(INDEX('register map'!H:H,C327)),3,""),IF(ISNUMBER(INDEX('register map'!I:I,C327)),2,""),IF(ISNUMBER(INDEX('register map'!J:J,C327)),1,""),IF(ISNUMBER(INDEX('register map'!K:K,C327)),0,""))</f>
        <v>76</v>
      </c>
      <c r="H327" s="117" t="str">
        <f>RIGHT(INDEX('register map'!V:V,MATCH('Logical Group Generator'!B327,'register map'!L:L,0)),LEN(G327))</f>
        <v>00</v>
      </c>
      <c r="I327" s="117" t="str">
        <f>CONCATENATE(IF(ISNUMBER(INDEX('register map'!K:K,C327)),0,""),IF(ISNUMBER(INDEX('register map'!J:J,C327)),1,""),IF(ISNUMBER(INDEX('register map'!I:I,C327)),2,""),IF(ISNUMBER(INDEX('register map'!H:H,C327)),3,""),IF(ISNUMBER(INDEX('register map'!G:G,C327)),4,""),IF(ISNUMBER(INDEX('register map'!F:F,C327)),5,""),IF(ISNUMBER(INDEX('register map'!E:E,C327)),6,""),IF(ISNUMBER(INDEX('register map'!D:D,C327)),7,""))</f>
        <v>67</v>
      </c>
      <c r="J327" s="117" t="str">
        <f t="shared" si="62"/>
        <v>00</v>
      </c>
      <c r="K327" s="117" t="str">
        <f t="shared" si="55"/>
        <v/>
      </c>
      <c r="L327" s="117" t="str">
        <f t="shared" si="63"/>
        <v/>
      </c>
      <c r="M327" s="117" t="str">
        <f t="shared" si="65"/>
        <v/>
      </c>
      <c r="N327" s="117" t="str">
        <f>IF(ISBLANK(INDEX('register map'!M:M,'Logical Group Generator'!C327)),"No","Yes")</f>
        <v>No</v>
      </c>
      <c r="O327" s="117" t="str">
        <f>IF(NOT(ISBLANK(INDEX('register map'!N:N,'Logical Group Generator'!C327))),"Yes","")</f>
        <v/>
      </c>
      <c r="P327" s="117" t="str">
        <f t="shared" si="56"/>
        <v/>
      </c>
      <c r="Q327" s="117" t="str">
        <f t="shared" si="57"/>
        <v/>
      </c>
      <c r="R327" s="117" t="str">
        <f t="shared" si="58"/>
        <v/>
      </c>
      <c r="S327" s="117" t="str">
        <f t="shared" si="59"/>
        <v>No</v>
      </c>
      <c r="T327" s="117" t="str">
        <f t="shared" si="60"/>
        <v/>
      </c>
      <c r="U327" s="117" t="b">
        <f t="shared" si="64"/>
        <v>0</v>
      </c>
      <c r="V327" s="157" t="b">
        <f>INDEX('register map'!P:P,C327)="yes"</f>
        <v>1</v>
      </c>
      <c r="W327" s="157" t="str">
        <f t="shared" si="61"/>
        <v>FALSE</v>
      </c>
    </row>
    <row r="328" spans="2:23">
      <c r="B328" s="157" t="str">
        <f t="array" ref="B328">IF(ROWS($3:328)&lt;=COUNTA('register map'!$L$5:$L$902),INDEX('register map'!$L$5:$L$902,SMALL(IF('register map'!$L$5:$L$902&lt;&gt;"",ROW('register map'!$L$5:$L$902)-MIN(ROW('register map'!$L$5:$L$902))+1),ROWS($3:328))),"")</f>
        <v>BUCK3_CTRL_EN1</v>
      </c>
      <c r="C328" s="157">
        <f>IF(B328="PART_NUMBER",IF(COUNTIF($B$1:B327,"PART_NUMBER")=0,6,8),MATCH(B328,'register map'!L:L,0))</f>
        <v>432</v>
      </c>
      <c r="D328" s="117" t="str">
        <f>IF(ISBLANK(INDEX('register map'!C:C,'Logical Group Generator'!C328)),"No","Yes")</f>
        <v>Yes</v>
      </c>
      <c r="E328" s="117" t="str">
        <f>IF(ISBLANK(INDEX('register map'!A:A,C328)),IF(ISBLANK(INDEX('register map'!A:A,C328-1)),IF(ISBLANK(INDEX('register map'!A:A,C328-2)),IF(ISBLANK(INDEX('register map'!A:A,C328-3)),IF(ISBLANK(INDEX('register map'!A:A,C328-4)),IF(ISBLANK(INDEX('register map'!A:A,C328-5)),IF(ISBLANK(INDEX('register map'!A:A,C328-6)),IF(ISBLANK(INDEX('register map'!A:A,C328-7)),IF(ISBLANK(INDEX('register map'!A:A,C328-8)),"ERROR",INDEX('register map'!A:A,C328-8)),INDEX('register map'!A:A,C328-7)),INDEX('register map'!A:A,C328-6)),INDEX('register map'!A:A,C328-5)),INDEX('register map'!A:A,C328-4)),INDEX('register map'!A:A,C328-3)),INDEX('register map'!A:A,C328-2)),INDEX('register map'!A:A,C328-1)),INDEX('register map'!A:A,C328))</f>
        <v>0x38</v>
      </c>
      <c r="F328" s="117" t="str">
        <f>IF(ISBLANK(INDEX('register map'!B:B,C328)),IF(ISBLANK(INDEX('register map'!B:B,C328-1)),IF(ISBLANK(INDEX('register map'!B:B,C328-2)),IF(ISBLANK(INDEX('register map'!B:B,C328-3)),IF(ISBLANK(INDEX('register map'!B:B,C328-4)),IF(ISBLANK(INDEX('register map'!B:B,C328-5)),IF(ISBLANK(INDEX('register map'!B:B,C328-6)),IF(ISBLANK(INDEX('register map'!B:B,C328-7)),IF(ISBLANK(INDEX('register map'!B:B,C328-8)),"ERROR",INDEX('register map'!B:B,C328-8)),INDEX('register map'!B:B,C328-7)),INDEX('register map'!B:B,C328-6)),INDEX('register map'!B:B,C328-5)),INDEX('register map'!B:B,C328-4)),INDEX('register map'!B:B,C328-3)),INDEX('register map'!B:B,C328-2)),INDEX('register map'!B:B,C328-1)),INDEX('register map'!B:B,C328))</f>
        <v>0x0D</v>
      </c>
      <c r="G328" s="117" t="str">
        <f>CONCATENATE(IF(ISNUMBER(INDEX('register map'!D:D,C328)),7,""),IF(ISNUMBER(INDEX('register map'!E:E,C328)),6,""),IF(ISNUMBER(INDEX('register map'!F:F,C328)),5,""),IF(ISNUMBER(INDEX('register map'!G:G,C328)),4,""),IF(ISNUMBER(INDEX('register map'!H:H,C328)),3,""),IF(ISNUMBER(INDEX('register map'!I:I,C328)),2,""),IF(ISNUMBER(INDEX('register map'!J:J,C328)),1,""),IF(ISNUMBER(INDEX('register map'!K:K,C328)),0,""))</f>
        <v/>
      </c>
      <c r="H328" s="117" t="str">
        <f>RIGHT(INDEX('register map'!V:V,MATCH('Logical Group Generator'!B328,'register map'!L:L,0)),LEN(G328))</f>
        <v/>
      </c>
      <c r="I328" s="117" t="str">
        <f>CONCATENATE(IF(ISNUMBER(INDEX('register map'!K:K,C328)),0,""),IF(ISNUMBER(INDEX('register map'!J:J,C328)),1,""),IF(ISNUMBER(INDEX('register map'!I:I,C328)),2,""),IF(ISNUMBER(INDEX('register map'!H:H,C328)),3,""),IF(ISNUMBER(INDEX('register map'!G:G,C328)),4,""),IF(ISNUMBER(INDEX('register map'!F:F,C328)),5,""),IF(ISNUMBER(INDEX('register map'!E:E,C328)),6,""),IF(ISNUMBER(INDEX('register map'!D:D,C328)),7,""))</f>
        <v/>
      </c>
      <c r="J328" s="117" t="str">
        <f t="shared" si="62"/>
        <v/>
      </c>
      <c r="K328" s="117" t="str">
        <f t="shared" si="55"/>
        <v>11111111</v>
      </c>
      <c r="L328" s="117" t="str">
        <f t="shared" si="63"/>
        <v>11111111</v>
      </c>
      <c r="M328" s="117" t="str">
        <f t="shared" si="65"/>
        <v>FF</v>
      </c>
      <c r="N328" s="117" t="str">
        <f>IF(ISBLANK(INDEX('register map'!M:M,'Logical Group Generator'!C328)),"No","Yes")</f>
        <v>No</v>
      </c>
      <c r="O328" s="117" t="str">
        <f>IF(NOT(ISBLANK(INDEX('register map'!N:N,'Logical Group Generator'!C328))),"Yes","")</f>
        <v/>
      </c>
      <c r="P328" s="117" t="str">
        <f t="shared" si="56"/>
        <v>No</v>
      </c>
      <c r="Q328" s="117" t="str">
        <f t="shared" si="57"/>
        <v>No</v>
      </c>
      <c r="R328" s="117" t="str">
        <f t="shared" si="58"/>
        <v>No</v>
      </c>
      <c r="S328" s="117" t="str">
        <f t="shared" si="59"/>
        <v/>
      </c>
      <c r="T328" s="117" t="b">
        <f t="shared" si="60"/>
        <v>1</v>
      </c>
      <c r="U328" s="117" t="b">
        <f t="shared" si="64"/>
        <v>1</v>
      </c>
      <c r="V328" s="157" t="b">
        <f>INDEX('register map'!P:P,C328)="yes"</f>
        <v>1</v>
      </c>
      <c r="W328" s="157" t="str">
        <f t="shared" si="61"/>
        <v>REGISTER</v>
      </c>
    </row>
    <row r="329" spans="2:23">
      <c r="B329" s="157" t="str">
        <f t="array" ref="B329">IF(ROWS($3:329)&lt;=COUNTA('register map'!$L$5:$L$902),INDEX('register map'!$L$5:$L$902,SMALL(IF('register map'!$L$5:$L$902&lt;&gt;"",ROW('register map'!$L$5:$L$902)-MIN(ROW('register map'!$L$5:$L$902))+1),ROWS($3:329))),"")</f>
        <v>OTP_RSVD_38_0D_0</v>
      </c>
      <c r="C329" s="157">
        <f>IF(B329="PART_NUMBER",IF(COUNTIF($B$1:B328,"PART_NUMBER")=0,6,8),MATCH(B329,'register map'!L:L,0))</f>
        <v>433</v>
      </c>
      <c r="D329" s="117" t="str">
        <f>IF(ISBLANK(INDEX('register map'!C:C,'Logical Group Generator'!C329)),"No","Yes")</f>
        <v>No</v>
      </c>
      <c r="E329" s="117" t="str">
        <f>IF(ISBLANK(INDEX('register map'!A:A,C329)),IF(ISBLANK(INDEX('register map'!A:A,C329-1)),IF(ISBLANK(INDEX('register map'!A:A,C329-2)),IF(ISBLANK(INDEX('register map'!A:A,C329-3)),IF(ISBLANK(INDEX('register map'!A:A,C329-4)),IF(ISBLANK(INDEX('register map'!A:A,C329-5)),IF(ISBLANK(INDEX('register map'!A:A,C329-6)),IF(ISBLANK(INDEX('register map'!A:A,C329-7)),IF(ISBLANK(INDEX('register map'!A:A,C329-8)),"ERROR",INDEX('register map'!A:A,C329-8)),INDEX('register map'!A:A,C329-7)),INDEX('register map'!A:A,C329-6)),INDEX('register map'!A:A,C329-5)),INDEX('register map'!A:A,C329-4)),INDEX('register map'!A:A,C329-3)),INDEX('register map'!A:A,C329-2)),INDEX('register map'!A:A,C329-1)),INDEX('register map'!A:A,C329))</f>
        <v>0x38</v>
      </c>
      <c r="F329" s="117" t="str">
        <f>IF(ISBLANK(INDEX('register map'!B:B,C329)),IF(ISBLANK(INDEX('register map'!B:B,C329-1)),IF(ISBLANK(INDEX('register map'!B:B,C329-2)),IF(ISBLANK(INDEX('register map'!B:B,C329-3)),IF(ISBLANK(INDEX('register map'!B:B,C329-4)),IF(ISBLANK(INDEX('register map'!B:B,C329-5)),IF(ISBLANK(INDEX('register map'!B:B,C329-6)),IF(ISBLANK(INDEX('register map'!B:B,C329-7)),IF(ISBLANK(INDEX('register map'!B:B,C329-8)),"ERROR",INDEX('register map'!B:B,C329-8)),INDEX('register map'!B:B,C329-7)),INDEX('register map'!B:B,C329-6)),INDEX('register map'!B:B,C329-5)),INDEX('register map'!B:B,C329-4)),INDEX('register map'!B:B,C329-3)),INDEX('register map'!B:B,C329-2)),INDEX('register map'!B:B,C329-1)),INDEX('register map'!B:B,C329))</f>
        <v>0x0D</v>
      </c>
      <c r="G329" s="117" t="str">
        <f>CONCATENATE(IF(ISNUMBER(INDEX('register map'!D:D,C329)),7,""),IF(ISNUMBER(INDEX('register map'!E:E,C329)),6,""),IF(ISNUMBER(INDEX('register map'!F:F,C329)),5,""),IF(ISNUMBER(INDEX('register map'!G:G,C329)),4,""),IF(ISNUMBER(INDEX('register map'!H:H,C329)),3,""),IF(ISNUMBER(INDEX('register map'!I:I,C329)),2,""),IF(ISNUMBER(INDEX('register map'!J:J,C329)),1,""),IF(ISNUMBER(INDEX('register map'!K:K,C329)),0,""))</f>
        <v>0</v>
      </c>
      <c r="H329" s="117" t="str">
        <f>RIGHT(INDEX('register map'!V:V,MATCH('Logical Group Generator'!B329,'register map'!L:L,0)),LEN(G329))</f>
        <v>1</v>
      </c>
      <c r="I329" s="117" t="str">
        <f>CONCATENATE(IF(ISNUMBER(INDEX('register map'!K:K,C329)),0,""),IF(ISNUMBER(INDEX('register map'!J:J,C329)),1,""),IF(ISNUMBER(INDEX('register map'!I:I,C329)),2,""),IF(ISNUMBER(INDEX('register map'!H:H,C329)),3,""),IF(ISNUMBER(INDEX('register map'!G:G,C329)),4,""),IF(ISNUMBER(INDEX('register map'!F:F,C329)),5,""),IF(ISNUMBER(INDEX('register map'!E:E,C329)),6,""),IF(ISNUMBER(INDEX('register map'!D:D,C329)),7,""))</f>
        <v>0</v>
      </c>
      <c r="J329" s="117" t="str">
        <f t="shared" si="62"/>
        <v>1</v>
      </c>
      <c r="K329" s="117" t="str">
        <f t="shared" si="55"/>
        <v/>
      </c>
      <c r="L329" s="117" t="str">
        <f t="shared" si="63"/>
        <v/>
      </c>
      <c r="M329" s="117" t="str">
        <f t="shared" si="65"/>
        <v/>
      </c>
      <c r="N329" s="117" t="str">
        <f>IF(ISBLANK(INDEX('register map'!M:M,'Logical Group Generator'!C329)),"No","Yes")</f>
        <v>No</v>
      </c>
      <c r="O329" s="117" t="str">
        <f>IF(NOT(ISBLANK(INDEX('register map'!N:N,'Logical Group Generator'!C329))),"Yes","")</f>
        <v/>
      </c>
      <c r="P329" s="117" t="str">
        <f t="shared" si="56"/>
        <v/>
      </c>
      <c r="Q329" s="117" t="str">
        <f t="shared" si="57"/>
        <v/>
      </c>
      <c r="R329" s="117" t="str">
        <f t="shared" si="58"/>
        <v/>
      </c>
      <c r="S329" s="117" t="str">
        <f t="shared" si="59"/>
        <v>No</v>
      </c>
      <c r="T329" s="117" t="str">
        <f t="shared" si="60"/>
        <v/>
      </c>
      <c r="U329" s="117" t="b">
        <f t="shared" si="64"/>
        <v>0</v>
      </c>
      <c r="V329" s="157" t="b">
        <f>INDEX('register map'!P:P,C329)="yes"</f>
        <v>1</v>
      </c>
      <c r="W329" s="157" t="str">
        <f t="shared" si="61"/>
        <v>FALSE</v>
      </c>
    </row>
    <row r="330" spans="2:23">
      <c r="B330" s="157" t="str">
        <f t="array" ref="B330">IF(ROWS($3:330)&lt;=COUNTA('register map'!$L$5:$L$902),INDEX('register map'!$L$5:$L$902,SMALL(IF('register map'!$L$5:$L$902&lt;&gt;"",ROW('register map'!$L$5:$L$902)-MIN(ROW('register map'!$L$5:$L$902))+1),ROWS($3:330))),"")</f>
        <v>OTP_RSVD_38_0D_1</v>
      </c>
      <c r="C330" s="157">
        <f>IF(B330="PART_NUMBER",IF(COUNTIF($B$1:B329,"PART_NUMBER")=0,6,8),MATCH(B330,'register map'!L:L,0))</f>
        <v>434</v>
      </c>
      <c r="D330" s="117" t="str">
        <f>IF(ISBLANK(INDEX('register map'!C:C,'Logical Group Generator'!C330)),"No","Yes")</f>
        <v>No</v>
      </c>
      <c r="E330" s="117" t="str">
        <f>IF(ISBLANK(INDEX('register map'!A:A,C330)),IF(ISBLANK(INDEX('register map'!A:A,C330-1)),IF(ISBLANK(INDEX('register map'!A:A,C330-2)),IF(ISBLANK(INDEX('register map'!A:A,C330-3)),IF(ISBLANK(INDEX('register map'!A:A,C330-4)),IF(ISBLANK(INDEX('register map'!A:A,C330-5)),IF(ISBLANK(INDEX('register map'!A:A,C330-6)),IF(ISBLANK(INDEX('register map'!A:A,C330-7)),IF(ISBLANK(INDEX('register map'!A:A,C330-8)),"ERROR",INDEX('register map'!A:A,C330-8)),INDEX('register map'!A:A,C330-7)),INDEX('register map'!A:A,C330-6)),INDEX('register map'!A:A,C330-5)),INDEX('register map'!A:A,C330-4)),INDEX('register map'!A:A,C330-3)),INDEX('register map'!A:A,C330-2)),INDEX('register map'!A:A,C330-1)),INDEX('register map'!A:A,C330))</f>
        <v>0x38</v>
      </c>
      <c r="F330" s="117" t="str">
        <f>IF(ISBLANK(INDEX('register map'!B:B,C330)),IF(ISBLANK(INDEX('register map'!B:B,C330-1)),IF(ISBLANK(INDEX('register map'!B:B,C330-2)),IF(ISBLANK(INDEX('register map'!B:B,C330-3)),IF(ISBLANK(INDEX('register map'!B:B,C330-4)),IF(ISBLANK(INDEX('register map'!B:B,C330-5)),IF(ISBLANK(INDEX('register map'!B:B,C330-6)),IF(ISBLANK(INDEX('register map'!B:B,C330-7)),IF(ISBLANK(INDEX('register map'!B:B,C330-8)),"ERROR",INDEX('register map'!B:B,C330-8)),INDEX('register map'!B:B,C330-7)),INDEX('register map'!B:B,C330-6)),INDEX('register map'!B:B,C330-5)),INDEX('register map'!B:B,C330-4)),INDEX('register map'!B:B,C330-3)),INDEX('register map'!B:B,C330-2)),INDEX('register map'!B:B,C330-1)),INDEX('register map'!B:B,C330))</f>
        <v>0x0D</v>
      </c>
      <c r="G330" s="117" t="str">
        <f>CONCATENATE(IF(ISNUMBER(INDEX('register map'!D:D,C330)),7,""),IF(ISNUMBER(INDEX('register map'!E:E,C330)),6,""),IF(ISNUMBER(INDEX('register map'!F:F,C330)),5,""),IF(ISNUMBER(INDEX('register map'!G:G,C330)),4,""),IF(ISNUMBER(INDEX('register map'!H:H,C330)),3,""),IF(ISNUMBER(INDEX('register map'!I:I,C330)),2,""),IF(ISNUMBER(INDEX('register map'!J:J,C330)),1,""),IF(ISNUMBER(INDEX('register map'!K:K,C330)),0,""))</f>
        <v>1</v>
      </c>
      <c r="H330" s="117" t="str">
        <f>RIGHT(INDEX('register map'!V:V,MATCH('Logical Group Generator'!B330,'register map'!L:L,0)),LEN(G330))</f>
        <v>1</v>
      </c>
      <c r="I330" s="117" t="str">
        <f>CONCATENATE(IF(ISNUMBER(INDEX('register map'!K:K,C330)),0,""),IF(ISNUMBER(INDEX('register map'!J:J,C330)),1,""),IF(ISNUMBER(INDEX('register map'!I:I,C330)),2,""),IF(ISNUMBER(INDEX('register map'!H:H,C330)),3,""),IF(ISNUMBER(INDEX('register map'!G:G,C330)),4,""),IF(ISNUMBER(INDEX('register map'!F:F,C330)),5,""),IF(ISNUMBER(INDEX('register map'!E:E,C330)),6,""),IF(ISNUMBER(INDEX('register map'!D:D,C330)),7,""))</f>
        <v>1</v>
      </c>
      <c r="J330" s="117" t="str">
        <f t="shared" si="62"/>
        <v>1</v>
      </c>
      <c r="K330" s="117" t="str">
        <f t="shared" si="55"/>
        <v/>
      </c>
      <c r="L330" s="117" t="str">
        <f t="shared" si="63"/>
        <v/>
      </c>
      <c r="M330" s="117" t="str">
        <f t="shared" si="65"/>
        <v/>
      </c>
      <c r="N330" s="117" t="str">
        <f>IF(ISBLANK(INDEX('register map'!M:M,'Logical Group Generator'!C330)),"No","Yes")</f>
        <v>No</v>
      </c>
      <c r="O330" s="117" t="str">
        <f>IF(NOT(ISBLANK(INDEX('register map'!N:N,'Logical Group Generator'!C330))),"Yes","")</f>
        <v/>
      </c>
      <c r="P330" s="117" t="str">
        <f t="shared" si="56"/>
        <v/>
      </c>
      <c r="Q330" s="117" t="str">
        <f t="shared" si="57"/>
        <v/>
      </c>
      <c r="R330" s="117" t="str">
        <f t="shared" si="58"/>
        <v/>
      </c>
      <c r="S330" s="117" t="str">
        <f t="shared" si="59"/>
        <v>No</v>
      </c>
      <c r="T330" s="117" t="str">
        <f t="shared" si="60"/>
        <v/>
      </c>
      <c r="U330" s="117" t="b">
        <f t="shared" si="64"/>
        <v>0</v>
      </c>
      <c r="V330" s="157" t="b">
        <f>INDEX('register map'!P:P,C330)="yes"</f>
        <v>1</v>
      </c>
      <c r="W330" s="157" t="str">
        <f t="shared" si="61"/>
        <v>FALSE</v>
      </c>
    </row>
    <row r="331" spans="2:23">
      <c r="B331" s="157" t="str">
        <f t="array" ref="B331">IF(ROWS($3:331)&lt;=COUNTA('register map'!$L$5:$L$902),INDEX('register map'!$L$5:$L$902,SMALL(IF('register map'!$L$5:$L$902&lt;&gt;"",ROW('register map'!$L$5:$L$902)-MIN(ROW('register map'!$L$5:$L$902))+1),ROWS($3:331))),"")</f>
        <v>OTP_RSVD_38_0D_2</v>
      </c>
      <c r="C331" s="157">
        <f>IF(B331="PART_NUMBER",IF(COUNTIF($B$1:B330,"PART_NUMBER")=0,6,8),MATCH(B331,'register map'!L:L,0))</f>
        <v>435</v>
      </c>
      <c r="D331" s="117" t="str">
        <f>IF(ISBLANK(INDEX('register map'!C:C,'Logical Group Generator'!C331)),"No","Yes")</f>
        <v>No</v>
      </c>
      <c r="E331" s="117" t="str">
        <f>IF(ISBLANK(INDEX('register map'!A:A,C331)),IF(ISBLANK(INDEX('register map'!A:A,C331-1)),IF(ISBLANK(INDEX('register map'!A:A,C331-2)),IF(ISBLANK(INDEX('register map'!A:A,C331-3)),IF(ISBLANK(INDEX('register map'!A:A,C331-4)),IF(ISBLANK(INDEX('register map'!A:A,C331-5)),IF(ISBLANK(INDEX('register map'!A:A,C331-6)),IF(ISBLANK(INDEX('register map'!A:A,C331-7)),IF(ISBLANK(INDEX('register map'!A:A,C331-8)),"ERROR",INDEX('register map'!A:A,C331-8)),INDEX('register map'!A:A,C331-7)),INDEX('register map'!A:A,C331-6)),INDEX('register map'!A:A,C331-5)),INDEX('register map'!A:A,C331-4)),INDEX('register map'!A:A,C331-3)),INDEX('register map'!A:A,C331-2)),INDEX('register map'!A:A,C331-1)),INDEX('register map'!A:A,C331))</f>
        <v>0x38</v>
      </c>
      <c r="F331" s="117" t="str">
        <f>IF(ISBLANK(INDEX('register map'!B:B,C331)),IF(ISBLANK(INDEX('register map'!B:B,C331-1)),IF(ISBLANK(INDEX('register map'!B:B,C331-2)),IF(ISBLANK(INDEX('register map'!B:B,C331-3)),IF(ISBLANK(INDEX('register map'!B:B,C331-4)),IF(ISBLANK(INDEX('register map'!B:B,C331-5)),IF(ISBLANK(INDEX('register map'!B:B,C331-6)),IF(ISBLANK(INDEX('register map'!B:B,C331-7)),IF(ISBLANK(INDEX('register map'!B:B,C331-8)),"ERROR",INDEX('register map'!B:B,C331-8)),INDEX('register map'!B:B,C331-7)),INDEX('register map'!B:B,C331-6)),INDEX('register map'!B:B,C331-5)),INDEX('register map'!B:B,C331-4)),INDEX('register map'!B:B,C331-3)),INDEX('register map'!B:B,C331-2)),INDEX('register map'!B:B,C331-1)),INDEX('register map'!B:B,C331))</f>
        <v>0x0D</v>
      </c>
      <c r="G331" s="117" t="str">
        <f>CONCATENATE(IF(ISNUMBER(INDEX('register map'!D:D,C331)),7,""),IF(ISNUMBER(INDEX('register map'!E:E,C331)),6,""),IF(ISNUMBER(INDEX('register map'!F:F,C331)),5,""),IF(ISNUMBER(INDEX('register map'!G:G,C331)),4,""),IF(ISNUMBER(INDEX('register map'!H:H,C331)),3,""),IF(ISNUMBER(INDEX('register map'!I:I,C331)),2,""),IF(ISNUMBER(INDEX('register map'!J:J,C331)),1,""),IF(ISNUMBER(INDEX('register map'!K:K,C331)),0,""))</f>
        <v>2</v>
      </c>
      <c r="H331" s="117" t="str">
        <f>RIGHT(INDEX('register map'!V:V,MATCH('Logical Group Generator'!B331,'register map'!L:L,0)),LEN(G331))</f>
        <v>1</v>
      </c>
      <c r="I331" s="117" t="str">
        <f>CONCATENATE(IF(ISNUMBER(INDEX('register map'!K:K,C331)),0,""),IF(ISNUMBER(INDEX('register map'!J:J,C331)),1,""),IF(ISNUMBER(INDEX('register map'!I:I,C331)),2,""),IF(ISNUMBER(INDEX('register map'!H:H,C331)),3,""),IF(ISNUMBER(INDEX('register map'!G:G,C331)),4,""),IF(ISNUMBER(INDEX('register map'!F:F,C331)),5,""),IF(ISNUMBER(INDEX('register map'!E:E,C331)),6,""),IF(ISNUMBER(INDEX('register map'!D:D,C331)),7,""))</f>
        <v>2</v>
      </c>
      <c r="J331" s="117" t="str">
        <f t="shared" si="62"/>
        <v>1</v>
      </c>
      <c r="K331" s="117" t="str">
        <f t="shared" si="55"/>
        <v/>
      </c>
      <c r="L331" s="117" t="str">
        <f t="shared" si="63"/>
        <v/>
      </c>
      <c r="M331" s="117" t="str">
        <f t="shared" si="65"/>
        <v/>
      </c>
      <c r="N331" s="117" t="str">
        <f>IF(ISBLANK(INDEX('register map'!M:M,'Logical Group Generator'!C331)),"No","Yes")</f>
        <v>No</v>
      </c>
      <c r="O331" s="117" t="str">
        <f>IF(NOT(ISBLANK(INDEX('register map'!N:N,'Logical Group Generator'!C331))),"Yes","")</f>
        <v/>
      </c>
      <c r="P331" s="117" t="str">
        <f t="shared" si="56"/>
        <v/>
      </c>
      <c r="Q331" s="117" t="str">
        <f t="shared" si="57"/>
        <v/>
      </c>
      <c r="R331" s="117" t="str">
        <f t="shared" si="58"/>
        <v/>
      </c>
      <c r="S331" s="117" t="str">
        <f t="shared" si="59"/>
        <v>No</v>
      </c>
      <c r="T331" s="117" t="str">
        <f t="shared" si="60"/>
        <v/>
      </c>
      <c r="U331" s="117" t="b">
        <f t="shared" si="64"/>
        <v>0</v>
      </c>
      <c r="V331" s="157" t="b">
        <f>INDEX('register map'!P:P,C331)="yes"</f>
        <v>1</v>
      </c>
      <c r="W331" s="157" t="str">
        <f t="shared" si="61"/>
        <v>FALSE</v>
      </c>
    </row>
    <row r="332" spans="2:23">
      <c r="B332" s="157" t="str">
        <f t="array" ref="B332">IF(ROWS($3:332)&lt;=COUNTA('register map'!$L$5:$L$902),INDEX('register map'!$L$5:$L$902,SMALL(IF('register map'!$L$5:$L$902&lt;&gt;"",ROW('register map'!$L$5:$L$902)-MIN(ROW('register map'!$L$5:$L$902))+1),ROWS($3:332))),"")</f>
        <v>OTP_RSVD_38_0D_3</v>
      </c>
      <c r="C332" s="157">
        <f>IF(B332="PART_NUMBER",IF(COUNTIF($B$1:B331,"PART_NUMBER")=0,6,8),MATCH(B332,'register map'!L:L,0))</f>
        <v>436</v>
      </c>
      <c r="D332" s="117" t="str">
        <f>IF(ISBLANK(INDEX('register map'!C:C,'Logical Group Generator'!C332)),"No","Yes")</f>
        <v>No</v>
      </c>
      <c r="E332" s="117" t="str">
        <f>IF(ISBLANK(INDEX('register map'!A:A,C332)),IF(ISBLANK(INDEX('register map'!A:A,C332-1)),IF(ISBLANK(INDEX('register map'!A:A,C332-2)),IF(ISBLANK(INDEX('register map'!A:A,C332-3)),IF(ISBLANK(INDEX('register map'!A:A,C332-4)),IF(ISBLANK(INDEX('register map'!A:A,C332-5)),IF(ISBLANK(INDEX('register map'!A:A,C332-6)),IF(ISBLANK(INDEX('register map'!A:A,C332-7)),IF(ISBLANK(INDEX('register map'!A:A,C332-8)),"ERROR",INDEX('register map'!A:A,C332-8)),INDEX('register map'!A:A,C332-7)),INDEX('register map'!A:A,C332-6)),INDEX('register map'!A:A,C332-5)),INDEX('register map'!A:A,C332-4)),INDEX('register map'!A:A,C332-3)),INDEX('register map'!A:A,C332-2)),INDEX('register map'!A:A,C332-1)),INDEX('register map'!A:A,C332))</f>
        <v>0x38</v>
      </c>
      <c r="F332" s="117" t="str">
        <f>IF(ISBLANK(INDEX('register map'!B:B,C332)),IF(ISBLANK(INDEX('register map'!B:B,C332-1)),IF(ISBLANK(INDEX('register map'!B:B,C332-2)),IF(ISBLANK(INDEX('register map'!B:B,C332-3)),IF(ISBLANK(INDEX('register map'!B:B,C332-4)),IF(ISBLANK(INDEX('register map'!B:B,C332-5)),IF(ISBLANK(INDEX('register map'!B:B,C332-6)),IF(ISBLANK(INDEX('register map'!B:B,C332-7)),IF(ISBLANK(INDEX('register map'!B:B,C332-8)),"ERROR",INDEX('register map'!B:B,C332-8)),INDEX('register map'!B:B,C332-7)),INDEX('register map'!B:B,C332-6)),INDEX('register map'!B:B,C332-5)),INDEX('register map'!B:B,C332-4)),INDEX('register map'!B:B,C332-3)),INDEX('register map'!B:B,C332-2)),INDEX('register map'!B:B,C332-1)),INDEX('register map'!B:B,C332))</f>
        <v>0x0D</v>
      </c>
      <c r="G332" s="117" t="str">
        <f>CONCATENATE(IF(ISNUMBER(INDEX('register map'!D:D,C332)),7,""),IF(ISNUMBER(INDEX('register map'!E:E,C332)),6,""),IF(ISNUMBER(INDEX('register map'!F:F,C332)),5,""),IF(ISNUMBER(INDEX('register map'!G:G,C332)),4,""),IF(ISNUMBER(INDEX('register map'!H:H,C332)),3,""),IF(ISNUMBER(INDEX('register map'!I:I,C332)),2,""),IF(ISNUMBER(INDEX('register map'!J:J,C332)),1,""),IF(ISNUMBER(INDEX('register map'!K:K,C332)),0,""))</f>
        <v>3</v>
      </c>
      <c r="H332" s="117" t="str">
        <f>RIGHT(INDEX('register map'!V:V,MATCH('Logical Group Generator'!B332,'register map'!L:L,0)),LEN(G332))</f>
        <v>1</v>
      </c>
      <c r="I332" s="117" t="str">
        <f>CONCATENATE(IF(ISNUMBER(INDEX('register map'!K:K,C332)),0,""),IF(ISNUMBER(INDEX('register map'!J:J,C332)),1,""),IF(ISNUMBER(INDEX('register map'!I:I,C332)),2,""),IF(ISNUMBER(INDEX('register map'!H:H,C332)),3,""),IF(ISNUMBER(INDEX('register map'!G:G,C332)),4,""),IF(ISNUMBER(INDEX('register map'!F:F,C332)),5,""),IF(ISNUMBER(INDEX('register map'!E:E,C332)),6,""),IF(ISNUMBER(INDEX('register map'!D:D,C332)),7,""))</f>
        <v>3</v>
      </c>
      <c r="J332" s="117" t="str">
        <f t="shared" si="62"/>
        <v>1</v>
      </c>
      <c r="K332" s="117" t="str">
        <f t="shared" si="55"/>
        <v/>
      </c>
      <c r="L332" s="117" t="str">
        <f t="shared" si="63"/>
        <v/>
      </c>
      <c r="M332" s="117" t="str">
        <f t="shared" si="65"/>
        <v/>
      </c>
      <c r="N332" s="117" t="str">
        <f>IF(ISBLANK(INDEX('register map'!M:M,'Logical Group Generator'!C332)),"No","Yes")</f>
        <v>No</v>
      </c>
      <c r="O332" s="117" t="str">
        <f>IF(NOT(ISBLANK(INDEX('register map'!N:N,'Logical Group Generator'!C332))),"Yes","")</f>
        <v/>
      </c>
      <c r="P332" s="117" t="str">
        <f t="shared" si="56"/>
        <v/>
      </c>
      <c r="Q332" s="117" t="str">
        <f t="shared" si="57"/>
        <v/>
      </c>
      <c r="R332" s="117" t="str">
        <f t="shared" si="58"/>
        <v/>
      </c>
      <c r="S332" s="117" t="str">
        <f t="shared" si="59"/>
        <v>No</v>
      </c>
      <c r="T332" s="117" t="str">
        <f t="shared" si="60"/>
        <v/>
      </c>
      <c r="U332" s="117" t="b">
        <f t="shared" si="64"/>
        <v>0</v>
      </c>
      <c r="V332" s="157" t="b">
        <f>INDEX('register map'!P:P,C332)="yes"</f>
        <v>1</v>
      </c>
      <c r="W332" s="157" t="str">
        <f t="shared" si="61"/>
        <v>FALSE</v>
      </c>
    </row>
    <row r="333" spans="2:23">
      <c r="B333" s="157" t="str">
        <f t="array" ref="B333">IF(ROWS($3:333)&lt;=COUNTA('register map'!$L$5:$L$902),INDEX('register map'!$L$5:$L$902,SMALL(IF('register map'!$L$5:$L$902&lt;&gt;"",ROW('register map'!$L$5:$L$902)-MIN(ROW('register map'!$L$5:$L$902))+1),ROWS($3:333))),"")</f>
        <v>OTP_RSVD_38_0D_4</v>
      </c>
      <c r="C333" s="157">
        <f>IF(B333="PART_NUMBER",IF(COUNTIF($B$1:B332,"PART_NUMBER")=0,6,8),MATCH(B333,'register map'!L:L,0))</f>
        <v>437</v>
      </c>
      <c r="D333" s="117" t="str">
        <f>IF(ISBLANK(INDEX('register map'!C:C,'Logical Group Generator'!C333)),"No","Yes")</f>
        <v>No</v>
      </c>
      <c r="E333" s="117" t="str">
        <f>IF(ISBLANK(INDEX('register map'!A:A,C333)),IF(ISBLANK(INDEX('register map'!A:A,C333-1)),IF(ISBLANK(INDEX('register map'!A:A,C333-2)),IF(ISBLANK(INDEX('register map'!A:A,C333-3)),IF(ISBLANK(INDEX('register map'!A:A,C333-4)),IF(ISBLANK(INDEX('register map'!A:A,C333-5)),IF(ISBLANK(INDEX('register map'!A:A,C333-6)),IF(ISBLANK(INDEX('register map'!A:A,C333-7)),IF(ISBLANK(INDEX('register map'!A:A,C333-8)),"ERROR",INDEX('register map'!A:A,C333-8)),INDEX('register map'!A:A,C333-7)),INDEX('register map'!A:A,C333-6)),INDEX('register map'!A:A,C333-5)),INDEX('register map'!A:A,C333-4)),INDEX('register map'!A:A,C333-3)),INDEX('register map'!A:A,C333-2)),INDEX('register map'!A:A,C333-1)),INDEX('register map'!A:A,C333))</f>
        <v>0x38</v>
      </c>
      <c r="F333" s="117" t="str">
        <f>IF(ISBLANK(INDEX('register map'!B:B,C333)),IF(ISBLANK(INDEX('register map'!B:B,C333-1)),IF(ISBLANK(INDEX('register map'!B:B,C333-2)),IF(ISBLANK(INDEX('register map'!B:B,C333-3)),IF(ISBLANK(INDEX('register map'!B:B,C333-4)),IF(ISBLANK(INDEX('register map'!B:B,C333-5)),IF(ISBLANK(INDEX('register map'!B:B,C333-6)),IF(ISBLANK(INDEX('register map'!B:B,C333-7)),IF(ISBLANK(INDEX('register map'!B:B,C333-8)),"ERROR",INDEX('register map'!B:B,C333-8)),INDEX('register map'!B:B,C333-7)),INDEX('register map'!B:B,C333-6)),INDEX('register map'!B:B,C333-5)),INDEX('register map'!B:B,C333-4)),INDEX('register map'!B:B,C333-3)),INDEX('register map'!B:B,C333-2)),INDEX('register map'!B:B,C333-1)),INDEX('register map'!B:B,C333))</f>
        <v>0x0D</v>
      </c>
      <c r="G333" s="117" t="str">
        <f>CONCATENATE(IF(ISNUMBER(INDEX('register map'!D:D,C333)),7,""),IF(ISNUMBER(INDEX('register map'!E:E,C333)),6,""),IF(ISNUMBER(INDEX('register map'!F:F,C333)),5,""),IF(ISNUMBER(INDEX('register map'!G:G,C333)),4,""),IF(ISNUMBER(INDEX('register map'!H:H,C333)),3,""),IF(ISNUMBER(INDEX('register map'!I:I,C333)),2,""),IF(ISNUMBER(INDEX('register map'!J:J,C333)),1,""),IF(ISNUMBER(INDEX('register map'!K:K,C333)),0,""))</f>
        <v>4</v>
      </c>
      <c r="H333" s="117" t="str">
        <f>RIGHT(INDEX('register map'!V:V,MATCH('Logical Group Generator'!B333,'register map'!L:L,0)),LEN(G333))</f>
        <v>1</v>
      </c>
      <c r="I333" s="117" t="str">
        <f>CONCATENATE(IF(ISNUMBER(INDEX('register map'!K:K,C333)),0,""),IF(ISNUMBER(INDEX('register map'!J:J,C333)),1,""),IF(ISNUMBER(INDEX('register map'!I:I,C333)),2,""),IF(ISNUMBER(INDEX('register map'!H:H,C333)),3,""),IF(ISNUMBER(INDEX('register map'!G:G,C333)),4,""),IF(ISNUMBER(INDEX('register map'!F:F,C333)),5,""),IF(ISNUMBER(INDEX('register map'!E:E,C333)),6,""),IF(ISNUMBER(INDEX('register map'!D:D,C333)),7,""))</f>
        <v>4</v>
      </c>
      <c r="J333" s="117" t="str">
        <f t="shared" si="62"/>
        <v>1</v>
      </c>
      <c r="K333" s="117" t="str">
        <f t="shared" si="55"/>
        <v/>
      </c>
      <c r="L333" s="117" t="str">
        <f t="shared" si="63"/>
        <v/>
      </c>
      <c r="M333" s="117" t="str">
        <f t="shared" si="65"/>
        <v/>
      </c>
      <c r="N333" s="117" t="str">
        <f>IF(ISBLANK(INDEX('register map'!M:M,'Logical Group Generator'!C333)),"No","Yes")</f>
        <v>No</v>
      </c>
      <c r="O333" s="117" t="str">
        <f>IF(NOT(ISBLANK(INDEX('register map'!N:N,'Logical Group Generator'!C333))),"Yes","")</f>
        <v/>
      </c>
      <c r="P333" s="117" t="str">
        <f t="shared" si="56"/>
        <v/>
      </c>
      <c r="Q333" s="117" t="str">
        <f t="shared" si="57"/>
        <v/>
      </c>
      <c r="R333" s="117" t="str">
        <f t="shared" si="58"/>
        <v/>
      </c>
      <c r="S333" s="117" t="str">
        <f t="shared" si="59"/>
        <v>No</v>
      </c>
      <c r="T333" s="117" t="str">
        <f t="shared" si="60"/>
        <v/>
      </c>
      <c r="U333" s="117" t="b">
        <f t="shared" si="64"/>
        <v>0</v>
      </c>
      <c r="V333" s="157" t="b">
        <f>INDEX('register map'!P:P,C333)="yes"</f>
        <v>1</v>
      </c>
      <c r="W333" s="157" t="str">
        <f t="shared" si="61"/>
        <v>FALSE</v>
      </c>
    </row>
    <row r="334" spans="2:23">
      <c r="B334" s="157" t="str">
        <f t="array" ref="B334">IF(ROWS($3:334)&lt;=COUNTA('register map'!$L$5:$L$902),INDEX('register map'!$L$5:$L$902,SMALL(IF('register map'!$L$5:$L$902&lt;&gt;"",ROW('register map'!$L$5:$L$902)-MIN(ROW('register map'!$L$5:$L$902))+1),ROWS($3:334))),"")</f>
        <v>OTP_RSVD_38_0D_5</v>
      </c>
      <c r="C334" s="157">
        <f>IF(B334="PART_NUMBER",IF(COUNTIF($B$1:B333,"PART_NUMBER")=0,6,8),MATCH(B334,'register map'!L:L,0))</f>
        <v>438</v>
      </c>
      <c r="D334" s="117" t="str">
        <f>IF(ISBLANK(INDEX('register map'!C:C,'Logical Group Generator'!C334)),"No","Yes")</f>
        <v>No</v>
      </c>
      <c r="E334" s="117" t="str">
        <f>IF(ISBLANK(INDEX('register map'!A:A,C334)),IF(ISBLANK(INDEX('register map'!A:A,C334-1)),IF(ISBLANK(INDEX('register map'!A:A,C334-2)),IF(ISBLANK(INDEX('register map'!A:A,C334-3)),IF(ISBLANK(INDEX('register map'!A:A,C334-4)),IF(ISBLANK(INDEX('register map'!A:A,C334-5)),IF(ISBLANK(INDEX('register map'!A:A,C334-6)),IF(ISBLANK(INDEX('register map'!A:A,C334-7)),IF(ISBLANK(INDEX('register map'!A:A,C334-8)),"ERROR",INDEX('register map'!A:A,C334-8)),INDEX('register map'!A:A,C334-7)),INDEX('register map'!A:A,C334-6)),INDEX('register map'!A:A,C334-5)),INDEX('register map'!A:A,C334-4)),INDEX('register map'!A:A,C334-3)),INDEX('register map'!A:A,C334-2)),INDEX('register map'!A:A,C334-1)),INDEX('register map'!A:A,C334))</f>
        <v>0x38</v>
      </c>
      <c r="F334" s="117" t="str">
        <f>IF(ISBLANK(INDEX('register map'!B:B,C334)),IF(ISBLANK(INDEX('register map'!B:B,C334-1)),IF(ISBLANK(INDEX('register map'!B:B,C334-2)),IF(ISBLANK(INDEX('register map'!B:B,C334-3)),IF(ISBLANK(INDEX('register map'!B:B,C334-4)),IF(ISBLANK(INDEX('register map'!B:B,C334-5)),IF(ISBLANK(INDEX('register map'!B:B,C334-6)),IF(ISBLANK(INDEX('register map'!B:B,C334-7)),IF(ISBLANK(INDEX('register map'!B:B,C334-8)),"ERROR",INDEX('register map'!B:B,C334-8)),INDEX('register map'!B:B,C334-7)),INDEX('register map'!B:B,C334-6)),INDEX('register map'!B:B,C334-5)),INDEX('register map'!B:B,C334-4)),INDEX('register map'!B:B,C334-3)),INDEX('register map'!B:B,C334-2)),INDEX('register map'!B:B,C334-1)),INDEX('register map'!B:B,C334))</f>
        <v>0x0D</v>
      </c>
      <c r="G334" s="117" t="str">
        <f>CONCATENATE(IF(ISNUMBER(INDEX('register map'!D:D,C334)),7,""),IF(ISNUMBER(INDEX('register map'!E:E,C334)),6,""),IF(ISNUMBER(INDEX('register map'!F:F,C334)),5,""),IF(ISNUMBER(INDEX('register map'!G:G,C334)),4,""),IF(ISNUMBER(INDEX('register map'!H:H,C334)),3,""),IF(ISNUMBER(INDEX('register map'!I:I,C334)),2,""),IF(ISNUMBER(INDEX('register map'!J:J,C334)),1,""),IF(ISNUMBER(INDEX('register map'!K:K,C334)),0,""))</f>
        <v>5</v>
      </c>
      <c r="H334" s="117" t="str">
        <f>RIGHT(INDEX('register map'!V:V,MATCH('Logical Group Generator'!B334,'register map'!L:L,0)),LEN(G334))</f>
        <v>1</v>
      </c>
      <c r="I334" s="117" t="str">
        <f>CONCATENATE(IF(ISNUMBER(INDEX('register map'!K:K,C334)),0,""),IF(ISNUMBER(INDEX('register map'!J:J,C334)),1,""),IF(ISNUMBER(INDEX('register map'!I:I,C334)),2,""),IF(ISNUMBER(INDEX('register map'!H:H,C334)),3,""),IF(ISNUMBER(INDEX('register map'!G:G,C334)),4,""),IF(ISNUMBER(INDEX('register map'!F:F,C334)),5,""),IF(ISNUMBER(INDEX('register map'!E:E,C334)),6,""),IF(ISNUMBER(INDEX('register map'!D:D,C334)),7,""))</f>
        <v>5</v>
      </c>
      <c r="J334" s="117" t="str">
        <f t="shared" si="62"/>
        <v>1</v>
      </c>
      <c r="K334" s="117" t="str">
        <f t="shared" si="55"/>
        <v/>
      </c>
      <c r="L334" s="117" t="str">
        <f t="shared" si="63"/>
        <v/>
      </c>
      <c r="M334" s="117" t="str">
        <f t="shared" si="65"/>
        <v/>
      </c>
      <c r="N334" s="117" t="str">
        <f>IF(ISBLANK(INDEX('register map'!M:M,'Logical Group Generator'!C334)),"No","Yes")</f>
        <v>No</v>
      </c>
      <c r="O334" s="117" t="str">
        <f>IF(NOT(ISBLANK(INDEX('register map'!N:N,'Logical Group Generator'!C334))),"Yes","")</f>
        <v/>
      </c>
      <c r="P334" s="117" t="str">
        <f t="shared" si="56"/>
        <v/>
      </c>
      <c r="Q334" s="117" t="str">
        <f t="shared" si="57"/>
        <v/>
      </c>
      <c r="R334" s="117" t="str">
        <f t="shared" si="58"/>
        <v/>
      </c>
      <c r="S334" s="117" t="str">
        <f t="shared" si="59"/>
        <v>No</v>
      </c>
      <c r="T334" s="117" t="str">
        <f t="shared" si="60"/>
        <v/>
      </c>
      <c r="U334" s="117" t="b">
        <f t="shared" si="64"/>
        <v>0</v>
      </c>
      <c r="V334" s="157" t="b">
        <f>INDEX('register map'!P:P,C334)="yes"</f>
        <v>1</v>
      </c>
      <c r="W334" s="157" t="str">
        <f t="shared" si="61"/>
        <v>FALSE</v>
      </c>
    </row>
    <row r="335" spans="2:23">
      <c r="B335" s="157" t="str">
        <f t="array" ref="B335">IF(ROWS($3:335)&lt;=COUNTA('register map'!$L$5:$L$902),INDEX('register map'!$L$5:$L$902,SMALL(IF('register map'!$L$5:$L$902&lt;&gt;"",ROW('register map'!$L$5:$L$902)-MIN(ROW('register map'!$L$5:$L$902))+1),ROWS($3:335))),"")</f>
        <v>OTP_RSVD_38_0D_6</v>
      </c>
      <c r="C335" s="157">
        <f>IF(B335="PART_NUMBER",IF(COUNTIF($B$1:B334,"PART_NUMBER")=0,6,8),MATCH(B335,'register map'!L:L,0))</f>
        <v>439</v>
      </c>
      <c r="D335" s="117" t="str">
        <f>IF(ISBLANK(INDEX('register map'!C:C,'Logical Group Generator'!C335)),"No","Yes")</f>
        <v>No</v>
      </c>
      <c r="E335" s="117" t="str">
        <f>IF(ISBLANK(INDEX('register map'!A:A,C335)),IF(ISBLANK(INDEX('register map'!A:A,C335-1)),IF(ISBLANK(INDEX('register map'!A:A,C335-2)),IF(ISBLANK(INDEX('register map'!A:A,C335-3)),IF(ISBLANK(INDEX('register map'!A:A,C335-4)),IF(ISBLANK(INDEX('register map'!A:A,C335-5)),IF(ISBLANK(INDEX('register map'!A:A,C335-6)),IF(ISBLANK(INDEX('register map'!A:A,C335-7)),IF(ISBLANK(INDEX('register map'!A:A,C335-8)),"ERROR",INDEX('register map'!A:A,C335-8)),INDEX('register map'!A:A,C335-7)),INDEX('register map'!A:A,C335-6)),INDEX('register map'!A:A,C335-5)),INDEX('register map'!A:A,C335-4)),INDEX('register map'!A:A,C335-3)),INDEX('register map'!A:A,C335-2)),INDEX('register map'!A:A,C335-1)),INDEX('register map'!A:A,C335))</f>
        <v>0x38</v>
      </c>
      <c r="F335" s="117" t="str">
        <f>IF(ISBLANK(INDEX('register map'!B:B,C335)),IF(ISBLANK(INDEX('register map'!B:B,C335-1)),IF(ISBLANK(INDEX('register map'!B:B,C335-2)),IF(ISBLANK(INDEX('register map'!B:B,C335-3)),IF(ISBLANK(INDEX('register map'!B:B,C335-4)),IF(ISBLANK(INDEX('register map'!B:B,C335-5)),IF(ISBLANK(INDEX('register map'!B:B,C335-6)),IF(ISBLANK(INDEX('register map'!B:B,C335-7)),IF(ISBLANK(INDEX('register map'!B:B,C335-8)),"ERROR",INDEX('register map'!B:B,C335-8)),INDEX('register map'!B:B,C335-7)),INDEX('register map'!B:B,C335-6)),INDEX('register map'!B:B,C335-5)),INDEX('register map'!B:B,C335-4)),INDEX('register map'!B:B,C335-3)),INDEX('register map'!B:B,C335-2)),INDEX('register map'!B:B,C335-1)),INDEX('register map'!B:B,C335))</f>
        <v>0x0D</v>
      </c>
      <c r="G335" s="117" t="str">
        <f>CONCATENATE(IF(ISNUMBER(INDEX('register map'!D:D,C335)),7,""),IF(ISNUMBER(INDEX('register map'!E:E,C335)),6,""),IF(ISNUMBER(INDEX('register map'!F:F,C335)),5,""),IF(ISNUMBER(INDEX('register map'!G:G,C335)),4,""),IF(ISNUMBER(INDEX('register map'!H:H,C335)),3,""),IF(ISNUMBER(INDEX('register map'!I:I,C335)),2,""),IF(ISNUMBER(INDEX('register map'!J:J,C335)),1,""),IF(ISNUMBER(INDEX('register map'!K:K,C335)),0,""))</f>
        <v>6</v>
      </c>
      <c r="H335" s="117" t="str">
        <f>RIGHT(INDEX('register map'!V:V,MATCH('Logical Group Generator'!B335,'register map'!L:L,0)),LEN(G335))</f>
        <v>1</v>
      </c>
      <c r="I335" s="117" t="str">
        <f>CONCATENATE(IF(ISNUMBER(INDEX('register map'!K:K,C335)),0,""),IF(ISNUMBER(INDEX('register map'!J:J,C335)),1,""),IF(ISNUMBER(INDEX('register map'!I:I,C335)),2,""),IF(ISNUMBER(INDEX('register map'!H:H,C335)),3,""),IF(ISNUMBER(INDEX('register map'!G:G,C335)),4,""),IF(ISNUMBER(INDEX('register map'!F:F,C335)),5,""),IF(ISNUMBER(INDEX('register map'!E:E,C335)),6,""),IF(ISNUMBER(INDEX('register map'!D:D,C335)),7,""))</f>
        <v>6</v>
      </c>
      <c r="J335" s="117" t="str">
        <f t="shared" si="62"/>
        <v>1</v>
      </c>
      <c r="K335" s="117" t="str">
        <f t="shared" si="55"/>
        <v/>
      </c>
      <c r="L335" s="117" t="str">
        <f t="shared" si="63"/>
        <v/>
      </c>
      <c r="M335" s="117" t="str">
        <f t="shared" si="65"/>
        <v/>
      </c>
      <c r="N335" s="117" t="str">
        <f>IF(ISBLANK(INDEX('register map'!M:M,'Logical Group Generator'!C335)),"No","Yes")</f>
        <v>No</v>
      </c>
      <c r="O335" s="117" t="str">
        <f>IF(NOT(ISBLANK(INDEX('register map'!N:N,'Logical Group Generator'!C335))),"Yes","")</f>
        <v/>
      </c>
      <c r="P335" s="117" t="str">
        <f t="shared" si="56"/>
        <v/>
      </c>
      <c r="Q335" s="117" t="str">
        <f t="shared" si="57"/>
        <v/>
      </c>
      <c r="R335" s="117" t="str">
        <f t="shared" si="58"/>
        <v/>
      </c>
      <c r="S335" s="117" t="str">
        <f t="shared" si="59"/>
        <v>No</v>
      </c>
      <c r="T335" s="117" t="str">
        <f t="shared" si="60"/>
        <v/>
      </c>
      <c r="U335" s="117" t="b">
        <f t="shared" si="64"/>
        <v>0</v>
      </c>
      <c r="V335" s="157" t="b">
        <f>INDEX('register map'!P:P,C335)="yes"</f>
        <v>1</v>
      </c>
      <c r="W335" s="157" t="str">
        <f t="shared" si="61"/>
        <v>FALSE</v>
      </c>
    </row>
    <row r="336" spans="2:23">
      <c r="B336" s="157" t="str">
        <f t="array" ref="B336">IF(ROWS($3:336)&lt;=COUNTA('register map'!$L$5:$L$902),INDEX('register map'!$L$5:$L$902,SMALL(IF('register map'!$L$5:$L$902&lt;&gt;"",ROW('register map'!$L$5:$L$902)-MIN(ROW('register map'!$L$5:$L$902))+1),ROWS($3:336))),"")</f>
        <v>OTP_RSVD_38_0D_7</v>
      </c>
      <c r="C336" s="157">
        <f>IF(B336="PART_NUMBER",IF(COUNTIF($B$1:B335,"PART_NUMBER")=0,6,8),MATCH(B336,'register map'!L:L,0))</f>
        <v>440</v>
      </c>
      <c r="D336" s="117" t="str">
        <f>IF(ISBLANK(INDEX('register map'!C:C,'Logical Group Generator'!C336)),"No","Yes")</f>
        <v>No</v>
      </c>
      <c r="E336" s="117" t="str">
        <f>IF(ISBLANK(INDEX('register map'!A:A,C336)),IF(ISBLANK(INDEX('register map'!A:A,C336-1)),IF(ISBLANK(INDEX('register map'!A:A,C336-2)),IF(ISBLANK(INDEX('register map'!A:A,C336-3)),IF(ISBLANK(INDEX('register map'!A:A,C336-4)),IF(ISBLANK(INDEX('register map'!A:A,C336-5)),IF(ISBLANK(INDEX('register map'!A:A,C336-6)),IF(ISBLANK(INDEX('register map'!A:A,C336-7)),IF(ISBLANK(INDEX('register map'!A:A,C336-8)),"ERROR",INDEX('register map'!A:A,C336-8)),INDEX('register map'!A:A,C336-7)),INDEX('register map'!A:A,C336-6)),INDEX('register map'!A:A,C336-5)),INDEX('register map'!A:A,C336-4)),INDEX('register map'!A:A,C336-3)),INDEX('register map'!A:A,C336-2)),INDEX('register map'!A:A,C336-1)),INDEX('register map'!A:A,C336))</f>
        <v>0x38</v>
      </c>
      <c r="F336" s="117" t="str">
        <f>IF(ISBLANK(INDEX('register map'!B:B,C336)),IF(ISBLANK(INDEX('register map'!B:B,C336-1)),IF(ISBLANK(INDEX('register map'!B:B,C336-2)),IF(ISBLANK(INDEX('register map'!B:B,C336-3)),IF(ISBLANK(INDEX('register map'!B:B,C336-4)),IF(ISBLANK(INDEX('register map'!B:B,C336-5)),IF(ISBLANK(INDEX('register map'!B:B,C336-6)),IF(ISBLANK(INDEX('register map'!B:B,C336-7)),IF(ISBLANK(INDEX('register map'!B:B,C336-8)),"ERROR",INDEX('register map'!B:B,C336-8)),INDEX('register map'!B:B,C336-7)),INDEX('register map'!B:B,C336-6)),INDEX('register map'!B:B,C336-5)),INDEX('register map'!B:B,C336-4)),INDEX('register map'!B:B,C336-3)),INDEX('register map'!B:B,C336-2)),INDEX('register map'!B:B,C336-1)),INDEX('register map'!B:B,C336))</f>
        <v>0x0D</v>
      </c>
      <c r="G336" s="117" t="str">
        <f>CONCATENATE(IF(ISNUMBER(INDEX('register map'!D:D,C336)),7,""),IF(ISNUMBER(INDEX('register map'!E:E,C336)),6,""),IF(ISNUMBER(INDEX('register map'!F:F,C336)),5,""),IF(ISNUMBER(INDEX('register map'!G:G,C336)),4,""),IF(ISNUMBER(INDEX('register map'!H:H,C336)),3,""),IF(ISNUMBER(INDEX('register map'!I:I,C336)),2,""),IF(ISNUMBER(INDEX('register map'!J:J,C336)),1,""),IF(ISNUMBER(INDEX('register map'!K:K,C336)),0,""))</f>
        <v>7</v>
      </c>
      <c r="H336" s="117" t="str">
        <f>RIGHT(INDEX('register map'!V:V,MATCH('Logical Group Generator'!B336,'register map'!L:L,0)),LEN(G336))</f>
        <v>1</v>
      </c>
      <c r="I336" s="117" t="str">
        <f>CONCATENATE(IF(ISNUMBER(INDEX('register map'!K:K,C336)),0,""),IF(ISNUMBER(INDEX('register map'!J:J,C336)),1,""),IF(ISNUMBER(INDEX('register map'!I:I,C336)),2,""),IF(ISNUMBER(INDEX('register map'!H:H,C336)),3,""),IF(ISNUMBER(INDEX('register map'!G:G,C336)),4,""),IF(ISNUMBER(INDEX('register map'!F:F,C336)),5,""),IF(ISNUMBER(INDEX('register map'!E:E,C336)),6,""),IF(ISNUMBER(INDEX('register map'!D:D,C336)),7,""))</f>
        <v>7</v>
      </c>
      <c r="J336" s="117" t="str">
        <f t="shared" si="62"/>
        <v>1</v>
      </c>
      <c r="K336" s="117" t="str">
        <f t="shared" si="55"/>
        <v/>
      </c>
      <c r="L336" s="117" t="str">
        <f t="shared" si="63"/>
        <v/>
      </c>
      <c r="M336" s="117" t="str">
        <f t="shared" si="65"/>
        <v/>
      </c>
      <c r="N336" s="117" t="str">
        <f>IF(ISBLANK(INDEX('register map'!M:M,'Logical Group Generator'!C336)),"No","Yes")</f>
        <v>No</v>
      </c>
      <c r="O336" s="117" t="str">
        <f>IF(NOT(ISBLANK(INDEX('register map'!N:N,'Logical Group Generator'!C336))),"Yes","")</f>
        <v/>
      </c>
      <c r="P336" s="117" t="str">
        <f t="shared" si="56"/>
        <v/>
      </c>
      <c r="Q336" s="117" t="str">
        <f t="shared" si="57"/>
        <v/>
      </c>
      <c r="R336" s="117" t="str">
        <f t="shared" si="58"/>
        <v/>
      </c>
      <c r="S336" s="117" t="str">
        <f t="shared" si="59"/>
        <v>No</v>
      </c>
      <c r="T336" s="117" t="str">
        <f t="shared" si="60"/>
        <v/>
      </c>
      <c r="U336" s="117" t="b">
        <f t="shared" si="64"/>
        <v>0</v>
      </c>
      <c r="V336" s="157" t="b">
        <f>INDEX('register map'!P:P,C336)="yes"</f>
        <v>1</v>
      </c>
      <c r="W336" s="157" t="str">
        <f t="shared" si="61"/>
        <v>FALSE</v>
      </c>
    </row>
    <row r="337" spans="2:23">
      <c r="B337" s="157" t="str">
        <f t="array" ref="B337">IF(ROWS($3:337)&lt;=COUNTA('register map'!$L$5:$L$902),INDEX('register map'!$L$5:$L$902,SMALL(IF('register map'!$L$5:$L$902&lt;&gt;"",ROW('register map'!$L$5:$L$902)-MIN(ROW('register map'!$L$5:$L$902))+1),ROWS($3:337))),"")</f>
        <v>BUCK3_CTRL_EN2</v>
      </c>
      <c r="C337" s="157">
        <f>IF(B337="PART_NUMBER",IF(COUNTIF($B$1:B336,"PART_NUMBER")=0,6,8),MATCH(B337,'register map'!L:L,0))</f>
        <v>441</v>
      </c>
      <c r="D337" s="117" t="str">
        <f>IF(ISBLANK(INDEX('register map'!C:C,'Logical Group Generator'!C337)),"No","Yes")</f>
        <v>Yes</v>
      </c>
      <c r="E337" s="117" t="str">
        <f>IF(ISBLANK(INDEX('register map'!A:A,C337)),IF(ISBLANK(INDEX('register map'!A:A,C337-1)),IF(ISBLANK(INDEX('register map'!A:A,C337-2)),IF(ISBLANK(INDEX('register map'!A:A,C337-3)),IF(ISBLANK(INDEX('register map'!A:A,C337-4)),IF(ISBLANK(INDEX('register map'!A:A,C337-5)),IF(ISBLANK(INDEX('register map'!A:A,C337-6)),IF(ISBLANK(INDEX('register map'!A:A,C337-7)),IF(ISBLANK(INDEX('register map'!A:A,C337-8)),"ERROR",INDEX('register map'!A:A,C337-8)),INDEX('register map'!A:A,C337-7)),INDEX('register map'!A:A,C337-6)),INDEX('register map'!A:A,C337-5)),INDEX('register map'!A:A,C337-4)),INDEX('register map'!A:A,C337-3)),INDEX('register map'!A:A,C337-2)),INDEX('register map'!A:A,C337-1)),INDEX('register map'!A:A,C337))</f>
        <v>0x38</v>
      </c>
      <c r="F337" s="117" t="str">
        <f>IF(ISBLANK(INDEX('register map'!B:B,C337)),IF(ISBLANK(INDEX('register map'!B:B,C337-1)),IF(ISBLANK(INDEX('register map'!B:B,C337-2)),IF(ISBLANK(INDEX('register map'!B:B,C337-3)),IF(ISBLANK(INDEX('register map'!B:B,C337-4)),IF(ISBLANK(INDEX('register map'!B:B,C337-5)),IF(ISBLANK(INDEX('register map'!B:B,C337-6)),IF(ISBLANK(INDEX('register map'!B:B,C337-7)),IF(ISBLANK(INDEX('register map'!B:B,C337-8)),"ERROR",INDEX('register map'!B:B,C337-8)),INDEX('register map'!B:B,C337-7)),INDEX('register map'!B:B,C337-6)),INDEX('register map'!B:B,C337-5)),INDEX('register map'!B:B,C337-4)),INDEX('register map'!B:B,C337-3)),INDEX('register map'!B:B,C337-2)),INDEX('register map'!B:B,C337-1)),INDEX('register map'!B:B,C337))</f>
        <v>0x0E</v>
      </c>
      <c r="G337" s="117" t="str">
        <f>CONCATENATE(IF(ISNUMBER(INDEX('register map'!D:D,C337)),7,""),IF(ISNUMBER(INDEX('register map'!E:E,C337)),6,""),IF(ISNUMBER(INDEX('register map'!F:F,C337)),5,""),IF(ISNUMBER(INDEX('register map'!G:G,C337)),4,""),IF(ISNUMBER(INDEX('register map'!H:H,C337)),3,""),IF(ISNUMBER(INDEX('register map'!I:I,C337)),2,""),IF(ISNUMBER(INDEX('register map'!J:J,C337)),1,""),IF(ISNUMBER(INDEX('register map'!K:K,C337)),0,""))</f>
        <v/>
      </c>
      <c r="H337" s="117" t="str">
        <f>RIGHT(INDEX('register map'!V:V,MATCH('Logical Group Generator'!B337,'register map'!L:L,0)),LEN(G337))</f>
        <v/>
      </c>
      <c r="I337" s="117" t="str">
        <f>CONCATENATE(IF(ISNUMBER(INDEX('register map'!K:K,C337)),0,""),IF(ISNUMBER(INDEX('register map'!J:J,C337)),1,""),IF(ISNUMBER(INDEX('register map'!I:I,C337)),2,""),IF(ISNUMBER(INDEX('register map'!H:H,C337)),3,""),IF(ISNUMBER(INDEX('register map'!G:G,C337)),4,""),IF(ISNUMBER(INDEX('register map'!F:F,C337)),5,""),IF(ISNUMBER(INDEX('register map'!E:E,C337)),6,""),IF(ISNUMBER(INDEX('register map'!D:D,C337)),7,""))</f>
        <v/>
      </c>
      <c r="J337" s="117" t="str">
        <f t="shared" si="62"/>
        <v/>
      </c>
      <c r="K337" s="117" t="str">
        <f t="shared" si="55"/>
        <v>11000110</v>
      </c>
      <c r="L337" s="117" t="str">
        <f t="shared" si="63"/>
        <v>01100011</v>
      </c>
      <c r="M337" s="117" t="str">
        <f t="shared" si="65"/>
        <v>63</v>
      </c>
      <c r="N337" s="117" t="str">
        <f>IF(ISBLANK(INDEX('register map'!M:M,'Logical Group Generator'!C337)),"No","Yes")</f>
        <v>No</v>
      </c>
      <c r="O337" s="117" t="str">
        <f>IF(NOT(ISBLANK(INDEX('register map'!N:N,'Logical Group Generator'!C337))),"Yes","")</f>
        <v/>
      </c>
      <c r="P337" s="117" t="str">
        <f t="shared" si="56"/>
        <v>No</v>
      </c>
      <c r="Q337" s="117" t="str">
        <f t="shared" si="57"/>
        <v>No</v>
      </c>
      <c r="R337" s="117" t="str">
        <f t="shared" si="58"/>
        <v>No</v>
      </c>
      <c r="S337" s="117" t="str">
        <f t="shared" si="59"/>
        <v/>
      </c>
      <c r="T337" s="117" t="b">
        <f t="shared" si="60"/>
        <v>1</v>
      </c>
      <c r="U337" s="117" t="b">
        <f t="shared" si="64"/>
        <v>1</v>
      </c>
      <c r="V337" s="157" t="b">
        <f>INDEX('register map'!P:P,C337)="yes"</f>
        <v>1</v>
      </c>
      <c r="W337" s="157" t="str">
        <f t="shared" si="61"/>
        <v>REGISTER</v>
      </c>
    </row>
    <row r="338" spans="2:23">
      <c r="B338" s="157" t="str">
        <f t="array" ref="B338">IF(ROWS($3:338)&lt;=COUNTA('register map'!$L$5:$L$902),INDEX('register map'!$L$5:$L$902,SMALL(IF('register map'!$L$5:$L$902&lt;&gt;"",ROW('register map'!$L$5:$L$902)-MIN(ROW('register map'!$L$5:$L$902))+1),ROWS($3:338))),"")</f>
        <v>OTP_RSVD_38_0E_0</v>
      </c>
      <c r="C338" s="157">
        <f>IF(B338="PART_NUMBER",IF(COUNTIF($B$1:B337,"PART_NUMBER")=0,6,8),MATCH(B338,'register map'!L:L,0))</f>
        <v>442</v>
      </c>
      <c r="D338" s="117" t="str">
        <f>IF(ISBLANK(INDEX('register map'!C:C,'Logical Group Generator'!C338)),"No","Yes")</f>
        <v>No</v>
      </c>
      <c r="E338" s="117" t="str">
        <f>IF(ISBLANK(INDEX('register map'!A:A,C338)),IF(ISBLANK(INDEX('register map'!A:A,C338-1)),IF(ISBLANK(INDEX('register map'!A:A,C338-2)),IF(ISBLANK(INDEX('register map'!A:A,C338-3)),IF(ISBLANK(INDEX('register map'!A:A,C338-4)),IF(ISBLANK(INDEX('register map'!A:A,C338-5)),IF(ISBLANK(INDEX('register map'!A:A,C338-6)),IF(ISBLANK(INDEX('register map'!A:A,C338-7)),IF(ISBLANK(INDEX('register map'!A:A,C338-8)),"ERROR",INDEX('register map'!A:A,C338-8)),INDEX('register map'!A:A,C338-7)),INDEX('register map'!A:A,C338-6)),INDEX('register map'!A:A,C338-5)),INDEX('register map'!A:A,C338-4)),INDEX('register map'!A:A,C338-3)),INDEX('register map'!A:A,C338-2)),INDEX('register map'!A:A,C338-1)),INDEX('register map'!A:A,C338))</f>
        <v>0x38</v>
      </c>
      <c r="F338" s="117" t="str">
        <f>IF(ISBLANK(INDEX('register map'!B:B,C338)),IF(ISBLANK(INDEX('register map'!B:B,C338-1)),IF(ISBLANK(INDEX('register map'!B:B,C338-2)),IF(ISBLANK(INDEX('register map'!B:B,C338-3)),IF(ISBLANK(INDEX('register map'!B:B,C338-4)),IF(ISBLANK(INDEX('register map'!B:B,C338-5)),IF(ISBLANK(INDEX('register map'!B:B,C338-6)),IF(ISBLANK(INDEX('register map'!B:B,C338-7)),IF(ISBLANK(INDEX('register map'!B:B,C338-8)),"ERROR",INDEX('register map'!B:B,C338-8)),INDEX('register map'!B:B,C338-7)),INDEX('register map'!B:B,C338-6)),INDEX('register map'!B:B,C338-5)),INDEX('register map'!B:B,C338-4)),INDEX('register map'!B:B,C338-3)),INDEX('register map'!B:B,C338-2)),INDEX('register map'!B:B,C338-1)),INDEX('register map'!B:B,C338))</f>
        <v>0x0E</v>
      </c>
      <c r="G338" s="117" t="str">
        <f>CONCATENATE(IF(ISNUMBER(INDEX('register map'!D:D,C338)),7,""),IF(ISNUMBER(INDEX('register map'!E:E,C338)),6,""),IF(ISNUMBER(INDEX('register map'!F:F,C338)),5,""),IF(ISNUMBER(INDEX('register map'!G:G,C338)),4,""),IF(ISNUMBER(INDEX('register map'!H:H,C338)),3,""),IF(ISNUMBER(INDEX('register map'!I:I,C338)),2,""),IF(ISNUMBER(INDEX('register map'!J:J,C338)),1,""),IF(ISNUMBER(INDEX('register map'!K:K,C338)),0,""))</f>
        <v>0</v>
      </c>
      <c r="H338" s="117" t="str">
        <f>RIGHT(INDEX('register map'!V:V,MATCH('Logical Group Generator'!B338,'register map'!L:L,0)),LEN(G338))</f>
        <v>1</v>
      </c>
      <c r="I338" s="117" t="str">
        <f>CONCATENATE(IF(ISNUMBER(INDEX('register map'!K:K,C338)),0,""),IF(ISNUMBER(INDEX('register map'!J:J,C338)),1,""),IF(ISNUMBER(INDEX('register map'!I:I,C338)),2,""),IF(ISNUMBER(INDEX('register map'!H:H,C338)),3,""),IF(ISNUMBER(INDEX('register map'!G:G,C338)),4,""),IF(ISNUMBER(INDEX('register map'!F:F,C338)),5,""),IF(ISNUMBER(INDEX('register map'!E:E,C338)),6,""),IF(ISNUMBER(INDEX('register map'!D:D,C338)),7,""))</f>
        <v>0</v>
      </c>
      <c r="J338" s="117" t="str">
        <f t="shared" si="62"/>
        <v>1</v>
      </c>
      <c r="K338" s="117" t="str">
        <f t="shared" si="55"/>
        <v/>
      </c>
      <c r="L338" s="117" t="str">
        <f t="shared" si="63"/>
        <v/>
      </c>
      <c r="M338" s="117" t="str">
        <f t="shared" si="65"/>
        <v/>
      </c>
      <c r="N338" s="117" t="str">
        <f>IF(ISBLANK(INDEX('register map'!M:M,'Logical Group Generator'!C338)),"No","Yes")</f>
        <v>No</v>
      </c>
      <c r="O338" s="117" t="str">
        <f>IF(NOT(ISBLANK(INDEX('register map'!N:N,'Logical Group Generator'!C338))),"Yes","")</f>
        <v/>
      </c>
      <c r="P338" s="117" t="str">
        <f t="shared" si="56"/>
        <v/>
      </c>
      <c r="Q338" s="117" t="str">
        <f t="shared" si="57"/>
        <v/>
      </c>
      <c r="R338" s="117" t="str">
        <f t="shared" si="58"/>
        <v/>
      </c>
      <c r="S338" s="117" t="str">
        <f t="shared" si="59"/>
        <v>No</v>
      </c>
      <c r="T338" s="117" t="str">
        <f t="shared" si="60"/>
        <v/>
      </c>
      <c r="U338" s="117" t="b">
        <f t="shared" si="64"/>
        <v>0</v>
      </c>
      <c r="V338" s="157" t="b">
        <f>INDEX('register map'!P:P,C338)="yes"</f>
        <v>1</v>
      </c>
      <c r="W338" s="157" t="str">
        <f t="shared" si="61"/>
        <v>FALSE</v>
      </c>
    </row>
    <row r="339" spans="2:23">
      <c r="B339" s="157" t="str">
        <f t="array" ref="B339">IF(ROWS($3:339)&lt;=COUNTA('register map'!$L$5:$L$902),INDEX('register map'!$L$5:$L$902,SMALL(IF('register map'!$L$5:$L$902&lt;&gt;"",ROW('register map'!$L$5:$L$902)-MIN(ROW('register map'!$L$5:$L$902))+1),ROWS($3:339))),"")</f>
        <v>OTP_RSVD_38_0E_1</v>
      </c>
      <c r="C339" s="157">
        <f>IF(B339="PART_NUMBER",IF(COUNTIF($B$1:B338,"PART_NUMBER")=0,6,8),MATCH(B339,'register map'!L:L,0))</f>
        <v>443</v>
      </c>
      <c r="D339" s="117" t="str">
        <f>IF(ISBLANK(INDEX('register map'!C:C,'Logical Group Generator'!C339)),"No","Yes")</f>
        <v>No</v>
      </c>
      <c r="E339" s="117" t="str">
        <f>IF(ISBLANK(INDEX('register map'!A:A,C339)),IF(ISBLANK(INDEX('register map'!A:A,C339-1)),IF(ISBLANK(INDEX('register map'!A:A,C339-2)),IF(ISBLANK(INDEX('register map'!A:A,C339-3)),IF(ISBLANK(INDEX('register map'!A:A,C339-4)),IF(ISBLANK(INDEX('register map'!A:A,C339-5)),IF(ISBLANK(INDEX('register map'!A:A,C339-6)),IF(ISBLANK(INDEX('register map'!A:A,C339-7)),IF(ISBLANK(INDEX('register map'!A:A,C339-8)),"ERROR",INDEX('register map'!A:A,C339-8)),INDEX('register map'!A:A,C339-7)),INDEX('register map'!A:A,C339-6)),INDEX('register map'!A:A,C339-5)),INDEX('register map'!A:A,C339-4)),INDEX('register map'!A:A,C339-3)),INDEX('register map'!A:A,C339-2)),INDEX('register map'!A:A,C339-1)),INDEX('register map'!A:A,C339))</f>
        <v>0x38</v>
      </c>
      <c r="F339" s="117" t="str">
        <f>IF(ISBLANK(INDEX('register map'!B:B,C339)),IF(ISBLANK(INDEX('register map'!B:B,C339-1)),IF(ISBLANK(INDEX('register map'!B:B,C339-2)),IF(ISBLANK(INDEX('register map'!B:B,C339-3)),IF(ISBLANK(INDEX('register map'!B:B,C339-4)),IF(ISBLANK(INDEX('register map'!B:B,C339-5)),IF(ISBLANK(INDEX('register map'!B:B,C339-6)),IF(ISBLANK(INDEX('register map'!B:B,C339-7)),IF(ISBLANK(INDEX('register map'!B:B,C339-8)),"ERROR",INDEX('register map'!B:B,C339-8)),INDEX('register map'!B:B,C339-7)),INDEX('register map'!B:B,C339-6)),INDEX('register map'!B:B,C339-5)),INDEX('register map'!B:B,C339-4)),INDEX('register map'!B:B,C339-3)),INDEX('register map'!B:B,C339-2)),INDEX('register map'!B:B,C339-1)),INDEX('register map'!B:B,C339))</f>
        <v>0x0E</v>
      </c>
      <c r="G339" s="117" t="str">
        <f>CONCATENATE(IF(ISNUMBER(INDEX('register map'!D:D,C339)),7,""),IF(ISNUMBER(INDEX('register map'!E:E,C339)),6,""),IF(ISNUMBER(INDEX('register map'!F:F,C339)),5,""),IF(ISNUMBER(INDEX('register map'!G:G,C339)),4,""),IF(ISNUMBER(INDEX('register map'!H:H,C339)),3,""),IF(ISNUMBER(INDEX('register map'!I:I,C339)),2,""),IF(ISNUMBER(INDEX('register map'!J:J,C339)),1,""),IF(ISNUMBER(INDEX('register map'!K:K,C339)),0,""))</f>
        <v>1</v>
      </c>
      <c r="H339" s="117" t="str">
        <f>RIGHT(INDEX('register map'!V:V,MATCH('Logical Group Generator'!B339,'register map'!L:L,0)),LEN(G339))</f>
        <v>1</v>
      </c>
      <c r="I339" s="117" t="str">
        <f>CONCATENATE(IF(ISNUMBER(INDEX('register map'!K:K,C339)),0,""),IF(ISNUMBER(INDEX('register map'!J:J,C339)),1,""),IF(ISNUMBER(INDEX('register map'!I:I,C339)),2,""),IF(ISNUMBER(INDEX('register map'!H:H,C339)),3,""),IF(ISNUMBER(INDEX('register map'!G:G,C339)),4,""),IF(ISNUMBER(INDEX('register map'!F:F,C339)),5,""),IF(ISNUMBER(INDEX('register map'!E:E,C339)),6,""),IF(ISNUMBER(INDEX('register map'!D:D,C339)),7,""))</f>
        <v>1</v>
      </c>
      <c r="J339" s="117" t="str">
        <f t="shared" si="62"/>
        <v>1</v>
      </c>
      <c r="K339" s="117" t="str">
        <f t="shared" si="55"/>
        <v/>
      </c>
      <c r="L339" s="117" t="str">
        <f t="shared" si="63"/>
        <v/>
      </c>
      <c r="M339" s="117" t="str">
        <f t="shared" si="65"/>
        <v/>
      </c>
      <c r="N339" s="117" t="str">
        <f>IF(ISBLANK(INDEX('register map'!M:M,'Logical Group Generator'!C339)),"No","Yes")</f>
        <v>No</v>
      </c>
      <c r="O339" s="117" t="str">
        <f>IF(NOT(ISBLANK(INDEX('register map'!N:N,'Logical Group Generator'!C339))),"Yes","")</f>
        <v/>
      </c>
      <c r="P339" s="117" t="str">
        <f t="shared" si="56"/>
        <v/>
      </c>
      <c r="Q339" s="117" t="str">
        <f t="shared" si="57"/>
        <v/>
      </c>
      <c r="R339" s="117" t="str">
        <f t="shared" si="58"/>
        <v/>
      </c>
      <c r="S339" s="117" t="str">
        <f t="shared" si="59"/>
        <v>No</v>
      </c>
      <c r="T339" s="117" t="str">
        <f t="shared" si="60"/>
        <v/>
      </c>
      <c r="U339" s="117" t="b">
        <f t="shared" si="64"/>
        <v>0</v>
      </c>
      <c r="V339" s="157" t="b">
        <f>INDEX('register map'!P:P,C339)="yes"</f>
        <v>1</v>
      </c>
      <c r="W339" s="157" t="str">
        <f t="shared" si="61"/>
        <v>FALSE</v>
      </c>
    </row>
    <row r="340" spans="2:23">
      <c r="B340" s="157" t="str">
        <f t="array" ref="B340">IF(ROWS($3:340)&lt;=COUNTA('register map'!$L$5:$L$902),INDEX('register map'!$L$5:$L$902,SMALL(IF('register map'!$L$5:$L$902&lt;&gt;"",ROW('register map'!$L$5:$L$902)-MIN(ROW('register map'!$L$5:$L$902))+1),ROWS($3:340))),"")</f>
        <v>OTP_RSVD_38_0E_432</v>
      </c>
      <c r="C340" s="157">
        <f>IF(B340="PART_NUMBER",IF(COUNTIF($B$1:B339,"PART_NUMBER")=0,6,8),MATCH(B340,'register map'!L:L,0))</f>
        <v>444</v>
      </c>
      <c r="D340" s="117" t="str">
        <f>IF(ISBLANK(INDEX('register map'!C:C,'Logical Group Generator'!C340)),"No","Yes")</f>
        <v>No</v>
      </c>
      <c r="E340" s="117" t="str">
        <f>IF(ISBLANK(INDEX('register map'!A:A,C340)),IF(ISBLANK(INDEX('register map'!A:A,C340-1)),IF(ISBLANK(INDEX('register map'!A:A,C340-2)),IF(ISBLANK(INDEX('register map'!A:A,C340-3)),IF(ISBLANK(INDEX('register map'!A:A,C340-4)),IF(ISBLANK(INDEX('register map'!A:A,C340-5)),IF(ISBLANK(INDEX('register map'!A:A,C340-6)),IF(ISBLANK(INDEX('register map'!A:A,C340-7)),IF(ISBLANK(INDEX('register map'!A:A,C340-8)),"ERROR",INDEX('register map'!A:A,C340-8)),INDEX('register map'!A:A,C340-7)),INDEX('register map'!A:A,C340-6)),INDEX('register map'!A:A,C340-5)),INDEX('register map'!A:A,C340-4)),INDEX('register map'!A:A,C340-3)),INDEX('register map'!A:A,C340-2)),INDEX('register map'!A:A,C340-1)),INDEX('register map'!A:A,C340))</f>
        <v>0x38</v>
      </c>
      <c r="F340" s="117" t="str">
        <f>IF(ISBLANK(INDEX('register map'!B:B,C340)),IF(ISBLANK(INDEX('register map'!B:B,C340-1)),IF(ISBLANK(INDEX('register map'!B:B,C340-2)),IF(ISBLANK(INDEX('register map'!B:B,C340-3)),IF(ISBLANK(INDEX('register map'!B:B,C340-4)),IF(ISBLANK(INDEX('register map'!B:B,C340-5)),IF(ISBLANK(INDEX('register map'!B:B,C340-6)),IF(ISBLANK(INDEX('register map'!B:B,C340-7)),IF(ISBLANK(INDEX('register map'!B:B,C340-8)),"ERROR",INDEX('register map'!B:B,C340-8)),INDEX('register map'!B:B,C340-7)),INDEX('register map'!B:B,C340-6)),INDEX('register map'!B:B,C340-5)),INDEX('register map'!B:B,C340-4)),INDEX('register map'!B:B,C340-3)),INDEX('register map'!B:B,C340-2)),INDEX('register map'!B:B,C340-1)),INDEX('register map'!B:B,C340))</f>
        <v>0x0E</v>
      </c>
      <c r="G340" s="117" t="str">
        <f>CONCATENATE(IF(ISNUMBER(INDEX('register map'!D:D,C340)),7,""),IF(ISNUMBER(INDEX('register map'!E:E,C340)),6,""),IF(ISNUMBER(INDEX('register map'!F:F,C340)),5,""),IF(ISNUMBER(INDEX('register map'!G:G,C340)),4,""),IF(ISNUMBER(INDEX('register map'!H:H,C340)),3,""),IF(ISNUMBER(INDEX('register map'!I:I,C340)),2,""),IF(ISNUMBER(INDEX('register map'!J:J,C340)),1,""),IF(ISNUMBER(INDEX('register map'!K:K,C340)),0,""))</f>
        <v>432</v>
      </c>
      <c r="H340" s="117" t="str">
        <f>RIGHT(INDEX('register map'!V:V,MATCH('Logical Group Generator'!B340,'register map'!L:L,0)),LEN(G340))</f>
        <v>000</v>
      </c>
      <c r="I340" s="117" t="str">
        <f>CONCATENATE(IF(ISNUMBER(INDEX('register map'!K:K,C340)),0,""),IF(ISNUMBER(INDEX('register map'!J:J,C340)),1,""),IF(ISNUMBER(INDEX('register map'!I:I,C340)),2,""),IF(ISNUMBER(INDEX('register map'!H:H,C340)),3,""),IF(ISNUMBER(INDEX('register map'!G:G,C340)),4,""),IF(ISNUMBER(INDEX('register map'!F:F,C340)),5,""),IF(ISNUMBER(INDEX('register map'!E:E,C340)),6,""),IF(ISNUMBER(INDEX('register map'!D:D,C340)),7,""))</f>
        <v>234</v>
      </c>
      <c r="J340" s="117" t="str">
        <f t="shared" si="62"/>
        <v>000</v>
      </c>
      <c r="K340" s="117" t="str">
        <f t="shared" si="55"/>
        <v/>
      </c>
      <c r="L340" s="117" t="str">
        <f t="shared" si="63"/>
        <v/>
      </c>
      <c r="M340" s="117" t="str">
        <f t="shared" si="65"/>
        <v/>
      </c>
      <c r="N340" s="117" t="str">
        <f>IF(ISBLANK(INDEX('register map'!M:M,'Logical Group Generator'!C340)),"No","Yes")</f>
        <v>No</v>
      </c>
      <c r="O340" s="117" t="str">
        <f>IF(NOT(ISBLANK(INDEX('register map'!N:N,'Logical Group Generator'!C340))),"Yes","")</f>
        <v/>
      </c>
      <c r="P340" s="117" t="str">
        <f t="shared" si="56"/>
        <v/>
      </c>
      <c r="Q340" s="117" t="str">
        <f t="shared" si="57"/>
        <v/>
      </c>
      <c r="R340" s="117" t="str">
        <f t="shared" si="58"/>
        <v/>
      </c>
      <c r="S340" s="117" t="str">
        <f t="shared" si="59"/>
        <v>No</v>
      </c>
      <c r="T340" s="117" t="str">
        <f t="shared" si="60"/>
        <v/>
      </c>
      <c r="U340" s="117" t="b">
        <f t="shared" si="64"/>
        <v>0</v>
      </c>
      <c r="V340" s="157" t="b">
        <f>INDEX('register map'!P:P,C340)="yes"</f>
        <v>1</v>
      </c>
      <c r="W340" s="157" t="str">
        <f t="shared" si="61"/>
        <v>FALSE</v>
      </c>
    </row>
    <row r="341" spans="2:23">
      <c r="B341" s="157" t="str">
        <f t="array" ref="B341">IF(ROWS($3:341)&lt;=COUNTA('register map'!$L$5:$L$902),INDEX('register map'!$L$5:$L$902,SMALL(IF('register map'!$L$5:$L$902&lt;&gt;"",ROW('register map'!$L$5:$L$902)-MIN(ROW('register map'!$L$5:$L$902))+1),ROWS($3:341))),"")</f>
        <v>OTP_RSVD_38_0E_65</v>
      </c>
      <c r="C341" s="157">
        <f>IF(B341="PART_NUMBER",IF(COUNTIF($B$1:B340,"PART_NUMBER")=0,6,8),MATCH(B341,'register map'!L:L,0))</f>
        <v>445</v>
      </c>
      <c r="D341" s="117" t="str">
        <f>IF(ISBLANK(INDEX('register map'!C:C,'Logical Group Generator'!C341)),"No","Yes")</f>
        <v>No</v>
      </c>
      <c r="E341" s="117" t="str">
        <f>IF(ISBLANK(INDEX('register map'!A:A,C341)),IF(ISBLANK(INDEX('register map'!A:A,C341-1)),IF(ISBLANK(INDEX('register map'!A:A,C341-2)),IF(ISBLANK(INDEX('register map'!A:A,C341-3)),IF(ISBLANK(INDEX('register map'!A:A,C341-4)),IF(ISBLANK(INDEX('register map'!A:A,C341-5)),IF(ISBLANK(INDEX('register map'!A:A,C341-6)),IF(ISBLANK(INDEX('register map'!A:A,C341-7)),IF(ISBLANK(INDEX('register map'!A:A,C341-8)),"ERROR",INDEX('register map'!A:A,C341-8)),INDEX('register map'!A:A,C341-7)),INDEX('register map'!A:A,C341-6)),INDEX('register map'!A:A,C341-5)),INDEX('register map'!A:A,C341-4)),INDEX('register map'!A:A,C341-3)),INDEX('register map'!A:A,C341-2)),INDEX('register map'!A:A,C341-1)),INDEX('register map'!A:A,C341))</f>
        <v>0x38</v>
      </c>
      <c r="F341" s="117" t="str">
        <f>IF(ISBLANK(INDEX('register map'!B:B,C341)),IF(ISBLANK(INDEX('register map'!B:B,C341-1)),IF(ISBLANK(INDEX('register map'!B:B,C341-2)),IF(ISBLANK(INDEX('register map'!B:B,C341-3)),IF(ISBLANK(INDEX('register map'!B:B,C341-4)),IF(ISBLANK(INDEX('register map'!B:B,C341-5)),IF(ISBLANK(INDEX('register map'!B:B,C341-6)),IF(ISBLANK(INDEX('register map'!B:B,C341-7)),IF(ISBLANK(INDEX('register map'!B:B,C341-8)),"ERROR",INDEX('register map'!B:B,C341-8)),INDEX('register map'!B:B,C341-7)),INDEX('register map'!B:B,C341-6)),INDEX('register map'!B:B,C341-5)),INDEX('register map'!B:B,C341-4)),INDEX('register map'!B:B,C341-3)),INDEX('register map'!B:B,C341-2)),INDEX('register map'!B:B,C341-1)),INDEX('register map'!B:B,C341))</f>
        <v>0x0E</v>
      </c>
      <c r="G341" s="117" t="str">
        <f>CONCATENATE(IF(ISNUMBER(INDEX('register map'!D:D,C341)),7,""),IF(ISNUMBER(INDEX('register map'!E:E,C341)),6,""),IF(ISNUMBER(INDEX('register map'!F:F,C341)),5,""),IF(ISNUMBER(INDEX('register map'!G:G,C341)),4,""),IF(ISNUMBER(INDEX('register map'!H:H,C341)),3,""),IF(ISNUMBER(INDEX('register map'!I:I,C341)),2,""),IF(ISNUMBER(INDEX('register map'!J:J,C341)),1,""),IF(ISNUMBER(INDEX('register map'!K:K,C341)),0,""))</f>
        <v>65</v>
      </c>
      <c r="H341" s="117" t="str">
        <f>RIGHT(INDEX('register map'!V:V,MATCH('Logical Group Generator'!B341,'register map'!L:L,0)),LEN(G341))</f>
        <v>11</v>
      </c>
      <c r="I341" s="117" t="str">
        <f>CONCATENATE(IF(ISNUMBER(INDEX('register map'!K:K,C341)),0,""),IF(ISNUMBER(INDEX('register map'!J:J,C341)),1,""),IF(ISNUMBER(INDEX('register map'!I:I,C341)),2,""),IF(ISNUMBER(INDEX('register map'!H:H,C341)),3,""),IF(ISNUMBER(INDEX('register map'!G:G,C341)),4,""),IF(ISNUMBER(INDEX('register map'!F:F,C341)),5,""),IF(ISNUMBER(INDEX('register map'!E:E,C341)),6,""),IF(ISNUMBER(INDEX('register map'!D:D,C341)),7,""))</f>
        <v>56</v>
      </c>
      <c r="J341" s="117" t="str">
        <f t="shared" si="62"/>
        <v>11</v>
      </c>
      <c r="K341" s="117" t="str">
        <f t="shared" si="55"/>
        <v/>
      </c>
      <c r="L341" s="117" t="str">
        <f t="shared" si="63"/>
        <v/>
      </c>
      <c r="M341" s="117" t="str">
        <f t="shared" si="65"/>
        <v/>
      </c>
      <c r="N341" s="117" t="str">
        <f>IF(ISBLANK(INDEX('register map'!M:M,'Logical Group Generator'!C341)),"No","Yes")</f>
        <v>No</v>
      </c>
      <c r="O341" s="117" t="str">
        <f>IF(NOT(ISBLANK(INDEX('register map'!N:N,'Logical Group Generator'!C341))),"Yes","")</f>
        <v/>
      </c>
      <c r="P341" s="117" t="str">
        <f t="shared" si="56"/>
        <v/>
      </c>
      <c r="Q341" s="117" t="str">
        <f t="shared" si="57"/>
        <v/>
      </c>
      <c r="R341" s="117" t="str">
        <f t="shared" si="58"/>
        <v/>
      </c>
      <c r="S341" s="117" t="str">
        <f t="shared" si="59"/>
        <v>No</v>
      </c>
      <c r="T341" s="117" t="str">
        <f t="shared" si="60"/>
        <v/>
      </c>
      <c r="U341" s="117" t="b">
        <f t="shared" si="64"/>
        <v>0</v>
      </c>
      <c r="V341" s="157" t="b">
        <f>INDEX('register map'!P:P,C341)="yes"</f>
        <v>1</v>
      </c>
      <c r="W341" s="157" t="str">
        <f t="shared" si="61"/>
        <v>FALSE</v>
      </c>
    </row>
    <row r="342" spans="2:23">
      <c r="B342" s="157" t="str">
        <f t="array" ref="B342">IF(ROWS($3:342)&lt;=COUNTA('register map'!$L$5:$L$902),INDEX('register map'!$L$5:$L$902,SMALL(IF('register map'!$L$5:$L$902&lt;&gt;"",ROW('register map'!$L$5:$L$902)-MIN(ROW('register map'!$L$5:$L$902))+1),ROWS($3:342))),"")</f>
        <v>OTP_RSVD_38_0E_7</v>
      </c>
      <c r="C342" s="157">
        <f>IF(B342="PART_NUMBER",IF(COUNTIF($B$1:B341,"PART_NUMBER")=0,6,8),MATCH(B342,'register map'!L:L,0))</f>
        <v>446</v>
      </c>
      <c r="D342" s="117" t="str">
        <f>IF(ISBLANK(INDEX('register map'!C:C,'Logical Group Generator'!C342)),"No","Yes")</f>
        <v>No</v>
      </c>
      <c r="E342" s="117" t="str">
        <f>IF(ISBLANK(INDEX('register map'!A:A,C342)),IF(ISBLANK(INDEX('register map'!A:A,C342-1)),IF(ISBLANK(INDEX('register map'!A:A,C342-2)),IF(ISBLANK(INDEX('register map'!A:A,C342-3)),IF(ISBLANK(INDEX('register map'!A:A,C342-4)),IF(ISBLANK(INDEX('register map'!A:A,C342-5)),IF(ISBLANK(INDEX('register map'!A:A,C342-6)),IF(ISBLANK(INDEX('register map'!A:A,C342-7)),IF(ISBLANK(INDEX('register map'!A:A,C342-8)),"ERROR",INDEX('register map'!A:A,C342-8)),INDEX('register map'!A:A,C342-7)),INDEX('register map'!A:A,C342-6)),INDEX('register map'!A:A,C342-5)),INDEX('register map'!A:A,C342-4)),INDEX('register map'!A:A,C342-3)),INDEX('register map'!A:A,C342-2)),INDEX('register map'!A:A,C342-1)),INDEX('register map'!A:A,C342))</f>
        <v>0x38</v>
      </c>
      <c r="F342" s="117" t="str">
        <f>IF(ISBLANK(INDEX('register map'!B:B,C342)),IF(ISBLANK(INDEX('register map'!B:B,C342-1)),IF(ISBLANK(INDEX('register map'!B:B,C342-2)),IF(ISBLANK(INDEX('register map'!B:B,C342-3)),IF(ISBLANK(INDEX('register map'!B:B,C342-4)),IF(ISBLANK(INDEX('register map'!B:B,C342-5)),IF(ISBLANK(INDEX('register map'!B:B,C342-6)),IF(ISBLANK(INDEX('register map'!B:B,C342-7)),IF(ISBLANK(INDEX('register map'!B:B,C342-8)),"ERROR",INDEX('register map'!B:B,C342-8)),INDEX('register map'!B:B,C342-7)),INDEX('register map'!B:B,C342-6)),INDEX('register map'!B:B,C342-5)),INDEX('register map'!B:B,C342-4)),INDEX('register map'!B:B,C342-3)),INDEX('register map'!B:B,C342-2)),INDEX('register map'!B:B,C342-1)),INDEX('register map'!B:B,C342))</f>
        <v>0x0E</v>
      </c>
      <c r="G342" s="117" t="str">
        <f>CONCATENATE(IF(ISNUMBER(INDEX('register map'!D:D,C342)),7,""),IF(ISNUMBER(INDEX('register map'!E:E,C342)),6,""),IF(ISNUMBER(INDEX('register map'!F:F,C342)),5,""),IF(ISNUMBER(INDEX('register map'!G:G,C342)),4,""),IF(ISNUMBER(INDEX('register map'!H:H,C342)),3,""),IF(ISNUMBER(INDEX('register map'!I:I,C342)),2,""),IF(ISNUMBER(INDEX('register map'!J:J,C342)),1,""),IF(ISNUMBER(INDEX('register map'!K:K,C342)),0,""))</f>
        <v>7</v>
      </c>
      <c r="H342" s="117" t="str">
        <f>RIGHT(INDEX('register map'!V:V,MATCH('Logical Group Generator'!B342,'register map'!L:L,0)),LEN(G342))</f>
        <v>0</v>
      </c>
      <c r="I342" s="117" t="str">
        <f>CONCATENATE(IF(ISNUMBER(INDEX('register map'!K:K,C342)),0,""),IF(ISNUMBER(INDEX('register map'!J:J,C342)),1,""),IF(ISNUMBER(INDEX('register map'!I:I,C342)),2,""),IF(ISNUMBER(INDEX('register map'!H:H,C342)),3,""),IF(ISNUMBER(INDEX('register map'!G:G,C342)),4,""),IF(ISNUMBER(INDEX('register map'!F:F,C342)),5,""),IF(ISNUMBER(INDEX('register map'!E:E,C342)),6,""),IF(ISNUMBER(INDEX('register map'!D:D,C342)),7,""))</f>
        <v>7</v>
      </c>
      <c r="J342" s="117" t="str">
        <f t="shared" si="62"/>
        <v>0</v>
      </c>
      <c r="K342" s="117" t="str">
        <f t="shared" si="55"/>
        <v/>
      </c>
      <c r="L342" s="117" t="str">
        <f t="shared" si="63"/>
        <v/>
      </c>
      <c r="M342" s="117" t="str">
        <f t="shared" si="65"/>
        <v/>
      </c>
      <c r="N342" s="117" t="str">
        <f>IF(ISBLANK(INDEX('register map'!M:M,'Logical Group Generator'!C342)),"No","Yes")</f>
        <v>No</v>
      </c>
      <c r="O342" s="117" t="str">
        <f>IF(NOT(ISBLANK(INDEX('register map'!N:N,'Logical Group Generator'!C342))),"Yes","")</f>
        <v/>
      </c>
      <c r="P342" s="117" t="str">
        <f t="shared" si="56"/>
        <v/>
      </c>
      <c r="Q342" s="117" t="str">
        <f t="shared" si="57"/>
        <v/>
      </c>
      <c r="R342" s="117" t="str">
        <f t="shared" si="58"/>
        <v/>
      </c>
      <c r="S342" s="117" t="str">
        <f t="shared" si="59"/>
        <v>No</v>
      </c>
      <c r="T342" s="117" t="str">
        <f t="shared" si="60"/>
        <v/>
      </c>
      <c r="U342" s="117" t="b">
        <f t="shared" si="64"/>
        <v>0</v>
      </c>
      <c r="V342" s="157" t="b">
        <f>INDEX('register map'!P:P,C342)="yes"</f>
        <v>1</v>
      </c>
      <c r="W342" s="157" t="str">
        <f t="shared" si="61"/>
        <v>FALSE</v>
      </c>
    </row>
    <row r="343" spans="2:23">
      <c r="B343" s="157" t="str">
        <f t="array" ref="B343">IF(ROWS($3:343)&lt;=COUNTA('register map'!$L$5:$L$902),INDEX('register map'!$L$5:$L$902,SMALL(IF('register map'!$L$5:$L$902&lt;&gt;"",ROW('register map'!$L$5:$L$902)-MIN(ROW('register map'!$L$5:$L$902))+1),ROWS($3:343))),"")</f>
        <v>BUCK3_CTRL_EN3</v>
      </c>
      <c r="C343" s="157">
        <f>IF(B343="PART_NUMBER",IF(COUNTIF($B$1:B342,"PART_NUMBER")=0,6,8),MATCH(B343,'register map'!L:L,0))</f>
        <v>447</v>
      </c>
      <c r="D343" s="117" t="str">
        <f>IF(ISBLANK(INDEX('register map'!C:C,'Logical Group Generator'!C343)),"No","Yes")</f>
        <v>Yes</v>
      </c>
      <c r="E343" s="117" t="str">
        <f>IF(ISBLANK(INDEX('register map'!A:A,C343)),IF(ISBLANK(INDEX('register map'!A:A,C343-1)),IF(ISBLANK(INDEX('register map'!A:A,C343-2)),IF(ISBLANK(INDEX('register map'!A:A,C343-3)),IF(ISBLANK(INDEX('register map'!A:A,C343-4)),IF(ISBLANK(INDEX('register map'!A:A,C343-5)),IF(ISBLANK(INDEX('register map'!A:A,C343-6)),IF(ISBLANK(INDEX('register map'!A:A,C343-7)),IF(ISBLANK(INDEX('register map'!A:A,C343-8)),"ERROR",INDEX('register map'!A:A,C343-8)),INDEX('register map'!A:A,C343-7)),INDEX('register map'!A:A,C343-6)),INDEX('register map'!A:A,C343-5)),INDEX('register map'!A:A,C343-4)),INDEX('register map'!A:A,C343-3)),INDEX('register map'!A:A,C343-2)),INDEX('register map'!A:A,C343-1)),INDEX('register map'!A:A,C343))</f>
        <v>0x38</v>
      </c>
      <c r="F343" s="117" t="str">
        <f>IF(ISBLANK(INDEX('register map'!B:B,C343)),IF(ISBLANK(INDEX('register map'!B:B,C343-1)),IF(ISBLANK(INDEX('register map'!B:B,C343-2)),IF(ISBLANK(INDEX('register map'!B:B,C343-3)),IF(ISBLANK(INDEX('register map'!B:B,C343-4)),IF(ISBLANK(INDEX('register map'!B:B,C343-5)),IF(ISBLANK(INDEX('register map'!B:B,C343-6)),IF(ISBLANK(INDEX('register map'!B:B,C343-7)),IF(ISBLANK(INDEX('register map'!B:B,C343-8)),"ERROR",INDEX('register map'!B:B,C343-8)),INDEX('register map'!B:B,C343-7)),INDEX('register map'!B:B,C343-6)),INDEX('register map'!B:B,C343-5)),INDEX('register map'!B:B,C343-4)),INDEX('register map'!B:B,C343-3)),INDEX('register map'!B:B,C343-2)),INDEX('register map'!B:B,C343-1)),INDEX('register map'!B:B,C343))</f>
        <v>0x0F</v>
      </c>
      <c r="G343" s="117" t="str">
        <f>CONCATENATE(IF(ISNUMBER(INDEX('register map'!D:D,C343)),7,""),IF(ISNUMBER(INDEX('register map'!E:E,C343)),6,""),IF(ISNUMBER(INDEX('register map'!F:F,C343)),5,""),IF(ISNUMBER(INDEX('register map'!G:G,C343)),4,""),IF(ISNUMBER(INDEX('register map'!H:H,C343)),3,""),IF(ISNUMBER(INDEX('register map'!I:I,C343)),2,""),IF(ISNUMBER(INDEX('register map'!J:J,C343)),1,""),IF(ISNUMBER(INDEX('register map'!K:K,C343)),0,""))</f>
        <v/>
      </c>
      <c r="H343" s="117" t="str">
        <f>RIGHT(INDEX('register map'!V:V,MATCH('Logical Group Generator'!B343,'register map'!L:L,0)),LEN(G343))</f>
        <v/>
      </c>
      <c r="I343" s="117" t="str">
        <f>CONCATENATE(IF(ISNUMBER(INDEX('register map'!K:K,C343)),0,""),IF(ISNUMBER(INDEX('register map'!J:J,C343)),1,""),IF(ISNUMBER(INDEX('register map'!I:I,C343)),2,""),IF(ISNUMBER(INDEX('register map'!H:H,C343)),3,""),IF(ISNUMBER(INDEX('register map'!G:G,C343)),4,""),IF(ISNUMBER(INDEX('register map'!F:F,C343)),5,""),IF(ISNUMBER(INDEX('register map'!E:E,C343)),6,""),IF(ISNUMBER(INDEX('register map'!D:D,C343)),7,""))</f>
        <v/>
      </c>
      <c r="J343" s="117" t="str">
        <f t="shared" si="62"/>
        <v/>
      </c>
      <c r="K343" s="117" t="str">
        <f t="shared" si="55"/>
        <v>00100100</v>
      </c>
      <c r="L343" s="117" t="str">
        <f t="shared" si="63"/>
        <v>00100100</v>
      </c>
      <c r="M343" s="117" t="str">
        <f t="shared" si="65"/>
        <v>24</v>
      </c>
      <c r="N343" s="117" t="str">
        <f>IF(ISBLANK(INDEX('register map'!M:M,'Logical Group Generator'!C343)),"No","Yes")</f>
        <v>No</v>
      </c>
      <c r="O343" s="117" t="str">
        <f>IF(NOT(ISBLANK(INDEX('register map'!N:N,'Logical Group Generator'!C343))),"Yes","")</f>
        <v/>
      </c>
      <c r="P343" s="117" t="str">
        <f t="shared" si="56"/>
        <v>No</v>
      </c>
      <c r="Q343" s="117" t="str">
        <f t="shared" si="57"/>
        <v>No</v>
      </c>
      <c r="R343" s="117" t="str">
        <f t="shared" si="58"/>
        <v>No</v>
      </c>
      <c r="S343" s="117" t="str">
        <f t="shared" si="59"/>
        <v/>
      </c>
      <c r="T343" s="117" t="b">
        <f t="shared" si="60"/>
        <v>1</v>
      </c>
      <c r="U343" s="117" t="b">
        <f t="shared" si="64"/>
        <v>1</v>
      </c>
      <c r="V343" s="157" t="b">
        <f>INDEX('register map'!P:P,C343)="yes"</f>
        <v>1</v>
      </c>
      <c r="W343" s="157" t="str">
        <f t="shared" si="61"/>
        <v>REGISTER</v>
      </c>
    </row>
    <row r="344" spans="2:23">
      <c r="B344" s="157" t="str">
        <f t="array" ref="B344">IF(ROWS($3:344)&lt;=COUNTA('register map'!$L$5:$L$902),INDEX('register map'!$L$5:$L$902,SMALL(IF('register map'!$L$5:$L$902&lt;&gt;"",ROW('register map'!$L$5:$L$902)-MIN(ROW('register map'!$L$5:$L$902))+1),ROWS($3:344))),"")</f>
        <v>OTP_RSVD_38_0F_210</v>
      </c>
      <c r="C344" s="157">
        <f>IF(B344="PART_NUMBER",IF(COUNTIF($B$1:B343,"PART_NUMBER")=0,6,8),MATCH(B344,'register map'!L:L,0))</f>
        <v>448</v>
      </c>
      <c r="D344" s="117" t="str">
        <f>IF(ISBLANK(INDEX('register map'!C:C,'Logical Group Generator'!C344)),"No","Yes")</f>
        <v>No</v>
      </c>
      <c r="E344" s="117" t="str">
        <f>IF(ISBLANK(INDEX('register map'!A:A,C344)),IF(ISBLANK(INDEX('register map'!A:A,C344-1)),IF(ISBLANK(INDEX('register map'!A:A,C344-2)),IF(ISBLANK(INDEX('register map'!A:A,C344-3)),IF(ISBLANK(INDEX('register map'!A:A,C344-4)),IF(ISBLANK(INDEX('register map'!A:A,C344-5)),IF(ISBLANK(INDEX('register map'!A:A,C344-6)),IF(ISBLANK(INDEX('register map'!A:A,C344-7)),IF(ISBLANK(INDEX('register map'!A:A,C344-8)),"ERROR",INDEX('register map'!A:A,C344-8)),INDEX('register map'!A:A,C344-7)),INDEX('register map'!A:A,C344-6)),INDEX('register map'!A:A,C344-5)),INDEX('register map'!A:A,C344-4)),INDEX('register map'!A:A,C344-3)),INDEX('register map'!A:A,C344-2)),INDEX('register map'!A:A,C344-1)),INDEX('register map'!A:A,C344))</f>
        <v>0x38</v>
      </c>
      <c r="F344" s="117" t="str">
        <f>IF(ISBLANK(INDEX('register map'!B:B,C344)),IF(ISBLANK(INDEX('register map'!B:B,C344-1)),IF(ISBLANK(INDEX('register map'!B:B,C344-2)),IF(ISBLANK(INDEX('register map'!B:B,C344-3)),IF(ISBLANK(INDEX('register map'!B:B,C344-4)),IF(ISBLANK(INDEX('register map'!B:B,C344-5)),IF(ISBLANK(INDEX('register map'!B:B,C344-6)),IF(ISBLANK(INDEX('register map'!B:B,C344-7)),IF(ISBLANK(INDEX('register map'!B:B,C344-8)),"ERROR",INDEX('register map'!B:B,C344-8)),INDEX('register map'!B:B,C344-7)),INDEX('register map'!B:B,C344-6)),INDEX('register map'!B:B,C344-5)),INDEX('register map'!B:B,C344-4)),INDEX('register map'!B:B,C344-3)),INDEX('register map'!B:B,C344-2)),INDEX('register map'!B:B,C344-1)),INDEX('register map'!B:B,C344))</f>
        <v>0x0F</v>
      </c>
      <c r="G344" s="117" t="str">
        <f>CONCATENATE(IF(ISNUMBER(INDEX('register map'!D:D,C344)),7,""),IF(ISNUMBER(INDEX('register map'!E:E,C344)),6,""),IF(ISNUMBER(INDEX('register map'!F:F,C344)),5,""),IF(ISNUMBER(INDEX('register map'!G:G,C344)),4,""),IF(ISNUMBER(INDEX('register map'!H:H,C344)),3,""),IF(ISNUMBER(INDEX('register map'!I:I,C344)),2,""),IF(ISNUMBER(INDEX('register map'!J:J,C344)),1,""),IF(ISNUMBER(INDEX('register map'!K:K,C344)),0,""))</f>
        <v>210</v>
      </c>
      <c r="H344" s="117" t="str">
        <f>RIGHT(INDEX('register map'!V:V,MATCH('Logical Group Generator'!B344,'register map'!L:L,0)),LEN(G344))</f>
        <v>100</v>
      </c>
      <c r="I344" s="117" t="str">
        <f>CONCATENATE(IF(ISNUMBER(INDEX('register map'!K:K,C344)),0,""),IF(ISNUMBER(INDEX('register map'!J:J,C344)),1,""),IF(ISNUMBER(INDEX('register map'!I:I,C344)),2,""),IF(ISNUMBER(INDEX('register map'!H:H,C344)),3,""),IF(ISNUMBER(INDEX('register map'!G:G,C344)),4,""),IF(ISNUMBER(INDEX('register map'!F:F,C344)),5,""),IF(ISNUMBER(INDEX('register map'!E:E,C344)),6,""),IF(ISNUMBER(INDEX('register map'!D:D,C344)),7,""))</f>
        <v>012</v>
      </c>
      <c r="J344" s="117" t="str">
        <f t="shared" si="62"/>
        <v>001</v>
      </c>
      <c r="K344" s="117" t="str">
        <f t="shared" si="55"/>
        <v/>
      </c>
      <c r="L344" s="117" t="str">
        <f t="shared" si="63"/>
        <v/>
      </c>
      <c r="M344" s="117" t="str">
        <f t="shared" si="65"/>
        <v/>
      </c>
      <c r="N344" s="117" t="str">
        <f>IF(ISBLANK(INDEX('register map'!M:M,'Logical Group Generator'!C344)),"No","Yes")</f>
        <v>No</v>
      </c>
      <c r="O344" s="117" t="str">
        <f>IF(NOT(ISBLANK(INDEX('register map'!N:N,'Logical Group Generator'!C344))),"Yes","")</f>
        <v/>
      </c>
      <c r="P344" s="117" t="str">
        <f t="shared" si="56"/>
        <v/>
      </c>
      <c r="Q344" s="117" t="str">
        <f t="shared" si="57"/>
        <v/>
      </c>
      <c r="R344" s="117" t="str">
        <f t="shared" si="58"/>
        <v/>
      </c>
      <c r="S344" s="117" t="str">
        <f t="shared" si="59"/>
        <v>No</v>
      </c>
      <c r="T344" s="117" t="str">
        <f t="shared" si="60"/>
        <v/>
      </c>
      <c r="U344" s="117" t="b">
        <f t="shared" si="64"/>
        <v>0</v>
      </c>
      <c r="V344" s="157" t="b">
        <f>INDEX('register map'!P:P,C344)="yes"</f>
        <v>1</v>
      </c>
      <c r="W344" s="157" t="str">
        <f t="shared" si="61"/>
        <v>FALSE</v>
      </c>
    </row>
    <row r="345" spans="2:23">
      <c r="B345" s="157" t="str">
        <f t="array" ref="B345">IF(ROWS($3:345)&lt;=COUNTA('register map'!$L$5:$L$902),INDEX('register map'!$L$5:$L$902,SMALL(IF('register map'!$L$5:$L$902&lt;&gt;"",ROW('register map'!$L$5:$L$902)-MIN(ROW('register map'!$L$5:$L$902))+1),ROWS($3:345))),"")</f>
        <v>OTP_RSVD_38_0F_543</v>
      </c>
      <c r="C345" s="157">
        <f>IF(B345="PART_NUMBER",IF(COUNTIF($B$1:B344,"PART_NUMBER")=0,6,8),MATCH(B345,'register map'!L:L,0))</f>
        <v>449</v>
      </c>
      <c r="D345" s="117" t="str">
        <f>IF(ISBLANK(INDEX('register map'!C:C,'Logical Group Generator'!C345)),"No","Yes")</f>
        <v>No</v>
      </c>
      <c r="E345" s="117" t="str">
        <f>IF(ISBLANK(INDEX('register map'!A:A,C345)),IF(ISBLANK(INDEX('register map'!A:A,C345-1)),IF(ISBLANK(INDEX('register map'!A:A,C345-2)),IF(ISBLANK(INDEX('register map'!A:A,C345-3)),IF(ISBLANK(INDEX('register map'!A:A,C345-4)),IF(ISBLANK(INDEX('register map'!A:A,C345-5)),IF(ISBLANK(INDEX('register map'!A:A,C345-6)),IF(ISBLANK(INDEX('register map'!A:A,C345-7)),IF(ISBLANK(INDEX('register map'!A:A,C345-8)),"ERROR",INDEX('register map'!A:A,C345-8)),INDEX('register map'!A:A,C345-7)),INDEX('register map'!A:A,C345-6)),INDEX('register map'!A:A,C345-5)),INDEX('register map'!A:A,C345-4)),INDEX('register map'!A:A,C345-3)),INDEX('register map'!A:A,C345-2)),INDEX('register map'!A:A,C345-1)),INDEX('register map'!A:A,C345))</f>
        <v>0x38</v>
      </c>
      <c r="F345" s="117" t="str">
        <f>IF(ISBLANK(INDEX('register map'!B:B,C345)),IF(ISBLANK(INDEX('register map'!B:B,C345-1)),IF(ISBLANK(INDEX('register map'!B:B,C345-2)),IF(ISBLANK(INDEX('register map'!B:B,C345-3)),IF(ISBLANK(INDEX('register map'!B:B,C345-4)),IF(ISBLANK(INDEX('register map'!B:B,C345-5)),IF(ISBLANK(INDEX('register map'!B:B,C345-6)),IF(ISBLANK(INDEX('register map'!B:B,C345-7)),IF(ISBLANK(INDEX('register map'!B:B,C345-8)),"ERROR",INDEX('register map'!B:B,C345-8)),INDEX('register map'!B:B,C345-7)),INDEX('register map'!B:B,C345-6)),INDEX('register map'!B:B,C345-5)),INDEX('register map'!B:B,C345-4)),INDEX('register map'!B:B,C345-3)),INDEX('register map'!B:B,C345-2)),INDEX('register map'!B:B,C345-1)),INDEX('register map'!B:B,C345))</f>
        <v>0x0F</v>
      </c>
      <c r="G345" s="117" t="str">
        <f>CONCATENATE(IF(ISNUMBER(INDEX('register map'!D:D,C345)),7,""),IF(ISNUMBER(INDEX('register map'!E:E,C345)),6,""),IF(ISNUMBER(INDEX('register map'!F:F,C345)),5,""),IF(ISNUMBER(INDEX('register map'!G:G,C345)),4,""),IF(ISNUMBER(INDEX('register map'!H:H,C345)),3,""),IF(ISNUMBER(INDEX('register map'!I:I,C345)),2,""),IF(ISNUMBER(INDEX('register map'!J:J,C345)),1,""),IF(ISNUMBER(INDEX('register map'!K:K,C345)),0,""))</f>
        <v>543</v>
      </c>
      <c r="H345" s="117" t="str">
        <f>RIGHT(INDEX('register map'!V:V,MATCH('Logical Group Generator'!B345,'register map'!L:L,0)),LEN(G345))</f>
        <v>100</v>
      </c>
      <c r="I345" s="117" t="str">
        <f>CONCATENATE(IF(ISNUMBER(INDEX('register map'!K:K,C345)),0,""),IF(ISNUMBER(INDEX('register map'!J:J,C345)),1,""),IF(ISNUMBER(INDEX('register map'!I:I,C345)),2,""),IF(ISNUMBER(INDEX('register map'!H:H,C345)),3,""),IF(ISNUMBER(INDEX('register map'!G:G,C345)),4,""),IF(ISNUMBER(INDEX('register map'!F:F,C345)),5,""),IF(ISNUMBER(INDEX('register map'!E:E,C345)),6,""),IF(ISNUMBER(INDEX('register map'!D:D,C345)),7,""))</f>
        <v>345</v>
      </c>
      <c r="J345" s="117" t="str">
        <f t="shared" si="62"/>
        <v>001</v>
      </c>
      <c r="K345" s="117" t="str">
        <f t="shared" si="55"/>
        <v/>
      </c>
      <c r="L345" s="117" t="str">
        <f t="shared" si="63"/>
        <v/>
      </c>
      <c r="M345" s="117" t="str">
        <f t="shared" si="65"/>
        <v/>
      </c>
      <c r="N345" s="117" t="str">
        <f>IF(ISBLANK(INDEX('register map'!M:M,'Logical Group Generator'!C345)),"No","Yes")</f>
        <v>No</v>
      </c>
      <c r="O345" s="117" t="str">
        <f>IF(NOT(ISBLANK(INDEX('register map'!N:N,'Logical Group Generator'!C345))),"Yes","")</f>
        <v/>
      </c>
      <c r="P345" s="117" t="str">
        <f t="shared" si="56"/>
        <v/>
      </c>
      <c r="Q345" s="117" t="str">
        <f t="shared" si="57"/>
        <v/>
      </c>
      <c r="R345" s="117" t="str">
        <f t="shared" si="58"/>
        <v/>
      </c>
      <c r="S345" s="117" t="str">
        <f t="shared" si="59"/>
        <v>No</v>
      </c>
      <c r="T345" s="117" t="str">
        <f t="shared" si="60"/>
        <v/>
      </c>
      <c r="U345" s="117" t="b">
        <f t="shared" si="64"/>
        <v>0</v>
      </c>
      <c r="V345" s="157" t="b">
        <f>INDEX('register map'!P:P,C345)="yes"</f>
        <v>1</v>
      </c>
      <c r="W345" s="157" t="str">
        <f t="shared" si="61"/>
        <v>FALSE</v>
      </c>
    </row>
    <row r="346" spans="2:23">
      <c r="B346" s="157" t="str">
        <f t="array" ref="B346">IF(ROWS($3:346)&lt;=COUNTA('register map'!$L$5:$L$902),INDEX('register map'!$L$5:$L$902,SMALL(IF('register map'!$L$5:$L$902&lt;&gt;"",ROW('register map'!$L$5:$L$902)-MIN(ROW('register map'!$L$5:$L$902))+1),ROWS($3:346))),"")</f>
        <v>OTP_RSVD_38_0F_76</v>
      </c>
      <c r="C346" s="157">
        <f>IF(B346="PART_NUMBER",IF(COUNTIF($B$1:B345,"PART_NUMBER")=0,6,8),MATCH(B346,'register map'!L:L,0))</f>
        <v>450</v>
      </c>
      <c r="D346" s="117" t="str">
        <f>IF(ISBLANK(INDEX('register map'!C:C,'Logical Group Generator'!C346)),"No","Yes")</f>
        <v>No</v>
      </c>
      <c r="E346" s="117" t="str">
        <f>IF(ISBLANK(INDEX('register map'!A:A,C346)),IF(ISBLANK(INDEX('register map'!A:A,C346-1)),IF(ISBLANK(INDEX('register map'!A:A,C346-2)),IF(ISBLANK(INDEX('register map'!A:A,C346-3)),IF(ISBLANK(INDEX('register map'!A:A,C346-4)),IF(ISBLANK(INDEX('register map'!A:A,C346-5)),IF(ISBLANK(INDEX('register map'!A:A,C346-6)),IF(ISBLANK(INDEX('register map'!A:A,C346-7)),IF(ISBLANK(INDEX('register map'!A:A,C346-8)),"ERROR",INDEX('register map'!A:A,C346-8)),INDEX('register map'!A:A,C346-7)),INDEX('register map'!A:A,C346-6)),INDEX('register map'!A:A,C346-5)),INDEX('register map'!A:A,C346-4)),INDEX('register map'!A:A,C346-3)),INDEX('register map'!A:A,C346-2)),INDEX('register map'!A:A,C346-1)),INDEX('register map'!A:A,C346))</f>
        <v>0x38</v>
      </c>
      <c r="F346" s="117" t="str">
        <f>IF(ISBLANK(INDEX('register map'!B:B,C346)),IF(ISBLANK(INDEX('register map'!B:B,C346-1)),IF(ISBLANK(INDEX('register map'!B:B,C346-2)),IF(ISBLANK(INDEX('register map'!B:B,C346-3)),IF(ISBLANK(INDEX('register map'!B:B,C346-4)),IF(ISBLANK(INDEX('register map'!B:B,C346-5)),IF(ISBLANK(INDEX('register map'!B:B,C346-6)),IF(ISBLANK(INDEX('register map'!B:B,C346-7)),IF(ISBLANK(INDEX('register map'!B:B,C346-8)),"ERROR",INDEX('register map'!B:B,C346-8)),INDEX('register map'!B:B,C346-7)),INDEX('register map'!B:B,C346-6)),INDEX('register map'!B:B,C346-5)),INDEX('register map'!B:B,C346-4)),INDEX('register map'!B:B,C346-3)),INDEX('register map'!B:B,C346-2)),INDEX('register map'!B:B,C346-1)),INDEX('register map'!B:B,C346))</f>
        <v>0x0F</v>
      </c>
      <c r="G346" s="117" t="str">
        <f>CONCATENATE(IF(ISNUMBER(INDEX('register map'!D:D,C346)),7,""),IF(ISNUMBER(INDEX('register map'!E:E,C346)),6,""),IF(ISNUMBER(INDEX('register map'!F:F,C346)),5,""),IF(ISNUMBER(INDEX('register map'!G:G,C346)),4,""),IF(ISNUMBER(INDEX('register map'!H:H,C346)),3,""),IF(ISNUMBER(INDEX('register map'!I:I,C346)),2,""),IF(ISNUMBER(INDEX('register map'!J:J,C346)),1,""),IF(ISNUMBER(INDEX('register map'!K:K,C346)),0,""))</f>
        <v>76</v>
      </c>
      <c r="H346" s="117" t="str">
        <f>RIGHT(INDEX('register map'!V:V,MATCH('Logical Group Generator'!B346,'register map'!L:L,0)),LEN(G346))</f>
        <v>00</v>
      </c>
      <c r="I346" s="117" t="str">
        <f>CONCATENATE(IF(ISNUMBER(INDEX('register map'!K:K,C346)),0,""),IF(ISNUMBER(INDEX('register map'!J:J,C346)),1,""),IF(ISNUMBER(INDEX('register map'!I:I,C346)),2,""),IF(ISNUMBER(INDEX('register map'!H:H,C346)),3,""),IF(ISNUMBER(INDEX('register map'!G:G,C346)),4,""),IF(ISNUMBER(INDEX('register map'!F:F,C346)),5,""),IF(ISNUMBER(INDEX('register map'!E:E,C346)),6,""),IF(ISNUMBER(INDEX('register map'!D:D,C346)),7,""))</f>
        <v>67</v>
      </c>
      <c r="J346" s="117" t="str">
        <f t="shared" si="62"/>
        <v>00</v>
      </c>
      <c r="K346" s="117" t="str">
        <f t="shared" si="55"/>
        <v/>
      </c>
      <c r="L346" s="117" t="str">
        <f t="shared" si="63"/>
        <v/>
      </c>
      <c r="M346" s="117" t="str">
        <f t="shared" si="65"/>
        <v/>
      </c>
      <c r="N346" s="117" t="str">
        <f>IF(ISBLANK(INDEX('register map'!M:M,'Logical Group Generator'!C346)),"No","Yes")</f>
        <v>No</v>
      </c>
      <c r="O346" s="117" t="str">
        <f>IF(NOT(ISBLANK(INDEX('register map'!N:N,'Logical Group Generator'!C346))),"Yes","")</f>
        <v/>
      </c>
      <c r="P346" s="117" t="str">
        <f t="shared" si="56"/>
        <v/>
      </c>
      <c r="Q346" s="117" t="str">
        <f t="shared" si="57"/>
        <v/>
      </c>
      <c r="R346" s="117" t="str">
        <f t="shared" si="58"/>
        <v/>
      </c>
      <c r="S346" s="117" t="str">
        <f t="shared" si="59"/>
        <v>No</v>
      </c>
      <c r="T346" s="117" t="str">
        <f t="shared" si="60"/>
        <v/>
      </c>
      <c r="U346" s="117" t="b">
        <f t="shared" si="64"/>
        <v>0</v>
      </c>
      <c r="V346" s="157" t="b">
        <f>INDEX('register map'!P:P,C346)="yes"</f>
        <v>1</v>
      </c>
      <c r="W346" s="157" t="str">
        <f t="shared" si="61"/>
        <v>FALSE</v>
      </c>
    </row>
    <row r="347" spans="2:23">
      <c r="B347" s="157" t="str">
        <f t="array" ref="B347">IF(ROWS($3:347)&lt;=COUNTA('register map'!$L$5:$L$902),INDEX('register map'!$L$5:$L$902,SMALL(IF('register map'!$L$5:$L$902&lt;&gt;"",ROW('register map'!$L$5:$L$902)-MIN(ROW('register map'!$L$5:$L$902))+1),ROWS($3:347))),"")</f>
        <v>BUCK4_CTRL_EN1</v>
      </c>
      <c r="C347" s="157">
        <f>IF(B347="PART_NUMBER",IF(COUNTIF($B$1:B346,"PART_NUMBER")=0,6,8),MATCH(B347,'register map'!L:L,0))</f>
        <v>451</v>
      </c>
      <c r="D347" s="117" t="str">
        <f>IF(ISBLANK(INDEX('register map'!C:C,'Logical Group Generator'!C347)),"No","Yes")</f>
        <v>Yes</v>
      </c>
      <c r="E347" s="117" t="str">
        <f>IF(ISBLANK(INDEX('register map'!A:A,C347)),IF(ISBLANK(INDEX('register map'!A:A,C347-1)),IF(ISBLANK(INDEX('register map'!A:A,C347-2)),IF(ISBLANK(INDEX('register map'!A:A,C347-3)),IF(ISBLANK(INDEX('register map'!A:A,C347-4)),IF(ISBLANK(INDEX('register map'!A:A,C347-5)),IF(ISBLANK(INDEX('register map'!A:A,C347-6)),IF(ISBLANK(INDEX('register map'!A:A,C347-7)),IF(ISBLANK(INDEX('register map'!A:A,C347-8)),"ERROR",INDEX('register map'!A:A,C347-8)),INDEX('register map'!A:A,C347-7)),INDEX('register map'!A:A,C347-6)),INDEX('register map'!A:A,C347-5)),INDEX('register map'!A:A,C347-4)),INDEX('register map'!A:A,C347-3)),INDEX('register map'!A:A,C347-2)),INDEX('register map'!A:A,C347-1)),INDEX('register map'!A:A,C347))</f>
        <v>0x38</v>
      </c>
      <c r="F347" s="117" t="str">
        <f>IF(ISBLANK(INDEX('register map'!B:B,C347)),IF(ISBLANK(INDEX('register map'!B:B,C347-1)),IF(ISBLANK(INDEX('register map'!B:B,C347-2)),IF(ISBLANK(INDEX('register map'!B:B,C347-3)),IF(ISBLANK(INDEX('register map'!B:B,C347-4)),IF(ISBLANK(INDEX('register map'!B:B,C347-5)),IF(ISBLANK(INDEX('register map'!B:B,C347-6)),IF(ISBLANK(INDEX('register map'!B:B,C347-7)),IF(ISBLANK(INDEX('register map'!B:B,C347-8)),"ERROR",INDEX('register map'!B:B,C347-8)),INDEX('register map'!B:B,C347-7)),INDEX('register map'!B:B,C347-6)),INDEX('register map'!B:B,C347-5)),INDEX('register map'!B:B,C347-4)),INDEX('register map'!B:B,C347-3)),INDEX('register map'!B:B,C347-2)),INDEX('register map'!B:B,C347-1)),INDEX('register map'!B:B,C347))</f>
        <v>0x10</v>
      </c>
      <c r="G347" s="117" t="str">
        <f>CONCATENATE(IF(ISNUMBER(INDEX('register map'!D:D,C347)),7,""),IF(ISNUMBER(INDEX('register map'!E:E,C347)),6,""),IF(ISNUMBER(INDEX('register map'!F:F,C347)),5,""),IF(ISNUMBER(INDEX('register map'!G:G,C347)),4,""),IF(ISNUMBER(INDEX('register map'!H:H,C347)),3,""),IF(ISNUMBER(INDEX('register map'!I:I,C347)),2,""),IF(ISNUMBER(INDEX('register map'!J:J,C347)),1,""),IF(ISNUMBER(INDEX('register map'!K:K,C347)),0,""))</f>
        <v/>
      </c>
      <c r="H347" s="117" t="str">
        <f>RIGHT(INDEX('register map'!V:V,MATCH('Logical Group Generator'!B347,'register map'!L:L,0)),LEN(G347))</f>
        <v/>
      </c>
      <c r="I347" s="117" t="str">
        <f>CONCATENATE(IF(ISNUMBER(INDEX('register map'!K:K,C347)),0,""),IF(ISNUMBER(INDEX('register map'!J:J,C347)),1,""),IF(ISNUMBER(INDEX('register map'!I:I,C347)),2,""),IF(ISNUMBER(INDEX('register map'!H:H,C347)),3,""),IF(ISNUMBER(INDEX('register map'!G:G,C347)),4,""),IF(ISNUMBER(INDEX('register map'!F:F,C347)),5,""),IF(ISNUMBER(INDEX('register map'!E:E,C347)),6,""),IF(ISNUMBER(INDEX('register map'!D:D,C347)),7,""))</f>
        <v/>
      </c>
      <c r="J347" s="117" t="str">
        <f t="shared" si="62"/>
        <v/>
      </c>
      <c r="K347" s="117" t="str">
        <f t="shared" si="55"/>
        <v>11011111</v>
      </c>
      <c r="L347" s="117" t="str">
        <f t="shared" si="63"/>
        <v>11111011</v>
      </c>
      <c r="M347" s="117" t="str">
        <f t="shared" si="65"/>
        <v>FB</v>
      </c>
      <c r="N347" s="117" t="str">
        <f>IF(ISBLANK(INDEX('register map'!M:M,'Logical Group Generator'!C347)),"No","Yes")</f>
        <v>No</v>
      </c>
      <c r="O347" s="117" t="str">
        <f>IF(NOT(ISBLANK(INDEX('register map'!N:N,'Logical Group Generator'!C347))),"Yes","")</f>
        <v/>
      </c>
      <c r="P347" s="117" t="str">
        <f t="shared" si="56"/>
        <v>No</v>
      </c>
      <c r="Q347" s="117" t="str">
        <f t="shared" si="57"/>
        <v>No</v>
      </c>
      <c r="R347" s="117" t="str">
        <f t="shared" si="58"/>
        <v>No</v>
      </c>
      <c r="S347" s="117" t="str">
        <f t="shared" si="59"/>
        <v/>
      </c>
      <c r="T347" s="117" t="b">
        <f t="shared" si="60"/>
        <v>1</v>
      </c>
      <c r="U347" s="117" t="b">
        <f t="shared" si="64"/>
        <v>1</v>
      </c>
      <c r="V347" s="157" t="b">
        <f>INDEX('register map'!P:P,C347)="yes"</f>
        <v>1</v>
      </c>
      <c r="W347" s="157" t="str">
        <f t="shared" si="61"/>
        <v>REGISTER</v>
      </c>
    </row>
    <row r="348" spans="2:23">
      <c r="B348" s="157" t="str">
        <f t="array" ref="B348">IF(ROWS($3:348)&lt;=COUNTA('register map'!$L$5:$L$902),INDEX('register map'!$L$5:$L$902,SMALL(IF('register map'!$L$5:$L$902&lt;&gt;"",ROW('register map'!$L$5:$L$902)-MIN(ROW('register map'!$L$5:$L$902))+1),ROWS($3:348))),"")</f>
        <v>OTP_RSVD_38_10_0</v>
      </c>
      <c r="C348" s="157">
        <f>IF(B348="PART_NUMBER",IF(COUNTIF($B$1:B347,"PART_NUMBER")=0,6,8),MATCH(B348,'register map'!L:L,0))</f>
        <v>452</v>
      </c>
      <c r="D348" s="117" t="str">
        <f>IF(ISBLANK(INDEX('register map'!C:C,'Logical Group Generator'!C348)),"No","Yes")</f>
        <v>No</v>
      </c>
      <c r="E348" s="117" t="str">
        <f>IF(ISBLANK(INDEX('register map'!A:A,C348)),IF(ISBLANK(INDEX('register map'!A:A,C348-1)),IF(ISBLANK(INDEX('register map'!A:A,C348-2)),IF(ISBLANK(INDEX('register map'!A:A,C348-3)),IF(ISBLANK(INDEX('register map'!A:A,C348-4)),IF(ISBLANK(INDEX('register map'!A:A,C348-5)),IF(ISBLANK(INDEX('register map'!A:A,C348-6)),IF(ISBLANK(INDEX('register map'!A:A,C348-7)),IF(ISBLANK(INDEX('register map'!A:A,C348-8)),"ERROR",INDEX('register map'!A:A,C348-8)),INDEX('register map'!A:A,C348-7)),INDEX('register map'!A:A,C348-6)),INDEX('register map'!A:A,C348-5)),INDEX('register map'!A:A,C348-4)),INDEX('register map'!A:A,C348-3)),INDEX('register map'!A:A,C348-2)),INDEX('register map'!A:A,C348-1)),INDEX('register map'!A:A,C348))</f>
        <v>0x38</v>
      </c>
      <c r="F348" s="117" t="str">
        <f>IF(ISBLANK(INDEX('register map'!B:B,C348)),IF(ISBLANK(INDEX('register map'!B:B,C348-1)),IF(ISBLANK(INDEX('register map'!B:B,C348-2)),IF(ISBLANK(INDEX('register map'!B:B,C348-3)),IF(ISBLANK(INDEX('register map'!B:B,C348-4)),IF(ISBLANK(INDEX('register map'!B:B,C348-5)),IF(ISBLANK(INDEX('register map'!B:B,C348-6)),IF(ISBLANK(INDEX('register map'!B:B,C348-7)),IF(ISBLANK(INDEX('register map'!B:B,C348-8)),"ERROR",INDEX('register map'!B:B,C348-8)),INDEX('register map'!B:B,C348-7)),INDEX('register map'!B:B,C348-6)),INDEX('register map'!B:B,C348-5)),INDEX('register map'!B:B,C348-4)),INDEX('register map'!B:B,C348-3)),INDEX('register map'!B:B,C348-2)),INDEX('register map'!B:B,C348-1)),INDEX('register map'!B:B,C348))</f>
        <v>0x10</v>
      </c>
      <c r="G348" s="117" t="str">
        <f>CONCATENATE(IF(ISNUMBER(INDEX('register map'!D:D,C348)),7,""),IF(ISNUMBER(INDEX('register map'!E:E,C348)),6,""),IF(ISNUMBER(INDEX('register map'!F:F,C348)),5,""),IF(ISNUMBER(INDEX('register map'!G:G,C348)),4,""),IF(ISNUMBER(INDEX('register map'!H:H,C348)),3,""),IF(ISNUMBER(INDEX('register map'!I:I,C348)),2,""),IF(ISNUMBER(INDEX('register map'!J:J,C348)),1,""),IF(ISNUMBER(INDEX('register map'!K:K,C348)),0,""))</f>
        <v>0</v>
      </c>
      <c r="H348" s="117" t="str">
        <f>RIGHT(INDEX('register map'!V:V,MATCH('Logical Group Generator'!B348,'register map'!L:L,0)),LEN(G348))</f>
        <v>1</v>
      </c>
      <c r="I348" s="117" t="str">
        <f>CONCATENATE(IF(ISNUMBER(INDEX('register map'!K:K,C348)),0,""),IF(ISNUMBER(INDEX('register map'!J:J,C348)),1,""),IF(ISNUMBER(INDEX('register map'!I:I,C348)),2,""),IF(ISNUMBER(INDEX('register map'!H:H,C348)),3,""),IF(ISNUMBER(INDEX('register map'!G:G,C348)),4,""),IF(ISNUMBER(INDEX('register map'!F:F,C348)),5,""),IF(ISNUMBER(INDEX('register map'!E:E,C348)),6,""),IF(ISNUMBER(INDEX('register map'!D:D,C348)),7,""))</f>
        <v>0</v>
      </c>
      <c r="J348" s="117" t="str">
        <f t="shared" si="62"/>
        <v>1</v>
      </c>
      <c r="K348" s="117" t="str">
        <f t="shared" si="55"/>
        <v/>
      </c>
      <c r="L348" s="117" t="str">
        <f t="shared" si="63"/>
        <v/>
      </c>
      <c r="M348" s="117" t="str">
        <f t="shared" si="65"/>
        <v/>
      </c>
      <c r="N348" s="117" t="str">
        <f>IF(ISBLANK(INDEX('register map'!M:M,'Logical Group Generator'!C348)),"No","Yes")</f>
        <v>No</v>
      </c>
      <c r="O348" s="117" t="str">
        <f>IF(NOT(ISBLANK(INDEX('register map'!N:N,'Logical Group Generator'!C348))),"Yes","")</f>
        <v/>
      </c>
      <c r="P348" s="117" t="str">
        <f t="shared" si="56"/>
        <v/>
      </c>
      <c r="Q348" s="117" t="str">
        <f t="shared" si="57"/>
        <v/>
      </c>
      <c r="R348" s="117" t="str">
        <f t="shared" si="58"/>
        <v/>
      </c>
      <c r="S348" s="117" t="str">
        <f t="shared" si="59"/>
        <v>No</v>
      </c>
      <c r="T348" s="117" t="str">
        <f t="shared" si="60"/>
        <v/>
      </c>
      <c r="U348" s="117" t="b">
        <f t="shared" si="64"/>
        <v>0</v>
      </c>
      <c r="V348" s="157" t="b">
        <f>INDEX('register map'!P:P,C348)="yes"</f>
        <v>1</v>
      </c>
      <c r="W348" s="157" t="str">
        <f t="shared" si="61"/>
        <v>FALSE</v>
      </c>
    </row>
    <row r="349" spans="2:23">
      <c r="B349" s="157" t="str">
        <f t="array" ref="B349">IF(ROWS($3:349)&lt;=COUNTA('register map'!$L$5:$L$902),INDEX('register map'!$L$5:$L$902,SMALL(IF('register map'!$L$5:$L$902&lt;&gt;"",ROW('register map'!$L$5:$L$902)-MIN(ROW('register map'!$L$5:$L$902))+1),ROWS($3:349))),"")</f>
        <v>OTP_RSVD_38_10_1</v>
      </c>
      <c r="C349" s="157">
        <f>IF(B349="PART_NUMBER",IF(COUNTIF($B$1:B348,"PART_NUMBER")=0,6,8),MATCH(B349,'register map'!L:L,0))</f>
        <v>453</v>
      </c>
      <c r="D349" s="117" t="str">
        <f>IF(ISBLANK(INDEX('register map'!C:C,'Logical Group Generator'!C349)),"No","Yes")</f>
        <v>No</v>
      </c>
      <c r="E349" s="117" t="str">
        <f>IF(ISBLANK(INDEX('register map'!A:A,C349)),IF(ISBLANK(INDEX('register map'!A:A,C349-1)),IF(ISBLANK(INDEX('register map'!A:A,C349-2)),IF(ISBLANK(INDEX('register map'!A:A,C349-3)),IF(ISBLANK(INDEX('register map'!A:A,C349-4)),IF(ISBLANK(INDEX('register map'!A:A,C349-5)),IF(ISBLANK(INDEX('register map'!A:A,C349-6)),IF(ISBLANK(INDEX('register map'!A:A,C349-7)),IF(ISBLANK(INDEX('register map'!A:A,C349-8)),"ERROR",INDEX('register map'!A:A,C349-8)),INDEX('register map'!A:A,C349-7)),INDEX('register map'!A:A,C349-6)),INDEX('register map'!A:A,C349-5)),INDEX('register map'!A:A,C349-4)),INDEX('register map'!A:A,C349-3)),INDEX('register map'!A:A,C349-2)),INDEX('register map'!A:A,C349-1)),INDEX('register map'!A:A,C349))</f>
        <v>0x38</v>
      </c>
      <c r="F349" s="117" t="str">
        <f>IF(ISBLANK(INDEX('register map'!B:B,C349)),IF(ISBLANK(INDEX('register map'!B:B,C349-1)),IF(ISBLANK(INDEX('register map'!B:B,C349-2)),IF(ISBLANK(INDEX('register map'!B:B,C349-3)),IF(ISBLANK(INDEX('register map'!B:B,C349-4)),IF(ISBLANK(INDEX('register map'!B:B,C349-5)),IF(ISBLANK(INDEX('register map'!B:B,C349-6)),IF(ISBLANK(INDEX('register map'!B:B,C349-7)),IF(ISBLANK(INDEX('register map'!B:B,C349-8)),"ERROR",INDEX('register map'!B:B,C349-8)),INDEX('register map'!B:B,C349-7)),INDEX('register map'!B:B,C349-6)),INDEX('register map'!B:B,C349-5)),INDEX('register map'!B:B,C349-4)),INDEX('register map'!B:B,C349-3)),INDEX('register map'!B:B,C349-2)),INDEX('register map'!B:B,C349-1)),INDEX('register map'!B:B,C349))</f>
        <v>0x10</v>
      </c>
      <c r="G349" s="117" t="str">
        <f>CONCATENATE(IF(ISNUMBER(INDEX('register map'!D:D,C349)),7,""),IF(ISNUMBER(INDEX('register map'!E:E,C349)),6,""),IF(ISNUMBER(INDEX('register map'!F:F,C349)),5,""),IF(ISNUMBER(INDEX('register map'!G:G,C349)),4,""),IF(ISNUMBER(INDEX('register map'!H:H,C349)),3,""),IF(ISNUMBER(INDEX('register map'!I:I,C349)),2,""),IF(ISNUMBER(INDEX('register map'!J:J,C349)),1,""),IF(ISNUMBER(INDEX('register map'!K:K,C349)),0,""))</f>
        <v>1</v>
      </c>
      <c r="H349" s="117" t="str">
        <f>RIGHT(INDEX('register map'!V:V,MATCH('Logical Group Generator'!B349,'register map'!L:L,0)),LEN(G349))</f>
        <v>1</v>
      </c>
      <c r="I349" s="117" t="str">
        <f>CONCATENATE(IF(ISNUMBER(INDEX('register map'!K:K,C349)),0,""),IF(ISNUMBER(INDEX('register map'!J:J,C349)),1,""),IF(ISNUMBER(INDEX('register map'!I:I,C349)),2,""),IF(ISNUMBER(INDEX('register map'!H:H,C349)),3,""),IF(ISNUMBER(INDEX('register map'!G:G,C349)),4,""),IF(ISNUMBER(INDEX('register map'!F:F,C349)),5,""),IF(ISNUMBER(INDEX('register map'!E:E,C349)),6,""),IF(ISNUMBER(INDEX('register map'!D:D,C349)),7,""))</f>
        <v>1</v>
      </c>
      <c r="J349" s="117" t="str">
        <f t="shared" si="62"/>
        <v>1</v>
      </c>
      <c r="K349" s="117" t="str">
        <f t="shared" si="55"/>
        <v/>
      </c>
      <c r="L349" s="117" t="str">
        <f t="shared" si="63"/>
        <v/>
      </c>
      <c r="M349" s="117" t="str">
        <f t="shared" si="65"/>
        <v/>
      </c>
      <c r="N349" s="117" t="str">
        <f>IF(ISBLANK(INDEX('register map'!M:M,'Logical Group Generator'!C349)),"No","Yes")</f>
        <v>No</v>
      </c>
      <c r="O349" s="117" t="str">
        <f>IF(NOT(ISBLANK(INDEX('register map'!N:N,'Logical Group Generator'!C349))),"Yes","")</f>
        <v/>
      </c>
      <c r="P349" s="117" t="str">
        <f t="shared" si="56"/>
        <v/>
      </c>
      <c r="Q349" s="117" t="str">
        <f t="shared" si="57"/>
        <v/>
      </c>
      <c r="R349" s="117" t="str">
        <f t="shared" si="58"/>
        <v/>
      </c>
      <c r="S349" s="117" t="str">
        <f t="shared" si="59"/>
        <v>No</v>
      </c>
      <c r="T349" s="117" t="str">
        <f t="shared" si="60"/>
        <v/>
      </c>
      <c r="U349" s="117" t="b">
        <f t="shared" si="64"/>
        <v>0</v>
      </c>
      <c r="V349" s="157" t="b">
        <f>INDEX('register map'!P:P,C349)="yes"</f>
        <v>1</v>
      </c>
      <c r="W349" s="157" t="str">
        <f t="shared" si="61"/>
        <v>FALSE</v>
      </c>
    </row>
    <row r="350" spans="2:23">
      <c r="B350" s="157" t="str">
        <f t="array" ref="B350">IF(ROWS($3:350)&lt;=COUNTA('register map'!$L$5:$L$902),INDEX('register map'!$L$5:$L$902,SMALL(IF('register map'!$L$5:$L$902&lt;&gt;"",ROW('register map'!$L$5:$L$902)-MIN(ROW('register map'!$L$5:$L$902))+1),ROWS($3:350))),"")</f>
        <v>OTP_RSVD_38_10_2</v>
      </c>
      <c r="C350" s="157">
        <f>IF(B350="PART_NUMBER",IF(COUNTIF($B$1:B349,"PART_NUMBER")=0,6,8),MATCH(B350,'register map'!L:L,0))</f>
        <v>454</v>
      </c>
      <c r="D350" s="117" t="str">
        <f>IF(ISBLANK(INDEX('register map'!C:C,'Logical Group Generator'!C350)),"No","Yes")</f>
        <v>No</v>
      </c>
      <c r="E350" s="117" t="str">
        <f>IF(ISBLANK(INDEX('register map'!A:A,C350)),IF(ISBLANK(INDEX('register map'!A:A,C350-1)),IF(ISBLANK(INDEX('register map'!A:A,C350-2)),IF(ISBLANK(INDEX('register map'!A:A,C350-3)),IF(ISBLANK(INDEX('register map'!A:A,C350-4)),IF(ISBLANK(INDEX('register map'!A:A,C350-5)),IF(ISBLANK(INDEX('register map'!A:A,C350-6)),IF(ISBLANK(INDEX('register map'!A:A,C350-7)),IF(ISBLANK(INDEX('register map'!A:A,C350-8)),"ERROR",INDEX('register map'!A:A,C350-8)),INDEX('register map'!A:A,C350-7)),INDEX('register map'!A:A,C350-6)),INDEX('register map'!A:A,C350-5)),INDEX('register map'!A:A,C350-4)),INDEX('register map'!A:A,C350-3)),INDEX('register map'!A:A,C350-2)),INDEX('register map'!A:A,C350-1)),INDEX('register map'!A:A,C350))</f>
        <v>0x38</v>
      </c>
      <c r="F350" s="117" t="str">
        <f>IF(ISBLANK(INDEX('register map'!B:B,C350)),IF(ISBLANK(INDEX('register map'!B:B,C350-1)),IF(ISBLANK(INDEX('register map'!B:B,C350-2)),IF(ISBLANK(INDEX('register map'!B:B,C350-3)),IF(ISBLANK(INDEX('register map'!B:B,C350-4)),IF(ISBLANK(INDEX('register map'!B:B,C350-5)),IF(ISBLANK(INDEX('register map'!B:B,C350-6)),IF(ISBLANK(INDEX('register map'!B:B,C350-7)),IF(ISBLANK(INDEX('register map'!B:B,C350-8)),"ERROR",INDEX('register map'!B:B,C350-8)),INDEX('register map'!B:B,C350-7)),INDEX('register map'!B:B,C350-6)),INDEX('register map'!B:B,C350-5)),INDEX('register map'!B:B,C350-4)),INDEX('register map'!B:B,C350-3)),INDEX('register map'!B:B,C350-2)),INDEX('register map'!B:B,C350-1)),INDEX('register map'!B:B,C350))</f>
        <v>0x10</v>
      </c>
      <c r="G350" s="117" t="str">
        <f>CONCATENATE(IF(ISNUMBER(INDEX('register map'!D:D,C350)),7,""),IF(ISNUMBER(INDEX('register map'!E:E,C350)),6,""),IF(ISNUMBER(INDEX('register map'!F:F,C350)),5,""),IF(ISNUMBER(INDEX('register map'!G:G,C350)),4,""),IF(ISNUMBER(INDEX('register map'!H:H,C350)),3,""),IF(ISNUMBER(INDEX('register map'!I:I,C350)),2,""),IF(ISNUMBER(INDEX('register map'!J:J,C350)),1,""),IF(ISNUMBER(INDEX('register map'!K:K,C350)),0,""))</f>
        <v>2</v>
      </c>
      <c r="H350" s="117" t="str">
        <f>RIGHT(INDEX('register map'!V:V,MATCH('Logical Group Generator'!B350,'register map'!L:L,0)),LEN(G350))</f>
        <v>0</v>
      </c>
      <c r="I350" s="117" t="str">
        <f>CONCATENATE(IF(ISNUMBER(INDEX('register map'!K:K,C350)),0,""),IF(ISNUMBER(INDEX('register map'!J:J,C350)),1,""),IF(ISNUMBER(INDEX('register map'!I:I,C350)),2,""),IF(ISNUMBER(INDEX('register map'!H:H,C350)),3,""),IF(ISNUMBER(INDEX('register map'!G:G,C350)),4,""),IF(ISNUMBER(INDEX('register map'!F:F,C350)),5,""),IF(ISNUMBER(INDEX('register map'!E:E,C350)),6,""),IF(ISNUMBER(INDEX('register map'!D:D,C350)),7,""))</f>
        <v>2</v>
      </c>
      <c r="J350" s="117" t="str">
        <f t="shared" si="62"/>
        <v>0</v>
      </c>
      <c r="K350" s="117" t="str">
        <f t="shared" si="55"/>
        <v/>
      </c>
      <c r="L350" s="117" t="str">
        <f t="shared" si="63"/>
        <v/>
      </c>
      <c r="M350" s="117" t="str">
        <f t="shared" si="65"/>
        <v/>
      </c>
      <c r="N350" s="117" t="str">
        <f>IF(ISBLANK(INDEX('register map'!M:M,'Logical Group Generator'!C350)),"No","Yes")</f>
        <v>No</v>
      </c>
      <c r="O350" s="117" t="str">
        <f>IF(NOT(ISBLANK(INDEX('register map'!N:N,'Logical Group Generator'!C350))),"Yes","")</f>
        <v/>
      </c>
      <c r="P350" s="117" t="str">
        <f t="shared" si="56"/>
        <v/>
      </c>
      <c r="Q350" s="117" t="str">
        <f t="shared" si="57"/>
        <v/>
      </c>
      <c r="R350" s="117" t="str">
        <f t="shared" si="58"/>
        <v/>
      </c>
      <c r="S350" s="117" t="str">
        <f t="shared" si="59"/>
        <v>No</v>
      </c>
      <c r="T350" s="117" t="str">
        <f t="shared" si="60"/>
        <v/>
      </c>
      <c r="U350" s="117" t="b">
        <f t="shared" si="64"/>
        <v>0</v>
      </c>
      <c r="V350" s="157" t="b">
        <f>INDEX('register map'!P:P,C350)="yes"</f>
        <v>1</v>
      </c>
      <c r="W350" s="157" t="str">
        <f t="shared" si="61"/>
        <v>FALSE</v>
      </c>
    </row>
    <row r="351" spans="2:23">
      <c r="B351" s="157" t="str">
        <f t="array" ref="B351">IF(ROWS($3:351)&lt;=COUNTA('register map'!$L$5:$L$902),INDEX('register map'!$L$5:$L$902,SMALL(IF('register map'!$L$5:$L$902&lt;&gt;"",ROW('register map'!$L$5:$L$902)-MIN(ROW('register map'!$L$5:$L$902))+1),ROWS($3:351))),"")</f>
        <v>OTP_RSVD_38_10_3</v>
      </c>
      <c r="C351" s="157">
        <f>IF(B351="PART_NUMBER",IF(COUNTIF($B$1:B350,"PART_NUMBER")=0,6,8),MATCH(B351,'register map'!L:L,0))</f>
        <v>455</v>
      </c>
      <c r="D351" s="117" t="str">
        <f>IF(ISBLANK(INDEX('register map'!C:C,'Logical Group Generator'!C351)),"No","Yes")</f>
        <v>No</v>
      </c>
      <c r="E351" s="117" t="str">
        <f>IF(ISBLANK(INDEX('register map'!A:A,C351)),IF(ISBLANK(INDEX('register map'!A:A,C351-1)),IF(ISBLANK(INDEX('register map'!A:A,C351-2)),IF(ISBLANK(INDEX('register map'!A:A,C351-3)),IF(ISBLANK(INDEX('register map'!A:A,C351-4)),IF(ISBLANK(INDEX('register map'!A:A,C351-5)),IF(ISBLANK(INDEX('register map'!A:A,C351-6)),IF(ISBLANK(INDEX('register map'!A:A,C351-7)),IF(ISBLANK(INDEX('register map'!A:A,C351-8)),"ERROR",INDEX('register map'!A:A,C351-8)),INDEX('register map'!A:A,C351-7)),INDEX('register map'!A:A,C351-6)),INDEX('register map'!A:A,C351-5)),INDEX('register map'!A:A,C351-4)),INDEX('register map'!A:A,C351-3)),INDEX('register map'!A:A,C351-2)),INDEX('register map'!A:A,C351-1)),INDEX('register map'!A:A,C351))</f>
        <v>0x38</v>
      </c>
      <c r="F351" s="117" t="str">
        <f>IF(ISBLANK(INDEX('register map'!B:B,C351)),IF(ISBLANK(INDEX('register map'!B:B,C351-1)),IF(ISBLANK(INDEX('register map'!B:B,C351-2)),IF(ISBLANK(INDEX('register map'!B:B,C351-3)),IF(ISBLANK(INDEX('register map'!B:B,C351-4)),IF(ISBLANK(INDEX('register map'!B:B,C351-5)),IF(ISBLANK(INDEX('register map'!B:B,C351-6)),IF(ISBLANK(INDEX('register map'!B:B,C351-7)),IF(ISBLANK(INDEX('register map'!B:B,C351-8)),"ERROR",INDEX('register map'!B:B,C351-8)),INDEX('register map'!B:B,C351-7)),INDEX('register map'!B:B,C351-6)),INDEX('register map'!B:B,C351-5)),INDEX('register map'!B:B,C351-4)),INDEX('register map'!B:B,C351-3)),INDEX('register map'!B:B,C351-2)),INDEX('register map'!B:B,C351-1)),INDEX('register map'!B:B,C351))</f>
        <v>0x10</v>
      </c>
      <c r="G351" s="117" t="str">
        <f>CONCATENATE(IF(ISNUMBER(INDEX('register map'!D:D,C351)),7,""),IF(ISNUMBER(INDEX('register map'!E:E,C351)),6,""),IF(ISNUMBER(INDEX('register map'!F:F,C351)),5,""),IF(ISNUMBER(INDEX('register map'!G:G,C351)),4,""),IF(ISNUMBER(INDEX('register map'!H:H,C351)),3,""),IF(ISNUMBER(INDEX('register map'!I:I,C351)),2,""),IF(ISNUMBER(INDEX('register map'!J:J,C351)),1,""),IF(ISNUMBER(INDEX('register map'!K:K,C351)),0,""))</f>
        <v>3</v>
      </c>
      <c r="H351" s="117" t="str">
        <f>RIGHT(INDEX('register map'!V:V,MATCH('Logical Group Generator'!B351,'register map'!L:L,0)),LEN(G351))</f>
        <v>1</v>
      </c>
      <c r="I351" s="117" t="str">
        <f>CONCATENATE(IF(ISNUMBER(INDEX('register map'!K:K,C351)),0,""),IF(ISNUMBER(INDEX('register map'!J:J,C351)),1,""),IF(ISNUMBER(INDEX('register map'!I:I,C351)),2,""),IF(ISNUMBER(INDEX('register map'!H:H,C351)),3,""),IF(ISNUMBER(INDEX('register map'!G:G,C351)),4,""),IF(ISNUMBER(INDEX('register map'!F:F,C351)),5,""),IF(ISNUMBER(INDEX('register map'!E:E,C351)),6,""),IF(ISNUMBER(INDEX('register map'!D:D,C351)),7,""))</f>
        <v>3</v>
      </c>
      <c r="J351" s="117" t="str">
        <f t="shared" si="62"/>
        <v>1</v>
      </c>
      <c r="K351" s="117" t="str">
        <f t="shared" si="55"/>
        <v/>
      </c>
      <c r="L351" s="117" t="str">
        <f t="shared" si="63"/>
        <v/>
      </c>
      <c r="M351" s="117" t="str">
        <f t="shared" si="65"/>
        <v/>
      </c>
      <c r="N351" s="117" t="str">
        <f>IF(ISBLANK(INDEX('register map'!M:M,'Logical Group Generator'!C351)),"No","Yes")</f>
        <v>No</v>
      </c>
      <c r="O351" s="117" t="str">
        <f>IF(NOT(ISBLANK(INDEX('register map'!N:N,'Logical Group Generator'!C351))),"Yes","")</f>
        <v/>
      </c>
      <c r="P351" s="117" t="str">
        <f t="shared" si="56"/>
        <v/>
      </c>
      <c r="Q351" s="117" t="str">
        <f t="shared" si="57"/>
        <v/>
      </c>
      <c r="R351" s="117" t="str">
        <f t="shared" si="58"/>
        <v/>
      </c>
      <c r="S351" s="117" t="str">
        <f t="shared" si="59"/>
        <v>No</v>
      </c>
      <c r="T351" s="117" t="str">
        <f t="shared" si="60"/>
        <v/>
      </c>
      <c r="U351" s="117" t="b">
        <f t="shared" si="64"/>
        <v>0</v>
      </c>
      <c r="V351" s="157" t="b">
        <f>INDEX('register map'!P:P,C351)="yes"</f>
        <v>1</v>
      </c>
      <c r="W351" s="157" t="str">
        <f t="shared" si="61"/>
        <v>FALSE</v>
      </c>
    </row>
    <row r="352" spans="2:23">
      <c r="B352" s="157" t="str">
        <f t="array" ref="B352">IF(ROWS($3:352)&lt;=COUNTA('register map'!$L$5:$L$902),INDEX('register map'!$L$5:$L$902,SMALL(IF('register map'!$L$5:$L$902&lt;&gt;"",ROW('register map'!$L$5:$L$902)-MIN(ROW('register map'!$L$5:$L$902))+1),ROWS($3:352))),"")</f>
        <v>OTP_RSVD_38_10_4</v>
      </c>
      <c r="C352" s="157">
        <f>IF(B352="PART_NUMBER",IF(COUNTIF($B$1:B351,"PART_NUMBER")=0,6,8),MATCH(B352,'register map'!L:L,0))</f>
        <v>456</v>
      </c>
      <c r="D352" s="117" t="str">
        <f>IF(ISBLANK(INDEX('register map'!C:C,'Logical Group Generator'!C352)),"No","Yes")</f>
        <v>No</v>
      </c>
      <c r="E352" s="117" t="str">
        <f>IF(ISBLANK(INDEX('register map'!A:A,C352)),IF(ISBLANK(INDEX('register map'!A:A,C352-1)),IF(ISBLANK(INDEX('register map'!A:A,C352-2)),IF(ISBLANK(INDEX('register map'!A:A,C352-3)),IF(ISBLANK(INDEX('register map'!A:A,C352-4)),IF(ISBLANK(INDEX('register map'!A:A,C352-5)),IF(ISBLANK(INDEX('register map'!A:A,C352-6)),IF(ISBLANK(INDEX('register map'!A:A,C352-7)),IF(ISBLANK(INDEX('register map'!A:A,C352-8)),"ERROR",INDEX('register map'!A:A,C352-8)),INDEX('register map'!A:A,C352-7)),INDEX('register map'!A:A,C352-6)),INDEX('register map'!A:A,C352-5)),INDEX('register map'!A:A,C352-4)),INDEX('register map'!A:A,C352-3)),INDEX('register map'!A:A,C352-2)),INDEX('register map'!A:A,C352-1)),INDEX('register map'!A:A,C352))</f>
        <v>0x38</v>
      </c>
      <c r="F352" s="117" t="str">
        <f>IF(ISBLANK(INDEX('register map'!B:B,C352)),IF(ISBLANK(INDEX('register map'!B:B,C352-1)),IF(ISBLANK(INDEX('register map'!B:B,C352-2)),IF(ISBLANK(INDEX('register map'!B:B,C352-3)),IF(ISBLANK(INDEX('register map'!B:B,C352-4)),IF(ISBLANK(INDEX('register map'!B:B,C352-5)),IF(ISBLANK(INDEX('register map'!B:B,C352-6)),IF(ISBLANK(INDEX('register map'!B:B,C352-7)),IF(ISBLANK(INDEX('register map'!B:B,C352-8)),"ERROR",INDEX('register map'!B:B,C352-8)),INDEX('register map'!B:B,C352-7)),INDEX('register map'!B:B,C352-6)),INDEX('register map'!B:B,C352-5)),INDEX('register map'!B:B,C352-4)),INDEX('register map'!B:B,C352-3)),INDEX('register map'!B:B,C352-2)),INDEX('register map'!B:B,C352-1)),INDEX('register map'!B:B,C352))</f>
        <v>0x10</v>
      </c>
      <c r="G352" s="117" t="str">
        <f>CONCATENATE(IF(ISNUMBER(INDEX('register map'!D:D,C352)),7,""),IF(ISNUMBER(INDEX('register map'!E:E,C352)),6,""),IF(ISNUMBER(INDEX('register map'!F:F,C352)),5,""),IF(ISNUMBER(INDEX('register map'!G:G,C352)),4,""),IF(ISNUMBER(INDEX('register map'!H:H,C352)),3,""),IF(ISNUMBER(INDEX('register map'!I:I,C352)),2,""),IF(ISNUMBER(INDEX('register map'!J:J,C352)),1,""),IF(ISNUMBER(INDEX('register map'!K:K,C352)),0,""))</f>
        <v>4</v>
      </c>
      <c r="H352" s="117" t="str">
        <f>RIGHT(INDEX('register map'!V:V,MATCH('Logical Group Generator'!B352,'register map'!L:L,0)),LEN(G352))</f>
        <v>1</v>
      </c>
      <c r="I352" s="117" t="str">
        <f>CONCATENATE(IF(ISNUMBER(INDEX('register map'!K:K,C352)),0,""),IF(ISNUMBER(INDEX('register map'!J:J,C352)),1,""),IF(ISNUMBER(INDEX('register map'!I:I,C352)),2,""),IF(ISNUMBER(INDEX('register map'!H:H,C352)),3,""),IF(ISNUMBER(INDEX('register map'!G:G,C352)),4,""),IF(ISNUMBER(INDEX('register map'!F:F,C352)),5,""),IF(ISNUMBER(INDEX('register map'!E:E,C352)),6,""),IF(ISNUMBER(INDEX('register map'!D:D,C352)),7,""))</f>
        <v>4</v>
      </c>
      <c r="J352" s="117" t="str">
        <f t="shared" si="62"/>
        <v>1</v>
      </c>
      <c r="K352" s="117" t="str">
        <f t="shared" si="55"/>
        <v/>
      </c>
      <c r="L352" s="117" t="str">
        <f t="shared" si="63"/>
        <v/>
      </c>
      <c r="M352" s="117" t="str">
        <f t="shared" si="65"/>
        <v/>
      </c>
      <c r="N352" s="117" t="str">
        <f>IF(ISBLANK(INDEX('register map'!M:M,'Logical Group Generator'!C352)),"No","Yes")</f>
        <v>No</v>
      </c>
      <c r="O352" s="117" t="str">
        <f>IF(NOT(ISBLANK(INDEX('register map'!N:N,'Logical Group Generator'!C352))),"Yes","")</f>
        <v/>
      </c>
      <c r="P352" s="117" t="str">
        <f t="shared" si="56"/>
        <v/>
      </c>
      <c r="Q352" s="117" t="str">
        <f t="shared" si="57"/>
        <v/>
      </c>
      <c r="R352" s="117" t="str">
        <f t="shared" si="58"/>
        <v/>
      </c>
      <c r="S352" s="117" t="str">
        <f t="shared" si="59"/>
        <v>No</v>
      </c>
      <c r="T352" s="117" t="str">
        <f t="shared" si="60"/>
        <v/>
      </c>
      <c r="U352" s="117" t="b">
        <f t="shared" si="64"/>
        <v>0</v>
      </c>
      <c r="V352" s="157" t="b">
        <f>INDEX('register map'!P:P,C352)="yes"</f>
        <v>1</v>
      </c>
      <c r="W352" s="157" t="str">
        <f t="shared" si="61"/>
        <v>FALSE</v>
      </c>
    </row>
    <row r="353" spans="2:23">
      <c r="B353" s="157" t="str">
        <f t="array" ref="B353">IF(ROWS($3:353)&lt;=COUNTA('register map'!$L$5:$L$902),INDEX('register map'!$L$5:$L$902,SMALL(IF('register map'!$L$5:$L$902&lt;&gt;"",ROW('register map'!$L$5:$L$902)-MIN(ROW('register map'!$L$5:$L$902))+1),ROWS($3:353))),"")</f>
        <v>OTP_RSVD_38_10_5</v>
      </c>
      <c r="C353" s="157">
        <f>IF(B353="PART_NUMBER",IF(COUNTIF($B$1:B352,"PART_NUMBER")=0,6,8),MATCH(B353,'register map'!L:L,0))</f>
        <v>457</v>
      </c>
      <c r="D353" s="117" t="str">
        <f>IF(ISBLANK(INDEX('register map'!C:C,'Logical Group Generator'!C353)),"No","Yes")</f>
        <v>No</v>
      </c>
      <c r="E353" s="117" t="str">
        <f>IF(ISBLANK(INDEX('register map'!A:A,C353)),IF(ISBLANK(INDEX('register map'!A:A,C353-1)),IF(ISBLANK(INDEX('register map'!A:A,C353-2)),IF(ISBLANK(INDEX('register map'!A:A,C353-3)),IF(ISBLANK(INDEX('register map'!A:A,C353-4)),IF(ISBLANK(INDEX('register map'!A:A,C353-5)),IF(ISBLANK(INDEX('register map'!A:A,C353-6)),IF(ISBLANK(INDEX('register map'!A:A,C353-7)),IF(ISBLANK(INDEX('register map'!A:A,C353-8)),"ERROR",INDEX('register map'!A:A,C353-8)),INDEX('register map'!A:A,C353-7)),INDEX('register map'!A:A,C353-6)),INDEX('register map'!A:A,C353-5)),INDEX('register map'!A:A,C353-4)),INDEX('register map'!A:A,C353-3)),INDEX('register map'!A:A,C353-2)),INDEX('register map'!A:A,C353-1)),INDEX('register map'!A:A,C353))</f>
        <v>0x38</v>
      </c>
      <c r="F353" s="117" t="str">
        <f>IF(ISBLANK(INDEX('register map'!B:B,C353)),IF(ISBLANK(INDEX('register map'!B:B,C353-1)),IF(ISBLANK(INDEX('register map'!B:B,C353-2)),IF(ISBLANK(INDEX('register map'!B:B,C353-3)),IF(ISBLANK(INDEX('register map'!B:B,C353-4)),IF(ISBLANK(INDEX('register map'!B:B,C353-5)),IF(ISBLANK(INDEX('register map'!B:B,C353-6)),IF(ISBLANK(INDEX('register map'!B:B,C353-7)),IF(ISBLANK(INDEX('register map'!B:B,C353-8)),"ERROR",INDEX('register map'!B:B,C353-8)),INDEX('register map'!B:B,C353-7)),INDEX('register map'!B:B,C353-6)),INDEX('register map'!B:B,C353-5)),INDEX('register map'!B:B,C353-4)),INDEX('register map'!B:B,C353-3)),INDEX('register map'!B:B,C353-2)),INDEX('register map'!B:B,C353-1)),INDEX('register map'!B:B,C353))</f>
        <v>0x10</v>
      </c>
      <c r="G353" s="117" t="str">
        <f>CONCATENATE(IF(ISNUMBER(INDEX('register map'!D:D,C353)),7,""),IF(ISNUMBER(INDEX('register map'!E:E,C353)),6,""),IF(ISNUMBER(INDEX('register map'!F:F,C353)),5,""),IF(ISNUMBER(INDEX('register map'!G:G,C353)),4,""),IF(ISNUMBER(INDEX('register map'!H:H,C353)),3,""),IF(ISNUMBER(INDEX('register map'!I:I,C353)),2,""),IF(ISNUMBER(INDEX('register map'!J:J,C353)),1,""),IF(ISNUMBER(INDEX('register map'!K:K,C353)),0,""))</f>
        <v>5</v>
      </c>
      <c r="H353" s="117" t="str">
        <f>RIGHT(INDEX('register map'!V:V,MATCH('Logical Group Generator'!B353,'register map'!L:L,0)),LEN(G353))</f>
        <v>1</v>
      </c>
      <c r="I353" s="117" t="str">
        <f>CONCATENATE(IF(ISNUMBER(INDEX('register map'!K:K,C353)),0,""),IF(ISNUMBER(INDEX('register map'!J:J,C353)),1,""),IF(ISNUMBER(INDEX('register map'!I:I,C353)),2,""),IF(ISNUMBER(INDEX('register map'!H:H,C353)),3,""),IF(ISNUMBER(INDEX('register map'!G:G,C353)),4,""),IF(ISNUMBER(INDEX('register map'!F:F,C353)),5,""),IF(ISNUMBER(INDEX('register map'!E:E,C353)),6,""),IF(ISNUMBER(INDEX('register map'!D:D,C353)),7,""))</f>
        <v>5</v>
      </c>
      <c r="J353" s="117" t="str">
        <f t="shared" si="62"/>
        <v>1</v>
      </c>
      <c r="K353" s="117" t="str">
        <f t="shared" si="55"/>
        <v/>
      </c>
      <c r="L353" s="117" t="str">
        <f t="shared" si="63"/>
        <v/>
      </c>
      <c r="M353" s="117" t="str">
        <f t="shared" si="65"/>
        <v/>
      </c>
      <c r="N353" s="117" t="str">
        <f>IF(ISBLANK(INDEX('register map'!M:M,'Logical Group Generator'!C353)),"No","Yes")</f>
        <v>No</v>
      </c>
      <c r="O353" s="117" t="str">
        <f>IF(NOT(ISBLANK(INDEX('register map'!N:N,'Logical Group Generator'!C353))),"Yes","")</f>
        <v/>
      </c>
      <c r="P353" s="117" t="str">
        <f t="shared" si="56"/>
        <v/>
      </c>
      <c r="Q353" s="117" t="str">
        <f t="shared" si="57"/>
        <v/>
      </c>
      <c r="R353" s="117" t="str">
        <f t="shared" si="58"/>
        <v/>
      </c>
      <c r="S353" s="117" t="str">
        <f t="shared" si="59"/>
        <v>No</v>
      </c>
      <c r="T353" s="117" t="str">
        <f t="shared" si="60"/>
        <v/>
      </c>
      <c r="U353" s="117" t="b">
        <f t="shared" si="64"/>
        <v>0</v>
      </c>
      <c r="V353" s="157" t="b">
        <f>INDEX('register map'!P:P,C353)="yes"</f>
        <v>1</v>
      </c>
      <c r="W353" s="157" t="str">
        <f t="shared" si="61"/>
        <v>FALSE</v>
      </c>
    </row>
    <row r="354" spans="2:23">
      <c r="B354" s="157" t="str">
        <f t="array" ref="B354">IF(ROWS($3:354)&lt;=COUNTA('register map'!$L$5:$L$902),INDEX('register map'!$L$5:$L$902,SMALL(IF('register map'!$L$5:$L$902&lt;&gt;"",ROW('register map'!$L$5:$L$902)-MIN(ROW('register map'!$L$5:$L$902))+1),ROWS($3:354))),"")</f>
        <v>OTP_RSVD_38_10_6</v>
      </c>
      <c r="C354" s="157">
        <f>IF(B354="PART_NUMBER",IF(COUNTIF($B$1:B353,"PART_NUMBER")=0,6,8),MATCH(B354,'register map'!L:L,0))</f>
        <v>458</v>
      </c>
      <c r="D354" s="117" t="str">
        <f>IF(ISBLANK(INDEX('register map'!C:C,'Logical Group Generator'!C354)),"No","Yes")</f>
        <v>No</v>
      </c>
      <c r="E354" s="117" t="str">
        <f>IF(ISBLANK(INDEX('register map'!A:A,C354)),IF(ISBLANK(INDEX('register map'!A:A,C354-1)),IF(ISBLANK(INDEX('register map'!A:A,C354-2)),IF(ISBLANK(INDEX('register map'!A:A,C354-3)),IF(ISBLANK(INDEX('register map'!A:A,C354-4)),IF(ISBLANK(INDEX('register map'!A:A,C354-5)),IF(ISBLANK(INDEX('register map'!A:A,C354-6)),IF(ISBLANK(INDEX('register map'!A:A,C354-7)),IF(ISBLANK(INDEX('register map'!A:A,C354-8)),"ERROR",INDEX('register map'!A:A,C354-8)),INDEX('register map'!A:A,C354-7)),INDEX('register map'!A:A,C354-6)),INDEX('register map'!A:A,C354-5)),INDEX('register map'!A:A,C354-4)),INDEX('register map'!A:A,C354-3)),INDEX('register map'!A:A,C354-2)),INDEX('register map'!A:A,C354-1)),INDEX('register map'!A:A,C354))</f>
        <v>0x38</v>
      </c>
      <c r="F354" s="117" t="str">
        <f>IF(ISBLANK(INDEX('register map'!B:B,C354)),IF(ISBLANK(INDEX('register map'!B:B,C354-1)),IF(ISBLANK(INDEX('register map'!B:B,C354-2)),IF(ISBLANK(INDEX('register map'!B:B,C354-3)),IF(ISBLANK(INDEX('register map'!B:B,C354-4)),IF(ISBLANK(INDEX('register map'!B:B,C354-5)),IF(ISBLANK(INDEX('register map'!B:B,C354-6)),IF(ISBLANK(INDEX('register map'!B:B,C354-7)),IF(ISBLANK(INDEX('register map'!B:B,C354-8)),"ERROR",INDEX('register map'!B:B,C354-8)),INDEX('register map'!B:B,C354-7)),INDEX('register map'!B:B,C354-6)),INDEX('register map'!B:B,C354-5)),INDEX('register map'!B:B,C354-4)),INDEX('register map'!B:B,C354-3)),INDEX('register map'!B:B,C354-2)),INDEX('register map'!B:B,C354-1)),INDEX('register map'!B:B,C354))</f>
        <v>0x10</v>
      </c>
      <c r="G354" s="117" t="str">
        <f>CONCATENATE(IF(ISNUMBER(INDEX('register map'!D:D,C354)),7,""),IF(ISNUMBER(INDEX('register map'!E:E,C354)),6,""),IF(ISNUMBER(INDEX('register map'!F:F,C354)),5,""),IF(ISNUMBER(INDEX('register map'!G:G,C354)),4,""),IF(ISNUMBER(INDEX('register map'!H:H,C354)),3,""),IF(ISNUMBER(INDEX('register map'!I:I,C354)),2,""),IF(ISNUMBER(INDEX('register map'!J:J,C354)),1,""),IF(ISNUMBER(INDEX('register map'!K:K,C354)),0,""))</f>
        <v>6</v>
      </c>
      <c r="H354" s="117" t="str">
        <f>RIGHT(INDEX('register map'!V:V,MATCH('Logical Group Generator'!B354,'register map'!L:L,0)),LEN(G354))</f>
        <v>1</v>
      </c>
      <c r="I354" s="117" t="str">
        <f>CONCATENATE(IF(ISNUMBER(INDEX('register map'!K:K,C354)),0,""),IF(ISNUMBER(INDEX('register map'!J:J,C354)),1,""),IF(ISNUMBER(INDEX('register map'!I:I,C354)),2,""),IF(ISNUMBER(INDEX('register map'!H:H,C354)),3,""),IF(ISNUMBER(INDEX('register map'!G:G,C354)),4,""),IF(ISNUMBER(INDEX('register map'!F:F,C354)),5,""),IF(ISNUMBER(INDEX('register map'!E:E,C354)),6,""),IF(ISNUMBER(INDEX('register map'!D:D,C354)),7,""))</f>
        <v>6</v>
      </c>
      <c r="J354" s="117" t="str">
        <f t="shared" si="62"/>
        <v>1</v>
      </c>
      <c r="K354" s="117" t="str">
        <f t="shared" si="55"/>
        <v/>
      </c>
      <c r="L354" s="117" t="str">
        <f t="shared" si="63"/>
        <v/>
      </c>
      <c r="M354" s="117" t="str">
        <f t="shared" si="65"/>
        <v/>
      </c>
      <c r="N354" s="117" t="str">
        <f>IF(ISBLANK(INDEX('register map'!M:M,'Logical Group Generator'!C354)),"No","Yes")</f>
        <v>No</v>
      </c>
      <c r="O354" s="117" t="str">
        <f>IF(NOT(ISBLANK(INDEX('register map'!N:N,'Logical Group Generator'!C354))),"Yes","")</f>
        <v/>
      </c>
      <c r="P354" s="117" t="str">
        <f t="shared" si="56"/>
        <v/>
      </c>
      <c r="Q354" s="117" t="str">
        <f t="shared" si="57"/>
        <v/>
      </c>
      <c r="R354" s="117" t="str">
        <f t="shared" si="58"/>
        <v/>
      </c>
      <c r="S354" s="117" t="str">
        <f t="shared" si="59"/>
        <v>No</v>
      </c>
      <c r="T354" s="117" t="str">
        <f t="shared" si="60"/>
        <v/>
      </c>
      <c r="U354" s="117" t="b">
        <f t="shared" si="64"/>
        <v>0</v>
      </c>
      <c r="V354" s="157" t="b">
        <f>INDEX('register map'!P:P,C354)="yes"</f>
        <v>1</v>
      </c>
      <c r="W354" s="157" t="str">
        <f t="shared" si="61"/>
        <v>FALSE</v>
      </c>
    </row>
    <row r="355" spans="2:23">
      <c r="B355" s="157" t="str">
        <f t="array" ref="B355">IF(ROWS($3:355)&lt;=COUNTA('register map'!$L$5:$L$902),INDEX('register map'!$L$5:$L$902,SMALL(IF('register map'!$L$5:$L$902&lt;&gt;"",ROW('register map'!$L$5:$L$902)-MIN(ROW('register map'!$L$5:$L$902))+1),ROWS($3:355))),"")</f>
        <v>OTP_RSVD_38_10_7</v>
      </c>
      <c r="C355" s="157">
        <f>IF(B355="PART_NUMBER",IF(COUNTIF($B$1:B354,"PART_NUMBER")=0,6,8),MATCH(B355,'register map'!L:L,0))</f>
        <v>459</v>
      </c>
      <c r="D355" s="117" t="str">
        <f>IF(ISBLANK(INDEX('register map'!C:C,'Logical Group Generator'!C355)),"No","Yes")</f>
        <v>No</v>
      </c>
      <c r="E355" s="117" t="str">
        <f>IF(ISBLANK(INDEX('register map'!A:A,C355)),IF(ISBLANK(INDEX('register map'!A:A,C355-1)),IF(ISBLANK(INDEX('register map'!A:A,C355-2)),IF(ISBLANK(INDEX('register map'!A:A,C355-3)),IF(ISBLANK(INDEX('register map'!A:A,C355-4)),IF(ISBLANK(INDEX('register map'!A:A,C355-5)),IF(ISBLANK(INDEX('register map'!A:A,C355-6)),IF(ISBLANK(INDEX('register map'!A:A,C355-7)),IF(ISBLANK(INDEX('register map'!A:A,C355-8)),"ERROR",INDEX('register map'!A:A,C355-8)),INDEX('register map'!A:A,C355-7)),INDEX('register map'!A:A,C355-6)),INDEX('register map'!A:A,C355-5)),INDEX('register map'!A:A,C355-4)),INDEX('register map'!A:A,C355-3)),INDEX('register map'!A:A,C355-2)),INDEX('register map'!A:A,C355-1)),INDEX('register map'!A:A,C355))</f>
        <v>0x38</v>
      </c>
      <c r="F355" s="117" t="str">
        <f>IF(ISBLANK(INDEX('register map'!B:B,C355)),IF(ISBLANK(INDEX('register map'!B:B,C355-1)),IF(ISBLANK(INDEX('register map'!B:B,C355-2)),IF(ISBLANK(INDEX('register map'!B:B,C355-3)),IF(ISBLANK(INDEX('register map'!B:B,C355-4)),IF(ISBLANK(INDEX('register map'!B:B,C355-5)),IF(ISBLANK(INDEX('register map'!B:B,C355-6)),IF(ISBLANK(INDEX('register map'!B:B,C355-7)),IF(ISBLANK(INDEX('register map'!B:B,C355-8)),"ERROR",INDEX('register map'!B:B,C355-8)),INDEX('register map'!B:B,C355-7)),INDEX('register map'!B:B,C355-6)),INDEX('register map'!B:B,C355-5)),INDEX('register map'!B:B,C355-4)),INDEX('register map'!B:B,C355-3)),INDEX('register map'!B:B,C355-2)),INDEX('register map'!B:B,C355-1)),INDEX('register map'!B:B,C355))</f>
        <v>0x10</v>
      </c>
      <c r="G355" s="117" t="str">
        <f>CONCATENATE(IF(ISNUMBER(INDEX('register map'!D:D,C355)),7,""),IF(ISNUMBER(INDEX('register map'!E:E,C355)),6,""),IF(ISNUMBER(INDEX('register map'!F:F,C355)),5,""),IF(ISNUMBER(INDEX('register map'!G:G,C355)),4,""),IF(ISNUMBER(INDEX('register map'!H:H,C355)),3,""),IF(ISNUMBER(INDEX('register map'!I:I,C355)),2,""),IF(ISNUMBER(INDEX('register map'!J:J,C355)),1,""),IF(ISNUMBER(INDEX('register map'!K:K,C355)),0,""))</f>
        <v>7</v>
      </c>
      <c r="H355" s="117" t="str">
        <f>RIGHT(INDEX('register map'!V:V,MATCH('Logical Group Generator'!B355,'register map'!L:L,0)),LEN(G355))</f>
        <v>1</v>
      </c>
      <c r="I355" s="117" t="str">
        <f>CONCATENATE(IF(ISNUMBER(INDEX('register map'!K:K,C355)),0,""),IF(ISNUMBER(INDEX('register map'!J:J,C355)),1,""),IF(ISNUMBER(INDEX('register map'!I:I,C355)),2,""),IF(ISNUMBER(INDEX('register map'!H:H,C355)),3,""),IF(ISNUMBER(INDEX('register map'!G:G,C355)),4,""),IF(ISNUMBER(INDEX('register map'!F:F,C355)),5,""),IF(ISNUMBER(INDEX('register map'!E:E,C355)),6,""),IF(ISNUMBER(INDEX('register map'!D:D,C355)),7,""))</f>
        <v>7</v>
      </c>
      <c r="J355" s="117" t="str">
        <f t="shared" si="62"/>
        <v>1</v>
      </c>
      <c r="K355" s="117" t="str">
        <f t="shared" si="55"/>
        <v/>
      </c>
      <c r="L355" s="117" t="str">
        <f t="shared" si="63"/>
        <v/>
      </c>
      <c r="M355" s="117" t="str">
        <f t="shared" si="65"/>
        <v/>
      </c>
      <c r="N355" s="117" t="str">
        <f>IF(ISBLANK(INDEX('register map'!M:M,'Logical Group Generator'!C355)),"No","Yes")</f>
        <v>No</v>
      </c>
      <c r="O355" s="117" t="str">
        <f>IF(NOT(ISBLANK(INDEX('register map'!N:N,'Logical Group Generator'!C355))),"Yes","")</f>
        <v/>
      </c>
      <c r="P355" s="117" t="str">
        <f t="shared" si="56"/>
        <v/>
      </c>
      <c r="Q355" s="117" t="str">
        <f t="shared" si="57"/>
        <v/>
      </c>
      <c r="R355" s="117" t="str">
        <f t="shared" si="58"/>
        <v/>
      </c>
      <c r="S355" s="117" t="str">
        <f t="shared" si="59"/>
        <v>No</v>
      </c>
      <c r="T355" s="117" t="str">
        <f t="shared" si="60"/>
        <v/>
      </c>
      <c r="U355" s="117" t="b">
        <f t="shared" si="64"/>
        <v>0</v>
      </c>
      <c r="V355" s="157" t="b">
        <f>INDEX('register map'!P:P,C355)="yes"</f>
        <v>1</v>
      </c>
      <c r="W355" s="157" t="str">
        <f t="shared" si="61"/>
        <v>FALSE</v>
      </c>
    </row>
    <row r="356" spans="2:23">
      <c r="B356" s="157" t="str">
        <f t="array" ref="B356">IF(ROWS($3:356)&lt;=COUNTA('register map'!$L$5:$L$902),INDEX('register map'!$L$5:$L$902,SMALL(IF('register map'!$L$5:$L$902&lt;&gt;"",ROW('register map'!$L$5:$L$902)-MIN(ROW('register map'!$L$5:$L$902))+1),ROWS($3:356))),"")</f>
        <v>BUCK4_CTRL_EN2</v>
      </c>
      <c r="C356" s="157">
        <f>IF(B356="PART_NUMBER",IF(COUNTIF($B$1:B355,"PART_NUMBER")=0,6,8),MATCH(B356,'register map'!L:L,0))</f>
        <v>460</v>
      </c>
      <c r="D356" s="117" t="str">
        <f>IF(ISBLANK(INDEX('register map'!C:C,'Logical Group Generator'!C356)),"No","Yes")</f>
        <v>Yes</v>
      </c>
      <c r="E356" s="117" t="str">
        <f>IF(ISBLANK(INDEX('register map'!A:A,C356)),IF(ISBLANK(INDEX('register map'!A:A,C356-1)),IF(ISBLANK(INDEX('register map'!A:A,C356-2)),IF(ISBLANK(INDEX('register map'!A:A,C356-3)),IF(ISBLANK(INDEX('register map'!A:A,C356-4)),IF(ISBLANK(INDEX('register map'!A:A,C356-5)),IF(ISBLANK(INDEX('register map'!A:A,C356-6)),IF(ISBLANK(INDEX('register map'!A:A,C356-7)),IF(ISBLANK(INDEX('register map'!A:A,C356-8)),"ERROR",INDEX('register map'!A:A,C356-8)),INDEX('register map'!A:A,C356-7)),INDEX('register map'!A:A,C356-6)),INDEX('register map'!A:A,C356-5)),INDEX('register map'!A:A,C356-4)),INDEX('register map'!A:A,C356-3)),INDEX('register map'!A:A,C356-2)),INDEX('register map'!A:A,C356-1)),INDEX('register map'!A:A,C356))</f>
        <v>0x38</v>
      </c>
      <c r="F356" s="117" t="str">
        <f>IF(ISBLANK(INDEX('register map'!B:B,C356)),IF(ISBLANK(INDEX('register map'!B:B,C356-1)),IF(ISBLANK(INDEX('register map'!B:B,C356-2)),IF(ISBLANK(INDEX('register map'!B:B,C356-3)),IF(ISBLANK(INDEX('register map'!B:B,C356-4)),IF(ISBLANK(INDEX('register map'!B:B,C356-5)),IF(ISBLANK(INDEX('register map'!B:B,C356-6)),IF(ISBLANK(INDEX('register map'!B:B,C356-7)),IF(ISBLANK(INDEX('register map'!B:B,C356-8)),"ERROR",INDEX('register map'!B:B,C356-8)),INDEX('register map'!B:B,C356-7)),INDEX('register map'!B:B,C356-6)),INDEX('register map'!B:B,C356-5)),INDEX('register map'!B:B,C356-4)),INDEX('register map'!B:B,C356-3)),INDEX('register map'!B:B,C356-2)),INDEX('register map'!B:B,C356-1)),INDEX('register map'!B:B,C356))</f>
        <v>0x11</v>
      </c>
      <c r="G356" s="117" t="str">
        <f>CONCATENATE(IF(ISNUMBER(INDEX('register map'!D:D,C356)),7,""),IF(ISNUMBER(INDEX('register map'!E:E,C356)),6,""),IF(ISNUMBER(INDEX('register map'!F:F,C356)),5,""),IF(ISNUMBER(INDEX('register map'!G:G,C356)),4,""),IF(ISNUMBER(INDEX('register map'!H:H,C356)),3,""),IF(ISNUMBER(INDEX('register map'!I:I,C356)),2,""),IF(ISNUMBER(INDEX('register map'!J:J,C356)),1,""),IF(ISNUMBER(INDEX('register map'!K:K,C356)),0,""))</f>
        <v/>
      </c>
      <c r="H356" s="117" t="str">
        <f>RIGHT(INDEX('register map'!V:V,MATCH('Logical Group Generator'!B356,'register map'!L:L,0)),LEN(G356))</f>
        <v/>
      </c>
      <c r="I356" s="117" t="str">
        <f>CONCATENATE(IF(ISNUMBER(INDEX('register map'!K:K,C356)),0,""),IF(ISNUMBER(INDEX('register map'!J:J,C356)),1,""),IF(ISNUMBER(INDEX('register map'!I:I,C356)),2,""),IF(ISNUMBER(INDEX('register map'!H:H,C356)),3,""),IF(ISNUMBER(INDEX('register map'!G:G,C356)),4,""),IF(ISNUMBER(INDEX('register map'!F:F,C356)),5,""),IF(ISNUMBER(INDEX('register map'!E:E,C356)),6,""),IF(ISNUMBER(INDEX('register map'!D:D,C356)),7,""))</f>
        <v/>
      </c>
      <c r="J356" s="117" t="str">
        <f t="shared" si="62"/>
        <v/>
      </c>
      <c r="K356" s="117" t="str">
        <f t="shared" si="55"/>
        <v>11000111</v>
      </c>
      <c r="L356" s="117" t="str">
        <f t="shared" si="63"/>
        <v>11100011</v>
      </c>
      <c r="M356" s="117" t="str">
        <f t="shared" si="65"/>
        <v>E3</v>
      </c>
      <c r="N356" s="117" t="str">
        <f>IF(ISBLANK(INDEX('register map'!M:M,'Logical Group Generator'!C356)),"No","Yes")</f>
        <v>No</v>
      </c>
      <c r="O356" s="117" t="str">
        <f>IF(NOT(ISBLANK(INDEX('register map'!N:N,'Logical Group Generator'!C356))),"Yes","")</f>
        <v/>
      </c>
      <c r="P356" s="117" t="str">
        <f t="shared" si="56"/>
        <v>No</v>
      </c>
      <c r="Q356" s="117" t="str">
        <f t="shared" si="57"/>
        <v>No</v>
      </c>
      <c r="R356" s="117" t="str">
        <f t="shared" si="58"/>
        <v>No</v>
      </c>
      <c r="S356" s="117" t="str">
        <f t="shared" si="59"/>
        <v/>
      </c>
      <c r="T356" s="117" t="b">
        <f t="shared" si="60"/>
        <v>1</v>
      </c>
      <c r="U356" s="117" t="b">
        <f t="shared" si="64"/>
        <v>1</v>
      </c>
      <c r="V356" s="157" t="b">
        <f>INDEX('register map'!P:P,C356)="yes"</f>
        <v>1</v>
      </c>
      <c r="W356" s="157" t="str">
        <f t="shared" si="61"/>
        <v>REGISTER</v>
      </c>
    </row>
    <row r="357" spans="2:23">
      <c r="B357" s="157" t="str">
        <f t="array" ref="B357">IF(ROWS($3:357)&lt;=COUNTA('register map'!$L$5:$L$902),INDEX('register map'!$L$5:$L$902,SMALL(IF('register map'!$L$5:$L$902&lt;&gt;"",ROW('register map'!$L$5:$L$902)-MIN(ROW('register map'!$L$5:$L$902))+1),ROWS($3:357))),"")</f>
        <v>OTP_RSVD_38_11_0</v>
      </c>
      <c r="C357" s="157">
        <f>IF(B357="PART_NUMBER",IF(COUNTIF($B$1:B356,"PART_NUMBER")=0,6,8),MATCH(B357,'register map'!L:L,0))</f>
        <v>461</v>
      </c>
      <c r="D357" s="117" t="str">
        <f>IF(ISBLANK(INDEX('register map'!C:C,'Logical Group Generator'!C357)),"No","Yes")</f>
        <v>No</v>
      </c>
      <c r="E357" s="117" t="str">
        <f>IF(ISBLANK(INDEX('register map'!A:A,C357)),IF(ISBLANK(INDEX('register map'!A:A,C357-1)),IF(ISBLANK(INDEX('register map'!A:A,C357-2)),IF(ISBLANK(INDEX('register map'!A:A,C357-3)),IF(ISBLANK(INDEX('register map'!A:A,C357-4)),IF(ISBLANK(INDEX('register map'!A:A,C357-5)),IF(ISBLANK(INDEX('register map'!A:A,C357-6)),IF(ISBLANK(INDEX('register map'!A:A,C357-7)),IF(ISBLANK(INDEX('register map'!A:A,C357-8)),"ERROR",INDEX('register map'!A:A,C357-8)),INDEX('register map'!A:A,C357-7)),INDEX('register map'!A:A,C357-6)),INDEX('register map'!A:A,C357-5)),INDEX('register map'!A:A,C357-4)),INDEX('register map'!A:A,C357-3)),INDEX('register map'!A:A,C357-2)),INDEX('register map'!A:A,C357-1)),INDEX('register map'!A:A,C357))</f>
        <v>0x38</v>
      </c>
      <c r="F357" s="117" t="str">
        <f>IF(ISBLANK(INDEX('register map'!B:B,C357)),IF(ISBLANK(INDEX('register map'!B:B,C357-1)),IF(ISBLANK(INDEX('register map'!B:B,C357-2)),IF(ISBLANK(INDEX('register map'!B:B,C357-3)),IF(ISBLANK(INDEX('register map'!B:B,C357-4)),IF(ISBLANK(INDEX('register map'!B:B,C357-5)),IF(ISBLANK(INDEX('register map'!B:B,C357-6)),IF(ISBLANK(INDEX('register map'!B:B,C357-7)),IF(ISBLANK(INDEX('register map'!B:B,C357-8)),"ERROR",INDEX('register map'!B:B,C357-8)),INDEX('register map'!B:B,C357-7)),INDEX('register map'!B:B,C357-6)),INDEX('register map'!B:B,C357-5)),INDEX('register map'!B:B,C357-4)),INDEX('register map'!B:B,C357-3)),INDEX('register map'!B:B,C357-2)),INDEX('register map'!B:B,C357-1)),INDEX('register map'!B:B,C357))</f>
        <v>0x11</v>
      </c>
      <c r="G357" s="117" t="str">
        <f>CONCATENATE(IF(ISNUMBER(INDEX('register map'!D:D,C357)),7,""),IF(ISNUMBER(INDEX('register map'!E:E,C357)),6,""),IF(ISNUMBER(INDEX('register map'!F:F,C357)),5,""),IF(ISNUMBER(INDEX('register map'!G:G,C357)),4,""),IF(ISNUMBER(INDEX('register map'!H:H,C357)),3,""),IF(ISNUMBER(INDEX('register map'!I:I,C357)),2,""),IF(ISNUMBER(INDEX('register map'!J:J,C357)),1,""),IF(ISNUMBER(INDEX('register map'!K:K,C357)),0,""))</f>
        <v>0</v>
      </c>
      <c r="H357" s="117" t="str">
        <f>RIGHT(INDEX('register map'!V:V,MATCH('Logical Group Generator'!B357,'register map'!L:L,0)),LEN(G357))</f>
        <v>1</v>
      </c>
      <c r="I357" s="117" t="str">
        <f>CONCATENATE(IF(ISNUMBER(INDEX('register map'!K:K,C357)),0,""),IF(ISNUMBER(INDEX('register map'!J:J,C357)),1,""),IF(ISNUMBER(INDEX('register map'!I:I,C357)),2,""),IF(ISNUMBER(INDEX('register map'!H:H,C357)),3,""),IF(ISNUMBER(INDEX('register map'!G:G,C357)),4,""),IF(ISNUMBER(INDEX('register map'!F:F,C357)),5,""),IF(ISNUMBER(INDEX('register map'!E:E,C357)),6,""),IF(ISNUMBER(INDEX('register map'!D:D,C357)),7,""))</f>
        <v>0</v>
      </c>
      <c r="J357" s="117" t="str">
        <f t="shared" si="62"/>
        <v>1</v>
      </c>
      <c r="K357" s="117" t="str">
        <f t="shared" si="55"/>
        <v/>
      </c>
      <c r="L357" s="117" t="str">
        <f t="shared" si="63"/>
        <v/>
      </c>
      <c r="M357" s="117" t="str">
        <f t="shared" si="65"/>
        <v/>
      </c>
      <c r="N357" s="117" t="str">
        <f>IF(ISBLANK(INDEX('register map'!M:M,'Logical Group Generator'!C357)),"No","Yes")</f>
        <v>No</v>
      </c>
      <c r="O357" s="117" t="str">
        <f>IF(NOT(ISBLANK(INDEX('register map'!N:N,'Logical Group Generator'!C357))),"Yes","")</f>
        <v/>
      </c>
      <c r="P357" s="117" t="str">
        <f t="shared" si="56"/>
        <v/>
      </c>
      <c r="Q357" s="117" t="str">
        <f t="shared" si="57"/>
        <v/>
      </c>
      <c r="R357" s="117" t="str">
        <f t="shared" si="58"/>
        <v/>
      </c>
      <c r="S357" s="117" t="str">
        <f t="shared" si="59"/>
        <v>No</v>
      </c>
      <c r="T357" s="117" t="str">
        <f t="shared" si="60"/>
        <v/>
      </c>
      <c r="U357" s="117" t="b">
        <f t="shared" si="64"/>
        <v>0</v>
      </c>
      <c r="V357" s="157" t="b">
        <f>INDEX('register map'!P:P,C357)="yes"</f>
        <v>1</v>
      </c>
      <c r="W357" s="157" t="str">
        <f t="shared" si="61"/>
        <v>FALSE</v>
      </c>
    </row>
    <row r="358" spans="2:23">
      <c r="B358" s="157" t="str">
        <f t="array" ref="B358">IF(ROWS($3:358)&lt;=COUNTA('register map'!$L$5:$L$902),INDEX('register map'!$L$5:$L$902,SMALL(IF('register map'!$L$5:$L$902&lt;&gt;"",ROW('register map'!$L$5:$L$902)-MIN(ROW('register map'!$L$5:$L$902))+1),ROWS($3:358))),"")</f>
        <v>OTP_RSVD_38_11_1</v>
      </c>
      <c r="C358" s="157">
        <f>IF(B358="PART_NUMBER",IF(COUNTIF($B$1:B357,"PART_NUMBER")=0,6,8),MATCH(B358,'register map'!L:L,0))</f>
        <v>462</v>
      </c>
      <c r="D358" s="117" t="str">
        <f>IF(ISBLANK(INDEX('register map'!C:C,'Logical Group Generator'!C358)),"No","Yes")</f>
        <v>No</v>
      </c>
      <c r="E358" s="117" t="str">
        <f>IF(ISBLANK(INDEX('register map'!A:A,C358)),IF(ISBLANK(INDEX('register map'!A:A,C358-1)),IF(ISBLANK(INDEX('register map'!A:A,C358-2)),IF(ISBLANK(INDEX('register map'!A:A,C358-3)),IF(ISBLANK(INDEX('register map'!A:A,C358-4)),IF(ISBLANK(INDEX('register map'!A:A,C358-5)),IF(ISBLANK(INDEX('register map'!A:A,C358-6)),IF(ISBLANK(INDEX('register map'!A:A,C358-7)),IF(ISBLANK(INDEX('register map'!A:A,C358-8)),"ERROR",INDEX('register map'!A:A,C358-8)),INDEX('register map'!A:A,C358-7)),INDEX('register map'!A:A,C358-6)),INDEX('register map'!A:A,C358-5)),INDEX('register map'!A:A,C358-4)),INDEX('register map'!A:A,C358-3)),INDEX('register map'!A:A,C358-2)),INDEX('register map'!A:A,C358-1)),INDEX('register map'!A:A,C358))</f>
        <v>0x38</v>
      </c>
      <c r="F358" s="117" t="str">
        <f>IF(ISBLANK(INDEX('register map'!B:B,C358)),IF(ISBLANK(INDEX('register map'!B:B,C358-1)),IF(ISBLANK(INDEX('register map'!B:B,C358-2)),IF(ISBLANK(INDEX('register map'!B:B,C358-3)),IF(ISBLANK(INDEX('register map'!B:B,C358-4)),IF(ISBLANK(INDEX('register map'!B:B,C358-5)),IF(ISBLANK(INDEX('register map'!B:B,C358-6)),IF(ISBLANK(INDEX('register map'!B:B,C358-7)),IF(ISBLANK(INDEX('register map'!B:B,C358-8)),"ERROR",INDEX('register map'!B:B,C358-8)),INDEX('register map'!B:B,C358-7)),INDEX('register map'!B:B,C358-6)),INDEX('register map'!B:B,C358-5)),INDEX('register map'!B:B,C358-4)),INDEX('register map'!B:B,C358-3)),INDEX('register map'!B:B,C358-2)),INDEX('register map'!B:B,C358-1)),INDEX('register map'!B:B,C358))</f>
        <v>0x11</v>
      </c>
      <c r="G358" s="117" t="str">
        <f>CONCATENATE(IF(ISNUMBER(INDEX('register map'!D:D,C358)),7,""),IF(ISNUMBER(INDEX('register map'!E:E,C358)),6,""),IF(ISNUMBER(INDEX('register map'!F:F,C358)),5,""),IF(ISNUMBER(INDEX('register map'!G:G,C358)),4,""),IF(ISNUMBER(INDEX('register map'!H:H,C358)),3,""),IF(ISNUMBER(INDEX('register map'!I:I,C358)),2,""),IF(ISNUMBER(INDEX('register map'!J:J,C358)),1,""),IF(ISNUMBER(INDEX('register map'!K:K,C358)),0,""))</f>
        <v>1</v>
      </c>
      <c r="H358" s="117" t="str">
        <f>RIGHT(INDEX('register map'!V:V,MATCH('Logical Group Generator'!B358,'register map'!L:L,0)),LEN(G358))</f>
        <v>1</v>
      </c>
      <c r="I358" s="117" t="str">
        <f>CONCATENATE(IF(ISNUMBER(INDEX('register map'!K:K,C358)),0,""),IF(ISNUMBER(INDEX('register map'!J:J,C358)),1,""),IF(ISNUMBER(INDEX('register map'!I:I,C358)),2,""),IF(ISNUMBER(INDEX('register map'!H:H,C358)),3,""),IF(ISNUMBER(INDEX('register map'!G:G,C358)),4,""),IF(ISNUMBER(INDEX('register map'!F:F,C358)),5,""),IF(ISNUMBER(INDEX('register map'!E:E,C358)),6,""),IF(ISNUMBER(INDEX('register map'!D:D,C358)),7,""))</f>
        <v>1</v>
      </c>
      <c r="J358" s="117" t="str">
        <f t="shared" si="62"/>
        <v>1</v>
      </c>
      <c r="K358" s="117" t="str">
        <f t="shared" si="55"/>
        <v/>
      </c>
      <c r="L358" s="117" t="str">
        <f t="shared" si="63"/>
        <v/>
      </c>
      <c r="M358" s="117" t="str">
        <f t="shared" si="65"/>
        <v/>
      </c>
      <c r="N358" s="117" t="str">
        <f>IF(ISBLANK(INDEX('register map'!M:M,'Logical Group Generator'!C358)),"No","Yes")</f>
        <v>No</v>
      </c>
      <c r="O358" s="117" t="str">
        <f>IF(NOT(ISBLANK(INDEX('register map'!N:N,'Logical Group Generator'!C358))),"Yes","")</f>
        <v/>
      </c>
      <c r="P358" s="117" t="str">
        <f t="shared" si="56"/>
        <v/>
      </c>
      <c r="Q358" s="117" t="str">
        <f t="shared" si="57"/>
        <v/>
      </c>
      <c r="R358" s="117" t="str">
        <f t="shared" si="58"/>
        <v/>
      </c>
      <c r="S358" s="117" t="str">
        <f t="shared" si="59"/>
        <v>No</v>
      </c>
      <c r="T358" s="117" t="str">
        <f t="shared" si="60"/>
        <v/>
      </c>
      <c r="U358" s="117" t="b">
        <f t="shared" si="64"/>
        <v>0</v>
      </c>
      <c r="V358" s="157" t="b">
        <f>INDEX('register map'!P:P,C358)="yes"</f>
        <v>1</v>
      </c>
      <c r="W358" s="157" t="str">
        <f t="shared" si="61"/>
        <v>FALSE</v>
      </c>
    </row>
    <row r="359" spans="2:23">
      <c r="B359" s="157" t="str">
        <f t="array" ref="B359">IF(ROWS($3:359)&lt;=COUNTA('register map'!$L$5:$L$902),INDEX('register map'!$L$5:$L$902,SMALL(IF('register map'!$L$5:$L$902&lt;&gt;"",ROW('register map'!$L$5:$L$902)-MIN(ROW('register map'!$L$5:$L$902))+1),ROWS($3:359))),"")</f>
        <v>OTP_RSVD_38_11_432</v>
      </c>
      <c r="C359" s="157">
        <f>IF(B359="PART_NUMBER",IF(COUNTIF($B$1:B358,"PART_NUMBER")=0,6,8),MATCH(B359,'register map'!L:L,0))</f>
        <v>463</v>
      </c>
      <c r="D359" s="117" t="str">
        <f>IF(ISBLANK(INDEX('register map'!C:C,'Logical Group Generator'!C359)),"No","Yes")</f>
        <v>No</v>
      </c>
      <c r="E359" s="117" t="str">
        <f>IF(ISBLANK(INDEX('register map'!A:A,C359)),IF(ISBLANK(INDEX('register map'!A:A,C359-1)),IF(ISBLANK(INDEX('register map'!A:A,C359-2)),IF(ISBLANK(INDEX('register map'!A:A,C359-3)),IF(ISBLANK(INDEX('register map'!A:A,C359-4)),IF(ISBLANK(INDEX('register map'!A:A,C359-5)),IF(ISBLANK(INDEX('register map'!A:A,C359-6)),IF(ISBLANK(INDEX('register map'!A:A,C359-7)),IF(ISBLANK(INDEX('register map'!A:A,C359-8)),"ERROR",INDEX('register map'!A:A,C359-8)),INDEX('register map'!A:A,C359-7)),INDEX('register map'!A:A,C359-6)),INDEX('register map'!A:A,C359-5)),INDEX('register map'!A:A,C359-4)),INDEX('register map'!A:A,C359-3)),INDEX('register map'!A:A,C359-2)),INDEX('register map'!A:A,C359-1)),INDEX('register map'!A:A,C359))</f>
        <v>0x38</v>
      </c>
      <c r="F359" s="117" t="str">
        <f>IF(ISBLANK(INDEX('register map'!B:B,C359)),IF(ISBLANK(INDEX('register map'!B:B,C359-1)),IF(ISBLANK(INDEX('register map'!B:B,C359-2)),IF(ISBLANK(INDEX('register map'!B:B,C359-3)),IF(ISBLANK(INDEX('register map'!B:B,C359-4)),IF(ISBLANK(INDEX('register map'!B:B,C359-5)),IF(ISBLANK(INDEX('register map'!B:B,C359-6)),IF(ISBLANK(INDEX('register map'!B:B,C359-7)),IF(ISBLANK(INDEX('register map'!B:B,C359-8)),"ERROR",INDEX('register map'!B:B,C359-8)),INDEX('register map'!B:B,C359-7)),INDEX('register map'!B:B,C359-6)),INDEX('register map'!B:B,C359-5)),INDEX('register map'!B:B,C359-4)),INDEX('register map'!B:B,C359-3)),INDEX('register map'!B:B,C359-2)),INDEX('register map'!B:B,C359-1)),INDEX('register map'!B:B,C359))</f>
        <v>0x11</v>
      </c>
      <c r="G359" s="117" t="str">
        <f>CONCATENATE(IF(ISNUMBER(INDEX('register map'!D:D,C359)),7,""),IF(ISNUMBER(INDEX('register map'!E:E,C359)),6,""),IF(ISNUMBER(INDEX('register map'!F:F,C359)),5,""),IF(ISNUMBER(INDEX('register map'!G:G,C359)),4,""),IF(ISNUMBER(INDEX('register map'!H:H,C359)),3,""),IF(ISNUMBER(INDEX('register map'!I:I,C359)),2,""),IF(ISNUMBER(INDEX('register map'!J:J,C359)),1,""),IF(ISNUMBER(INDEX('register map'!K:K,C359)),0,""))</f>
        <v>432</v>
      </c>
      <c r="H359" s="117" t="str">
        <f>RIGHT(INDEX('register map'!V:V,MATCH('Logical Group Generator'!B359,'register map'!L:L,0)),LEN(G359))</f>
        <v>000</v>
      </c>
      <c r="I359" s="117" t="str">
        <f>CONCATENATE(IF(ISNUMBER(INDEX('register map'!K:K,C359)),0,""),IF(ISNUMBER(INDEX('register map'!J:J,C359)),1,""),IF(ISNUMBER(INDEX('register map'!I:I,C359)),2,""),IF(ISNUMBER(INDEX('register map'!H:H,C359)),3,""),IF(ISNUMBER(INDEX('register map'!G:G,C359)),4,""),IF(ISNUMBER(INDEX('register map'!F:F,C359)),5,""),IF(ISNUMBER(INDEX('register map'!E:E,C359)),6,""),IF(ISNUMBER(INDEX('register map'!D:D,C359)),7,""))</f>
        <v>234</v>
      </c>
      <c r="J359" s="117" t="str">
        <f t="shared" si="62"/>
        <v>000</v>
      </c>
      <c r="K359" s="117" t="str">
        <f t="shared" si="55"/>
        <v/>
      </c>
      <c r="L359" s="117" t="str">
        <f t="shared" si="63"/>
        <v/>
      </c>
      <c r="M359" s="117" t="str">
        <f t="shared" si="65"/>
        <v/>
      </c>
      <c r="N359" s="117" t="str">
        <f>IF(ISBLANK(INDEX('register map'!M:M,'Logical Group Generator'!C359)),"No","Yes")</f>
        <v>No</v>
      </c>
      <c r="O359" s="117" t="str">
        <f>IF(NOT(ISBLANK(INDEX('register map'!N:N,'Logical Group Generator'!C359))),"Yes","")</f>
        <v/>
      </c>
      <c r="P359" s="117" t="str">
        <f t="shared" si="56"/>
        <v/>
      </c>
      <c r="Q359" s="117" t="str">
        <f t="shared" si="57"/>
        <v/>
      </c>
      <c r="R359" s="117" t="str">
        <f t="shared" si="58"/>
        <v/>
      </c>
      <c r="S359" s="117" t="str">
        <f t="shared" si="59"/>
        <v>No</v>
      </c>
      <c r="T359" s="117" t="str">
        <f t="shared" si="60"/>
        <v/>
      </c>
      <c r="U359" s="117" t="b">
        <f t="shared" si="64"/>
        <v>0</v>
      </c>
      <c r="V359" s="157" t="b">
        <f>INDEX('register map'!P:P,C359)="yes"</f>
        <v>1</v>
      </c>
      <c r="W359" s="157" t="str">
        <f t="shared" si="61"/>
        <v>FALSE</v>
      </c>
    </row>
    <row r="360" spans="2:23">
      <c r="B360" s="157" t="str">
        <f t="array" ref="B360">IF(ROWS($3:360)&lt;=COUNTA('register map'!$L$5:$L$902),INDEX('register map'!$L$5:$L$902,SMALL(IF('register map'!$L$5:$L$902&lt;&gt;"",ROW('register map'!$L$5:$L$902)-MIN(ROW('register map'!$L$5:$L$902))+1),ROWS($3:360))),"")</f>
        <v>OTP_RSVD_38_11_65</v>
      </c>
      <c r="C360" s="157">
        <f>IF(B360="PART_NUMBER",IF(COUNTIF($B$1:B359,"PART_NUMBER")=0,6,8),MATCH(B360,'register map'!L:L,0))</f>
        <v>464</v>
      </c>
      <c r="D360" s="117" t="str">
        <f>IF(ISBLANK(INDEX('register map'!C:C,'Logical Group Generator'!C360)),"No","Yes")</f>
        <v>No</v>
      </c>
      <c r="E360" s="117" t="str">
        <f>IF(ISBLANK(INDEX('register map'!A:A,C360)),IF(ISBLANK(INDEX('register map'!A:A,C360-1)),IF(ISBLANK(INDEX('register map'!A:A,C360-2)),IF(ISBLANK(INDEX('register map'!A:A,C360-3)),IF(ISBLANK(INDEX('register map'!A:A,C360-4)),IF(ISBLANK(INDEX('register map'!A:A,C360-5)),IF(ISBLANK(INDEX('register map'!A:A,C360-6)),IF(ISBLANK(INDEX('register map'!A:A,C360-7)),IF(ISBLANK(INDEX('register map'!A:A,C360-8)),"ERROR",INDEX('register map'!A:A,C360-8)),INDEX('register map'!A:A,C360-7)),INDEX('register map'!A:A,C360-6)),INDEX('register map'!A:A,C360-5)),INDEX('register map'!A:A,C360-4)),INDEX('register map'!A:A,C360-3)),INDEX('register map'!A:A,C360-2)),INDEX('register map'!A:A,C360-1)),INDEX('register map'!A:A,C360))</f>
        <v>0x38</v>
      </c>
      <c r="F360" s="117" t="str">
        <f>IF(ISBLANK(INDEX('register map'!B:B,C360)),IF(ISBLANK(INDEX('register map'!B:B,C360-1)),IF(ISBLANK(INDEX('register map'!B:B,C360-2)),IF(ISBLANK(INDEX('register map'!B:B,C360-3)),IF(ISBLANK(INDEX('register map'!B:B,C360-4)),IF(ISBLANK(INDEX('register map'!B:B,C360-5)),IF(ISBLANK(INDEX('register map'!B:B,C360-6)),IF(ISBLANK(INDEX('register map'!B:B,C360-7)),IF(ISBLANK(INDEX('register map'!B:B,C360-8)),"ERROR",INDEX('register map'!B:B,C360-8)),INDEX('register map'!B:B,C360-7)),INDEX('register map'!B:B,C360-6)),INDEX('register map'!B:B,C360-5)),INDEX('register map'!B:B,C360-4)),INDEX('register map'!B:B,C360-3)),INDEX('register map'!B:B,C360-2)),INDEX('register map'!B:B,C360-1)),INDEX('register map'!B:B,C360))</f>
        <v>0x11</v>
      </c>
      <c r="G360" s="117" t="str">
        <f>CONCATENATE(IF(ISNUMBER(INDEX('register map'!D:D,C360)),7,""),IF(ISNUMBER(INDEX('register map'!E:E,C360)),6,""),IF(ISNUMBER(INDEX('register map'!F:F,C360)),5,""),IF(ISNUMBER(INDEX('register map'!G:G,C360)),4,""),IF(ISNUMBER(INDEX('register map'!H:H,C360)),3,""),IF(ISNUMBER(INDEX('register map'!I:I,C360)),2,""),IF(ISNUMBER(INDEX('register map'!J:J,C360)),1,""),IF(ISNUMBER(INDEX('register map'!K:K,C360)),0,""))</f>
        <v>65</v>
      </c>
      <c r="H360" s="117" t="str">
        <f>RIGHT(INDEX('register map'!V:V,MATCH('Logical Group Generator'!B360,'register map'!L:L,0)),LEN(G360))</f>
        <v>11</v>
      </c>
      <c r="I360" s="117" t="str">
        <f>CONCATENATE(IF(ISNUMBER(INDEX('register map'!K:K,C360)),0,""),IF(ISNUMBER(INDEX('register map'!J:J,C360)),1,""),IF(ISNUMBER(INDEX('register map'!I:I,C360)),2,""),IF(ISNUMBER(INDEX('register map'!H:H,C360)),3,""),IF(ISNUMBER(INDEX('register map'!G:G,C360)),4,""),IF(ISNUMBER(INDEX('register map'!F:F,C360)),5,""),IF(ISNUMBER(INDEX('register map'!E:E,C360)),6,""),IF(ISNUMBER(INDEX('register map'!D:D,C360)),7,""))</f>
        <v>56</v>
      </c>
      <c r="J360" s="117" t="str">
        <f t="shared" si="62"/>
        <v>11</v>
      </c>
      <c r="K360" s="117" t="str">
        <f t="shared" si="55"/>
        <v/>
      </c>
      <c r="L360" s="117" t="str">
        <f t="shared" si="63"/>
        <v/>
      </c>
      <c r="M360" s="117" t="str">
        <f t="shared" si="65"/>
        <v/>
      </c>
      <c r="N360" s="117" t="str">
        <f>IF(ISBLANK(INDEX('register map'!M:M,'Logical Group Generator'!C360)),"No","Yes")</f>
        <v>No</v>
      </c>
      <c r="O360" s="117" t="str">
        <f>IF(NOT(ISBLANK(INDEX('register map'!N:N,'Logical Group Generator'!C360))),"Yes","")</f>
        <v/>
      </c>
      <c r="P360" s="117" t="str">
        <f t="shared" si="56"/>
        <v/>
      </c>
      <c r="Q360" s="117" t="str">
        <f t="shared" si="57"/>
        <v/>
      </c>
      <c r="R360" s="117" t="str">
        <f t="shared" si="58"/>
        <v/>
      </c>
      <c r="S360" s="117" t="str">
        <f t="shared" si="59"/>
        <v>No</v>
      </c>
      <c r="T360" s="117" t="str">
        <f t="shared" si="60"/>
        <v/>
      </c>
      <c r="U360" s="117" t="b">
        <f t="shared" si="64"/>
        <v>0</v>
      </c>
      <c r="V360" s="157" t="b">
        <f>INDEX('register map'!P:P,C360)="yes"</f>
        <v>1</v>
      </c>
      <c r="W360" s="157" t="str">
        <f t="shared" si="61"/>
        <v>FALSE</v>
      </c>
    </row>
    <row r="361" spans="2:23">
      <c r="B361" s="157" t="str">
        <f t="array" ref="B361">IF(ROWS($3:361)&lt;=COUNTA('register map'!$L$5:$L$902),INDEX('register map'!$L$5:$L$902,SMALL(IF('register map'!$L$5:$L$902&lt;&gt;"",ROW('register map'!$L$5:$L$902)-MIN(ROW('register map'!$L$5:$L$902))+1),ROWS($3:361))),"")</f>
        <v>OTP_RSVD_38_11_7</v>
      </c>
      <c r="C361" s="157">
        <f>IF(B361="PART_NUMBER",IF(COUNTIF($B$1:B360,"PART_NUMBER")=0,6,8),MATCH(B361,'register map'!L:L,0))</f>
        <v>465</v>
      </c>
      <c r="D361" s="117" t="str">
        <f>IF(ISBLANK(INDEX('register map'!C:C,'Logical Group Generator'!C361)),"No","Yes")</f>
        <v>No</v>
      </c>
      <c r="E361" s="117" t="str">
        <f>IF(ISBLANK(INDEX('register map'!A:A,C361)),IF(ISBLANK(INDEX('register map'!A:A,C361-1)),IF(ISBLANK(INDEX('register map'!A:A,C361-2)),IF(ISBLANK(INDEX('register map'!A:A,C361-3)),IF(ISBLANK(INDEX('register map'!A:A,C361-4)),IF(ISBLANK(INDEX('register map'!A:A,C361-5)),IF(ISBLANK(INDEX('register map'!A:A,C361-6)),IF(ISBLANK(INDEX('register map'!A:A,C361-7)),IF(ISBLANK(INDEX('register map'!A:A,C361-8)),"ERROR",INDEX('register map'!A:A,C361-8)),INDEX('register map'!A:A,C361-7)),INDEX('register map'!A:A,C361-6)),INDEX('register map'!A:A,C361-5)),INDEX('register map'!A:A,C361-4)),INDEX('register map'!A:A,C361-3)),INDEX('register map'!A:A,C361-2)),INDEX('register map'!A:A,C361-1)),INDEX('register map'!A:A,C361))</f>
        <v>0x38</v>
      </c>
      <c r="F361" s="117" t="str">
        <f>IF(ISBLANK(INDEX('register map'!B:B,C361)),IF(ISBLANK(INDEX('register map'!B:B,C361-1)),IF(ISBLANK(INDEX('register map'!B:B,C361-2)),IF(ISBLANK(INDEX('register map'!B:B,C361-3)),IF(ISBLANK(INDEX('register map'!B:B,C361-4)),IF(ISBLANK(INDEX('register map'!B:B,C361-5)),IF(ISBLANK(INDEX('register map'!B:B,C361-6)),IF(ISBLANK(INDEX('register map'!B:B,C361-7)),IF(ISBLANK(INDEX('register map'!B:B,C361-8)),"ERROR",INDEX('register map'!B:B,C361-8)),INDEX('register map'!B:B,C361-7)),INDEX('register map'!B:B,C361-6)),INDEX('register map'!B:B,C361-5)),INDEX('register map'!B:B,C361-4)),INDEX('register map'!B:B,C361-3)),INDEX('register map'!B:B,C361-2)),INDEX('register map'!B:B,C361-1)),INDEX('register map'!B:B,C361))</f>
        <v>0x11</v>
      </c>
      <c r="G361" s="117" t="str">
        <f>CONCATENATE(IF(ISNUMBER(INDEX('register map'!D:D,C361)),7,""),IF(ISNUMBER(INDEX('register map'!E:E,C361)),6,""),IF(ISNUMBER(INDEX('register map'!F:F,C361)),5,""),IF(ISNUMBER(INDEX('register map'!G:G,C361)),4,""),IF(ISNUMBER(INDEX('register map'!H:H,C361)),3,""),IF(ISNUMBER(INDEX('register map'!I:I,C361)),2,""),IF(ISNUMBER(INDEX('register map'!J:J,C361)),1,""),IF(ISNUMBER(INDEX('register map'!K:K,C361)),0,""))</f>
        <v>7</v>
      </c>
      <c r="H361" s="117" t="str">
        <f>RIGHT(INDEX('register map'!V:V,MATCH('Logical Group Generator'!B361,'register map'!L:L,0)),LEN(G361))</f>
        <v>1</v>
      </c>
      <c r="I361" s="117" t="str">
        <f>CONCATENATE(IF(ISNUMBER(INDEX('register map'!K:K,C361)),0,""),IF(ISNUMBER(INDEX('register map'!J:J,C361)),1,""),IF(ISNUMBER(INDEX('register map'!I:I,C361)),2,""),IF(ISNUMBER(INDEX('register map'!H:H,C361)),3,""),IF(ISNUMBER(INDEX('register map'!G:G,C361)),4,""),IF(ISNUMBER(INDEX('register map'!F:F,C361)),5,""),IF(ISNUMBER(INDEX('register map'!E:E,C361)),6,""),IF(ISNUMBER(INDEX('register map'!D:D,C361)),7,""))</f>
        <v>7</v>
      </c>
      <c r="J361" s="117" t="str">
        <f t="shared" si="62"/>
        <v>1</v>
      </c>
      <c r="K361" s="117" t="str">
        <f t="shared" si="55"/>
        <v/>
      </c>
      <c r="L361" s="117" t="str">
        <f t="shared" si="63"/>
        <v/>
      </c>
      <c r="M361" s="117" t="str">
        <f t="shared" si="65"/>
        <v/>
      </c>
      <c r="N361" s="117" t="str">
        <f>IF(ISBLANK(INDEX('register map'!M:M,'Logical Group Generator'!C361)),"No","Yes")</f>
        <v>No</v>
      </c>
      <c r="O361" s="117" t="str">
        <f>IF(NOT(ISBLANK(INDEX('register map'!N:N,'Logical Group Generator'!C361))),"Yes","")</f>
        <v/>
      </c>
      <c r="P361" s="117" t="str">
        <f t="shared" si="56"/>
        <v/>
      </c>
      <c r="Q361" s="117" t="str">
        <f t="shared" si="57"/>
        <v/>
      </c>
      <c r="R361" s="117" t="str">
        <f t="shared" si="58"/>
        <v/>
      </c>
      <c r="S361" s="117" t="str">
        <f t="shared" si="59"/>
        <v>No</v>
      </c>
      <c r="T361" s="117" t="str">
        <f t="shared" si="60"/>
        <v/>
      </c>
      <c r="U361" s="117" t="b">
        <f t="shared" si="64"/>
        <v>0</v>
      </c>
      <c r="V361" s="157" t="b">
        <f>INDEX('register map'!P:P,C361)="yes"</f>
        <v>1</v>
      </c>
      <c r="W361" s="157" t="str">
        <f t="shared" si="61"/>
        <v>FALSE</v>
      </c>
    </row>
    <row r="362" spans="2:23">
      <c r="B362" s="157" t="str">
        <f t="array" ref="B362">IF(ROWS($3:362)&lt;=COUNTA('register map'!$L$5:$L$902),INDEX('register map'!$L$5:$L$902,SMALL(IF('register map'!$L$5:$L$902&lt;&gt;"",ROW('register map'!$L$5:$L$902)-MIN(ROW('register map'!$L$5:$L$902))+1),ROWS($3:362))),"")</f>
        <v>BUCK4_CTRL_EN3</v>
      </c>
      <c r="C362" s="157">
        <f>IF(B362="PART_NUMBER",IF(COUNTIF($B$1:B361,"PART_NUMBER")=0,6,8),MATCH(B362,'register map'!L:L,0))</f>
        <v>466</v>
      </c>
      <c r="D362" s="117" t="str">
        <f>IF(ISBLANK(INDEX('register map'!C:C,'Logical Group Generator'!C362)),"No","Yes")</f>
        <v>Yes</v>
      </c>
      <c r="E362" s="117" t="str">
        <f>IF(ISBLANK(INDEX('register map'!A:A,C362)),IF(ISBLANK(INDEX('register map'!A:A,C362-1)),IF(ISBLANK(INDEX('register map'!A:A,C362-2)),IF(ISBLANK(INDEX('register map'!A:A,C362-3)),IF(ISBLANK(INDEX('register map'!A:A,C362-4)),IF(ISBLANK(INDEX('register map'!A:A,C362-5)),IF(ISBLANK(INDEX('register map'!A:A,C362-6)),IF(ISBLANK(INDEX('register map'!A:A,C362-7)),IF(ISBLANK(INDEX('register map'!A:A,C362-8)),"ERROR",INDEX('register map'!A:A,C362-8)),INDEX('register map'!A:A,C362-7)),INDEX('register map'!A:A,C362-6)),INDEX('register map'!A:A,C362-5)),INDEX('register map'!A:A,C362-4)),INDEX('register map'!A:A,C362-3)),INDEX('register map'!A:A,C362-2)),INDEX('register map'!A:A,C362-1)),INDEX('register map'!A:A,C362))</f>
        <v>0x38</v>
      </c>
      <c r="F362" s="117" t="str">
        <f>IF(ISBLANK(INDEX('register map'!B:B,C362)),IF(ISBLANK(INDEX('register map'!B:B,C362-1)),IF(ISBLANK(INDEX('register map'!B:B,C362-2)),IF(ISBLANK(INDEX('register map'!B:B,C362-3)),IF(ISBLANK(INDEX('register map'!B:B,C362-4)),IF(ISBLANK(INDEX('register map'!B:B,C362-5)),IF(ISBLANK(INDEX('register map'!B:B,C362-6)),IF(ISBLANK(INDEX('register map'!B:B,C362-7)),IF(ISBLANK(INDEX('register map'!B:B,C362-8)),"ERROR",INDEX('register map'!B:B,C362-8)),INDEX('register map'!B:B,C362-7)),INDEX('register map'!B:B,C362-6)),INDEX('register map'!B:B,C362-5)),INDEX('register map'!B:B,C362-4)),INDEX('register map'!B:B,C362-3)),INDEX('register map'!B:B,C362-2)),INDEX('register map'!B:B,C362-1)),INDEX('register map'!B:B,C362))</f>
        <v>0x12</v>
      </c>
      <c r="G362" s="117" t="str">
        <f>CONCATENATE(IF(ISNUMBER(INDEX('register map'!D:D,C362)),7,""),IF(ISNUMBER(INDEX('register map'!E:E,C362)),6,""),IF(ISNUMBER(INDEX('register map'!F:F,C362)),5,""),IF(ISNUMBER(INDEX('register map'!G:G,C362)),4,""),IF(ISNUMBER(INDEX('register map'!H:H,C362)),3,""),IF(ISNUMBER(INDEX('register map'!I:I,C362)),2,""),IF(ISNUMBER(INDEX('register map'!J:J,C362)),1,""),IF(ISNUMBER(INDEX('register map'!K:K,C362)),0,""))</f>
        <v/>
      </c>
      <c r="H362" s="117" t="str">
        <f>RIGHT(INDEX('register map'!V:V,MATCH('Logical Group Generator'!B362,'register map'!L:L,0)),LEN(G362))</f>
        <v/>
      </c>
      <c r="I362" s="117" t="str">
        <f>CONCATENATE(IF(ISNUMBER(INDEX('register map'!K:K,C362)),0,""),IF(ISNUMBER(INDEX('register map'!J:J,C362)),1,""),IF(ISNUMBER(INDEX('register map'!I:I,C362)),2,""),IF(ISNUMBER(INDEX('register map'!H:H,C362)),3,""),IF(ISNUMBER(INDEX('register map'!G:G,C362)),4,""),IF(ISNUMBER(INDEX('register map'!F:F,C362)),5,""),IF(ISNUMBER(INDEX('register map'!E:E,C362)),6,""),IF(ISNUMBER(INDEX('register map'!D:D,C362)),7,""))</f>
        <v/>
      </c>
      <c r="J362" s="117" t="str">
        <f t="shared" si="62"/>
        <v/>
      </c>
      <c r="K362" s="117" t="str">
        <f t="shared" si="55"/>
        <v>00100100</v>
      </c>
      <c r="L362" s="117" t="str">
        <f t="shared" si="63"/>
        <v>00100100</v>
      </c>
      <c r="M362" s="117" t="str">
        <f t="shared" si="65"/>
        <v>24</v>
      </c>
      <c r="N362" s="117" t="str">
        <f>IF(ISBLANK(INDEX('register map'!M:M,'Logical Group Generator'!C362)),"No","Yes")</f>
        <v>No</v>
      </c>
      <c r="O362" s="117" t="str">
        <f>IF(NOT(ISBLANK(INDEX('register map'!N:N,'Logical Group Generator'!C362))),"Yes","")</f>
        <v/>
      </c>
      <c r="P362" s="117" t="str">
        <f t="shared" si="56"/>
        <v>No</v>
      </c>
      <c r="Q362" s="117" t="str">
        <f t="shared" si="57"/>
        <v>No</v>
      </c>
      <c r="R362" s="117" t="str">
        <f t="shared" si="58"/>
        <v>No</v>
      </c>
      <c r="S362" s="117" t="str">
        <f t="shared" si="59"/>
        <v/>
      </c>
      <c r="T362" s="117" t="b">
        <f t="shared" si="60"/>
        <v>1</v>
      </c>
      <c r="U362" s="117" t="b">
        <f t="shared" si="64"/>
        <v>1</v>
      </c>
      <c r="V362" s="157" t="b">
        <f>INDEX('register map'!P:P,C362)="yes"</f>
        <v>1</v>
      </c>
      <c r="W362" s="157" t="str">
        <f t="shared" si="61"/>
        <v>REGISTER</v>
      </c>
    </row>
    <row r="363" spans="2:23">
      <c r="B363" s="157" t="str">
        <f t="array" ref="B363">IF(ROWS($3:363)&lt;=COUNTA('register map'!$L$5:$L$902),INDEX('register map'!$L$5:$L$902,SMALL(IF('register map'!$L$5:$L$902&lt;&gt;"",ROW('register map'!$L$5:$L$902)-MIN(ROW('register map'!$L$5:$L$902))+1),ROWS($3:363))),"")</f>
        <v>OTP_RSVD_38_12_210</v>
      </c>
      <c r="C363" s="157">
        <f>IF(B363="PART_NUMBER",IF(COUNTIF($B$1:B362,"PART_NUMBER")=0,6,8),MATCH(B363,'register map'!L:L,0))</f>
        <v>467</v>
      </c>
      <c r="D363" s="117" t="str">
        <f>IF(ISBLANK(INDEX('register map'!C:C,'Logical Group Generator'!C363)),"No","Yes")</f>
        <v>No</v>
      </c>
      <c r="E363" s="117" t="str">
        <f>IF(ISBLANK(INDEX('register map'!A:A,C363)),IF(ISBLANK(INDEX('register map'!A:A,C363-1)),IF(ISBLANK(INDEX('register map'!A:A,C363-2)),IF(ISBLANK(INDEX('register map'!A:A,C363-3)),IF(ISBLANK(INDEX('register map'!A:A,C363-4)),IF(ISBLANK(INDEX('register map'!A:A,C363-5)),IF(ISBLANK(INDEX('register map'!A:A,C363-6)),IF(ISBLANK(INDEX('register map'!A:A,C363-7)),IF(ISBLANK(INDEX('register map'!A:A,C363-8)),"ERROR",INDEX('register map'!A:A,C363-8)),INDEX('register map'!A:A,C363-7)),INDEX('register map'!A:A,C363-6)),INDEX('register map'!A:A,C363-5)),INDEX('register map'!A:A,C363-4)),INDEX('register map'!A:A,C363-3)),INDEX('register map'!A:A,C363-2)),INDEX('register map'!A:A,C363-1)),INDEX('register map'!A:A,C363))</f>
        <v>0x38</v>
      </c>
      <c r="F363" s="117" t="str">
        <f>IF(ISBLANK(INDEX('register map'!B:B,C363)),IF(ISBLANK(INDEX('register map'!B:B,C363-1)),IF(ISBLANK(INDEX('register map'!B:B,C363-2)),IF(ISBLANK(INDEX('register map'!B:B,C363-3)),IF(ISBLANK(INDEX('register map'!B:B,C363-4)),IF(ISBLANK(INDEX('register map'!B:B,C363-5)),IF(ISBLANK(INDEX('register map'!B:B,C363-6)),IF(ISBLANK(INDEX('register map'!B:B,C363-7)),IF(ISBLANK(INDEX('register map'!B:B,C363-8)),"ERROR",INDEX('register map'!B:B,C363-8)),INDEX('register map'!B:B,C363-7)),INDEX('register map'!B:B,C363-6)),INDEX('register map'!B:B,C363-5)),INDEX('register map'!B:B,C363-4)),INDEX('register map'!B:B,C363-3)),INDEX('register map'!B:B,C363-2)),INDEX('register map'!B:B,C363-1)),INDEX('register map'!B:B,C363))</f>
        <v>0x12</v>
      </c>
      <c r="G363" s="117" t="str">
        <f>CONCATENATE(IF(ISNUMBER(INDEX('register map'!D:D,C363)),7,""),IF(ISNUMBER(INDEX('register map'!E:E,C363)),6,""),IF(ISNUMBER(INDEX('register map'!F:F,C363)),5,""),IF(ISNUMBER(INDEX('register map'!G:G,C363)),4,""),IF(ISNUMBER(INDEX('register map'!H:H,C363)),3,""),IF(ISNUMBER(INDEX('register map'!I:I,C363)),2,""),IF(ISNUMBER(INDEX('register map'!J:J,C363)),1,""),IF(ISNUMBER(INDEX('register map'!K:K,C363)),0,""))</f>
        <v>210</v>
      </c>
      <c r="H363" s="117" t="str">
        <f>RIGHT(INDEX('register map'!V:V,MATCH('Logical Group Generator'!B363,'register map'!L:L,0)),LEN(G363))</f>
        <v>100</v>
      </c>
      <c r="I363" s="117" t="str">
        <f>CONCATENATE(IF(ISNUMBER(INDEX('register map'!K:K,C363)),0,""),IF(ISNUMBER(INDEX('register map'!J:J,C363)),1,""),IF(ISNUMBER(INDEX('register map'!I:I,C363)),2,""),IF(ISNUMBER(INDEX('register map'!H:H,C363)),3,""),IF(ISNUMBER(INDEX('register map'!G:G,C363)),4,""),IF(ISNUMBER(INDEX('register map'!F:F,C363)),5,""),IF(ISNUMBER(INDEX('register map'!E:E,C363)),6,""),IF(ISNUMBER(INDEX('register map'!D:D,C363)),7,""))</f>
        <v>012</v>
      </c>
      <c r="J363" s="117" t="str">
        <f t="shared" si="62"/>
        <v>001</v>
      </c>
      <c r="K363" s="117" t="str">
        <f t="shared" si="55"/>
        <v/>
      </c>
      <c r="L363" s="117" t="str">
        <f t="shared" si="63"/>
        <v/>
      </c>
      <c r="M363" s="117" t="str">
        <f t="shared" si="65"/>
        <v/>
      </c>
      <c r="N363" s="117" t="str">
        <f>IF(ISBLANK(INDEX('register map'!M:M,'Logical Group Generator'!C363)),"No","Yes")</f>
        <v>No</v>
      </c>
      <c r="O363" s="117" t="str">
        <f>IF(NOT(ISBLANK(INDEX('register map'!N:N,'Logical Group Generator'!C363))),"Yes","")</f>
        <v/>
      </c>
      <c r="P363" s="117" t="str">
        <f t="shared" si="56"/>
        <v/>
      </c>
      <c r="Q363" s="117" t="str">
        <f t="shared" si="57"/>
        <v/>
      </c>
      <c r="R363" s="117" t="str">
        <f t="shared" si="58"/>
        <v/>
      </c>
      <c r="S363" s="117" t="str">
        <f t="shared" si="59"/>
        <v>No</v>
      </c>
      <c r="T363" s="117" t="str">
        <f t="shared" si="60"/>
        <v/>
      </c>
      <c r="U363" s="117" t="b">
        <f t="shared" si="64"/>
        <v>0</v>
      </c>
      <c r="V363" s="157" t="b">
        <f>INDEX('register map'!P:P,C363)="yes"</f>
        <v>1</v>
      </c>
      <c r="W363" s="157" t="str">
        <f t="shared" si="61"/>
        <v>FALSE</v>
      </c>
    </row>
    <row r="364" spans="2:23">
      <c r="B364" s="157" t="str">
        <f t="array" ref="B364">IF(ROWS($3:364)&lt;=COUNTA('register map'!$L$5:$L$902),INDEX('register map'!$L$5:$L$902,SMALL(IF('register map'!$L$5:$L$902&lt;&gt;"",ROW('register map'!$L$5:$L$902)-MIN(ROW('register map'!$L$5:$L$902))+1),ROWS($3:364))),"")</f>
        <v>OTP_RSVD_38_12_543</v>
      </c>
      <c r="C364" s="157">
        <f>IF(B364="PART_NUMBER",IF(COUNTIF($B$1:B363,"PART_NUMBER")=0,6,8),MATCH(B364,'register map'!L:L,0))</f>
        <v>468</v>
      </c>
      <c r="D364" s="117" t="str">
        <f>IF(ISBLANK(INDEX('register map'!C:C,'Logical Group Generator'!C364)),"No","Yes")</f>
        <v>No</v>
      </c>
      <c r="E364" s="117" t="str">
        <f>IF(ISBLANK(INDEX('register map'!A:A,C364)),IF(ISBLANK(INDEX('register map'!A:A,C364-1)),IF(ISBLANK(INDEX('register map'!A:A,C364-2)),IF(ISBLANK(INDEX('register map'!A:A,C364-3)),IF(ISBLANK(INDEX('register map'!A:A,C364-4)),IF(ISBLANK(INDEX('register map'!A:A,C364-5)),IF(ISBLANK(INDEX('register map'!A:A,C364-6)),IF(ISBLANK(INDEX('register map'!A:A,C364-7)),IF(ISBLANK(INDEX('register map'!A:A,C364-8)),"ERROR",INDEX('register map'!A:A,C364-8)),INDEX('register map'!A:A,C364-7)),INDEX('register map'!A:A,C364-6)),INDEX('register map'!A:A,C364-5)),INDEX('register map'!A:A,C364-4)),INDEX('register map'!A:A,C364-3)),INDEX('register map'!A:A,C364-2)),INDEX('register map'!A:A,C364-1)),INDEX('register map'!A:A,C364))</f>
        <v>0x38</v>
      </c>
      <c r="F364" s="117" t="str">
        <f>IF(ISBLANK(INDEX('register map'!B:B,C364)),IF(ISBLANK(INDEX('register map'!B:B,C364-1)),IF(ISBLANK(INDEX('register map'!B:B,C364-2)),IF(ISBLANK(INDEX('register map'!B:B,C364-3)),IF(ISBLANK(INDEX('register map'!B:B,C364-4)),IF(ISBLANK(INDEX('register map'!B:B,C364-5)),IF(ISBLANK(INDEX('register map'!B:B,C364-6)),IF(ISBLANK(INDEX('register map'!B:B,C364-7)),IF(ISBLANK(INDEX('register map'!B:B,C364-8)),"ERROR",INDEX('register map'!B:B,C364-8)),INDEX('register map'!B:B,C364-7)),INDEX('register map'!B:B,C364-6)),INDEX('register map'!B:B,C364-5)),INDEX('register map'!B:B,C364-4)),INDEX('register map'!B:B,C364-3)),INDEX('register map'!B:B,C364-2)),INDEX('register map'!B:B,C364-1)),INDEX('register map'!B:B,C364))</f>
        <v>0x12</v>
      </c>
      <c r="G364" s="117" t="str">
        <f>CONCATENATE(IF(ISNUMBER(INDEX('register map'!D:D,C364)),7,""),IF(ISNUMBER(INDEX('register map'!E:E,C364)),6,""),IF(ISNUMBER(INDEX('register map'!F:F,C364)),5,""),IF(ISNUMBER(INDEX('register map'!G:G,C364)),4,""),IF(ISNUMBER(INDEX('register map'!H:H,C364)),3,""),IF(ISNUMBER(INDEX('register map'!I:I,C364)),2,""),IF(ISNUMBER(INDEX('register map'!J:J,C364)),1,""),IF(ISNUMBER(INDEX('register map'!K:K,C364)),0,""))</f>
        <v>543</v>
      </c>
      <c r="H364" s="117" t="str">
        <f>RIGHT(INDEX('register map'!V:V,MATCH('Logical Group Generator'!B364,'register map'!L:L,0)),LEN(G364))</f>
        <v>100</v>
      </c>
      <c r="I364" s="117" t="str">
        <f>CONCATENATE(IF(ISNUMBER(INDEX('register map'!K:K,C364)),0,""),IF(ISNUMBER(INDEX('register map'!J:J,C364)),1,""),IF(ISNUMBER(INDEX('register map'!I:I,C364)),2,""),IF(ISNUMBER(INDEX('register map'!H:H,C364)),3,""),IF(ISNUMBER(INDEX('register map'!G:G,C364)),4,""),IF(ISNUMBER(INDEX('register map'!F:F,C364)),5,""),IF(ISNUMBER(INDEX('register map'!E:E,C364)),6,""),IF(ISNUMBER(INDEX('register map'!D:D,C364)),7,""))</f>
        <v>345</v>
      </c>
      <c r="J364" s="117" t="str">
        <f t="shared" si="62"/>
        <v>001</v>
      </c>
      <c r="K364" s="117" t="str">
        <f t="shared" si="55"/>
        <v/>
      </c>
      <c r="L364" s="117" t="str">
        <f t="shared" si="63"/>
        <v/>
      </c>
      <c r="M364" s="117" t="str">
        <f t="shared" si="65"/>
        <v/>
      </c>
      <c r="N364" s="117" t="str">
        <f>IF(ISBLANK(INDEX('register map'!M:M,'Logical Group Generator'!C364)),"No","Yes")</f>
        <v>No</v>
      </c>
      <c r="O364" s="117" t="str">
        <f>IF(NOT(ISBLANK(INDEX('register map'!N:N,'Logical Group Generator'!C364))),"Yes","")</f>
        <v/>
      </c>
      <c r="P364" s="117" t="str">
        <f t="shared" si="56"/>
        <v/>
      </c>
      <c r="Q364" s="117" t="str">
        <f t="shared" si="57"/>
        <v/>
      </c>
      <c r="R364" s="117" t="str">
        <f t="shared" si="58"/>
        <v/>
      </c>
      <c r="S364" s="117" t="str">
        <f t="shared" si="59"/>
        <v>No</v>
      </c>
      <c r="T364" s="117" t="str">
        <f t="shared" si="60"/>
        <v/>
      </c>
      <c r="U364" s="117" t="b">
        <f t="shared" si="64"/>
        <v>0</v>
      </c>
      <c r="V364" s="157" t="b">
        <f>INDEX('register map'!P:P,C364)="yes"</f>
        <v>1</v>
      </c>
      <c r="W364" s="157" t="str">
        <f t="shared" si="61"/>
        <v>FALSE</v>
      </c>
    </row>
    <row r="365" spans="2:23">
      <c r="B365" s="157" t="str">
        <f t="array" ref="B365">IF(ROWS($3:365)&lt;=COUNTA('register map'!$L$5:$L$902),INDEX('register map'!$L$5:$L$902,SMALL(IF('register map'!$L$5:$L$902&lt;&gt;"",ROW('register map'!$L$5:$L$902)-MIN(ROW('register map'!$L$5:$L$902))+1),ROWS($3:365))),"")</f>
        <v>OTP_RSVD_38_12_76</v>
      </c>
      <c r="C365" s="157">
        <f>IF(B365="PART_NUMBER",IF(COUNTIF($B$1:B364,"PART_NUMBER")=0,6,8),MATCH(B365,'register map'!L:L,0))</f>
        <v>469</v>
      </c>
      <c r="D365" s="117" t="str">
        <f>IF(ISBLANK(INDEX('register map'!C:C,'Logical Group Generator'!C365)),"No","Yes")</f>
        <v>No</v>
      </c>
      <c r="E365" s="117" t="str">
        <f>IF(ISBLANK(INDEX('register map'!A:A,C365)),IF(ISBLANK(INDEX('register map'!A:A,C365-1)),IF(ISBLANK(INDEX('register map'!A:A,C365-2)),IF(ISBLANK(INDEX('register map'!A:A,C365-3)),IF(ISBLANK(INDEX('register map'!A:A,C365-4)),IF(ISBLANK(INDEX('register map'!A:A,C365-5)),IF(ISBLANK(INDEX('register map'!A:A,C365-6)),IF(ISBLANK(INDEX('register map'!A:A,C365-7)),IF(ISBLANK(INDEX('register map'!A:A,C365-8)),"ERROR",INDEX('register map'!A:A,C365-8)),INDEX('register map'!A:A,C365-7)),INDEX('register map'!A:A,C365-6)),INDEX('register map'!A:A,C365-5)),INDEX('register map'!A:A,C365-4)),INDEX('register map'!A:A,C365-3)),INDEX('register map'!A:A,C365-2)),INDEX('register map'!A:A,C365-1)),INDEX('register map'!A:A,C365))</f>
        <v>0x38</v>
      </c>
      <c r="F365" s="117" t="str">
        <f>IF(ISBLANK(INDEX('register map'!B:B,C365)),IF(ISBLANK(INDEX('register map'!B:B,C365-1)),IF(ISBLANK(INDEX('register map'!B:B,C365-2)),IF(ISBLANK(INDEX('register map'!B:B,C365-3)),IF(ISBLANK(INDEX('register map'!B:B,C365-4)),IF(ISBLANK(INDEX('register map'!B:B,C365-5)),IF(ISBLANK(INDEX('register map'!B:B,C365-6)),IF(ISBLANK(INDEX('register map'!B:B,C365-7)),IF(ISBLANK(INDEX('register map'!B:B,C365-8)),"ERROR",INDEX('register map'!B:B,C365-8)),INDEX('register map'!B:B,C365-7)),INDEX('register map'!B:B,C365-6)),INDEX('register map'!B:B,C365-5)),INDEX('register map'!B:B,C365-4)),INDEX('register map'!B:B,C365-3)),INDEX('register map'!B:B,C365-2)),INDEX('register map'!B:B,C365-1)),INDEX('register map'!B:B,C365))</f>
        <v>0x12</v>
      </c>
      <c r="G365" s="117" t="str">
        <f>CONCATENATE(IF(ISNUMBER(INDEX('register map'!D:D,C365)),7,""),IF(ISNUMBER(INDEX('register map'!E:E,C365)),6,""),IF(ISNUMBER(INDEX('register map'!F:F,C365)),5,""),IF(ISNUMBER(INDEX('register map'!G:G,C365)),4,""),IF(ISNUMBER(INDEX('register map'!H:H,C365)),3,""),IF(ISNUMBER(INDEX('register map'!I:I,C365)),2,""),IF(ISNUMBER(INDEX('register map'!J:J,C365)),1,""),IF(ISNUMBER(INDEX('register map'!K:K,C365)),0,""))</f>
        <v>76</v>
      </c>
      <c r="H365" s="117" t="str">
        <f>RIGHT(INDEX('register map'!V:V,MATCH('Logical Group Generator'!B365,'register map'!L:L,0)),LEN(G365))</f>
        <v>00</v>
      </c>
      <c r="I365" s="117" t="str">
        <f>CONCATENATE(IF(ISNUMBER(INDEX('register map'!K:K,C365)),0,""),IF(ISNUMBER(INDEX('register map'!J:J,C365)),1,""),IF(ISNUMBER(INDEX('register map'!I:I,C365)),2,""),IF(ISNUMBER(INDEX('register map'!H:H,C365)),3,""),IF(ISNUMBER(INDEX('register map'!G:G,C365)),4,""),IF(ISNUMBER(INDEX('register map'!F:F,C365)),5,""),IF(ISNUMBER(INDEX('register map'!E:E,C365)),6,""),IF(ISNUMBER(INDEX('register map'!D:D,C365)),7,""))</f>
        <v>67</v>
      </c>
      <c r="J365" s="117" t="str">
        <f t="shared" si="62"/>
        <v>00</v>
      </c>
      <c r="K365" s="117" t="str">
        <f t="shared" si="55"/>
        <v/>
      </c>
      <c r="L365" s="117" t="str">
        <f t="shared" si="63"/>
        <v/>
      </c>
      <c r="M365" s="117" t="str">
        <f t="shared" si="65"/>
        <v/>
      </c>
      <c r="N365" s="117" t="str">
        <f>IF(ISBLANK(INDEX('register map'!M:M,'Logical Group Generator'!C365)),"No","Yes")</f>
        <v>No</v>
      </c>
      <c r="O365" s="117" t="str">
        <f>IF(NOT(ISBLANK(INDEX('register map'!N:N,'Logical Group Generator'!C365))),"Yes","")</f>
        <v/>
      </c>
      <c r="P365" s="117" t="str">
        <f t="shared" si="56"/>
        <v/>
      </c>
      <c r="Q365" s="117" t="str">
        <f t="shared" si="57"/>
        <v/>
      </c>
      <c r="R365" s="117" t="str">
        <f t="shared" si="58"/>
        <v/>
      </c>
      <c r="S365" s="117" t="str">
        <f t="shared" si="59"/>
        <v>No</v>
      </c>
      <c r="T365" s="117" t="str">
        <f t="shared" si="60"/>
        <v/>
      </c>
      <c r="U365" s="117" t="b">
        <f t="shared" si="64"/>
        <v>0</v>
      </c>
      <c r="V365" s="157" t="b">
        <f>INDEX('register map'!P:P,C365)="yes"</f>
        <v>1</v>
      </c>
      <c r="W365" s="157" t="str">
        <f t="shared" si="61"/>
        <v>FALSE</v>
      </c>
    </row>
    <row r="366" spans="2:23">
      <c r="B366" s="157" t="str">
        <f t="array" ref="B366">IF(ROWS($3:366)&lt;=COUNTA('register map'!$L$5:$L$902),INDEX('register map'!$L$5:$L$902,SMALL(IF('register map'!$L$5:$L$902&lt;&gt;"",ROW('register map'!$L$5:$L$902)-MIN(ROW('register map'!$L$5:$L$902))+1),ROWS($3:366))),"")</f>
        <v>BUCK5_CTRL_EN1</v>
      </c>
      <c r="C366" s="157">
        <f>IF(B366="PART_NUMBER",IF(COUNTIF($B$1:B365,"PART_NUMBER")=0,6,8),MATCH(B366,'register map'!L:L,0))</f>
        <v>470</v>
      </c>
      <c r="D366" s="117" t="str">
        <f>IF(ISBLANK(INDEX('register map'!C:C,'Logical Group Generator'!C366)),"No","Yes")</f>
        <v>Yes</v>
      </c>
      <c r="E366" s="117" t="str">
        <f>IF(ISBLANK(INDEX('register map'!A:A,C366)),IF(ISBLANK(INDEX('register map'!A:A,C366-1)),IF(ISBLANK(INDEX('register map'!A:A,C366-2)),IF(ISBLANK(INDEX('register map'!A:A,C366-3)),IF(ISBLANK(INDEX('register map'!A:A,C366-4)),IF(ISBLANK(INDEX('register map'!A:A,C366-5)),IF(ISBLANK(INDEX('register map'!A:A,C366-6)),IF(ISBLANK(INDEX('register map'!A:A,C366-7)),IF(ISBLANK(INDEX('register map'!A:A,C366-8)),"ERROR",INDEX('register map'!A:A,C366-8)),INDEX('register map'!A:A,C366-7)),INDEX('register map'!A:A,C366-6)),INDEX('register map'!A:A,C366-5)),INDEX('register map'!A:A,C366-4)),INDEX('register map'!A:A,C366-3)),INDEX('register map'!A:A,C366-2)),INDEX('register map'!A:A,C366-1)),INDEX('register map'!A:A,C366))</f>
        <v>0x38</v>
      </c>
      <c r="F366" s="117" t="str">
        <f>IF(ISBLANK(INDEX('register map'!B:B,C366)),IF(ISBLANK(INDEX('register map'!B:B,C366-1)),IF(ISBLANK(INDEX('register map'!B:B,C366-2)),IF(ISBLANK(INDEX('register map'!B:B,C366-3)),IF(ISBLANK(INDEX('register map'!B:B,C366-4)),IF(ISBLANK(INDEX('register map'!B:B,C366-5)),IF(ISBLANK(INDEX('register map'!B:B,C366-6)),IF(ISBLANK(INDEX('register map'!B:B,C366-7)),IF(ISBLANK(INDEX('register map'!B:B,C366-8)),"ERROR",INDEX('register map'!B:B,C366-8)),INDEX('register map'!B:B,C366-7)),INDEX('register map'!B:B,C366-6)),INDEX('register map'!B:B,C366-5)),INDEX('register map'!B:B,C366-4)),INDEX('register map'!B:B,C366-3)),INDEX('register map'!B:B,C366-2)),INDEX('register map'!B:B,C366-1)),INDEX('register map'!B:B,C366))</f>
        <v>0x13</v>
      </c>
      <c r="G366" s="117" t="str">
        <f>CONCATENATE(IF(ISNUMBER(INDEX('register map'!D:D,C366)),7,""),IF(ISNUMBER(INDEX('register map'!E:E,C366)),6,""),IF(ISNUMBER(INDEX('register map'!F:F,C366)),5,""),IF(ISNUMBER(INDEX('register map'!G:G,C366)),4,""),IF(ISNUMBER(INDEX('register map'!H:H,C366)),3,""),IF(ISNUMBER(INDEX('register map'!I:I,C366)),2,""),IF(ISNUMBER(INDEX('register map'!J:J,C366)),1,""),IF(ISNUMBER(INDEX('register map'!K:K,C366)),0,""))</f>
        <v/>
      </c>
      <c r="H366" s="117" t="str">
        <f>RIGHT(INDEX('register map'!V:V,MATCH('Logical Group Generator'!B366,'register map'!L:L,0)),LEN(G366))</f>
        <v/>
      </c>
      <c r="I366" s="117" t="str">
        <f>CONCATENATE(IF(ISNUMBER(INDEX('register map'!K:K,C366)),0,""),IF(ISNUMBER(INDEX('register map'!J:J,C366)),1,""),IF(ISNUMBER(INDEX('register map'!I:I,C366)),2,""),IF(ISNUMBER(INDEX('register map'!H:H,C366)),3,""),IF(ISNUMBER(INDEX('register map'!G:G,C366)),4,""),IF(ISNUMBER(INDEX('register map'!F:F,C366)),5,""),IF(ISNUMBER(INDEX('register map'!E:E,C366)),6,""),IF(ISNUMBER(INDEX('register map'!D:D,C366)),7,""))</f>
        <v/>
      </c>
      <c r="J366" s="117" t="str">
        <f t="shared" si="62"/>
        <v/>
      </c>
      <c r="K366" s="117" t="str">
        <f t="shared" si="55"/>
        <v>11111111</v>
      </c>
      <c r="L366" s="117" t="str">
        <f t="shared" si="63"/>
        <v>11111111</v>
      </c>
      <c r="M366" s="117" t="str">
        <f t="shared" si="65"/>
        <v>FF</v>
      </c>
      <c r="N366" s="117" t="str">
        <f>IF(ISBLANK(INDEX('register map'!M:M,'Logical Group Generator'!C366)),"No","Yes")</f>
        <v>No</v>
      </c>
      <c r="O366" s="117" t="str">
        <f>IF(NOT(ISBLANK(INDEX('register map'!N:N,'Logical Group Generator'!C366))),"Yes","")</f>
        <v/>
      </c>
      <c r="P366" s="117" t="str">
        <f t="shared" si="56"/>
        <v>No</v>
      </c>
      <c r="Q366" s="117" t="str">
        <f t="shared" si="57"/>
        <v>No</v>
      </c>
      <c r="R366" s="117" t="str">
        <f t="shared" si="58"/>
        <v>No</v>
      </c>
      <c r="S366" s="117" t="str">
        <f t="shared" si="59"/>
        <v/>
      </c>
      <c r="T366" s="117" t="b">
        <f t="shared" si="60"/>
        <v>1</v>
      </c>
      <c r="U366" s="117" t="b">
        <f t="shared" si="64"/>
        <v>1</v>
      </c>
      <c r="V366" s="157" t="b">
        <f>INDEX('register map'!P:P,C366)="yes"</f>
        <v>1</v>
      </c>
      <c r="W366" s="157" t="str">
        <f t="shared" si="61"/>
        <v>REGISTER</v>
      </c>
    </row>
    <row r="367" spans="2:23">
      <c r="B367" s="157" t="str">
        <f t="array" ref="B367">IF(ROWS($3:367)&lt;=COUNTA('register map'!$L$5:$L$902),INDEX('register map'!$L$5:$L$902,SMALL(IF('register map'!$L$5:$L$902&lt;&gt;"",ROW('register map'!$L$5:$L$902)-MIN(ROW('register map'!$L$5:$L$902))+1),ROWS($3:367))),"")</f>
        <v>OTP_RSVD_38_13_0</v>
      </c>
      <c r="C367" s="157">
        <f>IF(B367="PART_NUMBER",IF(COUNTIF($B$1:B366,"PART_NUMBER")=0,6,8),MATCH(B367,'register map'!L:L,0))</f>
        <v>471</v>
      </c>
      <c r="D367" s="117" t="str">
        <f>IF(ISBLANK(INDEX('register map'!C:C,'Logical Group Generator'!C367)),"No","Yes")</f>
        <v>No</v>
      </c>
      <c r="E367" s="117" t="str">
        <f>IF(ISBLANK(INDEX('register map'!A:A,C367)),IF(ISBLANK(INDEX('register map'!A:A,C367-1)),IF(ISBLANK(INDEX('register map'!A:A,C367-2)),IF(ISBLANK(INDEX('register map'!A:A,C367-3)),IF(ISBLANK(INDEX('register map'!A:A,C367-4)),IF(ISBLANK(INDEX('register map'!A:A,C367-5)),IF(ISBLANK(INDEX('register map'!A:A,C367-6)),IF(ISBLANK(INDEX('register map'!A:A,C367-7)),IF(ISBLANK(INDEX('register map'!A:A,C367-8)),"ERROR",INDEX('register map'!A:A,C367-8)),INDEX('register map'!A:A,C367-7)),INDEX('register map'!A:A,C367-6)),INDEX('register map'!A:A,C367-5)),INDEX('register map'!A:A,C367-4)),INDEX('register map'!A:A,C367-3)),INDEX('register map'!A:A,C367-2)),INDEX('register map'!A:A,C367-1)),INDEX('register map'!A:A,C367))</f>
        <v>0x38</v>
      </c>
      <c r="F367" s="117" t="str">
        <f>IF(ISBLANK(INDEX('register map'!B:B,C367)),IF(ISBLANK(INDEX('register map'!B:B,C367-1)),IF(ISBLANK(INDEX('register map'!B:B,C367-2)),IF(ISBLANK(INDEX('register map'!B:B,C367-3)),IF(ISBLANK(INDEX('register map'!B:B,C367-4)),IF(ISBLANK(INDEX('register map'!B:B,C367-5)),IF(ISBLANK(INDEX('register map'!B:B,C367-6)),IF(ISBLANK(INDEX('register map'!B:B,C367-7)),IF(ISBLANK(INDEX('register map'!B:B,C367-8)),"ERROR",INDEX('register map'!B:B,C367-8)),INDEX('register map'!B:B,C367-7)),INDEX('register map'!B:B,C367-6)),INDEX('register map'!B:B,C367-5)),INDEX('register map'!B:B,C367-4)),INDEX('register map'!B:B,C367-3)),INDEX('register map'!B:B,C367-2)),INDEX('register map'!B:B,C367-1)),INDEX('register map'!B:B,C367))</f>
        <v>0x13</v>
      </c>
      <c r="G367" s="117" t="str">
        <f>CONCATENATE(IF(ISNUMBER(INDEX('register map'!D:D,C367)),7,""),IF(ISNUMBER(INDEX('register map'!E:E,C367)),6,""),IF(ISNUMBER(INDEX('register map'!F:F,C367)),5,""),IF(ISNUMBER(INDEX('register map'!G:G,C367)),4,""),IF(ISNUMBER(INDEX('register map'!H:H,C367)),3,""),IF(ISNUMBER(INDEX('register map'!I:I,C367)),2,""),IF(ISNUMBER(INDEX('register map'!J:J,C367)),1,""),IF(ISNUMBER(INDEX('register map'!K:K,C367)),0,""))</f>
        <v>0</v>
      </c>
      <c r="H367" s="117" t="str">
        <f>RIGHT(INDEX('register map'!V:V,MATCH('Logical Group Generator'!B367,'register map'!L:L,0)),LEN(G367))</f>
        <v>1</v>
      </c>
      <c r="I367" s="117" t="str">
        <f>CONCATENATE(IF(ISNUMBER(INDEX('register map'!K:K,C367)),0,""),IF(ISNUMBER(INDEX('register map'!J:J,C367)),1,""),IF(ISNUMBER(INDEX('register map'!I:I,C367)),2,""),IF(ISNUMBER(INDEX('register map'!H:H,C367)),3,""),IF(ISNUMBER(INDEX('register map'!G:G,C367)),4,""),IF(ISNUMBER(INDEX('register map'!F:F,C367)),5,""),IF(ISNUMBER(INDEX('register map'!E:E,C367)),6,""),IF(ISNUMBER(INDEX('register map'!D:D,C367)),7,""))</f>
        <v>0</v>
      </c>
      <c r="J367" s="117" t="str">
        <f t="shared" si="62"/>
        <v>1</v>
      </c>
      <c r="K367" s="117" t="str">
        <f t="shared" si="55"/>
        <v/>
      </c>
      <c r="L367" s="117" t="str">
        <f t="shared" si="63"/>
        <v/>
      </c>
      <c r="M367" s="117" t="str">
        <f t="shared" si="65"/>
        <v/>
      </c>
      <c r="N367" s="117" t="str">
        <f>IF(ISBLANK(INDEX('register map'!M:M,'Logical Group Generator'!C367)),"No","Yes")</f>
        <v>No</v>
      </c>
      <c r="O367" s="117" t="str">
        <f>IF(NOT(ISBLANK(INDEX('register map'!N:N,'Logical Group Generator'!C367))),"Yes","")</f>
        <v/>
      </c>
      <c r="P367" s="117" t="str">
        <f t="shared" si="56"/>
        <v/>
      </c>
      <c r="Q367" s="117" t="str">
        <f t="shared" si="57"/>
        <v/>
      </c>
      <c r="R367" s="117" t="str">
        <f t="shared" si="58"/>
        <v/>
      </c>
      <c r="S367" s="117" t="str">
        <f t="shared" si="59"/>
        <v>No</v>
      </c>
      <c r="T367" s="117" t="str">
        <f t="shared" si="60"/>
        <v/>
      </c>
      <c r="U367" s="117" t="b">
        <f t="shared" si="64"/>
        <v>0</v>
      </c>
      <c r="V367" s="157" t="b">
        <f>INDEX('register map'!P:P,C367)="yes"</f>
        <v>1</v>
      </c>
      <c r="W367" s="157" t="str">
        <f t="shared" si="61"/>
        <v>FALSE</v>
      </c>
    </row>
    <row r="368" spans="2:23">
      <c r="B368" s="157" t="str">
        <f t="array" ref="B368">IF(ROWS($3:368)&lt;=COUNTA('register map'!$L$5:$L$902),INDEX('register map'!$L$5:$L$902,SMALL(IF('register map'!$L$5:$L$902&lt;&gt;"",ROW('register map'!$L$5:$L$902)-MIN(ROW('register map'!$L$5:$L$902))+1),ROWS($3:368))),"")</f>
        <v>OTP_RSVD_38_13_1</v>
      </c>
      <c r="C368" s="157">
        <f>IF(B368="PART_NUMBER",IF(COUNTIF($B$1:B367,"PART_NUMBER")=0,6,8),MATCH(B368,'register map'!L:L,0))</f>
        <v>472</v>
      </c>
      <c r="D368" s="117" t="str">
        <f>IF(ISBLANK(INDEX('register map'!C:C,'Logical Group Generator'!C368)),"No","Yes")</f>
        <v>No</v>
      </c>
      <c r="E368" s="117" t="str">
        <f>IF(ISBLANK(INDEX('register map'!A:A,C368)),IF(ISBLANK(INDEX('register map'!A:A,C368-1)),IF(ISBLANK(INDEX('register map'!A:A,C368-2)),IF(ISBLANK(INDEX('register map'!A:A,C368-3)),IF(ISBLANK(INDEX('register map'!A:A,C368-4)),IF(ISBLANK(INDEX('register map'!A:A,C368-5)),IF(ISBLANK(INDEX('register map'!A:A,C368-6)),IF(ISBLANK(INDEX('register map'!A:A,C368-7)),IF(ISBLANK(INDEX('register map'!A:A,C368-8)),"ERROR",INDEX('register map'!A:A,C368-8)),INDEX('register map'!A:A,C368-7)),INDEX('register map'!A:A,C368-6)),INDEX('register map'!A:A,C368-5)),INDEX('register map'!A:A,C368-4)),INDEX('register map'!A:A,C368-3)),INDEX('register map'!A:A,C368-2)),INDEX('register map'!A:A,C368-1)),INDEX('register map'!A:A,C368))</f>
        <v>0x38</v>
      </c>
      <c r="F368" s="117" t="str">
        <f>IF(ISBLANK(INDEX('register map'!B:B,C368)),IF(ISBLANK(INDEX('register map'!B:B,C368-1)),IF(ISBLANK(INDEX('register map'!B:B,C368-2)),IF(ISBLANK(INDEX('register map'!B:B,C368-3)),IF(ISBLANK(INDEX('register map'!B:B,C368-4)),IF(ISBLANK(INDEX('register map'!B:B,C368-5)),IF(ISBLANK(INDEX('register map'!B:B,C368-6)),IF(ISBLANK(INDEX('register map'!B:B,C368-7)),IF(ISBLANK(INDEX('register map'!B:B,C368-8)),"ERROR",INDEX('register map'!B:B,C368-8)),INDEX('register map'!B:B,C368-7)),INDEX('register map'!B:B,C368-6)),INDEX('register map'!B:B,C368-5)),INDEX('register map'!B:B,C368-4)),INDEX('register map'!B:B,C368-3)),INDEX('register map'!B:B,C368-2)),INDEX('register map'!B:B,C368-1)),INDEX('register map'!B:B,C368))</f>
        <v>0x13</v>
      </c>
      <c r="G368" s="117" t="str">
        <f>CONCATENATE(IF(ISNUMBER(INDEX('register map'!D:D,C368)),7,""),IF(ISNUMBER(INDEX('register map'!E:E,C368)),6,""),IF(ISNUMBER(INDEX('register map'!F:F,C368)),5,""),IF(ISNUMBER(INDEX('register map'!G:G,C368)),4,""),IF(ISNUMBER(INDEX('register map'!H:H,C368)),3,""),IF(ISNUMBER(INDEX('register map'!I:I,C368)),2,""),IF(ISNUMBER(INDEX('register map'!J:J,C368)),1,""),IF(ISNUMBER(INDEX('register map'!K:K,C368)),0,""))</f>
        <v>1</v>
      </c>
      <c r="H368" s="117" t="str">
        <f>RIGHT(INDEX('register map'!V:V,MATCH('Logical Group Generator'!B368,'register map'!L:L,0)),LEN(G368))</f>
        <v>1</v>
      </c>
      <c r="I368" s="117" t="str">
        <f>CONCATENATE(IF(ISNUMBER(INDEX('register map'!K:K,C368)),0,""),IF(ISNUMBER(INDEX('register map'!J:J,C368)),1,""),IF(ISNUMBER(INDEX('register map'!I:I,C368)),2,""),IF(ISNUMBER(INDEX('register map'!H:H,C368)),3,""),IF(ISNUMBER(INDEX('register map'!G:G,C368)),4,""),IF(ISNUMBER(INDEX('register map'!F:F,C368)),5,""),IF(ISNUMBER(INDEX('register map'!E:E,C368)),6,""),IF(ISNUMBER(INDEX('register map'!D:D,C368)),7,""))</f>
        <v>1</v>
      </c>
      <c r="J368" s="117" t="str">
        <f t="shared" si="62"/>
        <v>1</v>
      </c>
      <c r="K368" s="117" t="str">
        <f t="shared" si="55"/>
        <v/>
      </c>
      <c r="L368" s="117" t="str">
        <f t="shared" si="63"/>
        <v/>
      </c>
      <c r="M368" s="117" t="str">
        <f t="shared" si="65"/>
        <v/>
      </c>
      <c r="N368" s="117" t="str">
        <f>IF(ISBLANK(INDEX('register map'!M:M,'Logical Group Generator'!C368)),"No","Yes")</f>
        <v>No</v>
      </c>
      <c r="O368" s="117" t="str">
        <f>IF(NOT(ISBLANK(INDEX('register map'!N:N,'Logical Group Generator'!C368))),"Yes","")</f>
        <v/>
      </c>
      <c r="P368" s="117" t="str">
        <f t="shared" si="56"/>
        <v/>
      </c>
      <c r="Q368" s="117" t="str">
        <f t="shared" si="57"/>
        <v/>
      </c>
      <c r="R368" s="117" t="str">
        <f t="shared" si="58"/>
        <v/>
      </c>
      <c r="S368" s="117" t="str">
        <f t="shared" si="59"/>
        <v>No</v>
      </c>
      <c r="T368" s="117" t="str">
        <f t="shared" si="60"/>
        <v/>
      </c>
      <c r="U368" s="117" t="b">
        <f t="shared" si="64"/>
        <v>0</v>
      </c>
      <c r="V368" s="157" t="b">
        <f>INDEX('register map'!P:P,C368)="yes"</f>
        <v>1</v>
      </c>
      <c r="W368" s="157" t="str">
        <f t="shared" si="61"/>
        <v>FALSE</v>
      </c>
    </row>
    <row r="369" spans="2:23">
      <c r="B369" s="157" t="str">
        <f t="array" ref="B369">IF(ROWS($3:369)&lt;=COUNTA('register map'!$L$5:$L$902),INDEX('register map'!$L$5:$L$902,SMALL(IF('register map'!$L$5:$L$902&lt;&gt;"",ROW('register map'!$L$5:$L$902)-MIN(ROW('register map'!$L$5:$L$902))+1),ROWS($3:369))),"")</f>
        <v>OTP_RSVD_38_13_2</v>
      </c>
      <c r="C369" s="157">
        <f>IF(B369="PART_NUMBER",IF(COUNTIF($B$1:B368,"PART_NUMBER")=0,6,8),MATCH(B369,'register map'!L:L,0))</f>
        <v>473</v>
      </c>
      <c r="D369" s="117" t="str">
        <f>IF(ISBLANK(INDEX('register map'!C:C,'Logical Group Generator'!C369)),"No","Yes")</f>
        <v>No</v>
      </c>
      <c r="E369" s="117" t="str">
        <f>IF(ISBLANK(INDEX('register map'!A:A,C369)),IF(ISBLANK(INDEX('register map'!A:A,C369-1)),IF(ISBLANK(INDEX('register map'!A:A,C369-2)),IF(ISBLANK(INDEX('register map'!A:A,C369-3)),IF(ISBLANK(INDEX('register map'!A:A,C369-4)),IF(ISBLANK(INDEX('register map'!A:A,C369-5)),IF(ISBLANK(INDEX('register map'!A:A,C369-6)),IF(ISBLANK(INDEX('register map'!A:A,C369-7)),IF(ISBLANK(INDEX('register map'!A:A,C369-8)),"ERROR",INDEX('register map'!A:A,C369-8)),INDEX('register map'!A:A,C369-7)),INDEX('register map'!A:A,C369-6)),INDEX('register map'!A:A,C369-5)),INDEX('register map'!A:A,C369-4)),INDEX('register map'!A:A,C369-3)),INDEX('register map'!A:A,C369-2)),INDEX('register map'!A:A,C369-1)),INDEX('register map'!A:A,C369))</f>
        <v>0x38</v>
      </c>
      <c r="F369" s="117" t="str">
        <f>IF(ISBLANK(INDEX('register map'!B:B,C369)),IF(ISBLANK(INDEX('register map'!B:B,C369-1)),IF(ISBLANK(INDEX('register map'!B:B,C369-2)),IF(ISBLANK(INDEX('register map'!B:B,C369-3)),IF(ISBLANK(INDEX('register map'!B:B,C369-4)),IF(ISBLANK(INDEX('register map'!B:B,C369-5)),IF(ISBLANK(INDEX('register map'!B:B,C369-6)),IF(ISBLANK(INDEX('register map'!B:B,C369-7)),IF(ISBLANK(INDEX('register map'!B:B,C369-8)),"ERROR",INDEX('register map'!B:B,C369-8)),INDEX('register map'!B:B,C369-7)),INDEX('register map'!B:B,C369-6)),INDEX('register map'!B:B,C369-5)),INDEX('register map'!B:B,C369-4)),INDEX('register map'!B:B,C369-3)),INDEX('register map'!B:B,C369-2)),INDEX('register map'!B:B,C369-1)),INDEX('register map'!B:B,C369))</f>
        <v>0x13</v>
      </c>
      <c r="G369" s="117" t="str">
        <f>CONCATENATE(IF(ISNUMBER(INDEX('register map'!D:D,C369)),7,""),IF(ISNUMBER(INDEX('register map'!E:E,C369)),6,""),IF(ISNUMBER(INDEX('register map'!F:F,C369)),5,""),IF(ISNUMBER(INDEX('register map'!G:G,C369)),4,""),IF(ISNUMBER(INDEX('register map'!H:H,C369)),3,""),IF(ISNUMBER(INDEX('register map'!I:I,C369)),2,""),IF(ISNUMBER(INDEX('register map'!J:J,C369)),1,""),IF(ISNUMBER(INDEX('register map'!K:K,C369)),0,""))</f>
        <v>2</v>
      </c>
      <c r="H369" s="117" t="str">
        <f>RIGHT(INDEX('register map'!V:V,MATCH('Logical Group Generator'!B369,'register map'!L:L,0)),LEN(G369))</f>
        <v>1</v>
      </c>
      <c r="I369" s="117" t="str">
        <f>CONCATENATE(IF(ISNUMBER(INDEX('register map'!K:K,C369)),0,""),IF(ISNUMBER(INDEX('register map'!J:J,C369)),1,""),IF(ISNUMBER(INDEX('register map'!I:I,C369)),2,""),IF(ISNUMBER(INDEX('register map'!H:H,C369)),3,""),IF(ISNUMBER(INDEX('register map'!G:G,C369)),4,""),IF(ISNUMBER(INDEX('register map'!F:F,C369)),5,""),IF(ISNUMBER(INDEX('register map'!E:E,C369)),6,""),IF(ISNUMBER(INDEX('register map'!D:D,C369)),7,""))</f>
        <v>2</v>
      </c>
      <c r="J369" s="117" t="str">
        <f t="shared" si="62"/>
        <v>1</v>
      </c>
      <c r="K369" s="117" t="str">
        <f t="shared" si="55"/>
        <v/>
      </c>
      <c r="L369" s="117" t="str">
        <f t="shared" si="63"/>
        <v/>
      </c>
      <c r="M369" s="117" t="str">
        <f t="shared" si="65"/>
        <v/>
      </c>
      <c r="N369" s="117" t="str">
        <f>IF(ISBLANK(INDEX('register map'!M:M,'Logical Group Generator'!C369)),"No","Yes")</f>
        <v>No</v>
      </c>
      <c r="O369" s="117" t="str">
        <f>IF(NOT(ISBLANK(INDEX('register map'!N:N,'Logical Group Generator'!C369))),"Yes","")</f>
        <v/>
      </c>
      <c r="P369" s="117" t="str">
        <f t="shared" si="56"/>
        <v/>
      </c>
      <c r="Q369" s="117" t="str">
        <f t="shared" si="57"/>
        <v/>
      </c>
      <c r="R369" s="117" t="str">
        <f t="shared" si="58"/>
        <v/>
      </c>
      <c r="S369" s="117" t="str">
        <f t="shared" si="59"/>
        <v>No</v>
      </c>
      <c r="T369" s="117" t="str">
        <f t="shared" si="60"/>
        <v/>
      </c>
      <c r="U369" s="117" t="b">
        <f t="shared" si="64"/>
        <v>0</v>
      </c>
      <c r="V369" s="157" t="b">
        <f>INDEX('register map'!P:P,C369)="yes"</f>
        <v>1</v>
      </c>
      <c r="W369" s="157" t="str">
        <f t="shared" si="61"/>
        <v>FALSE</v>
      </c>
    </row>
    <row r="370" spans="2:23">
      <c r="B370" s="157" t="str">
        <f t="array" ref="B370">IF(ROWS($3:370)&lt;=COUNTA('register map'!$L$5:$L$902),INDEX('register map'!$L$5:$L$902,SMALL(IF('register map'!$L$5:$L$902&lt;&gt;"",ROW('register map'!$L$5:$L$902)-MIN(ROW('register map'!$L$5:$L$902))+1),ROWS($3:370))),"")</f>
        <v>OTP_RSVD_38_13_3</v>
      </c>
      <c r="C370" s="157">
        <f>IF(B370="PART_NUMBER",IF(COUNTIF($B$1:B369,"PART_NUMBER")=0,6,8),MATCH(B370,'register map'!L:L,0))</f>
        <v>474</v>
      </c>
      <c r="D370" s="117" t="str">
        <f>IF(ISBLANK(INDEX('register map'!C:C,'Logical Group Generator'!C370)),"No","Yes")</f>
        <v>No</v>
      </c>
      <c r="E370" s="117" t="str">
        <f>IF(ISBLANK(INDEX('register map'!A:A,C370)),IF(ISBLANK(INDEX('register map'!A:A,C370-1)),IF(ISBLANK(INDEX('register map'!A:A,C370-2)),IF(ISBLANK(INDEX('register map'!A:A,C370-3)),IF(ISBLANK(INDEX('register map'!A:A,C370-4)),IF(ISBLANK(INDEX('register map'!A:A,C370-5)),IF(ISBLANK(INDEX('register map'!A:A,C370-6)),IF(ISBLANK(INDEX('register map'!A:A,C370-7)),IF(ISBLANK(INDEX('register map'!A:A,C370-8)),"ERROR",INDEX('register map'!A:A,C370-8)),INDEX('register map'!A:A,C370-7)),INDEX('register map'!A:A,C370-6)),INDEX('register map'!A:A,C370-5)),INDEX('register map'!A:A,C370-4)),INDEX('register map'!A:A,C370-3)),INDEX('register map'!A:A,C370-2)),INDEX('register map'!A:A,C370-1)),INDEX('register map'!A:A,C370))</f>
        <v>0x38</v>
      </c>
      <c r="F370" s="117" t="str">
        <f>IF(ISBLANK(INDEX('register map'!B:B,C370)),IF(ISBLANK(INDEX('register map'!B:B,C370-1)),IF(ISBLANK(INDEX('register map'!B:B,C370-2)),IF(ISBLANK(INDEX('register map'!B:B,C370-3)),IF(ISBLANK(INDEX('register map'!B:B,C370-4)),IF(ISBLANK(INDEX('register map'!B:B,C370-5)),IF(ISBLANK(INDEX('register map'!B:B,C370-6)),IF(ISBLANK(INDEX('register map'!B:B,C370-7)),IF(ISBLANK(INDEX('register map'!B:B,C370-8)),"ERROR",INDEX('register map'!B:B,C370-8)),INDEX('register map'!B:B,C370-7)),INDEX('register map'!B:B,C370-6)),INDEX('register map'!B:B,C370-5)),INDEX('register map'!B:B,C370-4)),INDEX('register map'!B:B,C370-3)),INDEX('register map'!B:B,C370-2)),INDEX('register map'!B:B,C370-1)),INDEX('register map'!B:B,C370))</f>
        <v>0x13</v>
      </c>
      <c r="G370" s="117" t="str">
        <f>CONCATENATE(IF(ISNUMBER(INDEX('register map'!D:D,C370)),7,""),IF(ISNUMBER(INDEX('register map'!E:E,C370)),6,""),IF(ISNUMBER(INDEX('register map'!F:F,C370)),5,""),IF(ISNUMBER(INDEX('register map'!G:G,C370)),4,""),IF(ISNUMBER(INDEX('register map'!H:H,C370)),3,""),IF(ISNUMBER(INDEX('register map'!I:I,C370)),2,""),IF(ISNUMBER(INDEX('register map'!J:J,C370)),1,""),IF(ISNUMBER(INDEX('register map'!K:K,C370)),0,""))</f>
        <v>3</v>
      </c>
      <c r="H370" s="117" t="str">
        <f>RIGHT(INDEX('register map'!V:V,MATCH('Logical Group Generator'!B370,'register map'!L:L,0)),LEN(G370))</f>
        <v>1</v>
      </c>
      <c r="I370" s="117" t="str">
        <f>CONCATENATE(IF(ISNUMBER(INDEX('register map'!K:K,C370)),0,""),IF(ISNUMBER(INDEX('register map'!J:J,C370)),1,""),IF(ISNUMBER(INDEX('register map'!I:I,C370)),2,""),IF(ISNUMBER(INDEX('register map'!H:H,C370)),3,""),IF(ISNUMBER(INDEX('register map'!G:G,C370)),4,""),IF(ISNUMBER(INDEX('register map'!F:F,C370)),5,""),IF(ISNUMBER(INDEX('register map'!E:E,C370)),6,""),IF(ISNUMBER(INDEX('register map'!D:D,C370)),7,""))</f>
        <v>3</v>
      </c>
      <c r="J370" s="117" t="str">
        <f t="shared" si="62"/>
        <v>1</v>
      </c>
      <c r="K370" s="117" t="str">
        <f t="shared" si="55"/>
        <v/>
      </c>
      <c r="L370" s="117" t="str">
        <f t="shared" si="63"/>
        <v/>
      </c>
      <c r="M370" s="117" t="str">
        <f t="shared" si="65"/>
        <v/>
      </c>
      <c r="N370" s="117" t="str">
        <f>IF(ISBLANK(INDEX('register map'!M:M,'Logical Group Generator'!C370)),"No","Yes")</f>
        <v>No</v>
      </c>
      <c r="O370" s="117" t="str">
        <f>IF(NOT(ISBLANK(INDEX('register map'!N:N,'Logical Group Generator'!C370))),"Yes","")</f>
        <v/>
      </c>
      <c r="P370" s="117" t="str">
        <f t="shared" si="56"/>
        <v/>
      </c>
      <c r="Q370" s="117" t="str">
        <f t="shared" si="57"/>
        <v/>
      </c>
      <c r="R370" s="117" t="str">
        <f t="shared" si="58"/>
        <v/>
      </c>
      <c r="S370" s="117" t="str">
        <f t="shared" si="59"/>
        <v>No</v>
      </c>
      <c r="T370" s="117" t="str">
        <f t="shared" si="60"/>
        <v/>
      </c>
      <c r="U370" s="117" t="b">
        <f t="shared" si="64"/>
        <v>0</v>
      </c>
      <c r="V370" s="157" t="b">
        <f>INDEX('register map'!P:P,C370)="yes"</f>
        <v>1</v>
      </c>
      <c r="W370" s="157" t="str">
        <f t="shared" si="61"/>
        <v>FALSE</v>
      </c>
    </row>
    <row r="371" spans="2:23">
      <c r="B371" s="157" t="str">
        <f t="array" ref="B371">IF(ROWS($3:371)&lt;=COUNTA('register map'!$L$5:$L$902),INDEX('register map'!$L$5:$L$902,SMALL(IF('register map'!$L$5:$L$902&lt;&gt;"",ROW('register map'!$L$5:$L$902)-MIN(ROW('register map'!$L$5:$L$902))+1),ROWS($3:371))),"")</f>
        <v>OTP_RSVD_38_13_4</v>
      </c>
      <c r="C371" s="157">
        <f>IF(B371="PART_NUMBER",IF(COUNTIF($B$1:B370,"PART_NUMBER")=0,6,8),MATCH(B371,'register map'!L:L,0))</f>
        <v>475</v>
      </c>
      <c r="D371" s="117" t="str">
        <f>IF(ISBLANK(INDEX('register map'!C:C,'Logical Group Generator'!C371)),"No","Yes")</f>
        <v>No</v>
      </c>
      <c r="E371" s="117" t="str">
        <f>IF(ISBLANK(INDEX('register map'!A:A,C371)),IF(ISBLANK(INDEX('register map'!A:A,C371-1)),IF(ISBLANK(INDEX('register map'!A:A,C371-2)),IF(ISBLANK(INDEX('register map'!A:A,C371-3)),IF(ISBLANK(INDEX('register map'!A:A,C371-4)),IF(ISBLANK(INDEX('register map'!A:A,C371-5)),IF(ISBLANK(INDEX('register map'!A:A,C371-6)),IF(ISBLANK(INDEX('register map'!A:A,C371-7)),IF(ISBLANK(INDEX('register map'!A:A,C371-8)),"ERROR",INDEX('register map'!A:A,C371-8)),INDEX('register map'!A:A,C371-7)),INDEX('register map'!A:A,C371-6)),INDEX('register map'!A:A,C371-5)),INDEX('register map'!A:A,C371-4)),INDEX('register map'!A:A,C371-3)),INDEX('register map'!A:A,C371-2)),INDEX('register map'!A:A,C371-1)),INDEX('register map'!A:A,C371))</f>
        <v>0x38</v>
      </c>
      <c r="F371" s="117" t="str">
        <f>IF(ISBLANK(INDEX('register map'!B:B,C371)),IF(ISBLANK(INDEX('register map'!B:B,C371-1)),IF(ISBLANK(INDEX('register map'!B:B,C371-2)),IF(ISBLANK(INDEX('register map'!B:B,C371-3)),IF(ISBLANK(INDEX('register map'!B:B,C371-4)),IF(ISBLANK(INDEX('register map'!B:B,C371-5)),IF(ISBLANK(INDEX('register map'!B:B,C371-6)),IF(ISBLANK(INDEX('register map'!B:B,C371-7)),IF(ISBLANK(INDEX('register map'!B:B,C371-8)),"ERROR",INDEX('register map'!B:B,C371-8)),INDEX('register map'!B:B,C371-7)),INDEX('register map'!B:B,C371-6)),INDEX('register map'!B:B,C371-5)),INDEX('register map'!B:B,C371-4)),INDEX('register map'!B:B,C371-3)),INDEX('register map'!B:B,C371-2)),INDEX('register map'!B:B,C371-1)),INDEX('register map'!B:B,C371))</f>
        <v>0x13</v>
      </c>
      <c r="G371" s="117" t="str">
        <f>CONCATENATE(IF(ISNUMBER(INDEX('register map'!D:D,C371)),7,""),IF(ISNUMBER(INDEX('register map'!E:E,C371)),6,""),IF(ISNUMBER(INDEX('register map'!F:F,C371)),5,""),IF(ISNUMBER(INDEX('register map'!G:G,C371)),4,""),IF(ISNUMBER(INDEX('register map'!H:H,C371)),3,""),IF(ISNUMBER(INDEX('register map'!I:I,C371)),2,""),IF(ISNUMBER(INDEX('register map'!J:J,C371)),1,""),IF(ISNUMBER(INDEX('register map'!K:K,C371)),0,""))</f>
        <v>4</v>
      </c>
      <c r="H371" s="117" t="str">
        <f>RIGHT(INDEX('register map'!V:V,MATCH('Logical Group Generator'!B371,'register map'!L:L,0)),LEN(G371))</f>
        <v>1</v>
      </c>
      <c r="I371" s="117" t="str">
        <f>CONCATENATE(IF(ISNUMBER(INDEX('register map'!K:K,C371)),0,""),IF(ISNUMBER(INDEX('register map'!J:J,C371)),1,""),IF(ISNUMBER(INDEX('register map'!I:I,C371)),2,""),IF(ISNUMBER(INDEX('register map'!H:H,C371)),3,""),IF(ISNUMBER(INDEX('register map'!G:G,C371)),4,""),IF(ISNUMBER(INDEX('register map'!F:F,C371)),5,""),IF(ISNUMBER(INDEX('register map'!E:E,C371)),6,""),IF(ISNUMBER(INDEX('register map'!D:D,C371)),7,""))</f>
        <v>4</v>
      </c>
      <c r="J371" s="117" t="str">
        <f t="shared" si="62"/>
        <v>1</v>
      </c>
      <c r="K371" s="117" t="str">
        <f t="shared" si="55"/>
        <v/>
      </c>
      <c r="L371" s="117" t="str">
        <f t="shared" si="63"/>
        <v/>
      </c>
      <c r="M371" s="117" t="str">
        <f t="shared" si="65"/>
        <v/>
      </c>
      <c r="N371" s="117" t="str">
        <f>IF(ISBLANK(INDEX('register map'!M:M,'Logical Group Generator'!C371)),"No","Yes")</f>
        <v>No</v>
      </c>
      <c r="O371" s="117" t="str">
        <f>IF(NOT(ISBLANK(INDEX('register map'!N:N,'Logical Group Generator'!C371))),"Yes","")</f>
        <v/>
      </c>
      <c r="P371" s="117" t="str">
        <f t="shared" si="56"/>
        <v/>
      </c>
      <c r="Q371" s="117" t="str">
        <f t="shared" si="57"/>
        <v/>
      </c>
      <c r="R371" s="117" t="str">
        <f t="shared" si="58"/>
        <v/>
      </c>
      <c r="S371" s="117" t="str">
        <f t="shared" si="59"/>
        <v>No</v>
      </c>
      <c r="T371" s="117" t="str">
        <f t="shared" si="60"/>
        <v/>
      </c>
      <c r="U371" s="117" t="b">
        <f t="shared" si="64"/>
        <v>0</v>
      </c>
      <c r="V371" s="157" t="b">
        <f>INDEX('register map'!P:P,C371)="yes"</f>
        <v>1</v>
      </c>
      <c r="W371" s="157" t="str">
        <f t="shared" si="61"/>
        <v>FALSE</v>
      </c>
    </row>
    <row r="372" spans="2:23">
      <c r="B372" s="157" t="str">
        <f t="array" ref="B372">IF(ROWS($3:372)&lt;=COUNTA('register map'!$L$5:$L$902),INDEX('register map'!$L$5:$L$902,SMALL(IF('register map'!$L$5:$L$902&lt;&gt;"",ROW('register map'!$L$5:$L$902)-MIN(ROW('register map'!$L$5:$L$902))+1),ROWS($3:372))),"")</f>
        <v>OTP_RSVD_38_13_5</v>
      </c>
      <c r="C372" s="157">
        <f>IF(B372="PART_NUMBER",IF(COUNTIF($B$1:B371,"PART_NUMBER")=0,6,8),MATCH(B372,'register map'!L:L,0))</f>
        <v>476</v>
      </c>
      <c r="D372" s="117" t="str">
        <f>IF(ISBLANK(INDEX('register map'!C:C,'Logical Group Generator'!C372)),"No","Yes")</f>
        <v>No</v>
      </c>
      <c r="E372" s="117" t="str">
        <f>IF(ISBLANK(INDEX('register map'!A:A,C372)),IF(ISBLANK(INDEX('register map'!A:A,C372-1)),IF(ISBLANK(INDEX('register map'!A:A,C372-2)),IF(ISBLANK(INDEX('register map'!A:A,C372-3)),IF(ISBLANK(INDEX('register map'!A:A,C372-4)),IF(ISBLANK(INDEX('register map'!A:A,C372-5)),IF(ISBLANK(INDEX('register map'!A:A,C372-6)),IF(ISBLANK(INDEX('register map'!A:A,C372-7)),IF(ISBLANK(INDEX('register map'!A:A,C372-8)),"ERROR",INDEX('register map'!A:A,C372-8)),INDEX('register map'!A:A,C372-7)),INDEX('register map'!A:A,C372-6)),INDEX('register map'!A:A,C372-5)),INDEX('register map'!A:A,C372-4)),INDEX('register map'!A:A,C372-3)),INDEX('register map'!A:A,C372-2)),INDEX('register map'!A:A,C372-1)),INDEX('register map'!A:A,C372))</f>
        <v>0x38</v>
      </c>
      <c r="F372" s="117" t="str">
        <f>IF(ISBLANK(INDEX('register map'!B:B,C372)),IF(ISBLANK(INDEX('register map'!B:B,C372-1)),IF(ISBLANK(INDEX('register map'!B:B,C372-2)),IF(ISBLANK(INDEX('register map'!B:B,C372-3)),IF(ISBLANK(INDEX('register map'!B:B,C372-4)),IF(ISBLANK(INDEX('register map'!B:B,C372-5)),IF(ISBLANK(INDEX('register map'!B:B,C372-6)),IF(ISBLANK(INDEX('register map'!B:B,C372-7)),IF(ISBLANK(INDEX('register map'!B:B,C372-8)),"ERROR",INDEX('register map'!B:B,C372-8)),INDEX('register map'!B:B,C372-7)),INDEX('register map'!B:B,C372-6)),INDEX('register map'!B:B,C372-5)),INDEX('register map'!B:B,C372-4)),INDEX('register map'!B:B,C372-3)),INDEX('register map'!B:B,C372-2)),INDEX('register map'!B:B,C372-1)),INDEX('register map'!B:B,C372))</f>
        <v>0x13</v>
      </c>
      <c r="G372" s="117" t="str">
        <f>CONCATENATE(IF(ISNUMBER(INDEX('register map'!D:D,C372)),7,""),IF(ISNUMBER(INDEX('register map'!E:E,C372)),6,""),IF(ISNUMBER(INDEX('register map'!F:F,C372)),5,""),IF(ISNUMBER(INDEX('register map'!G:G,C372)),4,""),IF(ISNUMBER(INDEX('register map'!H:H,C372)),3,""),IF(ISNUMBER(INDEX('register map'!I:I,C372)),2,""),IF(ISNUMBER(INDEX('register map'!J:J,C372)),1,""),IF(ISNUMBER(INDEX('register map'!K:K,C372)),0,""))</f>
        <v>5</v>
      </c>
      <c r="H372" s="117" t="str">
        <f>RIGHT(INDEX('register map'!V:V,MATCH('Logical Group Generator'!B372,'register map'!L:L,0)),LEN(G372))</f>
        <v>1</v>
      </c>
      <c r="I372" s="117" t="str">
        <f>CONCATENATE(IF(ISNUMBER(INDEX('register map'!K:K,C372)),0,""),IF(ISNUMBER(INDEX('register map'!J:J,C372)),1,""),IF(ISNUMBER(INDEX('register map'!I:I,C372)),2,""),IF(ISNUMBER(INDEX('register map'!H:H,C372)),3,""),IF(ISNUMBER(INDEX('register map'!G:G,C372)),4,""),IF(ISNUMBER(INDEX('register map'!F:F,C372)),5,""),IF(ISNUMBER(INDEX('register map'!E:E,C372)),6,""),IF(ISNUMBER(INDEX('register map'!D:D,C372)),7,""))</f>
        <v>5</v>
      </c>
      <c r="J372" s="117" t="str">
        <f t="shared" si="62"/>
        <v>1</v>
      </c>
      <c r="K372" s="117" t="str">
        <f t="shared" si="55"/>
        <v/>
      </c>
      <c r="L372" s="117" t="str">
        <f t="shared" si="63"/>
        <v/>
      </c>
      <c r="M372" s="117" t="str">
        <f t="shared" si="65"/>
        <v/>
      </c>
      <c r="N372" s="117" t="str">
        <f>IF(ISBLANK(INDEX('register map'!M:M,'Logical Group Generator'!C372)),"No","Yes")</f>
        <v>No</v>
      </c>
      <c r="O372" s="117" t="str">
        <f>IF(NOT(ISBLANK(INDEX('register map'!N:N,'Logical Group Generator'!C372))),"Yes","")</f>
        <v/>
      </c>
      <c r="P372" s="117" t="str">
        <f t="shared" si="56"/>
        <v/>
      </c>
      <c r="Q372" s="117" t="str">
        <f t="shared" si="57"/>
        <v/>
      </c>
      <c r="R372" s="117" t="str">
        <f t="shared" si="58"/>
        <v/>
      </c>
      <c r="S372" s="117" t="str">
        <f t="shared" si="59"/>
        <v>No</v>
      </c>
      <c r="T372" s="117" t="str">
        <f t="shared" si="60"/>
        <v/>
      </c>
      <c r="U372" s="117" t="b">
        <f t="shared" si="64"/>
        <v>0</v>
      </c>
      <c r="V372" s="157" t="b">
        <f>INDEX('register map'!P:P,C372)="yes"</f>
        <v>1</v>
      </c>
      <c r="W372" s="157" t="str">
        <f t="shared" si="61"/>
        <v>FALSE</v>
      </c>
    </row>
    <row r="373" spans="2:23">
      <c r="B373" s="157" t="str">
        <f t="array" ref="B373">IF(ROWS($3:373)&lt;=COUNTA('register map'!$L$5:$L$902),INDEX('register map'!$L$5:$L$902,SMALL(IF('register map'!$L$5:$L$902&lt;&gt;"",ROW('register map'!$L$5:$L$902)-MIN(ROW('register map'!$L$5:$L$902))+1),ROWS($3:373))),"")</f>
        <v>OTP_RSVD_38_13_6</v>
      </c>
      <c r="C373" s="157">
        <f>IF(B373="PART_NUMBER",IF(COUNTIF($B$1:B372,"PART_NUMBER")=0,6,8),MATCH(B373,'register map'!L:L,0))</f>
        <v>477</v>
      </c>
      <c r="D373" s="117" t="str">
        <f>IF(ISBLANK(INDEX('register map'!C:C,'Logical Group Generator'!C373)),"No","Yes")</f>
        <v>No</v>
      </c>
      <c r="E373" s="117" t="str">
        <f>IF(ISBLANK(INDEX('register map'!A:A,C373)),IF(ISBLANK(INDEX('register map'!A:A,C373-1)),IF(ISBLANK(INDEX('register map'!A:A,C373-2)),IF(ISBLANK(INDEX('register map'!A:A,C373-3)),IF(ISBLANK(INDEX('register map'!A:A,C373-4)),IF(ISBLANK(INDEX('register map'!A:A,C373-5)),IF(ISBLANK(INDEX('register map'!A:A,C373-6)),IF(ISBLANK(INDEX('register map'!A:A,C373-7)),IF(ISBLANK(INDEX('register map'!A:A,C373-8)),"ERROR",INDEX('register map'!A:A,C373-8)),INDEX('register map'!A:A,C373-7)),INDEX('register map'!A:A,C373-6)),INDEX('register map'!A:A,C373-5)),INDEX('register map'!A:A,C373-4)),INDEX('register map'!A:A,C373-3)),INDEX('register map'!A:A,C373-2)),INDEX('register map'!A:A,C373-1)),INDEX('register map'!A:A,C373))</f>
        <v>0x38</v>
      </c>
      <c r="F373" s="117" t="str">
        <f>IF(ISBLANK(INDEX('register map'!B:B,C373)),IF(ISBLANK(INDEX('register map'!B:B,C373-1)),IF(ISBLANK(INDEX('register map'!B:B,C373-2)),IF(ISBLANK(INDEX('register map'!B:B,C373-3)),IF(ISBLANK(INDEX('register map'!B:B,C373-4)),IF(ISBLANK(INDEX('register map'!B:B,C373-5)),IF(ISBLANK(INDEX('register map'!B:B,C373-6)),IF(ISBLANK(INDEX('register map'!B:B,C373-7)),IF(ISBLANK(INDEX('register map'!B:B,C373-8)),"ERROR",INDEX('register map'!B:B,C373-8)),INDEX('register map'!B:B,C373-7)),INDEX('register map'!B:B,C373-6)),INDEX('register map'!B:B,C373-5)),INDEX('register map'!B:B,C373-4)),INDEX('register map'!B:B,C373-3)),INDEX('register map'!B:B,C373-2)),INDEX('register map'!B:B,C373-1)),INDEX('register map'!B:B,C373))</f>
        <v>0x13</v>
      </c>
      <c r="G373" s="117" t="str">
        <f>CONCATENATE(IF(ISNUMBER(INDEX('register map'!D:D,C373)),7,""),IF(ISNUMBER(INDEX('register map'!E:E,C373)),6,""),IF(ISNUMBER(INDEX('register map'!F:F,C373)),5,""),IF(ISNUMBER(INDEX('register map'!G:G,C373)),4,""),IF(ISNUMBER(INDEX('register map'!H:H,C373)),3,""),IF(ISNUMBER(INDEX('register map'!I:I,C373)),2,""),IF(ISNUMBER(INDEX('register map'!J:J,C373)),1,""),IF(ISNUMBER(INDEX('register map'!K:K,C373)),0,""))</f>
        <v>6</v>
      </c>
      <c r="H373" s="117" t="str">
        <f>RIGHT(INDEX('register map'!V:V,MATCH('Logical Group Generator'!B373,'register map'!L:L,0)),LEN(G373))</f>
        <v>1</v>
      </c>
      <c r="I373" s="117" t="str">
        <f>CONCATENATE(IF(ISNUMBER(INDEX('register map'!K:K,C373)),0,""),IF(ISNUMBER(INDEX('register map'!J:J,C373)),1,""),IF(ISNUMBER(INDEX('register map'!I:I,C373)),2,""),IF(ISNUMBER(INDEX('register map'!H:H,C373)),3,""),IF(ISNUMBER(INDEX('register map'!G:G,C373)),4,""),IF(ISNUMBER(INDEX('register map'!F:F,C373)),5,""),IF(ISNUMBER(INDEX('register map'!E:E,C373)),6,""),IF(ISNUMBER(INDEX('register map'!D:D,C373)),7,""))</f>
        <v>6</v>
      </c>
      <c r="J373" s="117" t="str">
        <f t="shared" si="62"/>
        <v>1</v>
      </c>
      <c r="K373" s="117" t="str">
        <f t="shared" si="55"/>
        <v/>
      </c>
      <c r="L373" s="117" t="str">
        <f t="shared" si="63"/>
        <v/>
      </c>
      <c r="M373" s="117" t="str">
        <f t="shared" si="65"/>
        <v/>
      </c>
      <c r="N373" s="117" t="str">
        <f>IF(ISBLANK(INDEX('register map'!M:M,'Logical Group Generator'!C373)),"No","Yes")</f>
        <v>No</v>
      </c>
      <c r="O373" s="117" t="str">
        <f>IF(NOT(ISBLANK(INDEX('register map'!N:N,'Logical Group Generator'!C373))),"Yes","")</f>
        <v/>
      </c>
      <c r="P373" s="117" t="str">
        <f t="shared" si="56"/>
        <v/>
      </c>
      <c r="Q373" s="117" t="str">
        <f t="shared" si="57"/>
        <v/>
      </c>
      <c r="R373" s="117" t="str">
        <f t="shared" si="58"/>
        <v/>
      </c>
      <c r="S373" s="117" t="str">
        <f t="shared" si="59"/>
        <v>No</v>
      </c>
      <c r="T373" s="117" t="str">
        <f t="shared" si="60"/>
        <v/>
      </c>
      <c r="U373" s="117" t="b">
        <f t="shared" si="64"/>
        <v>0</v>
      </c>
      <c r="V373" s="157" t="b">
        <f>INDEX('register map'!P:P,C373)="yes"</f>
        <v>1</v>
      </c>
      <c r="W373" s="157" t="str">
        <f t="shared" si="61"/>
        <v>FALSE</v>
      </c>
    </row>
    <row r="374" spans="2:23">
      <c r="B374" s="157" t="str">
        <f t="array" ref="B374">IF(ROWS($3:374)&lt;=COUNTA('register map'!$L$5:$L$902),INDEX('register map'!$L$5:$L$902,SMALL(IF('register map'!$L$5:$L$902&lt;&gt;"",ROW('register map'!$L$5:$L$902)-MIN(ROW('register map'!$L$5:$L$902))+1),ROWS($3:374))),"")</f>
        <v>OTP_RSVD_38_13_7</v>
      </c>
      <c r="C374" s="157">
        <f>IF(B374="PART_NUMBER",IF(COUNTIF($B$1:B373,"PART_NUMBER")=0,6,8),MATCH(B374,'register map'!L:L,0))</f>
        <v>478</v>
      </c>
      <c r="D374" s="117" t="str">
        <f>IF(ISBLANK(INDEX('register map'!C:C,'Logical Group Generator'!C374)),"No","Yes")</f>
        <v>No</v>
      </c>
      <c r="E374" s="117" t="str">
        <f>IF(ISBLANK(INDEX('register map'!A:A,C374)),IF(ISBLANK(INDEX('register map'!A:A,C374-1)),IF(ISBLANK(INDEX('register map'!A:A,C374-2)),IF(ISBLANK(INDEX('register map'!A:A,C374-3)),IF(ISBLANK(INDEX('register map'!A:A,C374-4)),IF(ISBLANK(INDEX('register map'!A:A,C374-5)),IF(ISBLANK(INDEX('register map'!A:A,C374-6)),IF(ISBLANK(INDEX('register map'!A:A,C374-7)),IF(ISBLANK(INDEX('register map'!A:A,C374-8)),"ERROR",INDEX('register map'!A:A,C374-8)),INDEX('register map'!A:A,C374-7)),INDEX('register map'!A:A,C374-6)),INDEX('register map'!A:A,C374-5)),INDEX('register map'!A:A,C374-4)),INDEX('register map'!A:A,C374-3)),INDEX('register map'!A:A,C374-2)),INDEX('register map'!A:A,C374-1)),INDEX('register map'!A:A,C374))</f>
        <v>0x38</v>
      </c>
      <c r="F374" s="117" t="str">
        <f>IF(ISBLANK(INDEX('register map'!B:B,C374)),IF(ISBLANK(INDEX('register map'!B:B,C374-1)),IF(ISBLANK(INDEX('register map'!B:B,C374-2)),IF(ISBLANK(INDEX('register map'!B:B,C374-3)),IF(ISBLANK(INDEX('register map'!B:B,C374-4)),IF(ISBLANK(INDEX('register map'!B:B,C374-5)),IF(ISBLANK(INDEX('register map'!B:B,C374-6)),IF(ISBLANK(INDEX('register map'!B:B,C374-7)),IF(ISBLANK(INDEX('register map'!B:B,C374-8)),"ERROR",INDEX('register map'!B:B,C374-8)),INDEX('register map'!B:B,C374-7)),INDEX('register map'!B:B,C374-6)),INDEX('register map'!B:B,C374-5)),INDEX('register map'!B:B,C374-4)),INDEX('register map'!B:B,C374-3)),INDEX('register map'!B:B,C374-2)),INDEX('register map'!B:B,C374-1)),INDEX('register map'!B:B,C374))</f>
        <v>0x13</v>
      </c>
      <c r="G374" s="117" t="str">
        <f>CONCATENATE(IF(ISNUMBER(INDEX('register map'!D:D,C374)),7,""),IF(ISNUMBER(INDEX('register map'!E:E,C374)),6,""),IF(ISNUMBER(INDEX('register map'!F:F,C374)),5,""),IF(ISNUMBER(INDEX('register map'!G:G,C374)),4,""),IF(ISNUMBER(INDEX('register map'!H:H,C374)),3,""),IF(ISNUMBER(INDEX('register map'!I:I,C374)),2,""),IF(ISNUMBER(INDEX('register map'!J:J,C374)),1,""),IF(ISNUMBER(INDEX('register map'!K:K,C374)),0,""))</f>
        <v>7</v>
      </c>
      <c r="H374" s="117" t="str">
        <f>RIGHT(INDEX('register map'!V:V,MATCH('Logical Group Generator'!B374,'register map'!L:L,0)),LEN(G374))</f>
        <v>1</v>
      </c>
      <c r="I374" s="117" t="str">
        <f>CONCATENATE(IF(ISNUMBER(INDEX('register map'!K:K,C374)),0,""),IF(ISNUMBER(INDEX('register map'!J:J,C374)),1,""),IF(ISNUMBER(INDEX('register map'!I:I,C374)),2,""),IF(ISNUMBER(INDEX('register map'!H:H,C374)),3,""),IF(ISNUMBER(INDEX('register map'!G:G,C374)),4,""),IF(ISNUMBER(INDEX('register map'!F:F,C374)),5,""),IF(ISNUMBER(INDEX('register map'!E:E,C374)),6,""),IF(ISNUMBER(INDEX('register map'!D:D,C374)),7,""))</f>
        <v>7</v>
      </c>
      <c r="J374" s="117" t="str">
        <f t="shared" si="62"/>
        <v>1</v>
      </c>
      <c r="K374" s="117" t="str">
        <f t="shared" si="55"/>
        <v/>
      </c>
      <c r="L374" s="117" t="str">
        <f t="shared" si="63"/>
        <v/>
      </c>
      <c r="M374" s="117" t="str">
        <f t="shared" si="65"/>
        <v/>
      </c>
      <c r="N374" s="117" t="str">
        <f>IF(ISBLANK(INDEX('register map'!M:M,'Logical Group Generator'!C374)),"No","Yes")</f>
        <v>No</v>
      </c>
      <c r="O374" s="117" t="str">
        <f>IF(NOT(ISBLANK(INDEX('register map'!N:N,'Logical Group Generator'!C374))),"Yes","")</f>
        <v/>
      </c>
      <c r="P374" s="117" t="str">
        <f t="shared" si="56"/>
        <v/>
      </c>
      <c r="Q374" s="117" t="str">
        <f t="shared" si="57"/>
        <v/>
      </c>
      <c r="R374" s="117" t="str">
        <f t="shared" si="58"/>
        <v/>
      </c>
      <c r="S374" s="117" t="str">
        <f t="shared" si="59"/>
        <v>No</v>
      </c>
      <c r="T374" s="117" t="str">
        <f t="shared" si="60"/>
        <v/>
      </c>
      <c r="U374" s="117" t="b">
        <f t="shared" si="64"/>
        <v>0</v>
      </c>
      <c r="V374" s="157" t="b">
        <f>INDEX('register map'!P:P,C374)="yes"</f>
        <v>1</v>
      </c>
      <c r="W374" s="157" t="str">
        <f t="shared" si="61"/>
        <v>FALSE</v>
      </c>
    </row>
    <row r="375" spans="2:23">
      <c r="B375" s="157" t="str">
        <f t="array" ref="B375">IF(ROWS($3:375)&lt;=COUNTA('register map'!$L$5:$L$902),INDEX('register map'!$L$5:$L$902,SMALL(IF('register map'!$L$5:$L$902&lt;&gt;"",ROW('register map'!$L$5:$L$902)-MIN(ROW('register map'!$L$5:$L$902))+1),ROWS($3:375))),"")</f>
        <v>BUCK5_CTRL_EN2</v>
      </c>
      <c r="C375" s="157">
        <f>IF(B375="PART_NUMBER",IF(COUNTIF($B$1:B374,"PART_NUMBER")=0,6,8),MATCH(B375,'register map'!L:L,0))</f>
        <v>479</v>
      </c>
      <c r="D375" s="117" t="str">
        <f>IF(ISBLANK(INDEX('register map'!C:C,'Logical Group Generator'!C375)),"No","Yes")</f>
        <v>Yes</v>
      </c>
      <c r="E375" s="117" t="str">
        <f>IF(ISBLANK(INDEX('register map'!A:A,C375)),IF(ISBLANK(INDEX('register map'!A:A,C375-1)),IF(ISBLANK(INDEX('register map'!A:A,C375-2)),IF(ISBLANK(INDEX('register map'!A:A,C375-3)),IF(ISBLANK(INDEX('register map'!A:A,C375-4)),IF(ISBLANK(INDEX('register map'!A:A,C375-5)),IF(ISBLANK(INDEX('register map'!A:A,C375-6)),IF(ISBLANK(INDEX('register map'!A:A,C375-7)),IF(ISBLANK(INDEX('register map'!A:A,C375-8)),"ERROR",INDEX('register map'!A:A,C375-8)),INDEX('register map'!A:A,C375-7)),INDEX('register map'!A:A,C375-6)),INDEX('register map'!A:A,C375-5)),INDEX('register map'!A:A,C375-4)),INDEX('register map'!A:A,C375-3)),INDEX('register map'!A:A,C375-2)),INDEX('register map'!A:A,C375-1)),INDEX('register map'!A:A,C375))</f>
        <v>0x38</v>
      </c>
      <c r="F375" s="117" t="str">
        <f>IF(ISBLANK(INDEX('register map'!B:B,C375)),IF(ISBLANK(INDEX('register map'!B:B,C375-1)),IF(ISBLANK(INDEX('register map'!B:B,C375-2)),IF(ISBLANK(INDEX('register map'!B:B,C375-3)),IF(ISBLANK(INDEX('register map'!B:B,C375-4)),IF(ISBLANK(INDEX('register map'!B:B,C375-5)),IF(ISBLANK(INDEX('register map'!B:B,C375-6)),IF(ISBLANK(INDEX('register map'!B:B,C375-7)),IF(ISBLANK(INDEX('register map'!B:B,C375-8)),"ERROR",INDEX('register map'!B:B,C375-8)),INDEX('register map'!B:B,C375-7)),INDEX('register map'!B:B,C375-6)),INDEX('register map'!B:B,C375-5)),INDEX('register map'!B:B,C375-4)),INDEX('register map'!B:B,C375-3)),INDEX('register map'!B:B,C375-2)),INDEX('register map'!B:B,C375-1)),INDEX('register map'!B:B,C375))</f>
        <v>0x14</v>
      </c>
      <c r="G375" s="117" t="str">
        <f>CONCATENATE(IF(ISNUMBER(INDEX('register map'!D:D,C375)),7,""),IF(ISNUMBER(INDEX('register map'!E:E,C375)),6,""),IF(ISNUMBER(INDEX('register map'!F:F,C375)),5,""),IF(ISNUMBER(INDEX('register map'!G:G,C375)),4,""),IF(ISNUMBER(INDEX('register map'!H:H,C375)),3,""),IF(ISNUMBER(INDEX('register map'!I:I,C375)),2,""),IF(ISNUMBER(INDEX('register map'!J:J,C375)),1,""),IF(ISNUMBER(INDEX('register map'!K:K,C375)),0,""))</f>
        <v/>
      </c>
      <c r="H375" s="117" t="str">
        <f>RIGHT(INDEX('register map'!V:V,MATCH('Logical Group Generator'!B375,'register map'!L:L,0)),LEN(G375))</f>
        <v/>
      </c>
      <c r="I375" s="117" t="str">
        <f>CONCATENATE(IF(ISNUMBER(INDEX('register map'!K:K,C375)),0,""),IF(ISNUMBER(INDEX('register map'!J:J,C375)),1,""),IF(ISNUMBER(INDEX('register map'!I:I,C375)),2,""),IF(ISNUMBER(INDEX('register map'!H:H,C375)),3,""),IF(ISNUMBER(INDEX('register map'!G:G,C375)),4,""),IF(ISNUMBER(INDEX('register map'!F:F,C375)),5,""),IF(ISNUMBER(INDEX('register map'!E:E,C375)),6,""),IF(ISNUMBER(INDEX('register map'!D:D,C375)),7,""))</f>
        <v/>
      </c>
      <c r="J375" s="117" t="str">
        <f t="shared" si="62"/>
        <v/>
      </c>
      <c r="K375" s="117" t="str">
        <f t="shared" si="55"/>
        <v>11000110</v>
      </c>
      <c r="L375" s="117" t="str">
        <f t="shared" si="63"/>
        <v>01100011</v>
      </c>
      <c r="M375" s="117" t="str">
        <f t="shared" si="65"/>
        <v>63</v>
      </c>
      <c r="N375" s="117" t="str">
        <f>IF(ISBLANK(INDEX('register map'!M:M,'Logical Group Generator'!C375)),"No","Yes")</f>
        <v>No</v>
      </c>
      <c r="O375" s="117" t="str">
        <f>IF(NOT(ISBLANK(INDEX('register map'!N:N,'Logical Group Generator'!C375))),"Yes","")</f>
        <v/>
      </c>
      <c r="P375" s="117" t="str">
        <f t="shared" si="56"/>
        <v>No</v>
      </c>
      <c r="Q375" s="117" t="str">
        <f t="shared" si="57"/>
        <v>No</v>
      </c>
      <c r="R375" s="117" t="str">
        <f t="shared" si="58"/>
        <v>No</v>
      </c>
      <c r="S375" s="117" t="str">
        <f t="shared" si="59"/>
        <v/>
      </c>
      <c r="T375" s="117" t="b">
        <f t="shared" si="60"/>
        <v>1</v>
      </c>
      <c r="U375" s="117" t="b">
        <f t="shared" si="64"/>
        <v>1</v>
      </c>
      <c r="V375" s="157" t="b">
        <f>INDEX('register map'!P:P,C375)="yes"</f>
        <v>1</v>
      </c>
      <c r="W375" s="157" t="str">
        <f t="shared" si="61"/>
        <v>REGISTER</v>
      </c>
    </row>
    <row r="376" spans="2:23">
      <c r="B376" s="157" t="str">
        <f t="array" ref="B376">IF(ROWS($3:376)&lt;=COUNTA('register map'!$L$5:$L$902),INDEX('register map'!$L$5:$L$902,SMALL(IF('register map'!$L$5:$L$902&lt;&gt;"",ROW('register map'!$L$5:$L$902)-MIN(ROW('register map'!$L$5:$L$902))+1),ROWS($3:376))),"")</f>
        <v>OTP_RSVD_38_14_0</v>
      </c>
      <c r="C376" s="157">
        <f>IF(B376="PART_NUMBER",IF(COUNTIF($B$1:B375,"PART_NUMBER")=0,6,8),MATCH(B376,'register map'!L:L,0))</f>
        <v>480</v>
      </c>
      <c r="D376" s="117" t="str">
        <f>IF(ISBLANK(INDEX('register map'!C:C,'Logical Group Generator'!C376)),"No","Yes")</f>
        <v>No</v>
      </c>
      <c r="E376" s="117" t="str">
        <f>IF(ISBLANK(INDEX('register map'!A:A,C376)),IF(ISBLANK(INDEX('register map'!A:A,C376-1)),IF(ISBLANK(INDEX('register map'!A:A,C376-2)),IF(ISBLANK(INDEX('register map'!A:A,C376-3)),IF(ISBLANK(INDEX('register map'!A:A,C376-4)),IF(ISBLANK(INDEX('register map'!A:A,C376-5)),IF(ISBLANK(INDEX('register map'!A:A,C376-6)),IF(ISBLANK(INDEX('register map'!A:A,C376-7)),IF(ISBLANK(INDEX('register map'!A:A,C376-8)),"ERROR",INDEX('register map'!A:A,C376-8)),INDEX('register map'!A:A,C376-7)),INDEX('register map'!A:A,C376-6)),INDEX('register map'!A:A,C376-5)),INDEX('register map'!A:A,C376-4)),INDEX('register map'!A:A,C376-3)),INDEX('register map'!A:A,C376-2)),INDEX('register map'!A:A,C376-1)),INDEX('register map'!A:A,C376))</f>
        <v>0x38</v>
      </c>
      <c r="F376" s="117" t="str">
        <f>IF(ISBLANK(INDEX('register map'!B:B,C376)),IF(ISBLANK(INDEX('register map'!B:B,C376-1)),IF(ISBLANK(INDEX('register map'!B:B,C376-2)),IF(ISBLANK(INDEX('register map'!B:B,C376-3)),IF(ISBLANK(INDEX('register map'!B:B,C376-4)),IF(ISBLANK(INDEX('register map'!B:B,C376-5)),IF(ISBLANK(INDEX('register map'!B:B,C376-6)),IF(ISBLANK(INDEX('register map'!B:B,C376-7)),IF(ISBLANK(INDEX('register map'!B:B,C376-8)),"ERROR",INDEX('register map'!B:B,C376-8)),INDEX('register map'!B:B,C376-7)),INDEX('register map'!B:B,C376-6)),INDEX('register map'!B:B,C376-5)),INDEX('register map'!B:B,C376-4)),INDEX('register map'!B:B,C376-3)),INDEX('register map'!B:B,C376-2)),INDEX('register map'!B:B,C376-1)),INDEX('register map'!B:B,C376))</f>
        <v>0x14</v>
      </c>
      <c r="G376" s="117" t="str">
        <f>CONCATENATE(IF(ISNUMBER(INDEX('register map'!D:D,C376)),7,""),IF(ISNUMBER(INDEX('register map'!E:E,C376)),6,""),IF(ISNUMBER(INDEX('register map'!F:F,C376)),5,""),IF(ISNUMBER(INDEX('register map'!G:G,C376)),4,""),IF(ISNUMBER(INDEX('register map'!H:H,C376)),3,""),IF(ISNUMBER(INDEX('register map'!I:I,C376)),2,""),IF(ISNUMBER(INDEX('register map'!J:J,C376)),1,""),IF(ISNUMBER(INDEX('register map'!K:K,C376)),0,""))</f>
        <v>0</v>
      </c>
      <c r="H376" s="117" t="str">
        <f>RIGHT(INDEX('register map'!V:V,MATCH('Logical Group Generator'!B376,'register map'!L:L,0)),LEN(G376))</f>
        <v>1</v>
      </c>
      <c r="I376" s="117" t="str">
        <f>CONCATENATE(IF(ISNUMBER(INDEX('register map'!K:K,C376)),0,""),IF(ISNUMBER(INDEX('register map'!J:J,C376)),1,""),IF(ISNUMBER(INDEX('register map'!I:I,C376)),2,""),IF(ISNUMBER(INDEX('register map'!H:H,C376)),3,""),IF(ISNUMBER(INDEX('register map'!G:G,C376)),4,""),IF(ISNUMBER(INDEX('register map'!F:F,C376)),5,""),IF(ISNUMBER(INDEX('register map'!E:E,C376)),6,""),IF(ISNUMBER(INDEX('register map'!D:D,C376)),7,""))</f>
        <v>0</v>
      </c>
      <c r="J376" s="117" t="str">
        <f t="shared" si="62"/>
        <v>1</v>
      </c>
      <c r="K376" s="117" t="str">
        <f t="shared" si="55"/>
        <v/>
      </c>
      <c r="L376" s="117" t="str">
        <f t="shared" si="63"/>
        <v/>
      </c>
      <c r="M376" s="117" t="str">
        <f t="shared" si="65"/>
        <v/>
      </c>
      <c r="N376" s="117" t="str">
        <f>IF(ISBLANK(INDEX('register map'!M:M,'Logical Group Generator'!C376)),"No","Yes")</f>
        <v>No</v>
      </c>
      <c r="O376" s="117" t="str">
        <f>IF(NOT(ISBLANK(INDEX('register map'!N:N,'Logical Group Generator'!C376))),"Yes","")</f>
        <v/>
      </c>
      <c r="P376" s="117" t="str">
        <f t="shared" si="56"/>
        <v/>
      </c>
      <c r="Q376" s="117" t="str">
        <f t="shared" si="57"/>
        <v/>
      </c>
      <c r="R376" s="117" t="str">
        <f t="shared" si="58"/>
        <v/>
      </c>
      <c r="S376" s="117" t="str">
        <f t="shared" si="59"/>
        <v>No</v>
      </c>
      <c r="T376" s="117" t="str">
        <f t="shared" si="60"/>
        <v/>
      </c>
      <c r="U376" s="117" t="b">
        <f t="shared" si="64"/>
        <v>0</v>
      </c>
      <c r="V376" s="157" t="b">
        <f>INDEX('register map'!P:P,C376)="yes"</f>
        <v>1</v>
      </c>
      <c r="W376" s="157" t="str">
        <f t="shared" si="61"/>
        <v>FALSE</v>
      </c>
    </row>
    <row r="377" spans="2:23">
      <c r="B377" s="157" t="str">
        <f t="array" ref="B377">IF(ROWS($3:377)&lt;=COUNTA('register map'!$L$5:$L$902),INDEX('register map'!$L$5:$L$902,SMALL(IF('register map'!$L$5:$L$902&lt;&gt;"",ROW('register map'!$L$5:$L$902)-MIN(ROW('register map'!$L$5:$L$902))+1),ROWS($3:377))),"")</f>
        <v>OTP_RSVD_38_14_1</v>
      </c>
      <c r="C377" s="157">
        <f>IF(B377="PART_NUMBER",IF(COUNTIF($B$1:B376,"PART_NUMBER")=0,6,8),MATCH(B377,'register map'!L:L,0))</f>
        <v>481</v>
      </c>
      <c r="D377" s="117" t="str">
        <f>IF(ISBLANK(INDEX('register map'!C:C,'Logical Group Generator'!C377)),"No","Yes")</f>
        <v>No</v>
      </c>
      <c r="E377" s="117" t="str">
        <f>IF(ISBLANK(INDEX('register map'!A:A,C377)),IF(ISBLANK(INDEX('register map'!A:A,C377-1)),IF(ISBLANK(INDEX('register map'!A:A,C377-2)),IF(ISBLANK(INDEX('register map'!A:A,C377-3)),IF(ISBLANK(INDEX('register map'!A:A,C377-4)),IF(ISBLANK(INDEX('register map'!A:A,C377-5)),IF(ISBLANK(INDEX('register map'!A:A,C377-6)),IF(ISBLANK(INDEX('register map'!A:A,C377-7)),IF(ISBLANK(INDEX('register map'!A:A,C377-8)),"ERROR",INDEX('register map'!A:A,C377-8)),INDEX('register map'!A:A,C377-7)),INDEX('register map'!A:A,C377-6)),INDEX('register map'!A:A,C377-5)),INDEX('register map'!A:A,C377-4)),INDEX('register map'!A:A,C377-3)),INDEX('register map'!A:A,C377-2)),INDEX('register map'!A:A,C377-1)),INDEX('register map'!A:A,C377))</f>
        <v>0x38</v>
      </c>
      <c r="F377" s="117" t="str">
        <f>IF(ISBLANK(INDEX('register map'!B:B,C377)),IF(ISBLANK(INDEX('register map'!B:B,C377-1)),IF(ISBLANK(INDEX('register map'!B:B,C377-2)),IF(ISBLANK(INDEX('register map'!B:B,C377-3)),IF(ISBLANK(INDEX('register map'!B:B,C377-4)),IF(ISBLANK(INDEX('register map'!B:B,C377-5)),IF(ISBLANK(INDEX('register map'!B:B,C377-6)),IF(ISBLANK(INDEX('register map'!B:B,C377-7)),IF(ISBLANK(INDEX('register map'!B:B,C377-8)),"ERROR",INDEX('register map'!B:B,C377-8)),INDEX('register map'!B:B,C377-7)),INDEX('register map'!B:B,C377-6)),INDEX('register map'!B:B,C377-5)),INDEX('register map'!B:B,C377-4)),INDEX('register map'!B:B,C377-3)),INDEX('register map'!B:B,C377-2)),INDEX('register map'!B:B,C377-1)),INDEX('register map'!B:B,C377))</f>
        <v>0x14</v>
      </c>
      <c r="G377" s="117" t="str">
        <f>CONCATENATE(IF(ISNUMBER(INDEX('register map'!D:D,C377)),7,""),IF(ISNUMBER(INDEX('register map'!E:E,C377)),6,""),IF(ISNUMBER(INDEX('register map'!F:F,C377)),5,""),IF(ISNUMBER(INDEX('register map'!G:G,C377)),4,""),IF(ISNUMBER(INDEX('register map'!H:H,C377)),3,""),IF(ISNUMBER(INDEX('register map'!I:I,C377)),2,""),IF(ISNUMBER(INDEX('register map'!J:J,C377)),1,""),IF(ISNUMBER(INDEX('register map'!K:K,C377)),0,""))</f>
        <v>1</v>
      </c>
      <c r="H377" s="117" t="str">
        <f>RIGHT(INDEX('register map'!V:V,MATCH('Logical Group Generator'!B377,'register map'!L:L,0)),LEN(G377))</f>
        <v>1</v>
      </c>
      <c r="I377" s="117" t="str">
        <f>CONCATENATE(IF(ISNUMBER(INDEX('register map'!K:K,C377)),0,""),IF(ISNUMBER(INDEX('register map'!J:J,C377)),1,""),IF(ISNUMBER(INDEX('register map'!I:I,C377)),2,""),IF(ISNUMBER(INDEX('register map'!H:H,C377)),3,""),IF(ISNUMBER(INDEX('register map'!G:G,C377)),4,""),IF(ISNUMBER(INDEX('register map'!F:F,C377)),5,""),IF(ISNUMBER(INDEX('register map'!E:E,C377)),6,""),IF(ISNUMBER(INDEX('register map'!D:D,C377)),7,""))</f>
        <v>1</v>
      </c>
      <c r="J377" s="117" t="str">
        <f t="shared" si="62"/>
        <v>1</v>
      </c>
      <c r="K377" s="117" t="str">
        <f t="shared" si="55"/>
        <v/>
      </c>
      <c r="L377" s="117" t="str">
        <f t="shared" si="63"/>
        <v/>
      </c>
      <c r="M377" s="117" t="str">
        <f t="shared" si="65"/>
        <v/>
      </c>
      <c r="N377" s="117" t="str">
        <f>IF(ISBLANK(INDEX('register map'!M:M,'Logical Group Generator'!C377)),"No","Yes")</f>
        <v>No</v>
      </c>
      <c r="O377" s="117" t="str">
        <f>IF(NOT(ISBLANK(INDEX('register map'!N:N,'Logical Group Generator'!C377))),"Yes","")</f>
        <v/>
      </c>
      <c r="P377" s="117" t="str">
        <f t="shared" si="56"/>
        <v/>
      </c>
      <c r="Q377" s="117" t="str">
        <f t="shared" si="57"/>
        <v/>
      </c>
      <c r="R377" s="117" t="str">
        <f t="shared" si="58"/>
        <v/>
      </c>
      <c r="S377" s="117" t="str">
        <f t="shared" si="59"/>
        <v>No</v>
      </c>
      <c r="T377" s="117" t="str">
        <f t="shared" si="60"/>
        <v/>
      </c>
      <c r="U377" s="117" t="b">
        <f t="shared" si="64"/>
        <v>0</v>
      </c>
      <c r="V377" s="157" t="b">
        <f>INDEX('register map'!P:P,C377)="yes"</f>
        <v>1</v>
      </c>
      <c r="W377" s="157" t="str">
        <f t="shared" si="61"/>
        <v>FALSE</v>
      </c>
    </row>
    <row r="378" spans="2:23">
      <c r="B378" s="157" t="str">
        <f t="array" ref="B378">IF(ROWS($3:378)&lt;=COUNTA('register map'!$L$5:$L$902),INDEX('register map'!$L$5:$L$902,SMALL(IF('register map'!$L$5:$L$902&lt;&gt;"",ROW('register map'!$L$5:$L$902)-MIN(ROW('register map'!$L$5:$L$902))+1),ROWS($3:378))),"")</f>
        <v>OTP_RSVD_38_14_432</v>
      </c>
      <c r="C378" s="157">
        <f>IF(B378="PART_NUMBER",IF(COUNTIF($B$1:B377,"PART_NUMBER")=0,6,8),MATCH(B378,'register map'!L:L,0))</f>
        <v>482</v>
      </c>
      <c r="D378" s="117" t="str">
        <f>IF(ISBLANK(INDEX('register map'!C:C,'Logical Group Generator'!C378)),"No","Yes")</f>
        <v>No</v>
      </c>
      <c r="E378" s="117" t="str">
        <f>IF(ISBLANK(INDEX('register map'!A:A,C378)),IF(ISBLANK(INDEX('register map'!A:A,C378-1)),IF(ISBLANK(INDEX('register map'!A:A,C378-2)),IF(ISBLANK(INDEX('register map'!A:A,C378-3)),IF(ISBLANK(INDEX('register map'!A:A,C378-4)),IF(ISBLANK(INDEX('register map'!A:A,C378-5)),IF(ISBLANK(INDEX('register map'!A:A,C378-6)),IF(ISBLANK(INDEX('register map'!A:A,C378-7)),IF(ISBLANK(INDEX('register map'!A:A,C378-8)),"ERROR",INDEX('register map'!A:A,C378-8)),INDEX('register map'!A:A,C378-7)),INDEX('register map'!A:A,C378-6)),INDEX('register map'!A:A,C378-5)),INDEX('register map'!A:A,C378-4)),INDEX('register map'!A:A,C378-3)),INDEX('register map'!A:A,C378-2)),INDEX('register map'!A:A,C378-1)),INDEX('register map'!A:A,C378))</f>
        <v>0x38</v>
      </c>
      <c r="F378" s="117" t="str">
        <f>IF(ISBLANK(INDEX('register map'!B:B,C378)),IF(ISBLANK(INDEX('register map'!B:B,C378-1)),IF(ISBLANK(INDEX('register map'!B:B,C378-2)),IF(ISBLANK(INDEX('register map'!B:B,C378-3)),IF(ISBLANK(INDEX('register map'!B:B,C378-4)),IF(ISBLANK(INDEX('register map'!B:B,C378-5)),IF(ISBLANK(INDEX('register map'!B:B,C378-6)),IF(ISBLANK(INDEX('register map'!B:B,C378-7)),IF(ISBLANK(INDEX('register map'!B:B,C378-8)),"ERROR",INDEX('register map'!B:B,C378-8)),INDEX('register map'!B:B,C378-7)),INDEX('register map'!B:B,C378-6)),INDEX('register map'!B:B,C378-5)),INDEX('register map'!B:B,C378-4)),INDEX('register map'!B:B,C378-3)),INDEX('register map'!B:B,C378-2)),INDEX('register map'!B:B,C378-1)),INDEX('register map'!B:B,C378))</f>
        <v>0x14</v>
      </c>
      <c r="G378" s="117" t="str">
        <f>CONCATENATE(IF(ISNUMBER(INDEX('register map'!D:D,C378)),7,""),IF(ISNUMBER(INDEX('register map'!E:E,C378)),6,""),IF(ISNUMBER(INDEX('register map'!F:F,C378)),5,""),IF(ISNUMBER(INDEX('register map'!G:G,C378)),4,""),IF(ISNUMBER(INDEX('register map'!H:H,C378)),3,""),IF(ISNUMBER(INDEX('register map'!I:I,C378)),2,""),IF(ISNUMBER(INDEX('register map'!J:J,C378)),1,""),IF(ISNUMBER(INDEX('register map'!K:K,C378)),0,""))</f>
        <v>432</v>
      </c>
      <c r="H378" s="117" t="str">
        <f>RIGHT(INDEX('register map'!V:V,MATCH('Logical Group Generator'!B378,'register map'!L:L,0)),LEN(G378))</f>
        <v>000</v>
      </c>
      <c r="I378" s="117" t="str">
        <f>CONCATENATE(IF(ISNUMBER(INDEX('register map'!K:K,C378)),0,""),IF(ISNUMBER(INDEX('register map'!J:J,C378)),1,""),IF(ISNUMBER(INDEX('register map'!I:I,C378)),2,""),IF(ISNUMBER(INDEX('register map'!H:H,C378)),3,""),IF(ISNUMBER(INDEX('register map'!G:G,C378)),4,""),IF(ISNUMBER(INDEX('register map'!F:F,C378)),5,""),IF(ISNUMBER(INDEX('register map'!E:E,C378)),6,""),IF(ISNUMBER(INDEX('register map'!D:D,C378)),7,""))</f>
        <v>234</v>
      </c>
      <c r="J378" s="117" t="str">
        <f t="shared" si="62"/>
        <v>000</v>
      </c>
      <c r="K378" s="117" t="str">
        <f t="shared" si="55"/>
        <v/>
      </c>
      <c r="L378" s="117" t="str">
        <f t="shared" si="63"/>
        <v/>
      </c>
      <c r="M378" s="117" t="str">
        <f t="shared" si="65"/>
        <v/>
      </c>
      <c r="N378" s="117" t="str">
        <f>IF(ISBLANK(INDEX('register map'!M:M,'Logical Group Generator'!C378)),"No","Yes")</f>
        <v>No</v>
      </c>
      <c r="O378" s="117" t="str">
        <f>IF(NOT(ISBLANK(INDEX('register map'!N:N,'Logical Group Generator'!C378))),"Yes","")</f>
        <v/>
      </c>
      <c r="P378" s="117" t="str">
        <f t="shared" si="56"/>
        <v/>
      </c>
      <c r="Q378" s="117" t="str">
        <f t="shared" si="57"/>
        <v/>
      </c>
      <c r="R378" s="117" t="str">
        <f t="shared" si="58"/>
        <v/>
      </c>
      <c r="S378" s="117" t="str">
        <f t="shared" si="59"/>
        <v>No</v>
      </c>
      <c r="T378" s="117" t="str">
        <f t="shared" si="60"/>
        <v/>
      </c>
      <c r="U378" s="117" t="b">
        <f t="shared" si="64"/>
        <v>0</v>
      </c>
      <c r="V378" s="157" t="b">
        <f>INDEX('register map'!P:P,C378)="yes"</f>
        <v>1</v>
      </c>
      <c r="W378" s="157" t="str">
        <f t="shared" si="61"/>
        <v>FALSE</v>
      </c>
    </row>
    <row r="379" spans="2:23">
      <c r="B379" s="157" t="str">
        <f t="array" ref="B379">IF(ROWS($3:379)&lt;=COUNTA('register map'!$L$5:$L$902),INDEX('register map'!$L$5:$L$902,SMALL(IF('register map'!$L$5:$L$902&lt;&gt;"",ROW('register map'!$L$5:$L$902)-MIN(ROW('register map'!$L$5:$L$902))+1),ROWS($3:379))),"")</f>
        <v>OTP_RSVD_38_14_65</v>
      </c>
      <c r="C379" s="157">
        <f>IF(B379="PART_NUMBER",IF(COUNTIF($B$1:B378,"PART_NUMBER")=0,6,8),MATCH(B379,'register map'!L:L,0))</f>
        <v>483</v>
      </c>
      <c r="D379" s="117" t="str">
        <f>IF(ISBLANK(INDEX('register map'!C:C,'Logical Group Generator'!C379)),"No","Yes")</f>
        <v>No</v>
      </c>
      <c r="E379" s="117" t="str">
        <f>IF(ISBLANK(INDEX('register map'!A:A,C379)),IF(ISBLANK(INDEX('register map'!A:A,C379-1)),IF(ISBLANK(INDEX('register map'!A:A,C379-2)),IF(ISBLANK(INDEX('register map'!A:A,C379-3)),IF(ISBLANK(INDEX('register map'!A:A,C379-4)),IF(ISBLANK(INDEX('register map'!A:A,C379-5)),IF(ISBLANK(INDEX('register map'!A:A,C379-6)),IF(ISBLANK(INDEX('register map'!A:A,C379-7)),IF(ISBLANK(INDEX('register map'!A:A,C379-8)),"ERROR",INDEX('register map'!A:A,C379-8)),INDEX('register map'!A:A,C379-7)),INDEX('register map'!A:A,C379-6)),INDEX('register map'!A:A,C379-5)),INDEX('register map'!A:A,C379-4)),INDEX('register map'!A:A,C379-3)),INDEX('register map'!A:A,C379-2)),INDEX('register map'!A:A,C379-1)),INDEX('register map'!A:A,C379))</f>
        <v>0x38</v>
      </c>
      <c r="F379" s="117" t="str">
        <f>IF(ISBLANK(INDEX('register map'!B:B,C379)),IF(ISBLANK(INDEX('register map'!B:B,C379-1)),IF(ISBLANK(INDEX('register map'!B:B,C379-2)),IF(ISBLANK(INDEX('register map'!B:B,C379-3)),IF(ISBLANK(INDEX('register map'!B:B,C379-4)),IF(ISBLANK(INDEX('register map'!B:B,C379-5)),IF(ISBLANK(INDEX('register map'!B:B,C379-6)),IF(ISBLANK(INDEX('register map'!B:B,C379-7)),IF(ISBLANK(INDEX('register map'!B:B,C379-8)),"ERROR",INDEX('register map'!B:B,C379-8)),INDEX('register map'!B:B,C379-7)),INDEX('register map'!B:B,C379-6)),INDEX('register map'!B:B,C379-5)),INDEX('register map'!B:B,C379-4)),INDEX('register map'!B:B,C379-3)),INDEX('register map'!B:B,C379-2)),INDEX('register map'!B:B,C379-1)),INDEX('register map'!B:B,C379))</f>
        <v>0x14</v>
      </c>
      <c r="G379" s="117" t="str">
        <f>CONCATENATE(IF(ISNUMBER(INDEX('register map'!D:D,C379)),7,""),IF(ISNUMBER(INDEX('register map'!E:E,C379)),6,""),IF(ISNUMBER(INDEX('register map'!F:F,C379)),5,""),IF(ISNUMBER(INDEX('register map'!G:G,C379)),4,""),IF(ISNUMBER(INDEX('register map'!H:H,C379)),3,""),IF(ISNUMBER(INDEX('register map'!I:I,C379)),2,""),IF(ISNUMBER(INDEX('register map'!J:J,C379)),1,""),IF(ISNUMBER(INDEX('register map'!K:K,C379)),0,""))</f>
        <v>65</v>
      </c>
      <c r="H379" s="117" t="str">
        <f>RIGHT(INDEX('register map'!V:V,MATCH('Logical Group Generator'!B379,'register map'!L:L,0)),LEN(G379))</f>
        <v>11</v>
      </c>
      <c r="I379" s="117" t="str">
        <f>CONCATENATE(IF(ISNUMBER(INDEX('register map'!K:K,C379)),0,""),IF(ISNUMBER(INDEX('register map'!J:J,C379)),1,""),IF(ISNUMBER(INDEX('register map'!I:I,C379)),2,""),IF(ISNUMBER(INDEX('register map'!H:H,C379)),3,""),IF(ISNUMBER(INDEX('register map'!G:G,C379)),4,""),IF(ISNUMBER(INDEX('register map'!F:F,C379)),5,""),IF(ISNUMBER(INDEX('register map'!E:E,C379)),6,""),IF(ISNUMBER(INDEX('register map'!D:D,C379)),7,""))</f>
        <v>56</v>
      </c>
      <c r="J379" s="117" t="str">
        <f t="shared" si="62"/>
        <v>11</v>
      </c>
      <c r="K379" s="117" t="str">
        <f t="shared" si="55"/>
        <v/>
      </c>
      <c r="L379" s="117" t="str">
        <f t="shared" si="63"/>
        <v/>
      </c>
      <c r="M379" s="117" t="str">
        <f t="shared" si="65"/>
        <v/>
      </c>
      <c r="N379" s="117" t="str">
        <f>IF(ISBLANK(INDEX('register map'!M:M,'Logical Group Generator'!C379)),"No","Yes")</f>
        <v>No</v>
      </c>
      <c r="O379" s="117" t="str">
        <f>IF(NOT(ISBLANK(INDEX('register map'!N:N,'Logical Group Generator'!C379))),"Yes","")</f>
        <v/>
      </c>
      <c r="P379" s="117" t="str">
        <f t="shared" si="56"/>
        <v/>
      </c>
      <c r="Q379" s="117" t="str">
        <f t="shared" si="57"/>
        <v/>
      </c>
      <c r="R379" s="117" t="str">
        <f t="shared" si="58"/>
        <v/>
      </c>
      <c r="S379" s="117" t="str">
        <f t="shared" si="59"/>
        <v>No</v>
      </c>
      <c r="T379" s="117" t="str">
        <f t="shared" si="60"/>
        <v/>
      </c>
      <c r="U379" s="117" t="b">
        <f t="shared" si="64"/>
        <v>0</v>
      </c>
      <c r="V379" s="157" t="b">
        <f>INDEX('register map'!P:P,C379)="yes"</f>
        <v>1</v>
      </c>
      <c r="W379" s="157" t="str">
        <f t="shared" si="61"/>
        <v>FALSE</v>
      </c>
    </row>
    <row r="380" spans="2:23">
      <c r="B380" s="157" t="str">
        <f t="array" ref="B380">IF(ROWS($3:380)&lt;=COUNTA('register map'!$L$5:$L$902),INDEX('register map'!$L$5:$L$902,SMALL(IF('register map'!$L$5:$L$902&lt;&gt;"",ROW('register map'!$L$5:$L$902)-MIN(ROW('register map'!$L$5:$L$902))+1),ROWS($3:380))),"")</f>
        <v>OTP_RSVD_38_14_7</v>
      </c>
      <c r="C380" s="157">
        <f>IF(B380="PART_NUMBER",IF(COUNTIF($B$1:B379,"PART_NUMBER")=0,6,8),MATCH(B380,'register map'!L:L,0))</f>
        <v>484</v>
      </c>
      <c r="D380" s="117" t="str">
        <f>IF(ISBLANK(INDEX('register map'!C:C,'Logical Group Generator'!C380)),"No","Yes")</f>
        <v>No</v>
      </c>
      <c r="E380" s="117" t="str">
        <f>IF(ISBLANK(INDEX('register map'!A:A,C380)),IF(ISBLANK(INDEX('register map'!A:A,C380-1)),IF(ISBLANK(INDEX('register map'!A:A,C380-2)),IF(ISBLANK(INDEX('register map'!A:A,C380-3)),IF(ISBLANK(INDEX('register map'!A:A,C380-4)),IF(ISBLANK(INDEX('register map'!A:A,C380-5)),IF(ISBLANK(INDEX('register map'!A:A,C380-6)),IF(ISBLANK(INDEX('register map'!A:A,C380-7)),IF(ISBLANK(INDEX('register map'!A:A,C380-8)),"ERROR",INDEX('register map'!A:A,C380-8)),INDEX('register map'!A:A,C380-7)),INDEX('register map'!A:A,C380-6)),INDEX('register map'!A:A,C380-5)),INDEX('register map'!A:A,C380-4)),INDEX('register map'!A:A,C380-3)),INDEX('register map'!A:A,C380-2)),INDEX('register map'!A:A,C380-1)),INDEX('register map'!A:A,C380))</f>
        <v>0x38</v>
      </c>
      <c r="F380" s="117" t="str">
        <f>IF(ISBLANK(INDEX('register map'!B:B,C380)),IF(ISBLANK(INDEX('register map'!B:B,C380-1)),IF(ISBLANK(INDEX('register map'!B:B,C380-2)),IF(ISBLANK(INDEX('register map'!B:B,C380-3)),IF(ISBLANK(INDEX('register map'!B:B,C380-4)),IF(ISBLANK(INDEX('register map'!B:B,C380-5)),IF(ISBLANK(INDEX('register map'!B:B,C380-6)),IF(ISBLANK(INDEX('register map'!B:B,C380-7)),IF(ISBLANK(INDEX('register map'!B:B,C380-8)),"ERROR",INDEX('register map'!B:B,C380-8)),INDEX('register map'!B:B,C380-7)),INDEX('register map'!B:B,C380-6)),INDEX('register map'!B:B,C380-5)),INDEX('register map'!B:B,C380-4)),INDEX('register map'!B:B,C380-3)),INDEX('register map'!B:B,C380-2)),INDEX('register map'!B:B,C380-1)),INDEX('register map'!B:B,C380))</f>
        <v>0x14</v>
      </c>
      <c r="G380" s="117" t="str">
        <f>CONCATENATE(IF(ISNUMBER(INDEX('register map'!D:D,C380)),7,""),IF(ISNUMBER(INDEX('register map'!E:E,C380)),6,""),IF(ISNUMBER(INDEX('register map'!F:F,C380)),5,""),IF(ISNUMBER(INDEX('register map'!G:G,C380)),4,""),IF(ISNUMBER(INDEX('register map'!H:H,C380)),3,""),IF(ISNUMBER(INDEX('register map'!I:I,C380)),2,""),IF(ISNUMBER(INDEX('register map'!J:J,C380)),1,""),IF(ISNUMBER(INDEX('register map'!K:K,C380)),0,""))</f>
        <v>7</v>
      </c>
      <c r="H380" s="117" t="str">
        <f>RIGHT(INDEX('register map'!V:V,MATCH('Logical Group Generator'!B380,'register map'!L:L,0)),LEN(G380))</f>
        <v>0</v>
      </c>
      <c r="I380" s="117" t="str">
        <f>CONCATENATE(IF(ISNUMBER(INDEX('register map'!K:K,C380)),0,""),IF(ISNUMBER(INDEX('register map'!J:J,C380)),1,""),IF(ISNUMBER(INDEX('register map'!I:I,C380)),2,""),IF(ISNUMBER(INDEX('register map'!H:H,C380)),3,""),IF(ISNUMBER(INDEX('register map'!G:G,C380)),4,""),IF(ISNUMBER(INDEX('register map'!F:F,C380)),5,""),IF(ISNUMBER(INDEX('register map'!E:E,C380)),6,""),IF(ISNUMBER(INDEX('register map'!D:D,C380)),7,""))</f>
        <v>7</v>
      </c>
      <c r="J380" s="117" t="str">
        <f t="shared" si="62"/>
        <v>0</v>
      </c>
      <c r="K380" s="117" t="str">
        <f t="shared" si="55"/>
        <v/>
      </c>
      <c r="L380" s="117" t="str">
        <f t="shared" si="63"/>
        <v/>
      </c>
      <c r="M380" s="117" t="str">
        <f t="shared" si="65"/>
        <v/>
      </c>
      <c r="N380" s="117" t="str">
        <f>IF(ISBLANK(INDEX('register map'!M:M,'Logical Group Generator'!C380)),"No","Yes")</f>
        <v>No</v>
      </c>
      <c r="O380" s="117" t="str">
        <f>IF(NOT(ISBLANK(INDEX('register map'!N:N,'Logical Group Generator'!C380))),"Yes","")</f>
        <v/>
      </c>
      <c r="P380" s="117" t="str">
        <f t="shared" si="56"/>
        <v/>
      </c>
      <c r="Q380" s="117" t="str">
        <f t="shared" si="57"/>
        <v/>
      </c>
      <c r="R380" s="117" t="str">
        <f t="shared" si="58"/>
        <v/>
      </c>
      <c r="S380" s="117" t="str">
        <f t="shared" si="59"/>
        <v>No</v>
      </c>
      <c r="T380" s="117" t="str">
        <f t="shared" si="60"/>
        <v/>
      </c>
      <c r="U380" s="117" t="b">
        <f t="shared" si="64"/>
        <v>0</v>
      </c>
      <c r="V380" s="157" t="b">
        <f>INDEX('register map'!P:P,C380)="yes"</f>
        <v>1</v>
      </c>
      <c r="W380" s="157" t="str">
        <f t="shared" si="61"/>
        <v>FALSE</v>
      </c>
    </row>
    <row r="381" spans="2:23">
      <c r="B381" s="157" t="str">
        <f t="array" ref="B381">IF(ROWS($3:381)&lt;=COUNTA('register map'!$L$5:$L$902),INDEX('register map'!$L$5:$L$902,SMALL(IF('register map'!$L$5:$L$902&lt;&gt;"",ROW('register map'!$L$5:$L$902)-MIN(ROW('register map'!$L$5:$L$902))+1),ROWS($3:381))),"")</f>
        <v>BUCK5_CTRL_EN3</v>
      </c>
      <c r="C381" s="157">
        <f>IF(B381="PART_NUMBER",IF(COUNTIF($B$1:B380,"PART_NUMBER")=0,6,8),MATCH(B381,'register map'!L:L,0))</f>
        <v>485</v>
      </c>
      <c r="D381" s="117" t="str">
        <f>IF(ISBLANK(INDEX('register map'!C:C,'Logical Group Generator'!C381)),"No","Yes")</f>
        <v>Yes</v>
      </c>
      <c r="E381" s="117" t="str">
        <f>IF(ISBLANK(INDEX('register map'!A:A,C381)),IF(ISBLANK(INDEX('register map'!A:A,C381-1)),IF(ISBLANK(INDEX('register map'!A:A,C381-2)),IF(ISBLANK(INDEX('register map'!A:A,C381-3)),IF(ISBLANK(INDEX('register map'!A:A,C381-4)),IF(ISBLANK(INDEX('register map'!A:A,C381-5)),IF(ISBLANK(INDEX('register map'!A:A,C381-6)),IF(ISBLANK(INDEX('register map'!A:A,C381-7)),IF(ISBLANK(INDEX('register map'!A:A,C381-8)),"ERROR",INDEX('register map'!A:A,C381-8)),INDEX('register map'!A:A,C381-7)),INDEX('register map'!A:A,C381-6)),INDEX('register map'!A:A,C381-5)),INDEX('register map'!A:A,C381-4)),INDEX('register map'!A:A,C381-3)),INDEX('register map'!A:A,C381-2)),INDEX('register map'!A:A,C381-1)),INDEX('register map'!A:A,C381))</f>
        <v>0x38</v>
      </c>
      <c r="F381" s="117" t="str">
        <f>IF(ISBLANK(INDEX('register map'!B:B,C381)),IF(ISBLANK(INDEX('register map'!B:B,C381-1)),IF(ISBLANK(INDEX('register map'!B:B,C381-2)),IF(ISBLANK(INDEX('register map'!B:B,C381-3)),IF(ISBLANK(INDEX('register map'!B:B,C381-4)),IF(ISBLANK(INDEX('register map'!B:B,C381-5)),IF(ISBLANK(INDEX('register map'!B:B,C381-6)),IF(ISBLANK(INDEX('register map'!B:B,C381-7)),IF(ISBLANK(INDEX('register map'!B:B,C381-8)),"ERROR",INDEX('register map'!B:B,C381-8)),INDEX('register map'!B:B,C381-7)),INDEX('register map'!B:B,C381-6)),INDEX('register map'!B:B,C381-5)),INDEX('register map'!B:B,C381-4)),INDEX('register map'!B:B,C381-3)),INDEX('register map'!B:B,C381-2)),INDEX('register map'!B:B,C381-1)),INDEX('register map'!B:B,C381))</f>
        <v>0x15</v>
      </c>
      <c r="G381" s="117" t="str">
        <f>CONCATENATE(IF(ISNUMBER(INDEX('register map'!D:D,C381)),7,""),IF(ISNUMBER(INDEX('register map'!E:E,C381)),6,""),IF(ISNUMBER(INDEX('register map'!F:F,C381)),5,""),IF(ISNUMBER(INDEX('register map'!G:G,C381)),4,""),IF(ISNUMBER(INDEX('register map'!H:H,C381)),3,""),IF(ISNUMBER(INDEX('register map'!I:I,C381)),2,""),IF(ISNUMBER(INDEX('register map'!J:J,C381)),1,""),IF(ISNUMBER(INDEX('register map'!K:K,C381)),0,""))</f>
        <v/>
      </c>
      <c r="H381" s="117" t="str">
        <f>RIGHT(INDEX('register map'!V:V,MATCH('Logical Group Generator'!B381,'register map'!L:L,0)),LEN(G381))</f>
        <v/>
      </c>
      <c r="I381" s="117" t="str">
        <f>CONCATENATE(IF(ISNUMBER(INDEX('register map'!K:K,C381)),0,""),IF(ISNUMBER(INDEX('register map'!J:J,C381)),1,""),IF(ISNUMBER(INDEX('register map'!I:I,C381)),2,""),IF(ISNUMBER(INDEX('register map'!H:H,C381)),3,""),IF(ISNUMBER(INDEX('register map'!G:G,C381)),4,""),IF(ISNUMBER(INDEX('register map'!F:F,C381)),5,""),IF(ISNUMBER(INDEX('register map'!E:E,C381)),6,""),IF(ISNUMBER(INDEX('register map'!D:D,C381)),7,""))</f>
        <v/>
      </c>
      <c r="J381" s="117" t="str">
        <f t="shared" si="62"/>
        <v/>
      </c>
      <c r="K381" s="117" t="str">
        <f t="shared" si="55"/>
        <v>01001000</v>
      </c>
      <c r="L381" s="117" t="str">
        <f t="shared" si="63"/>
        <v>00010010</v>
      </c>
      <c r="M381" s="117" t="str">
        <f t="shared" si="65"/>
        <v>12</v>
      </c>
      <c r="N381" s="117" t="str">
        <f>IF(ISBLANK(INDEX('register map'!M:M,'Logical Group Generator'!C381)),"No","Yes")</f>
        <v>No</v>
      </c>
      <c r="O381" s="117" t="str">
        <f>IF(NOT(ISBLANK(INDEX('register map'!N:N,'Logical Group Generator'!C381))),"Yes","")</f>
        <v/>
      </c>
      <c r="P381" s="117" t="str">
        <f t="shared" si="56"/>
        <v>No</v>
      </c>
      <c r="Q381" s="117" t="str">
        <f t="shared" si="57"/>
        <v>No</v>
      </c>
      <c r="R381" s="117" t="str">
        <f t="shared" si="58"/>
        <v>No</v>
      </c>
      <c r="S381" s="117" t="str">
        <f t="shared" si="59"/>
        <v/>
      </c>
      <c r="T381" s="117" t="b">
        <f t="shared" si="60"/>
        <v>1</v>
      </c>
      <c r="U381" s="117" t="b">
        <f t="shared" si="64"/>
        <v>1</v>
      </c>
      <c r="V381" s="157" t="b">
        <f>INDEX('register map'!P:P,C381)="yes"</f>
        <v>1</v>
      </c>
      <c r="W381" s="157" t="str">
        <f t="shared" si="61"/>
        <v>REGISTER</v>
      </c>
    </row>
    <row r="382" spans="2:23">
      <c r="B382" s="157" t="str">
        <f t="array" ref="B382">IF(ROWS($3:382)&lt;=COUNTA('register map'!$L$5:$L$902),INDEX('register map'!$L$5:$L$902,SMALL(IF('register map'!$L$5:$L$902&lt;&gt;"",ROW('register map'!$L$5:$L$902)-MIN(ROW('register map'!$L$5:$L$902))+1),ROWS($3:382))),"")</f>
        <v>OTP_RSVD_38_15_210</v>
      </c>
      <c r="C382" s="157">
        <f>IF(B382="PART_NUMBER",IF(COUNTIF($B$1:B381,"PART_NUMBER")=0,6,8),MATCH(B382,'register map'!L:L,0))</f>
        <v>486</v>
      </c>
      <c r="D382" s="117" t="str">
        <f>IF(ISBLANK(INDEX('register map'!C:C,'Logical Group Generator'!C382)),"No","Yes")</f>
        <v>No</v>
      </c>
      <c r="E382" s="117" t="str">
        <f>IF(ISBLANK(INDEX('register map'!A:A,C382)),IF(ISBLANK(INDEX('register map'!A:A,C382-1)),IF(ISBLANK(INDEX('register map'!A:A,C382-2)),IF(ISBLANK(INDEX('register map'!A:A,C382-3)),IF(ISBLANK(INDEX('register map'!A:A,C382-4)),IF(ISBLANK(INDEX('register map'!A:A,C382-5)),IF(ISBLANK(INDEX('register map'!A:A,C382-6)),IF(ISBLANK(INDEX('register map'!A:A,C382-7)),IF(ISBLANK(INDEX('register map'!A:A,C382-8)),"ERROR",INDEX('register map'!A:A,C382-8)),INDEX('register map'!A:A,C382-7)),INDEX('register map'!A:A,C382-6)),INDEX('register map'!A:A,C382-5)),INDEX('register map'!A:A,C382-4)),INDEX('register map'!A:A,C382-3)),INDEX('register map'!A:A,C382-2)),INDEX('register map'!A:A,C382-1)),INDEX('register map'!A:A,C382))</f>
        <v>0x38</v>
      </c>
      <c r="F382" s="117" t="str">
        <f>IF(ISBLANK(INDEX('register map'!B:B,C382)),IF(ISBLANK(INDEX('register map'!B:B,C382-1)),IF(ISBLANK(INDEX('register map'!B:B,C382-2)),IF(ISBLANK(INDEX('register map'!B:B,C382-3)),IF(ISBLANK(INDEX('register map'!B:B,C382-4)),IF(ISBLANK(INDEX('register map'!B:B,C382-5)),IF(ISBLANK(INDEX('register map'!B:B,C382-6)),IF(ISBLANK(INDEX('register map'!B:B,C382-7)),IF(ISBLANK(INDEX('register map'!B:B,C382-8)),"ERROR",INDEX('register map'!B:B,C382-8)),INDEX('register map'!B:B,C382-7)),INDEX('register map'!B:B,C382-6)),INDEX('register map'!B:B,C382-5)),INDEX('register map'!B:B,C382-4)),INDEX('register map'!B:B,C382-3)),INDEX('register map'!B:B,C382-2)),INDEX('register map'!B:B,C382-1)),INDEX('register map'!B:B,C382))</f>
        <v>0x15</v>
      </c>
      <c r="G382" s="117" t="str">
        <f>CONCATENATE(IF(ISNUMBER(INDEX('register map'!D:D,C382)),7,""),IF(ISNUMBER(INDEX('register map'!E:E,C382)),6,""),IF(ISNUMBER(INDEX('register map'!F:F,C382)),5,""),IF(ISNUMBER(INDEX('register map'!G:G,C382)),4,""),IF(ISNUMBER(INDEX('register map'!H:H,C382)),3,""),IF(ISNUMBER(INDEX('register map'!I:I,C382)),2,""),IF(ISNUMBER(INDEX('register map'!J:J,C382)),1,""),IF(ISNUMBER(INDEX('register map'!K:K,C382)),0,""))</f>
        <v>210</v>
      </c>
      <c r="H382" s="117" t="str">
        <f>RIGHT(INDEX('register map'!V:V,MATCH('Logical Group Generator'!B382,'register map'!L:L,0)),LEN(G382))</f>
        <v>010</v>
      </c>
      <c r="I382" s="117" t="str">
        <f>CONCATENATE(IF(ISNUMBER(INDEX('register map'!K:K,C382)),0,""),IF(ISNUMBER(INDEX('register map'!J:J,C382)),1,""),IF(ISNUMBER(INDEX('register map'!I:I,C382)),2,""),IF(ISNUMBER(INDEX('register map'!H:H,C382)),3,""),IF(ISNUMBER(INDEX('register map'!G:G,C382)),4,""),IF(ISNUMBER(INDEX('register map'!F:F,C382)),5,""),IF(ISNUMBER(INDEX('register map'!E:E,C382)),6,""),IF(ISNUMBER(INDEX('register map'!D:D,C382)),7,""))</f>
        <v>012</v>
      </c>
      <c r="J382" s="117" t="str">
        <f t="shared" si="62"/>
        <v>010</v>
      </c>
      <c r="K382" s="117" t="str">
        <f t="shared" si="55"/>
        <v/>
      </c>
      <c r="L382" s="117" t="str">
        <f t="shared" si="63"/>
        <v/>
      </c>
      <c r="M382" s="117" t="str">
        <f t="shared" si="65"/>
        <v/>
      </c>
      <c r="N382" s="117" t="str">
        <f>IF(ISBLANK(INDEX('register map'!M:M,'Logical Group Generator'!C382)),"No","Yes")</f>
        <v>No</v>
      </c>
      <c r="O382" s="117" t="str">
        <f>IF(NOT(ISBLANK(INDEX('register map'!N:N,'Logical Group Generator'!C382))),"Yes","")</f>
        <v/>
      </c>
      <c r="P382" s="117" t="str">
        <f t="shared" si="56"/>
        <v/>
      </c>
      <c r="Q382" s="117" t="str">
        <f t="shared" si="57"/>
        <v/>
      </c>
      <c r="R382" s="117" t="str">
        <f t="shared" si="58"/>
        <v/>
      </c>
      <c r="S382" s="117" t="str">
        <f t="shared" si="59"/>
        <v>No</v>
      </c>
      <c r="T382" s="117" t="str">
        <f t="shared" si="60"/>
        <v/>
      </c>
      <c r="U382" s="117" t="b">
        <f t="shared" si="64"/>
        <v>0</v>
      </c>
      <c r="V382" s="157" t="b">
        <f>INDEX('register map'!P:P,C382)="yes"</f>
        <v>1</v>
      </c>
      <c r="W382" s="157" t="str">
        <f t="shared" si="61"/>
        <v>FALSE</v>
      </c>
    </row>
    <row r="383" spans="2:23">
      <c r="B383" s="157" t="str">
        <f t="array" ref="B383">IF(ROWS($3:383)&lt;=COUNTA('register map'!$L$5:$L$902),INDEX('register map'!$L$5:$L$902,SMALL(IF('register map'!$L$5:$L$902&lt;&gt;"",ROW('register map'!$L$5:$L$902)-MIN(ROW('register map'!$L$5:$L$902))+1),ROWS($3:383))),"")</f>
        <v>OTP_RSVD_38_15_543</v>
      </c>
      <c r="C383" s="157">
        <f>IF(B383="PART_NUMBER",IF(COUNTIF($B$1:B382,"PART_NUMBER")=0,6,8),MATCH(B383,'register map'!L:L,0))</f>
        <v>487</v>
      </c>
      <c r="D383" s="117" t="str">
        <f>IF(ISBLANK(INDEX('register map'!C:C,'Logical Group Generator'!C383)),"No","Yes")</f>
        <v>No</v>
      </c>
      <c r="E383" s="117" t="str">
        <f>IF(ISBLANK(INDEX('register map'!A:A,C383)),IF(ISBLANK(INDEX('register map'!A:A,C383-1)),IF(ISBLANK(INDEX('register map'!A:A,C383-2)),IF(ISBLANK(INDEX('register map'!A:A,C383-3)),IF(ISBLANK(INDEX('register map'!A:A,C383-4)),IF(ISBLANK(INDEX('register map'!A:A,C383-5)),IF(ISBLANK(INDEX('register map'!A:A,C383-6)),IF(ISBLANK(INDEX('register map'!A:A,C383-7)),IF(ISBLANK(INDEX('register map'!A:A,C383-8)),"ERROR",INDEX('register map'!A:A,C383-8)),INDEX('register map'!A:A,C383-7)),INDEX('register map'!A:A,C383-6)),INDEX('register map'!A:A,C383-5)),INDEX('register map'!A:A,C383-4)),INDEX('register map'!A:A,C383-3)),INDEX('register map'!A:A,C383-2)),INDEX('register map'!A:A,C383-1)),INDEX('register map'!A:A,C383))</f>
        <v>0x38</v>
      </c>
      <c r="F383" s="117" t="str">
        <f>IF(ISBLANK(INDEX('register map'!B:B,C383)),IF(ISBLANK(INDEX('register map'!B:B,C383-1)),IF(ISBLANK(INDEX('register map'!B:B,C383-2)),IF(ISBLANK(INDEX('register map'!B:B,C383-3)),IF(ISBLANK(INDEX('register map'!B:B,C383-4)),IF(ISBLANK(INDEX('register map'!B:B,C383-5)),IF(ISBLANK(INDEX('register map'!B:B,C383-6)),IF(ISBLANK(INDEX('register map'!B:B,C383-7)),IF(ISBLANK(INDEX('register map'!B:B,C383-8)),"ERROR",INDEX('register map'!B:B,C383-8)),INDEX('register map'!B:B,C383-7)),INDEX('register map'!B:B,C383-6)),INDEX('register map'!B:B,C383-5)),INDEX('register map'!B:B,C383-4)),INDEX('register map'!B:B,C383-3)),INDEX('register map'!B:B,C383-2)),INDEX('register map'!B:B,C383-1)),INDEX('register map'!B:B,C383))</f>
        <v>0x15</v>
      </c>
      <c r="G383" s="117" t="str">
        <f>CONCATENATE(IF(ISNUMBER(INDEX('register map'!D:D,C383)),7,""),IF(ISNUMBER(INDEX('register map'!E:E,C383)),6,""),IF(ISNUMBER(INDEX('register map'!F:F,C383)),5,""),IF(ISNUMBER(INDEX('register map'!G:G,C383)),4,""),IF(ISNUMBER(INDEX('register map'!H:H,C383)),3,""),IF(ISNUMBER(INDEX('register map'!I:I,C383)),2,""),IF(ISNUMBER(INDEX('register map'!J:J,C383)),1,""),IF(ISNUMBER(INDEX('register map'!K:K,C383)),0,""))</f>
        <v>543</v>
      </c>
      <c r="H383" s="117" t="str">
        <f>RIGHT(INDEX('register map'!V:V,MATCH('Logical Group Generator'!B383,'register map'!L:L,0)),LEN(G383))</f>
        <v>010</v>
      </c>
      <c r="I383" s="117" t="str">
        <f>CONCATENATE(IF(ISNUMBER(INDEX('register map'!K:K,C383)),0,""),IF(ISNUMBER(INDEX('register map'!J:J,C383)),1,""),IF(ISNUMBER(INDEX('register map'!I:I,C383)),2,""),IF(ISNUMBER(INDEX('register map'!H:H,C383)),3,""),IF(ISNUMBER(INDEX('register map'!G:G,C383)),4,""),IF(ISNUMBER(INDEX('register map'!F:F,C383)),5,""),IF(ISNUMBER(INDEX('register map'!E:E,C383)),6,""),IF(ISNUMBER(INDEX('register map'!D:D,C383)),7,""))</f>
        <v>345</v>
      </c>
      <c r="J383" s="117" t="str">
        <f t="shared" si="62"/>
        <v>010</v>
      </c>
      <c r="K383" s="117" t="str">
        <f t="shared" si="55"/>
        <v/>
      </c>
      <c r="L383" s="117" t="str">
        <f t="shared" si="63"/>
        <v/>
      </c>
      <c r="M383" s="117" t="str">
        <f t="shared" si="65"/>
        <v/>
      </c>
      <c r="N383" s="117" t="str">
        <f>IF(ISBLANK(INDEX('register map'!M:M,'Logical Group Generator'!C383)),"No","Yes")</f>
        <v>No</v>
      </c>
      <c r="O383" s="117" t="str">
        <f>IF(NOT(ISBLANK(INDEX('register map'!N:N,'Logical Group Generator'!C383))),"Yes","")</f>
        <v/>
      </c>
      <c r="P383" s="117" t="str">
        <f t="shared" si="56"/>
        <v/>
      </c>
      <c r="Q383" s="117" t="str">
        <f t="shared" si="57"/>
        <v/>
      </c>
      <c r="R383" s="117" t="str">
        <f t="shared" si="58"/>
        <v/>
      </c>
      <c r="S383" s="117" t="str">
        <f t="shared" si="59"/>
        <v>No</v>
      </c>
      <c r="T383" s="117" t="str">
        <f t="shared" si="60"/>
        <v/>
      </c>
      <c r="U383" s="117" t="b">
        <f t="shared" si="64"/>
        <v>0</v>
      </c>
      <c r="V383" s="157" t="b">
        <f>INDEX('register map'!P:P,C383)="yes"</f>
        <v>1</v>
      </c>
      <c r="W383" s="157" t="str">
        <f t="shared" si="61"/>
        <v>FALSE</v>
      </c>
    </row>
    <row r="384" spans="2:23">
      <c r="B384" s="157" t="str">
        <f t="array" ref="B384">IF(ROWS($3:384)&lt;=COUNTA('register map'!$L$5:$L$902),INDEX('register map'!$L$5:$L$902,SMALL(IF('register map'!$L$5:$L$902&lt;&gt;"",ROW('register map'!$L$5:$L$902)-MIN(ROW('register map'!$L$5:$L$902))+1),ROWS($3:384))),"")</f>
        <v>OTP_RSVD_38_15_76</v>
      </c>
      <c r="C384" s="157">
        <f>IF(B384="PART_NUMBER",IF(COUNTIF($B$1:B383,"PART_NUMBER")=0,6,8),MATCH(B384,'register map'!L:L,0))</f>
        <v>488</v>
      </c>
      <c r="D384" s="117" t="str">
        <f>IF(ISBLANK(INDEX('register map'!C:C,'Logical Group Generator'!C384)),"No","Yes")</f>
        <v>No</v>
      </c>
      <c r="E384" s="117" t="str">
        <f>IF(ISBLANK(INDEX('register map'!A:A,C384)),IF(ISBLANK(INDEX('register map'!A:A,C384-1)),IF(ISBLANK(INDEX('register map'!A:A,C384-2)),IF(ISBLANK(INDEX('register map'!A:A,C384-3)),IF(ISBLANK(INDEX('register map'!A:A,C384-4)),IF(ISBLANK(INDEX('register map'!A:A,C384-5)),IF(ISBLANK(INDEX('register map'!A:A,C384-6)),IF(ISBLANK(INDEX('register map'!A:A,C384-7)),IF(ISBLANK(INDEX('register map'!A:A,C384-8)),"ERROR",INDEX('register map'!A:A,C384-8)),INDEX('register map'!A:A,C384-7)),INDEX('register map'!A:A,C384-6)),INDEX('register map'!A:A,C384-5)),INDEX('register map'!A:A,C384-4)),INDEX('register map'!A:A,C384-3)),INDEX('register map'!A:A,C384-2)),INDEX('register map'!A:A,C384-1)),INDEX('register map'!A:A,C384))</f>
        <v>0x38</v>
      </c>
      <c r="F384" s="117" t="str">
        <f>IF(ISBLANK(INDEX('register map'!B:B,C384)),IF(ISBLANK(INDEX('register map'!B:B,C384-1)),IF(ISBLANK(INDEX('register map'!B:B,C384-2)),IF(ISBLANK(INDEX('register map'!B:B,C384-3)),IF(ISBLANK(INDEX('register map'!B:B,C384-4)),IF(ISBLANK(INDEX('register map'!B:B,C384-5)),IF(ISBLANK(INDEX('register map'!B:B,C384-6)),IF(ISBLANK(INDEX('register map'!B:B,C384-7)),IF(ISBLANK(INDEX('register map'!B:B,C384-8)),"ERROR",INDEX('register map'!B:B,C384-8)),INDEX('register map'!B:B,C384-7)),INDEX('register map'!B:B,C384-6)),INDEX('register map'!B:B,C384-5)),INDEX('register map'!B:B,C384-4)),INDEX('register map'!B:B,C384-3)),INDEX('register map'!B:B,C384-2)),INDEX('register map'!B:B,C384-1)),INDEX('register map'!B:B,C384))</f>
        <v>0x15</v>
      </c>
      <c r="G384" s="117" t="str">
        <f>CONCATENATE(IF(ISNUMBER(INDEX('register map'!D:D,C384)),7,""),IF(ISNUMBER(INDEX('register map'!E:E,C384)),6,""),IF(ISNUMBER(INDEX('register map'!F:F,C384)),5,""),IF(ISNUMBER(INDEX('register map'!G:G,C384)),4,""),IF(ISNUMBER(INDEX('register map'!H:H,C384)),3,""),IF(ISNUMBER(INDEX('register map'!I:I,C384)),2,""),IF(ISNUMBER(INDEX('register map'!J:J,C384)),1,""),IF(ISNUMBER(INDEX('register map'!K:K,C384)),0,""))</f>
        <v>76</v>
      </c>
      <c r="H384" s="117" t="str">
        <f>RIGHT(INDEX('register map'!V:V,MATCH('Logical Group Generator'!B384,'register map'!L:L,0)),LEN(G384))</f>
        <v>00</v>
      </c>
      <c r="I384" s="117" t="str">
        <f>CONCATENATE(IF(ISNUMBER(INDEX('register map'!K:K,C384)),0,""),IF(ISNUMBER(INDEX('register map'!J:J,C384)),1,""),IF(ISNUMBER(INDEX('register map'!I:I,C384)),2,""),IF(ISNUMBER(INDEX('register map'!H:H,C384)),3,""),IF(ISNUMBER(INDEX('register map'!G:G,C384)),4,""),IF(ISNUMBER(INDEX('register map'!F:F,C384)),5,""),IF(ISNUMBER(INDEX('register map'!E:E,C384)),6,""),IF(ISNUMBER(INDEX('register map'!D:D,C384)),7,""))</f>
        <v>67</v>
      </c>
      <c r="J384" s="117" t="str">
        <f t="shared" si="62"/>
        <v>00</v>
      </c>
      <c r="K384" s="117" t="str">
        <f t="shared" si="55"/>
        <v/>
      </c>
      <c r="L384" s="117" t="str">
        <f t="shared" si="63"/>
        <v/>
      </c>
      <c r="M384" s="117" t="str">
        <f t="shared" si="65"/>
        <v/>
      </c>
      <c r="N384" s="117" t="str">
        <f>IF(ISBLANK(INDEX('register map'!M:M,'Logical Group Generator'!C384)),"No","Yes")</f>
        <v>No</v>
      </c>
      <c r="O384" s="117" t="str">
        <f>IF(NOT(ISBLANK(INDEX('register map'!N:N,'Logical Group Generator'!C384))),"Yes","")</f>
        <v/>
      </c>
      <c r="P384" s="117" t="str">
        <f t="shared" si="56"/>
        <v/>
      </c>
      <c r="Q384" s="117" t="str">
        <f t="shared" si="57"/>
        <v/>
      </c>
      <c r="R384" s="117" t="str">
        <f t="shared" si="58"/>
        <v/>
      </c>
      <c r="S384" s="117" t="str">
        <f t="shared" si="59"/>
        <v>No</v>
      </c>
      <c r="T384" s="117" t="str">
        <f t="shared" si="60"/>
        <v/>
      </c>
      <c r="U384" s="117" t="b">
        <f t="shared" si="64"/>
        <v>0</v>
      </c>
      <c r="V384" s="157" t="b">
        <f>INDEX('register map'!P:P,C384)="yes"</f>
        <v>1</v>
      </c>
      <c r="W384" s="157" t="str">
        <f t="shared" si="61"/>
        <v>FALSE</v>
      </c>
    </row>
    <row r="385" spans="2:23">
      <c r="B385" s="157" t="str">
        <f t="array" ref="B385">IF(ROWS($3:385)&lt;=COUNTA('register map'!$L$5:$L$902),INDEX('register map'!$L$5:$L$902,SMALL(IF('register map'!$L$5:$L$902&lt;&gt;"",ROW('register map'!$L$5:$L$902)-MIN(ROW('register map'!$L$5:$L$902))+1),ROWS($3:385))),"")</f>
        <v>BUCK6_CTRL_EN1</v>
      </c>
      <c r="C385" s="157">
        <f>IF(B385="PART_NUMBER",IF(COUNTIF($B$1:B384,"PART_NUMBER")=0,6,8),MATCH(B385,'register map'!L:L,0))</f>
        <v>489</v>
      </c>
      <c r="D385" s="117" t="str">
        <f>IF(ISBLANK(INDEX('register map'!C:C,'Logical Group Generator'!C385)),"No","Yes")</f>
        <v>Yes</v>
      </c>
      <c r="E385" s="117" t="str">
        <f>IF(ISBLANK(INDEX('register map'!A:A,C385)),IF(ISBLANK(INDEX('register map'!A:A,C385-1)),IF(ISBLANK(INDEX('register map'!A:A,C385-2)),IF(ISBLANK(INDEX('register map'!A:A,C385-3)),IF(ISBLANK(INDEX('register map'!A:A,C385-4)),IF(ISBLANK(INDEX('register map'!A:A,C385-5)),IF(ISBLANK(INDEX('register map'!A:A,C385-6)),IF(ISBLANK(INDEX('register map'!A:A,C385-7)),IF(ISBLANK(INDEX('register map'!A:A,C385-8)),"ERROR",INDEX('register map'!A:A,C385-8)),INDEX('register map'!A:A,C385-7)),INDEX('register map'!A:A,C385-6)),INDEX('register map'!A:A,C385-5)),INDEX('register map'!A:A,C385-4)),INDEX('register map'!A:A,C385-3)),INDEX('register map'!A:A,C385-2)),INDEX('register map'!A:A,C385-1)),INDEX('register map'!A:A,C385))</f>
        <v>0x38</v>
      </c>
      <c r="F385" s="117" t="str">
        <f>IF(ISBLANK(INDEX('register map'!B:B,C385)),IF(ISBLANK(INDEX('register map'!B:B,C385-1)),IF(ISBLANK(INDEX('register map'!B:B,C385-2)),IF(ISBLANK(INDEX('register map'!B:B,C385-3)),IF(ISBLANK(INDEX('register map'!B:B,C385-4)),IF(ISBLANK(INDEX('register map'!B:B,C385-5)),IF(ISBLANK(INDEX('register map'!B:B,C385-6)),IF(ISBLANK(INDEX('register map'!B:B,C385-7)),IF(ISBLANK(INDEX('register map'!B:B,C385-8)),"ERROR",INDEX('register map'!B:B,C385-8)),INDEX('register map'!B:B,C385-7)),INDEX('register map'!B:B,C385-6)),INDEX('register map'!B:B,C385-5)),INDEX('register map'!B:B,C385-4)),INDEX('register map'!B:B,C385-3)),INDEX('register map'!B:B,C385-2)),INDEX('register map'!B:B,C385-1)),INDEX('register map'!B:B,C385))</f>
        <v>0x16</v>
      </c>
      <c r="G385" s="117" t="str">
        <f>CONCATENATE(IF(ISNUMBER(INDEX('register map'!D:D,C385)),7,""),IF(ISNUMBER(INDEX('register map'!E:E,C385)),6,""),IF(ISNUMBER(INDEX('register map'!F:F,C385)),5,""),IF(ISNUMBER(INDEX('register map'!G:G,C385)),4,""),IF(ISNUMBER(INDEX('register map'!H:H,C385)),3,""),IF(ISNUMBER(INDEX('register map'!I:I,C385)),2,""),IF(ISNUMBER(INDEX('register map'!J:J,C385)),1,""),IF(ISNUMBER(INDEX('register map'!K:K,C385)),0,""))</f>
        <v/>
      </c>
      <c r="H385" s="117" t="str">
        <f>RIGHT(INDEX('register map'!V:V,MATCH('Logical Group Generator'!B385,'register map'!L:L,0)),LEN(G385))</f>
        <v/>
      </c>
      <c r="I385" s="117" t="str">
        <f>CONCATENATE(IF(ISNUMBER(INDEX('register map'!K:K,C385)),0,""),IF(ISNUMBER(INDEX('register map'!J:J,C385)),1,""),IF(ISNUMBER(INDEX('register map'!I:I,C385)),2,""),IF(ISNUMBER(INDEX('register map'!H:H,C385)),3,""),IF(ISNUMBER(INDEX('register map'!G:G,C385)),4,""),IF(ISNUMBER(INDEX('register map'!F:F,C385)),5,""),IF(ISNUMBER(INDEX('register map'!E:E,C385)),6,""),IF(ISNUMBER(INDEX('register map'!D:D,C385)),7,""))</f>
        <v/>
      </c>
      <c r="J385" s="117" t="str">
        <f t="shared" si="62"/>
        <v/>
      </c>
      <c r="K385" s="117" t="str">
        <f t="shared" si="55"/>
        <v>10111111</v>
      </c>
      <c r="L385" s="117" t="str">
        <f t="shared" si="63"/>
        <v>11111101</v>
      </c>
      <c r="M385" s="117" t="str">
        <f t="shared" si="65"/>
        <v>FD</v>
      </c>
      <c r="N385" s="117" t="str">
        <f>IF(ISBLANK(INDEX('register map'!M:M,'Logical Group Generator'!C385)),"No","Yes")</f>
        <v>No</v>
      </c>
      <c r="O385" s="117" t="str">
        <f>IF(NOT(ISBLANK(INDEX('register map'!N:N,'Logical Group Generator'!C385))),"Yes","")</f>
        <v/>
      </c>
      <c r="P385" s="117" t="str">
        <f t="shared" si="56"/>
        <v>No</v>
      </c>
      <c r="Q385" s="117" t="str">
        <f t="shared" si="57"/>
        <v>No</v>
      </c>
      <c r="R385" s="117" t="str">
        <f t="shared" si="58"/>
        <v>No</v>
      </c>
      <c r="S385" s="117" t="str">
        <f t="shared" si="59"/>
        <v/>
      </c>
      <c r="T385" s="117" t="b">
        <f t="shared" si="60"/>
        <v>1</v>
      </c>
      <c r="U385" s="117" t="b">
        <f t="shared" si="64"/>
        <v>1</v>
      </c>
      <c r="V385" s="157" t="b">
        <f>INDEX('register map'!P:P,C385)="yes"</f>
        <v>1</v>
      </c>
      <c r="W385" s="157" t="str">
        <f t="shared" si="61"/>
        <v>REGISTER</v>
      </c>
    </row>
    <row r="386" spans="2:23">
      <c r="B386" s="157" t="str">
        <f t="array" ref="B386">IF(ROWS($3:386)&lt;=COUNTA('register map'!$L$5:$L$902),INDEX('register map'!$L$5:$L$902,SMALL(IF('register map'!$L$5:$L$902&lt;&gt;"",ROW('register map'!$L$5:$L$902)-MIN(ROW('register map'!$L$5:$L$902))+1),ROWS($3:386))),"")</f>
        <v>OTP_RSVD_38_16_0</v>
      </c>
      <c r="C386" s="157">
        <f>IF(B386="PART_NUMBER",IF(COUNTIF($B$1:B385,"PART_NUMBER")=0,6,8),MATCH(B386,'register map'!L:L,0))</f>
        <v>490</v>
      </c>
      <c r="D386" s="117" t="str">
        <f>IF(ISBLANK(INDEX('register map'!C:C,'Logical Group Generator'!C386)),"No","Yes")</f>
        <v>No</v>
      </c>
      <c r="E386" s="117" t="str">
        <f>IF(ISBLANK(INDEX('register map'!A:A,C386)),IF(ISBLANK(INDEX('register map'!A:A,C386-1)),IF(ISBLANK(INDEX('register map'!A:A,C386-2)),IF(ISBLANK(INDEX('register map'!A:A,C386-3)),IF(ISBLANK(INDEX('register map'!A:A,C386-4)),IF(ISBLANK(INDEX('register map'!A:A,C386-5)),IF(ISBLANK(INDEX('register map'!A:A,C386-6)),IF(ISBLANK(INDEX('register map'!A:A,C386-7)),IF(ISBLANK(INDEX('register map'!A:A,C386-8)),"ERROR",INDEX('register map'!A:A,C386-8)),INDEX('register map'!A:A,C386-7)),INDEX('register map'!A:A,C386-6)),INDEX('register map'!A:A,C386-5)),INDEX('register map'!A:A,C386-4)),INDEX('register map'!A:A,C386-3)),INDEX('register map'!A:A,C386-2)),INDEX('register map'!A:A,C386-1)),INDEX('register map'!A:A,C386))</f>
        <v>0x38</v>
      </c>
      <c r="F386" s="117" t="str">
        <f>IF(ISBLANK(INDEX('register map'!B:B,C386)),IF(ISBLANK(INDEX('register map'!B:B,C386-1)),IF(ISBLANK(INDEX('register map'!B:B,C386-2)),IF(ISBLANK(INDEX('register map'!B:B,C386-3)),IF(ISBLANK(INDEX('register map'!B:B,C386-4)),IF(ISBLANK(INDEX('register map'!B:B,C386-5)),IF(ISBLANK(INDEX('register map'!B:B,C386-6)),IF(ISBLANK(INDEX('register map'!B:B,C386-7)),IF(ISBLANK(INDEX('register map'!B:B,C386-8)),"ERROR",INDEX('register map'!B:B,C386-8)),INDEX('register map'!B:B,C386-7)),INDEX('register map'!B:B,C386-6)),INDEX('register map'!B:B,C386-5)),INDEX('register map'!B:B,C386-4)),INDEX('register map'!B:B,C386-3)),INDEX('register map'!B:B,C386-2)),INDEX('register map'!B:B,C386-1)),INDEX('register map'!B:B,C386))</f>
        <v>0x16</v>
      </c>
      <c r="G386" s="117" t="str">
        <f>CONCATENATE(IF(ISNUMBER(INDEX('register map'!D:D,C386)),7,""),IF(ISNUMBER(INDEX('register map'!E:E,C386)),6,""),IF(ISNUMBER(INDEX('register map'!F:F,C386)),5,""),IF(ISNUMBER(INDEX('register map'!G:G,C386)),4,""),IF(ISNUMBER(INDEX('register map'!H:H,C386)),3,""),IF(ISNUMBER(INDEX('register map'!I:I,C386)),2,""),IF(ISNUMBER(INDEX('register map'!J:J,C386)),1,""),IF(ISNUMBER(INDEX('register map'!K:K,C386)),0,""))</f>
        <v>0</v>
      </c>
      <c r="H386" s="117" t="str">
        <f>RIGHT(INDEX('register map'!V:V,MATCH('Logical Group Generator'!B386,'register map'!L:L,0)),LEN(G386))</f>
        <v>1</v>
      </c>
      <c r="I386" s="117" t="str">
        <f>CONCATENATE(IF(ISNUMBER(INDEX('register map'!K:K,C386)),0,""),IF(ISNUMBER(INDEX('register map'!J:J,C386)),1,""),IF(ISNUMBER(INDEX('register map'!I:I,C386)),2,""),IF(ISNUMBER(INDEX('register map'!H:H,C386)),3,""),IF(ISNUMBER(INDEX('register map'!G:G,C386)),4,""),IF(ISNUMBER(INDEX('register map'!F:F,C386)),5,""),IF(ISNUMBER(INDEX('register map'!E:E,C386)),6,""),IF(ISNUMBER(INDEX('register map'!D:D,C386)),7,""))</f>
        <v>0</v>
      </c>
      <c r="J386" s="117" t="str">
        <f t="shared" si="62"/>
        <v>1</v>
      </c>
      <c r="K386" s="117" t="str">
        <f t="shared" si="55"/>
        <v/>
      </c>
      <c r="L386" s="117" t="str">
        <f t="shared" si="63"/>
        <v/>
      </c>
      <c r="M386" s="117" t="str">
        <f t="shared" si="65"/>
        <v/>
      </c>
      <c r="N386" s="117" t="str">
        <f>IF(ISBLANK(INDEX('register map'!M:M,'Logical Group Generator'!C386)),"No","Yes")</f>
        <v>No</v>
      </c>
      <c r="O386" s="117" t="str">
        <f>IF(NOT(ISBLANK(INDEX('register map'!N:N,'Logical Group Generator'!C386))),"Yes","")</f>
        <v/>
      </c>
      <c r="P386" s="117" t="str">
        <f t="shared" si="56"/>
        <v/>
      </c>
      <c r="Q386" s="117" t="str">
        <f t="shared" si="57"/>
        <v/>
      </c>
      <c r="R386" s="117" t="str">
        <f t="shared" si="58"/>
        <v/>
      </c>
      <c r="S386" s="117" t="str">
        <f t="shared" si="59"/>
        <v>No</v>
      </c>
      <c r="T386" s="117" t="str">
        <f t="shared" si="60"/>
        <v/>
      </c>
      <c r="U386" s="117" t="b">
        <f t="shared" si="64"/>
        <v>0</v>
      </c>
      <c r="V386" s="157" t="b">
        <f>INDEX('register map'!P:P,C386)="yes"</f>
        <v>1</v>
      </c>
      <c r="W386" s="157" t="str">
        <f t="shared" si="61"/>
        <v>FALSE</v>
      </c>
    </row>
    <row r="387" spans="2:23">
      <c r="B387" s="157" t="str">
        <f t="array" ref="B387">IF(ROWS($3:387)&lt;=COUNTA('register map'!$L$5:$L$902),INDEX('register map'!$L$5:$L$902,SMALL(IF('register map'!$L$5:$L$902&lt;&gt;"",ROW('register map'!$L$5:$L$902)-MIN(ROW('register map'!$L$5:$L$902))+1),ROWS($3:387))),"")</f>
        <v>OTP_RSVD_38_16_1</v>
      </c>
      <c r="C387" s="157">
        <f>IF(B387="PART_NUMBER",IF(COUNTIF($B$1:B386,"PART_NUMBER")=0,6,8),MATCH(B387,'register map'!L:L,0))</f>
        <v>491</v>
      </c>
      <c r="D387" s="117" t="str">
        <f>IF(ISBLANK(INDEX('register map'!C:C,'Logical Group Generator'!C387)),"No","Yes")</f>
        <v>No</v>
      </c>
      <c r="E387" s="117" t="str">
        <f>IF(ISBLANK(INDEX('register map'!A:A,C387)),IF(ISBLANK(INDEX('register map'!A:A,C387-1)),IF(ISBLANK(INDEX('register map'!A:A,C387-2)),IF(ISBLANK(INDEX('register map'!A:A,C387-3)),IF(ISBLANK(INDEX('register map'!A:A,C387-4)),IF(ISBLANK(INDEX('register map'!A:A,C387-5)),IF(ISBLANK(INDEX('register map'!A:A,C387-6)),IF(ISBLANK(INDEX('register map'!A:A,C387-7)),IF(ISBLANK(INDEX('register map'!A:A,C387-8)),"ERROR",INDEX('register map'!A:A,C387-8)),INDEX('register map'!A:A,C387-7)),INDEX('register map'!A:A,C387-6)),INDEX('register map'!A:A,C387-5)),INDEX('register map'!A:A,C387-4)),INDEX('register map'!A:A,C387-3)),INDEX('register map'!A:A,C387-2)),INDEX('register map'!A:A,C387-1)),INDEX('register map'!A:A,C387))</f>
        <v>0x38</v>
      </c>
      <c r="F387" s="117" t="str">
        <f>IF(ISBLANK(INDEX('register map'!B:B,C387)),IF(ISBLANK(INDEX('register map'!B:B,C387-1)),IF(ISBLANK(INDEX('register map'!B:B,C387-2)),IF(ISBLANK(INDEX('register map'!B:B,C387-3)),IF(ISBLANK(INDEX('register map'!B:B,C387-4)),IF(ISBLANK(INDEX('register map'!B:B,C387-5)),IF(ISBLANK(INDEX('register map'!B:B,C387-6)),IF(ISBLANK(INDEX('register map'!B:B,C387-7)),IF(ISBLANK(INDEX('register map'!B:B,C387-8)),"ERROR",INDEX('register map'!B:B,C387-8)),INDEX('register map'!B:B,C387-7)),INDEX('register map'!B:B,C387-6)),INDEX('register map'!B:B,C387-5)),INDEX('register map'!B:B,C387-4)),INDEX('register map'!B:B,C387-3)),INDEX('register map'!B:B,C387-2)),INDEX('register map'!B:B,C387-1)),INDEX('register map'!B:B,C387))</f>
        <v>0x16</v>
      </c>
      <c r="G387" s="117" t="str">
        <f>CONCATENATE(IF(ISNUMBER(INDEX('register map'!D:D,C387)),7,""),IF(ISNUMBER(INDEX('register map'!E:E,C387)),6,""),IF(ISNUMBER(INDEX('register map'!F:F,C387)),5,""),IF(ISNUMBER(INDEX('register map'!G:G,C387)),4,""),IF(ISNUMBER(INDEX('register map'!H:H,C387)),3,""),IF(ISNUMBER(INDEX('register map'!I:I,C387)),2,""),IF(ISNUMBER(INDEX('register map'!J:J,C387)),1,""),IF(ISNUMBER(INDEX('register map'!K:K,C387)),0,""))</f>
        <v>1</v>
      </c>
      <c r="H387" s="117" t="str">
        <f>RIGHT(INDEX('register map'!V:V,MATCH('Logical Group Generator'!B387,'register map'!L:L,0)),LEN(G387))</f>
        <v>0</v>
      </c>
      <c r="I387" s="117" t="str">
        <f>CONCATENATE(IF(ISNUMBER(INDEX('register map'!K:K,C387)),0,""),IF(ISNUMBER(INDEX('register map'!J:J,C387)),1,""),IF(ISNUMBER(INDEX('register map'!I:I,C387)),2,""),IF(ISNUMBER(INDEX('register map'!H:H,C387)),3,""),IF(ISNUMBER(INDEX('register map'!G:G,C387)),4,""),IF(ISNUMBER(INDEX('register map'!F:F,C387)),5,""),IF(ISNUMBER(INDEX('register map'!E:E,C387)),6,""),IF(ISNUMBER(INDEX('register map'!D:D,C387)),7,""))</f>
        <v>1</v>
      </c>
      <c r="J387" s="117" t="str">
        <f t="shared" si="62"/>
        <v>0</v>
      </c>
      <c r="K387" s="117" t="str">
        <f t="shared" ref="K387:K450" si="66">IF(D387="Yes",CONCATENATE(IF(F388=F387,J388,""),IF(F389=F387,J389,""),IF(F390=F387,J390,""),IF(F391=F387,J391,""),IF(F392=F387,J392,""),IF(F393=F387,J393,""),IF(F394=F387,J394,""),IF(F395=F387,J395,"")),"")</f>
        <v/>
      </c>
      <c r="L387" s="117" t="str">
        <f t="shared" si="63"/>
        <v/>
      </c>
      <c r="M387" s="117" t="str">
        <f t="shared" si="65"/>
        <v/>
      </c>
      <c r="N387" s="117" t="str">
        <f>IF(ISBLANK(INDEX('register map'!M:M,'Logical Group Generator'!C387)),"No","Yes")</f>
        <v>No</v>
      </c>
      <c r="O387" s="117" t="str">
        <f>IF(NOT(ISBLANK(INDEX('register map'!N:N,'Logical Group Generator'!C387))),"Yes","")</f>
        <v/>
      </c>
      <c r="P387" s="117" t="str">
        <f t="shared" ref="P387:P450" si="67">IF(D387="Yes",IF(OR(AND(F388=F387,N388="Yes"),AND(F389=F387,N389="Yes"),AND(F390=F387,N390="Yes"),AND(F391=F387,N391="Yes"),AND(F392=F387,N392="Yes"),AND(F393=F387,N393="Yes"),AND(F394=F387,N394="Yes"),AND(F395=F387,N395="Yes")),"Yes","No"),"")</f>
        <v/>
      </c>
      <c r="Q387" s="117" t="str">
        <f t="shared" ref="Q387:Q450" si="68">IF(D387="Yes",IF(AND(IF(F388=F387,OR(N388="Yes",O388="Yes"),TRUE),IF(F389=F387,OR(N389="Yes",O389="Yes"),TRUE),IF(F390=F387,OR(N390="Yes",O390="Yes"),TRUE),IF(F391=F387,OR(N391="Yes",O391="Yes"),TRUE),IF(F392=F387,OR(N392="Yes",O392="Yes"),TRUE),IF(F393=F387,OR(N393="Yes",O393="Yes"),TRUE),IF(F394=F387,OR(N394="Yes",O394="Yes"),TRUE),IF(F395=F387,OR(N395="Yes",O395="Yes"),TRUE)),"Yes","No"),"")</f>
        <v/>
      </c>
      <c r="R387" s="117" t="str">
        <f t="shared" ref="R387:R450" si="69">IF(D387="Yes",IF(AND(P387="Yes",Q387="No"),"Yes","No"),"")</f>
        <v/>
      </c>
      <c r="S387" s="117" t="str">
        <f t="shared" ref="S387:S450" si="70">IF(D387="No",IF(AND(N387="No",NOT(O387="Yes"),INDEX(R:R,MATCH(F387,F:F,0))="Yes"),"Yes","No"),"")</f>
        <v>No</v>
      </c>
      <c r="T387" s="117" t="str">
        <f t="shared" ref="T387:T450" si="71">IF(D387="Yes",LEN(L387)=8,"")</f>
        <v/>
      </c>
      <c r="U387" s="117" t="b">
        <f t="shared" si="64"/>
        <v>0</v>
      </c>
      <c r="V387" s="157" t="b">
        <f>INDEX('register map'!P:P,C387)="yes"</f>
        <v>1</v>
      </c>
      <c r="W387" s="157" t="str">
        <f t="shared" ref="W387:W450" si="72">IF(AND(D387="Yes",P387="No",Q387="No",V387),"REGISTER",IF(AND(D387="No",S387="Yes",V387),"BIT","FALSE"))</f>
        <v>FALSE</v>
      </c>
    </row>
    <row r="388" spans="2:23">
      <c r="B388" s="157" t="str">
        <f t="array" ref="B388">IF(ROWS($3:388)&lt;=COUNTA('register map'!$L$5:$L$902),INDEX('register map'!$L$5:$L$902,SMALL(IF('register map'!$L$5:$L$902&lt;&gt;"",ROW('register map'!$L$5:$L$902)-MIN(ROW('register map'!$L$5:$L$902))+1),ROWS($3:388))),"")</f>
        <v>OTP_RSVD_38_16_2</v>
      </c>
      <c r="C388" s="157">
        <f>IF(B388="PART_NUMBER",IF(COUNTIF($B$1:B387,"PART_NUMBER")=0,6,8),MATCH(B388,'register map'!L:L,0))</f>
        <v>492</v>
      </c>
      <c r="D388" s="117" t="str">
        <f>IF(ISBLANK(INDEX('register map'!C:C,'Logical Group Generator'!C388)),"No","Yes")</f>
        <v>No</v>
      </c>
      <c r="E388" s="117" t="str">
        <f>IF(ISBLANK(INDEX('register map'!A:A,C388)),IF(ISBLANK(INDEX('register map'!A:A,C388-1)),IF(ISBLANK(INDEX('register map'!A:A,C388-2)),IF(ISBLANK(INDEX('register map'!A:A,C388-3)),IF(ISBLANK(INDEX('register map'!A:A,C388-4)),IF(ISBLANK(INDEX('register map'!A:A,C388-5)),IF(ISBLANK(INDEX('register map'!A:A,C388-6)),IF(ISBLANK(INDEX('register map'!A:A,C388-7)),IF(ISBLANK(INDEX('register map'!A:A,C388-8)),"ERROR",INDEX('register map'!A:A,C388-8)),INDEX('register map'!A:A,C388-7)),INDEX('register map'!A:A,C388-6)),INDEX('register map'!A:A,C388-5)),INDEX('register map'!A:A,C388-4)),INDEX('register map'!A:A,C388-3)),INDEX('register map'!A:A,C388-2)),INDEX('register map'!A:A,C388-1)),INDEX('register map'!A:A,C388))</f>
        <v>0x38</v>
      </c>
      <c r="F388" s="117" t="str">
        <f>IF(ISBLANK(INDEX('register map'!B:B,C388)),IF(ISBLANK(INDEX('register map'!B:B,C388-1)),IF(ISBLANK(INDEX('register map'!B:B,C388-2)),IF(ISBLANK(INDEX('register map'!B:B,C388-3)),IF(ISBLANK(INDEX('register map'!B:B,C388-4)),IF(ISBLANK(INDEX('register map'!B:B,C388-5)),IF(ISBLANK(INDEX('register map'!B:B,C388-6)),IF(ISBLANK(INDEX('register map'!B:B,C388-7)),IF(ISBLANK(INDEX('register map'!B:B,C388-8)),"ERROR",INDEX('register map'!B:B,C388-8)),INDEX('register map'!B:B,C388-7)),INDEX('register map'!B:B,C388-6)),INDEX('register map'!B:B,C388-5)),INDEX('register map'!B:B,C388-4)),INDEX('register map'!B:B,C388-3)),INDEX('register map'!B:B,C388-2)),INDEX('register map'!B:B,C388-1)),INDEX('register map'!B:B,C388))</f>
        <v>0x16</v>
      </c>
      <c r="G388" s="117" t="str">
        <f>CONCATENATE(IF(ISNUMBER(INDEX('register map'!D:D,C388)),7,""),IF(ISNUMBER(INDEX('register map'!E:E,C388)),6,""),IF(ISNUMBER(INDEX('register map'!F:F,C388)),5,""),IF(ISNUMBER(INDEX('register map'!G:G,C388)),4,""),IF(ISNUMBER(INDEX('register map'!H:H,C388)),3,""),IF(ISNUMBER(INDEX('register map'!I:I,C388)),2,""),IF(ISNUMBER(INDEX('register map'!J:J,C388)),1,""),IF(ISNUMBER(INDEX('register map'!K:K,C388)),0,""))</f>
        <v>2</v>
      </c>
      <c r="H388" s="117" t="str">
        <f>RIGHT(INDEX('register map'!V:V,MATCH('Logical Group Generator'!B388,'register map'!L:L,0)),LEN(G388))</f>
        <v>1</v>
      </c>
      <c r="I388" s="117" t="str">
        <f>CONCATENATE(IF(ISNUMBER(INDEX('register map'!K:K,C388)),0,""),IF(ISNUMBER(INDEX('register map'!J:J,C388)),1,""),IF(ISNUMBER(INDEX('register map'!I:I,C388)),2,""),IF(ISNUMBER(INDEX('register map'!H:H,C388)),3,""),IF(ISNUMBER(INDEX('register map'!G:G,C388)),4,""),IF(ISNUMBER(INDEX('register map'!F:F,C388)),5,""),IF(ISNUMBER(INDEX('register map'!E:E,C388)),6,""),IF(ISNUMBER(INDEX('register map'!D:D,C388)),7,""))</f>
        <v>2</v>
      </c>
      <c r="J388" s="117" t="str">
        <f t="shared" ref="J388:J451" si="73">MID(H388,20,1) &amp; MID(H388,19,1) &amp; MID(H388,18,1) &amp; MID(H388,17,1) &amp; MID(H388,16,1) &amp; MID(H388,15,1) &amp; MID(H388,14,1) &amp; MID(H388,13,1) &amp; MID(H388,12,1) &amp; MID(H388,11,1) &amp; MID(H388,10,1) &amp; MID(H388,9,1) &amp; MID(H388,8,1) &amp; MID(H388,7,1) &amp; MID(H388,6,1) &amp; MID(H388,5,1) &amp; MID(H388,4,1) &amp; MID(H388,3,1) &amp; MID(H388,2,1) &amp; MID(H388,1,1)</f>
        <v>1</v>
      </c>
      <c r="K388" s="117" t="str">
        <f t="shared" si="66"/>
        <v/>
      </c>
      <c r="L388" s="117" t="str">
        <f t="shared" ref="L388:L451" si="74">MID(K388,20,1) &amp; MID(K388,19,1) &amp; MID(K388,18,1) &amp; MID(K388,17,1) &amp; MID(K388,16,1) &amp; MID(K388,15,1) &amp; MID(K388,14,1) &amp; MID(K388,13,1) &amp; MID(K388,12,1) &amp; MID(K388,11,1) &amp; MID(K388,10,1) &amp; MID(K388,9,1) &amp; MID(K388,8,1) &amp; MID(K388,7,1) &amp; MID(K388,6,1) &amp; MID(K388,5,1) &amp; MID(K388,4,1) &amp; MID(K388,3,1) &amp; MID(K388,2,1) &amp; MID(K388,1,1)</f>
        <v/>
      </c>
      <c r="M388" s="117" t="str">
        <f t="shared" si="65"/>
        <v/>
      </c>
      <c r="N388" s="117" t="str">
        <f>IF(ISBLANK(INDEX('register map'!M:M,'Logical Group Generator'!C388)),"No","Yes")</f>
        <v>No</v>
      </c>
      <c r="O388" s="117" t="str">
        <f>IF(NOT(ISBLANK(INDEX('register map'!N:N,'Logical Group Generator'!C388))),"Yes","")</f>
        <v/>
      </c>
      <c r="P388" s="117" t="str">
        <f t="shared" si="67"/>
        <v/>
      </c>
      <c r="Q388" s="117" t="str">
        <f t="shared" si="68"/>
        <v/>
      </c>
      <c r="R388" s="117" t="str">
        <f t="shared" si="69"/>
        <v/>
      </c>
      <c r="S388" s="117" t="str">
        <f t="shared" si="70"/>
        <v>No</v>
      </c>
      <c r="T388" s="117" t="str">
        <f t="shared" si="71"/>
        <v/>
      </c>
      <c r="U388" s="117" t="b">
        <f t="shared" ref="U388:U451" si="75">OR(P388="No",S388="Yes")</f>
        <v>0</v>
      </c>
      <c r="V388" s="157" t="b">
        <f>INDEX('register map'!P:P,C388)="yes"</f>
        <v>1</v>
      </c>
      <c r="W388" s="157" t="str">
        <f t="shared" si="72"/>
        <v>FALSE</v>
      </c>
    </row>
    <row r="389" spans="2:23">
      <c r="B389" s="157" t="str">
        <f t="array" ref="B389">IF(ROWS($3:389)&lt;=COUNTA('register map'!$L$5:$L$902),INDEX('register map'!$L$5:$L$902,SMALL(IF('register map'!$L$5:$L$902&lt;&gt;"",ROW('register map'!$L$5:$L$902)-MIN(ROW('register map'!$L$5:$L$902))+1),ROWS($3:389))),"")</f>
        <v>OTP_RSVD_38_16_3</v>
      </c>
      <c r="C389" s="157">
        <f>IF(B389="PART_NUMBER",IF(COUNTIF($B$1:B388,"PART_NUMBER")=0,6,8),MATCH(B389,'register map'!L:L,0))</f>
        <v>493</v>
      </c>
      <c r="D389" s="117" t="str">
        <f>IF(ISBLANK(INDEX('register map'!C:C,'Logical Group Generator'!C389)),"No","Yes")</f>
        <v>No</v>
      </c>
      <c r="E389" s="117" t="str">
        <f>IF(ISBLANK(INDEX('register map'!A:A,C389)),IF(ISBLANK(INDEX('register map'!A:A,C389-1)),IF(ISBLANK(INDEX('register map'!A:A,C389-2)),IF(ISBLANK(INDEX('register map'!A:A,C389-3)),IF(ISBLANK(INDEX('register map'!A:A,C389-4)),IF(ISBLANK(INDEX('register map'!A:A,C389-5)),IF(ISBLANK(INDEX('register map'!A:A,C389-6)),IF(ISBLANK(INDEX('register map'!A:A,C389-7)),IF(ISBLANK(INDEX('register map'!A:A,C389-8)),"ERROR",INDEX('register map'!A:A,C389-8)),INDEX('register map'!A:A,C389-7)),INDEX('register map'!A:A,C389-6)),INDEX('register map'!A:A,C389-5)),INDEX('register map'!A:A,C389-4)),INDEX('register map'!A:A,C389-3)),INDEX('register map'!A:A,C389-2)),INDEX('register map'!A:A,C389-1)),INDEX('register map'!A:A,C389))</f>
        <v>0x38</v>
      </c>
      <c r="F389" s="117" t="str">
        <f>IF(ISBLANK(INDEX('register map'!B:B,C389)),IF(ISBLANK(INDEX('register map'!B:B,C389-1)),IF(ISBLANK(INDEX('register map'!B:B,C389-2)),IF(ISBLANK(INDEX('register map'!B:B,C389-3)),IF(ISBLANK(INDEX('register map'!B:B,C389-4)),IF(ISBLANK(INDEX('register map'!B:B,C389-5)),IF(ISBLANK(INDEX('register map'!B:B,C389-6)),IF(ISBLANK(INDEX('register map'!B:B,C389-7)),IF(ISBLANK(INDEX('register map'!B:B,C389-8)),"ERROR",INDEX('register map'!B:B,C389-8)),INDEX('register map'!B:B,C389-7)),INDEX('register map'!B:B,C389-6)),INDEX('register map'!B:B,C389-5)),INDEX('register map'!B:B,C389-4)),INDEX('register map'!B:B,C389-3)),INDEX('register map'!B:B,C389-2)),INDEX('register map'!B:B,C389-1)),INDEX('register map'!B:B,C389))</f>
        <v>0x16</v>
      </c>
      <c r="G389" s="117" t="str">
        <f>CONCATENATE(IF(ISNUMBER(INDEX('register map'!D:D,C389)),7,""),IF(ISNUMBER(INDEX('register map'!E:E,C389)),6,""),IF(ISNUMBER(INDEX('register map'!F:F,C389)),5,""),IF(ISNUMBER(INDEX('register map'!G:G,C389)),4,""),IF(ISNUMBER(INDEX('register map'!H:H,C389)),3,""),IF(ISNUMBER(INDEX('register map'!I:I,C389)),2,""),IF(ISNUMBER(INDEX('register map'!J:J,C389)),1,""),IF(ISNUMBER(INDEX('register map'!K:K,C389)),0,""))</f>
        <v>3</v>
      </c>
      <c r="H389" s="117" t="str">
        <f>RIGHT(INDEX('register map'!V:V,MATCH('Logical Group Generator'!B389,'register map'!L:L,0)),LEN(G389))</f>
        <v>1</v>
      </c>
      <c r="I389" s="117" t="str">
        <f>CONCATENATE(IF(ISNUMBER(INDEX('register map'!K:K,C389)),0,""),IF(ISNUMBER(INDEX('register map'!J:J,C389)),1,""),IF(ISNUMBER(INDEX('register map'!I:I,C389)),2,""),IF(ISNUMBER(INDEX('register map'!H:H,C389)),3,""),IF(ISNUMBER(INDEX('register map'!G:G,C389)),4,""),IF(ISNUMBER(INDEX('register map'!F:F,C389)),5,""),IF(ISNUMBER(INDEX('register map'!E:E,C389)),6,""),IF(ISNUMBER(INDEX('register map'!D:D,C389)),7,""))</f>
        <v>3</v>
      </c>
      <c r="J389" s="117" t="str">
        <f t="shared" si="73"/>
        <v>1</v>
      </c>
      <c r="K389" s="117" t="str">
        <f t="shared" si="66"/>
        <v/>
      </c>
      <c r="L389" s="117" t="str">
        <f t="shared" si="74"/>
        <v/>
      </c>
      <c r="M389" s="117" t="str">
        <f t="shared" ref="M389:M452" si="76">IF(L389="","",BIN2HEX(L389,2))</f>
        <v/>
      </c>
      <c r="N389" s="117" t="str">
        <f>IF(ISBLANK(INDEX('register map'!M:M,'Logical Group Generator'!C389)),"No","Yes")</f>
        <v>No</v>
      </c>
      <c r="O389" s="117" t="str">
        <f>IF(NOT(ISBLANK(INDEX('register map'!N:N,'Logical Group Generator'!C389))),"Yes","")</f>
        <v/>
      </c>
      <c r="P389" s="117" t="str">
        <f t="shared" si="67"/>
        <v/>
      </c>
      <c r="Q389" s="117" t="str">
        <f t="shared" si="68"/>
        <v/>
      </c>
      <c r="R389" s="117" t="str">
        <f t="shared" si="69"/>
        <v/>
      </c>
      <c r="S389" s="117" t="str">
        <f t="shared" si="70"/>
        <v>No</v>
      </c>
      <c r="T389" s="117" t="str">
        <f t="shared" si="71"/>
        <v/>
      </c>
      <c r="U389" s="117" t="b">
        <f t="shared" si="75"/>
        <v>0</v>
      </c>
      <c r="V389" s="157" t="b">
        <f>INDEX('register map'!P:P,C389)="yes"</f>
        <v>1</v>
      </c>
      <c r="W389" s="157" t="str">
        <f t="shared" si="72"/>
        <v>FALSE</v>
      </c>
    </row>
    <row r="390" spans="2:23">
      <c r="B390" s="157" t="str">
        <f t="array" ref="B390">IF(ROWS($3:390)&lt;=COUNTA('register map'!$L$5:$L$902),INDEX('register map'!$L$5:$L$902,SMALL(IF('register map'!$L$5:$L$902&lt;&gt;"",ROW('register map'!$L$5:$L$902)-MIN(ROW('register map'!$L$5:$L$902))+1),ROWS($3:390))),"")</f>
        <v>OTP_RSVD_38_16_4</v>
      </c>
      <c r="C390" s="157">
        <f>IF(B390="PART_NUMBER",IF(COUNTIF($B$1:B389,"PART_NUMBER")=0,6,8),MATCH(B390,'register map'!L:L,0))</f>
        <v>494</v>
      </c>
      <c r="D390" s="117" t="str">
        <f>IF(ISBLANK(INDEX('register map'!C:C,'Logical Group Generator'!C390)),"No","Yes")</f>
        <v>No</v>
      </c>
      <c r="E390" s="117" t="str">
        <f>IF(ISBLANK(INDEX('register map'!A:A,C390)),IF(ISBLANK(INDEX('register map'!A:A,C390-1)),IF(ISBLANK(INDEX('register map'!A:A,C390-2)),IF(ISBLANK(INDEX('register map'!A:A,C390-3)),IF(ISBLANK(INDEX('register map'!A:A,C390-4)),IF(ISBLANK(INDEX('register map'!A:A,C390-5)),IF(ISBLANK(INDEX('register map'!A:A,C390-6)),IF(ISBLANK(INDEX('register map'!A:A,C390-7)),IF(ISBLANK(INDEX('register map'!A:A,C390-8)),"ERROR",INDEX('register map'!A:A,C390-8)),INDEX('register map'!A:A,C390-7)),INDEX('register map'!A:A,C390-6)),INDEX('register map'!A:A,C390-5)),INDEX('register map'!A:A,C390-4)),INDEX('register map'!A:A,C390-3)),INDEX('register map'!A:A,C390-2)),INDEX('register map'!A:A,C390-1)),INDEX('register map'!A:A,C390))</f>
        <v>0x38</v>
      </c>
      <c r="F390" s="117" t="str">
        <f>IF(ISBLANK(INDEX('register map'!B:B,C390)),IF(ISBLANK(INDEX('register map'!B:B,C390-1)),IF(ISBLANK(INDEX('register map'!B:B,C390-2)),IF(ISBLANK(INDEX('register map'!B:B,C390-3)),IF(ISBLANK(INDEX('register map'!B:B,C390-4)),IF(ISBLANK(INDEX('register map'!B:B,C390-5)),IF(ISBLANK(INDEX('register map'!B:B,C390-6)),IF(ISBLANK(INDEX('register map'!B:B,C390-7)),IF(ISBLANK(INDEX('register map'!B:B,C390-8)),"ERROR",INDEX('register map'!B:B,C390-8)),INDEX('register map'!B:B,C390-7)),INDEX('register map'!B:B,C390-6)),INDEX('register map'!B:B,C390-5)),INDEX('register map'!B:B,C390-4)),INDEX('register map'!B:B,C390-3)),INDEX('register map'!B:B,C390-2)),INDEX('register map'!B:B,C390-1)),INDEX('register map'!B:B,C390))</f>
        <v>0x16</v>
      </c>
      <c r="G390" s="117" t="str">
        <f>CONCATENATE(IF(ISNUMBER(INDEX('register map'!D:D,C390)),7,""),IF(ISNUMBER(INDEX('register map'!E:E,C390)),6,""),IF(ISNUMBER(INDEX('register map'!F:F,C390)),5,""),IF(ISNUMBER(INDEX('register map'!G:G,C390)),4,""),IF(ISNUMBER(INDEX('register map'!H:H,C390)),3,""),IF(ISNUMBER(INDEX('register map'!I:I,C390)),2,""),IF(ISNUMBER(INDEX('register map'!J:J,C390)),1,""),IF(ISNUMBER(INDEX('register map'!K:K,C390)),0,""))</f>
        <v>4</v>
      </c>
      <c r="H390" s="117" t="str">
        <f>RIGHT(INDEX('register map'!V:V,MATCH('Logical Group Generator'!B390,'register map'!L:L,0)),LEN(G390))</f>
        <v>1</v>
      </c>
      <c r="I390" s="117" t="str">
        <f>CONCATENATE(IF(ISNUMBER(INDEX('register map'!K:K,C390)),0,""),IF(ISNUMBER(INDEX('register map'!J:J,C390)),1,""),IF(ISNUMBER(INDEX('register map'!I:I,C390)),2,""),IF(ISNUMBER(INDEX('register map'!H:H,C390)),3,""),IF(ISNUMBER(INDEX('register map'!G:G,C390)),4,""),IF(ISNUMBER(INDEX('register map'!F:F,C390)),5,""),IF(ISNUMBER(INDEX('register map'!E:E,C390)),6,""),IF(ISNUMBER(INDEX('register map'!D:D,C390)),7,""))</f>
        <v>4</v>
      </c>
      <c r="J390" s="117" t="str">
        <f t="shared" si="73"/>
        <v>1</v>
      </c>
      <c r="K390" s="117" t="str">
        <f t="shared" si="66"/>
        <v/>
      </c>
      <c r="L390" s="117" t="str">
        <f t="shared" si="74"/>
        <v/>
      </c>
      <c r="M390" s="117" t="str">
        <f t="shared" si="76"/>
        <v/>
      </c>
      <c r="N390" s="117" t="str">
        <f>IF(ISBLANK(INDEX('register map'!M:M,'Logical Group Generator'!C390)),"No","Yes")</f>
        <v>No</v>
      </c>
      <c r="O390" s="117" t="str">
        <f>IF(NOT(ISBLANK(INDEX('register map'!N:N,'Logical Group Generator'!C390))),"Yes","")</f>
        <v/>
      </c>
      <c r="P390" s="117" t="str">
        <f t="shared" si="67"/>
        <v/>
      </c>
      <c r="Q390" s="117" t="str">
        <f t="shared" si="68"/>
        <v/>
      </c>
      <c r="R390" s="117" t="str">
        <f t="shared" si="69"/>
        <v/>
      </c>
      <c r="S390" s="117" t="str">
        <f t="shared" si="70"/>
        <v>No</v>
      </c>
      <c r="T390" s="117" t="str">
        <f t="shared" si="71"/>
        <v/>
      </c>
      <c r="U390" s="117" t="b">
        <f t="shared" si="75"/>
        <v>0</v>
      </c>
      <c r="V390" s="157" t="b">
        <f>INDEX('register map'!P:P,C390)="yes"</f>
        <v>1</v>
      </c>
      <c r="W390" s="157" t="str">
        <f t="shared" si="72"/>
        <v>FALSE</v>
      </c>
    </row>
    <row r="391" spans="2:23">
      <c r="B391" s="157" t="str">
        <f t="array" ref="B391">IF(ROWS($3:391)&lt;=COUNTA('register map'!$L$5:$L$902),INDEX('register map'!$L$5:$L$902,SMALL(IF('register map'!$L$5:$L$902&lt;&gt;"",ROW('register map'!$L$5:$L$902)-MIN(ROW('register map'!$L$5:$L$902))+1),ROWS($3:391))),"")</f>
        <v>OTP_RSVD_38_16_5</v>
      </c>
      <c r="C391" s="157">
        <f>IF(B391="PART_NUMBER",IF(COUNTIF($B$1:B390,"PART_NUMBER")=0,6,8),MATCH(B391,'register map'!L:L,0))</f>
        <v>495</v>
      </c>
      <c r="D391" s="117" t="str">
        <f>IF(ISBLANK(INDEX('register map'!C:C,'Logical Group Generator'!C391)),"No","Yes")</f>
        <v>No</v>
      </c>
      <c r="E391" s="117" t="str">
        <f>IF(ISBLANK(INDEX('register map'!A:A,C391)),IF(ISBLANK(INDEX('register map'!A:A,C391-1)),IF(ISBLANK(INDEX('register map'!A:A,C391-2)),IF(ISBLANK(INDEX('register map'!A:A,C391-3)),IF(ISBLANK(INDEX('register map'!A:A,C391-4)),IF(ISBLANK(INDEX('register map'!A:A,C391-5)),IF(ISBLANK(INDEX('register map'!A:A,C391-6)),IF(ISBLANK(INDEX('register map'!A:A,C391-7)),IF(ISBLANK(INDEX('register map'!A:A,C391-8)),"ERROR",INDEX('register map'!A:A,C391-8)),INDEX('register map'!A:A,C391-7)),INDEX('register map'!A:A,C391-6)),INDEX('register map'!A:A,C391-5)),INDEX('register map'!A:A,C391-4)),INDEX('register map'!A:A,C391-3)),INDEX('register map'!A:A,C391-2)),INDEX('register map'!A:A,C391-1)),INDEX('register map'!A:A,C391))</f>
        <v>0x38</v>
      </c>
      <c r="F391" s="117" t="str">
        <f>IF(ISBLANK(INDEX('register map'!B:B,C391)),IF(ISBLANK(INDEX('register map'!B:B,C391-1)),IF(ISBLANK(INDEX('register map'!B:B,C391-2)),IF(ISBLANK(INDEX('register map'!B:B,C391-3)),IF(ISBLANK(INDEX('register map'!B:B,C391-4)),IF(ISBLANK(INDEX('register map'!B:B,C391-5)),IF(ISBLANK(INDEX('register map'!B:B,C391-6)),IF(ISBLANK(INDEX('register map'!B:B,C391-7)),IF(ISBLANK(INDEX('register map'!B:B,C391-8)),"ERROR",INDEX('register map'!B:B,C391-8)),INDEX('register map'!B:B,C391-7)),INDEX('register map'!B:B,C391-6)),INDEX('register map'!B:B,C391-5)),INDEX('register map'!B:B,C391-4)),INDEX('register map'!B:B,C391-3)),INDEX('register map'!B:B,C391-2)),INDEX('register map'!B:B,C391-1)),INDEX('register map'!B:B,C391))</f>
        <v>0x16</v>
      </c>
      <c r="G391" s="117" t="str">
        <f>CONCATENATE(IF(ISNUMBER(INDEX('register map'!D:D,C391)),7,""),IF(ISNUMBER(INDEX('register map'!E:E,C391)),6,""),IF(ISNUMBER(INDEX('register map'!F:F,C391)),5,""),IF(ISNUMBER(INDEX('register map'!G:G,C391)),4,""),IF(ISNUMBER(INDEX('register map'!H:H,C391)),3,""),IF(ISNUMBER(INDEX('register map'!I:I,C391)),2,""),IF(ISNUMBER(INDEX('register map'!J:J,C391)),1,""),IF(ISNUMBER(INDEX('register map'!K:K,C391)),0,""))</f>
        <v>5</v>
      </c>
      <c r="H391" s="117" t="str">
        <f>RIGHT(INDEX('register map'!V:V,MATCH('Logical Group Generator'!B391,'register map'!L:L,0)),LEN(G391))</f>
        <v>1</v>
      </c>
      <c r="I391" s="117" t="str">
        <f>CONCATENATE(IF(ISNUMBER(INDEX('register map'!K:K,C391)),0,""),IF(ISNUMBER(INDEX('register map'!J:J,C391)),1,""),IF(ISNUMBER(INDEX('register map'!I:I,C391)),2,""),IF(ISNUMBER(INDEX('register map'!H:H,C391)),3,""),IF(ISNUMBER(INDEX('register map'!G:G,C391)),4,""),IF(ISNUMBER(INDEX('register map'!F:F,C391)),5,""),IF(ISNUMBER(INDEX('register map'!E:E,C391)),6,""),IF(ISNUMBER(INDEX('register map'!D:D,C391)),7,""))</f>
        <v>5</v>
      </c>
      <c r="J391" s="117" t="str">
        <f t="shared" si="73"/>
        <v>1</v>
      </c>
      <c r="K391" s="117" t="str">
        <f t="shared" si="66"/>
        <v/>
      </c>
      <c r="L391" s="117" t="str">
        <f t="shared" si="74"/>
        <v/>
      </c>
      <c r="M391" s="117" t="str">
        <f t="shared" si="76"/>
        <v/>
      </c>
      <c r="N391" s="117" t="str">
        <f>IF(ISBLANK(INDEX('register map'!M:M,'Logical Group Generator'!C391)),"No","Yes")</f>
        <v>No</v>
      </c>
      <c r="O391" s="117" t="str">
        <f>IF(NOT(ISBLANK(INDEX('register map'!N:N,'Logical Group Generator'!C391))),"Yes","")</f>
        <v/>
      </c>
      <c r="P391" s="117" t="str">
        <f t="shared" si="67"/>
        <v/>
      </c>
      <c r="Q391" s="117" t="str">
        <f t="shared" si="68"/>
        <v/>
      </c>
      <c r="R391" s="117" t="str">
        <f t="shared" si="69"/>
        <v/>
      </c>
      <c r="S391" s="117" t="str">
        <f t="shared" si="70"/>
        <v>No</v>
      </c>
      <c r="T391" s="117" t="str">
        <f t="shared" si="71"/>
        <v/>
      </c>
      <c r="U391" s="117" t="b">
        <f t="shared" si="75"/>
        <v>0</v>
      </c>
      <c r="V391" s="157" t="b">
        <f>INDEX('register map'!P:P,C391)="yes"</f>
        <v>1</v>
      </c>
      <c r="W391" s="157" t="str">
        <f t="shared" si="72"/>
        <v>FALSE</v>
      </c>
    </row>
    <row r="392" spans="2:23">
      <c r="B392" s="157" t="str">
        <f t="array" ref="B392">IF(ROWS($3:392)&lt;=COUNTA('register map'!$L$5:$L$902),INDEX('register map'!$L$5:$L$902,SMALL(IF('register map'!$L$5:$L$902&lt;&gt;"",ROW('register map'!$L$5:$L$902)-MIN(ROW('register map'!$L$5:$L$902))+1),ROWS($3:392))),"")</f>
        <v>OTP_RSVD_38_16_6</v>
      </c>
      <c r="C392" s="157">
        <f>IF(B392="PART_NUMBER",IF(COUNTIF($B$1:B391,"PART_NUMBER")=0,6,8),MATCH(B392,'register map'!L:L,0))</f>
        <v>496</v>
      </c>
      <c r="D392" s="117" t="str">
        <f>IF(ISBLANK(INDEX('register map'!C:C,'Logical Group Generator'!C392)),"No","Yes")</f>
        <v>No</v>
      </c>
      <c r="E392" s="117" t="str">
        <f>IF(ISBLANK(INDEX('register map'!A:A,C392)),IF(ISBLANK(INDEX('register map'!A:A,C392-1)),IF(ISBLANK(INDEX('register map'!A:A,C392-2)),IF(ISBLANK(INDEX('register map'!A:A,C392-3)),IF(ISBLANK(INDEX('register map'!A:A,C392-4)),IF(ISBLANK(INDEX('register map'!A:A,C392-5)),IF(ISBLANK(INDEX('register map'!A:A,C392-6)),IF(ISBLANK(INDEX('register map'!A:A,C392-7)),IF(ISBLANK(INDEX('register map'!A:A,C392-8)),"ERROR",INDEX('register map'!A:A,C392-8)),INDEX('register map'!A:A,C392-7)),INDEX('register map'!A:A,C392-6)),INDEX('register map'!A:A,C392-5)),INDEX('register map'!A:A,C392-4)),INDEX('register map'!A:A,C392-3)),INDEX('register map'!A:A,C392-2)),INDEX('register map'!A:A,C392-1)),INDEX('register map'!A:A,C392))</f>
        <v>0x38</v>
      </c>
      <c r="F392" s="117" t="str">
        <f>IF(ISBLANK(INDEX('register map'!B:B,C392)),IF(ISBLANK(INDEX('register map'!B:B,C392-1)),IF(ISBLANK(INDEX('register map'!B:B,C392-2)),IF(ISBLANK(INDEX('register map'!B:B,C392-3)),IF(ISBLANK(INDEX('register map'!B:B,C392-4)),IF(ISBLANK(INDEX('register map'!B:B,C392-5)),IF(ISBLANK(INDEX('register map'!B:B,C392-6)),IF(ISBLANK(INDEX('register map'!B:B,C392-7)),IF(ISBLANK(INDEX('register map'!B:B,C392-8)),"ERROR",INDEX('register map'!B:B,C392-8)),INDEX('register map'!B:B,C392-7)),INDEX('register map'!B:B,C392-6)),INDEX('register map'!B:B,C392-5)),INDEX('register map'!B:B,C392-4)),INDEX('register map'!B:B,C392-3)),INDEX('register map'!B:B,C392-2)),INDEX('register map'!B:B,C392-1)),INDEX('register map'!B:B,C392))</f>
        <v>0x16</v>
      </c>
      <c r="G392" s="117" t="str">
        <f>CONCATENATE(IF(ISNUMBER(INDEX('register map'!D:D,C392)),7,""),IF(ISNUMBER(INDEX('register map'!E:E,C392)),6,""),IF(ISNUMBER(INDEX('register map'!F:F,C392)),5,""),IF(ISNUMBER(INDEX('register map'!G:G,C392)),4,""),IF(ISNUMBER(INDEX('register map'!H:H,C392)),3,""),IF(ISNUMBER(INDEX('register map'!I:I,C392)),2,""),IF(ISNUMBER(INDEX('register map'!J:J,C392)),1,""),IF(ISNUMBER(INDEX('register map'!K:K,C392)),0,""))</f>
        <v>6</v>
      </c>
      <c r="H392" s="117" t="str">
        <f>RIGHT(INDEX('register map'!V:V,MATCH('Logical Group Generator'!B392,'register map'!L:L,0)),LEN(G392))</f>
        <v>1</v>
      </c>
      <c r="I392" s="117" t="str">
        <f>CONCATENATE(IF(ISNUMBER(INDEX('register map'!K:K,C392)),0,""),IF(ISNUMBER(INDEX('register map'!J:J,C392)),1,""),IF(ISNUMBER(INDEX('register map'!I:I,C392)),2,""),IF(ISNUMBER(INDEX('register map'!H:H,C392)),3,""),IF(ISNUMBER(INDEX('register map'!G:G,C392)),4,""),IF(ISNUMBER(INDEX('register map'!F:F,C392)),5,""),IF(ISNUMBER(INDEX('register map'!E:E,C392)),6,""),IF(ISNUMBER(INDEX('register map'!D:D,C392)),7,""))</f>
        <v>6</v>
      </c>
      <c r="J392" s="117" t="str">
        <f t="shared" si="73"/>
        <v>1</v>
      </c>
      <c r="K392" s="117" t="str">
        <f t="shared" si="66"/>
        <v/>
      </c>
      <c r="L392" s="117" t="str">
        <f t="shared" si="74"/>
        <v/>
      </c>
      <c r="M392" s="117" t="str">
        <f t="shared" si="76"/>
        <v/>
      </c>
      <c r="N392" s="117" t="str">
        <f>IF(ISBLANK(INDEX('register map'!M:M,'Logical Group Generator'!C392)),"No","Yes")</f>
        <v>No</v>
      </c>
      <c r="O392" s="117" t="str">
        <f>IF(NOT(ISBLANK(INDEX('register map'!N:N,'Logical Group Generator'!C392))),"Yes","")</f>
        <v/>
      </c>
      <c r="P392" s="117" t="str">
        <f t="shared" si="67"/>
        <v/>
      </c>
      <c r="Q392" s="117" t="str">
        <f t="shared" si="68"/>
        <v/>
      </c>
      <c r="R392" s="117" t="str">
        <f t="shared" si="69"/>
        <v/>
      </c>
      <c r="S392" s="117" t="str">
        <f t="shared" si="70"/>
        <v>No</v>
      </c>
      <c r="T392" s="117" t="str">
        <f t="shared" si="71"/>
        <v/>
      </c>
      <c r="U392" s="117" t="b">
        <f t="shared" si="75"/>
        <v>0</v>
      </c>
      <c r="V392" s="157" t="b">
        <f>INDEX('register map'!P:P,C392)="yes"</f>
        <v>1</v>
      </c>
      <c r="W392" s="157" t="str">
        <f t="shared" si="72"/>
        <v>FALSE</v>
      </c>
    </row>
    <row r="393" spans="2:23">
      <c r="B393" s="157" t="str">
        <f t="array" ref="B393">IF(ROWS($3:393)&lt;=COUNTA('register map'!$L$5:$L$902),INDEX('register map'!$L$5:$L$902,SMALL(IF('register map'!$L$5:$L$902&lt;&gt;"",ROW('register map'!$L$5:$L$902)-MIN(ROW('register map'!$L$5:$L$902))+1),ROWS($3:393))),"")</f>
        <v>OTP_RSVD_38_16_7</v>
      </c>
      <c r="C393" s="157">
        <f>IF(B393="PART_NUMBER",IF(COUNTIF($B$1:B392,"PART_NUMBER")=0,6,8),MATCH(B393,'register map'!L:L,0))</f>
        <v>497</v>
      </c>
      <c r="D393" s="117" t="str">
        <f>IF(ISBLANK(INDEX('register map'!C:C,'Logical Group Generator'!C393)),"No","Yes")</f>
        <v>No</v>
      </c>
      <c r="E393" s="117" t="str">
        <f>IF(ISBLANK(INDEX('register map'!A:A,C393)),IF(ISBLANK(INDEX('register map'!A:A,C393-1)),IF(ISBLANK(INDEX('register map'!A:A,C393-2)),IF(ISBLANK(INDEX('register map'!A:A,C393-3)),IF(ISBLANK(INDEX('register map'!A:A,C393-4)),IF(ISBLANK(INDEX('register map'!A:A,C393-5)),IF(ISBLANK(INDEX('register map'!A:A,C393-6)),IF(ISBLANK(INDEX('register map'!A:A,C393-7)),IF(ISBLANK(INDEX('register map'!A:A,C393-8)),"ERROR",INDEX('register map'!A:A,C393-8)),INDEX('register map'!A:A,C393-7)),INDEX('register map'!A:A,C393-6)),INDEX('register map'!A:A,C393-5)),INDEX('register map'!A:A,C393-4)),INDEX('register map'!A:A,C393-3)),INDEX('register map'!A:A,C393-2)),INDEX('register map'!A:A,C393-1)),INDEX('register map'!A:A,C393))</f>
        <v>0x38</v>
      </c>
      <c r="F393" s="117" t="str">
        <f>IF(ISBLANK(INDEX('register map'!B:B,C393)),IF(ISBLANK(INDEX('register map'!B:B,C393-1)),IF(ISBLANK(INDEX('register map'!B:B,C393-2)),IF(ISBLANK(INDEX('register map'!B:B,C393-3)),IF(ISBLANK(INDEX('register map'!B:B,C393-4)),IF(ISBLANK(INDEX('register map'!B:B,C393-5)),IF(ISBLANK(INDEX('register map'!B:B,C393-6)),IF(ISBLANK(INDEX('register map'!B:B,C393-7)),IF(ISBLANK(INDEX('register map'!B:B,C393-8)),"ERROR",INDEX('register map'!B:B,C393-8)),INDEX('register map'!B:B,C393-7)),INDEX('register map'!B:B,C393-6)),INDEX('register map'!B:B,C393-5)),INDEX('register map'!B:B,C393-4)),INDEX('register map'!B:B,C393-3)),INDEX('register map'!B:B,C393-2)),INDEX('register map'!B:B,C393-1)),INDEX('register map'!B:B,C393))</f>
        <v>0x16</v>
      </c>
      <c r="G393" s="117" t="str">
        <f>CONCATENATE(IF(ISNUMBER(INDEX('register map'!D:D,C393)),7,""),IF(ISNUMBER(INDEX('register map'!E:E,C393)),6,""),IF(ISNUMBER(INDEX('register map'!F:F,C393)),5,""),IF(ISNUMBER(INDEX('register map'!G:G,C393)),4,""),IF(ISNUMBER(INDEX('register map'!H:H,C393)),3,""),IF(ISNUMBER(INDEX('register map'!I:I,C393)),2,""),IF(ISNUMBER(INDEX('register map'!J:J,C393)),1,""),IF(ISNUMBER(INDEX('register map'!K:K,C393)),0,""))</f>
        <v>7</v>
      </c>
      <c r="H393" s="117" t="str">
        <f>RIGHT(INDEX('register map'!V:V,MATCH('Logical Group Generator'!B393,'register map'!L:L,0)),LEN(G393))</f>
        <v>1</v>
      </c>
      <c r="I393" s="117" t="str">
        <f>CONCATENATE(IF(ISNUMBER(INDEX('register map'!K:K,C393)),0,""),IF(ISNUMBER(INDEX('register map'!J:J,C393)),1,""),IF(ISNUMBER(INDEX('register map'!I:I,C393)),2,""),IF(ISNUMBER(INDEX('register map'!H:H,C393)),3,""),IF(ISNUMBER(INDEX('register map'!G:G,C393)),4,""),IF(ISNUMBER(INDEX('register map'!F:F,C393)),5,""),IF(ISNUMBER(INDEX('register map'!E:E,C393)),6,""),IF(ISNUMBER(INDEX('register map'!D:D,C393)),7,""))</f>
        <v>7</v>
      </c>
      <c r="J393" s="117" t="str">
        <f t="shared" si="73"/>
        <v>1</v>
      </c>
      <c r="K393" s="117" t="str">
        <f t="shared" si="66"/>
        <v/>
      </c>
      <c r="L393" s="117" t="str">
        <f t="shared" si="74"/>
        <v/>
      </c>
      <c r="M393" s="117" t="str">
        <f t="shared" si="76"/>
        <v/>
      </c>
      <c r="N393" s="117" t="str">
        <f>IF(ISBLANK(INDEX('register map'!M:M,'Logical Group Generator'!C393)),"No","Yes")</f>
        <v>No</v>
      </c>
      <c r="O393" s="117" t="str">
        <f>IF(NOT(ISBLANK(INDEX('register map'!N:N,'Logical Group Generator'!C393))),"Yes","")</f>
        <v/>
      </c>
      <c r="P393" s="117" t="str">
        <f t="shared" si="67"/>
        <v/>
      </c>
      <c r="Q393" s="117" t="str">
        <f t="shared" si="68"/>
        <v/>
      </c>
      <c r="R393" s="117" t="str">
        <f t="shared" si="69"/>
        <v/>
      </c>
      <c r="S393" s="117" t="str">
        <f t="shared" si="70"/>
        <v>No</v>
      </c>
      <c r="T393" s="117" t="str">
        <f t="shared" si="71"/>
        <v/>
      </c>
      <c r="U393" s="117" t="b">
        <f t="shared" si="75"/>
        <v>0</v>
      </c>
      <c r="V393" s="157" t="b">
        <f>INDEX('register map'!P:P,C393)="yes"</f>
        <v>1</v>
      </c>
      <c r="W393" s="157" t="str">
        <f t="shared" si="72"/>
        <v>FALSE</v>
      </c>
    </row>
    <row r="394" spans="2:23">
      <c r="B394" s="157" t="str">
        <f t="array" ref="B394">IF(ROWS($3:394)&lt;=COUNTA('register map'!$L$5:$L$902),INDEX('register map'!$L$5:$L$902,SMALL(IF('register map'!$L$5:$L$902&lt;&gt;"",ROW('register map'!$L$5:$L$902)-MIN(ROW('register map'!$L$5:$L$902))+1),ROWS($3:394))),"")</f>
        <v>BUCK6_CTRL_EN2</v>
      </c>
      <c r="C394" s="157">
        <f>IF(B394="PART_NUMBER",IF(COUNTIF($B$1:B393,"PART_NUMBER")=0,6,8),MATCH(B394,'register map'!L:L,0))</f>
        <v>498</v>
      </c>
      <c r="D394" s="117" t="str">
        <f>IF(ISBLANK(INDEX('register map'!C:C,'Logical Group Generator'!C394)),"No","Yes")</f>
        <v>Yes</v>
      </c>
      <c r="E394" s="117" t="str">
        <f>IF(ISBLANK(INDEX('register map'!A:A,C394)),IF(ISBLANK(INDEX('register map'!A:A,C394-1)),IF(ISBLANK(INDEX('register map'!A:A,C394-2)),IF(ISBLANK(INDEX('register map'!A:A,C394-3)),IF(ISBLANK(INDEX('register map'!A:A,C394-4)),IF(ISBLANK(INDEX('register map'!A:A,C394-5)),IF(ISBLANK(INDEX('register map'!A:A,C394-6)),IF(ISBLANK(INDEX('register map'!A:A,C394-7)),IF(ISBLANK(INDEX('register map'!A:A,C394-8)),"ERROR",INDEX('register map'!A:A,C394-8)),INDEX('register map'!A:A,C394-7)),INDEX('register map'!A:A,C394-6)),INDEX('register map'!A:A,C394-5)),INDEX('register map'!A:A,C394-4)),INDEX('register map'!A:A,C394-3)),INDEX('register map'!A:A,C394-2)),INDEX('register map'!A:A,C394-1)),INDEX('register map'!A:A,C394))</f>
        <v>0x38</v>
      </c>
      <c r="F394" s="117" t="str">
        <f>IF(ISBLANK(INDEX('register map'!B:B,C394)),IF(ISBLANK(INDEX('register map'!B:B,C394-1)),IF(ISBLANK(INDEX('register map'!B:B,C394-2)),IF(ISBLANK(INDEX('register map'!B:B,C394-3)),IF(ISBLANK(INDEX('register map'!B:B,C394-4)),IF(ISBLANK(INDEX('register map'!B:B,C394-5)),IF(ISBLANK(INDEX('register map'!B:B,C394-6)),IF(ISBLANK(INDEX('register map'!B:B,C394-7)),IF(ISBLANK(INDEX('register map'!B:B,C394-8)),"ERROR",INDEX('register map'!B:B,C394-8)),INDEX('register map'!B:B,C394-7)),INDEX('register map'!B:B,C394-6)),INDEX('register map'!B:B,C394-5)),INDEX('register map'!B:B,C394-4)),INDEX('register map'!B:B,C394-3)),INDEX('register map'!B:B,C394-2)),INDEX('register map'!B:B,C394-1)),INDEX('register map'!B:B,C394))</f>
        <v>0x17</v>
      </c>
      <c r="G394" s="117" t="str">
        <f>CONCATENATE(IF(ISNUMBER(INDEX('register map'!D:D,C394)),7,""),IF(ISNUMBER(INDEX('register map'!E:E,C394)),6,""),IF(ISNUMBER(INDEX('register map'!F:F,C394)),5,""),IF(ISNUMBER(INDEX('register map'!G:G,C394)),4,""),IF(ISNUMBER(INDEX('register map'!H:H,C394)),3,""),IF(ISNUMBER(INDEX('register map'!I:I,C394)),2,""),IF(ISNUMBER(INDEX('register map'!J:J,C394)),1,""),IF(ISNUMBER(INDEX('register map'!K:K,C394)),0,""))</f>
        <v/>
      </c>
      <c r="H394" s="117" t="str">
        <f>RIGHT(INDEX('register map'!V:V,MATCH('Logical Group Generator'!B394,'register map'!L:L,0)),LEN(G394))</f>
        <v/>
      </c>
      <c r="I394" s="117" t="str">
        <f>CONCATENATE(IF(ISNUMBER(INDEX('register map'!K:K,C394)),0,""),IF(ISNUMBER(INDEX('register map'!J:J,C394)),1,""),IF(ISNUMBER(INDEX('register map'!I:I,C394)),2,""),IF(ISNUMBER(INDEX('register map'!H:H,C394)),3,""),IF(ISNUMBER(INDEX('register map'!G:G,C394)),4,""),IF(ISNUMBER(INDEX('register map'!F:F,C394)),5,""),IF(ISNUMBER(INDEX('register map'!E:E,C394)),6,""),IF(ISNUMBER(INDEX('register map'!D:D,C394)),7,""))</f>
        <v/>
      </c>
      <c r="J394" s="117" t="str">
        <f t="shared" si="73"/>
        <v/>
      </c>
      <c r="K394" s="117" t="str">
        <f t="shared" si="66"/>
        <v>11001011</v>
      </c>
      <c r="L394" s="117" t="str">
        <f t="shared" si="74"/>
        <v>11010011</v>
      </c>
      <c r="M394" s="117" t="str">
        <f t="shared" si="76"/>
        <v>D3</v>
      </c>
      <c r="N394" s="117" t="str">
        <f>IF(ISBLANK(INDEX('register map'!M:M,'Logical Group Generator'!C394)),"No","Yes")</f>
        <v>No</v>
      </c>
      <c r="O394" s="117" t="str">
        <f>IF(NOT(ISBLANK(INDEX('register map'!N:N,'Logical Group Generator'!C394))),"Yes","")</f>
        <v/>
      </c>
      <c r="P394" s="117" t="str">
        <f t="shared" si="67"/>
        <v>No</v>
      </c>
      <c r="Q394" s="117" t="str">
        <f t="shared" si="68"/>
        <v>No</v>
      </c>
      <c r="R394" s="117" t="str">
        <f t="shared" si="69"/>
        <v>No</v>
      </c>
      <c r="S394" s="117" t="str">
        <f t="shared" si="70"/>
        <v/>
      </c>
      <c r="T394" s="117" t="b">
        <f t="shared" si="71"/>
        <v>1</v>
      </c>
      <c r="U394" s="117" t="b">
        <f t="shared" si="75"/>
        <v>1</v>
      </c>
      <c r="V394" s="157" t="b">
        <f>INDEX('register map'!P:P,C394)="yes"</f>
        <v>1</v>
      </c>
      <c r="W394" s="157" t="str">
        <f t="shared" si="72"/>
        <v>REGISTER</v>
      </c>
    </row>
    <row r="395" spans="2:23">
      <c r="B395" s="157" t="str">
        <f t="array" ref="B395">IF(ROWS($3:395)&lt;=COUNTA('register map'!$L$5:$L$902),INDEX('register map'!$L$5:$L$902,SMALL(IF('register map'!$L$5:$L$902&lt;&gt;"",ROW('register map'!$L$5:$L$902)-MIN(ROW('register map'!$L$5:$L$902))+1),ROWS($3:395))),"")</f>
        <v>OTP_RSVD_38_17_0</v>
      </c>
      <c r="C395" s="157">
        <f>IF(B395="PART_NUMBER",IF(COUNTIF($B$1:B394,"PART_NUMBER")=0,6,8),MATCH(B395,'register map'!L:L,0))</f>
        <v>499</v>
      </c>
      <c r="D395" s="117" t="str">
        <f>IF(ISBLANK(INDEX('register map'!C:C,'Logical Group Generator'!C395)),"No","Yes")</f>
        <v>No</v>
      </c>
      <c r="E395" s="117" t="str">
        <f>IF(ISBLANK(INDEX('register map'!A:A,C395)),IF(ISBLANK(INDEX('register map'!A:A,C395-1)),IF(ISBLANK(INDEX('register map'!A:A,C395-2)),IF(ISBLANK(INDEX('register map'!A:A,C395-3)),IF(ISBLANK(INDEX('register map'!A:A,C395-4)),IF(ISBLANK(INDEX('register map'!A:A,C395-5)),IF(ISBLANK(INDEX('register map'!A:A,C395-6)),IF(ISBLANK(INDEX('register map'!A:A,C395-7)),IF(ISBLANK(INDEX('register map'!A:A,C395-8)),"ERROR",INDEX('register map'!A:A,C395-8)),INDEX('register map'!A:A,C395-7)),INDEX('register map'!A:A,C395-6)),INDEX('register map'!A:A,C395-5)),INDEX('register map'!A:A,C395-4)),INDEX('register map'!A:A,C395-3)),INDEX('register map'!A:A,C395-2)),INDEX('register map'!A:A,C395-1)),INDEX('register map'!A:A,C395))</f>
        <v>0x38</v>
      </c>
      <c r="F395" s="117" t="str">
        <f>IF(ISBLANK(INDEX('register map'!B:B,C395)),IF(ISBLANK(INDEX('register map'!B:B,C395-1)),IF(ISBLANK(INDEX('register map'!B:B,C395-2)),IF(ISBLANK(INDEX('register map'!B:B,C395-3)),IF(ISBLANK(INDEX('register map'!B:B,C395-4)),IF(ISBLANK(INDEX('register map'!B:B,C395-5)),IF(ISBLANK(INDEX('register map'!B:B,C395-6)),IF(ISBLANK(INDEX('register map'!B:B,C395-7)),IF(ISBLANK(INDEX('register map'!B:B,C395-8)),"ERROR",INDEX('register map'!B:B,C395-8)),INDEX('register map'!B:B,C395-7)),INDEX('register map'!B:B,C395-6)),INDEX('register map'!B:B,C395-5)),INDEX('register map'!B:B,C395-4)),INDEX('register map'!B:B,C395-3)),INDEX('register map'!B:B,C395-2)),INDEX('register map'!B:B,C395-1)),INDEX('register map'!B:B,C395))</f>
        <v>0x17</v>
      </c>
      <c r="G395" s="117" t="str">
        <f>CONCATENATE(IF(ISNUMBER(INDEX('register map'!D:D,C395)),7,""),IF(ISNUMBER(INDEX('register map'!E:E,C395)),6,""),IF(ISNUMBER(INDEX('register map'!F:F,C395)),5,""),IF(ISNUMBER(INDEX('register map'!G:G,C395)),4,""),IF(ISNUMBER(INDEX('register map'!H:H,C395)),3,""),IF(ISNUMBER(INDEX('register map'!I:I,C395)),2,""),IF(ISNUMBER(INDEX('register map'!J:J,C395)),1,""),IF(ISNUMBER(INDEX('register map'!K:K,C395)),0,""))</f>
        <v>0</v>
      </c>
      <c r="H395" s="117" t="str">
        <f>RIGHT(INDEX('register map'!V:V,MATCH('Logical Group Generator'!B395,'register map'!L:L,0)),LEN(G395))</f>
        <v>1</v>
      </c>
      <c r="I395" s="117" t="str">
        <f>CONCATENATE(IF(ISNUMBER(INDEX('register map'!K:K,C395)),0,""),IF(ISNUMBER(INDEX('register map'!J:J,C395)),1,""),IF(ISNUMBER(INDEX('register map'!I:I,C395)),2,""),IF(ISNUMBER(INDEX('register map'!H:H,C395)),3,""),IF(ISNUMBER(INDEX('register map'!G:G,C395)),4,""),IF(ISNUMBER(INDEX('register map'!F:F,C395)),5,""),IF(ISNUMBER(INDEX('register map'!E:E,C395)),6,""),IF(ISNUMBER(INDEX('register map'!D:D,C395)),7,""))</f>
        <v>0</v>
      </c>
      <c r="J395" s="117" t="str">
        <f t="shared" si="73"/>
        <v>1</v>
      </c>
      <c r="K395" s="117" t="str">
        <f t="shared" si="66"/>
        <v/>
      </c>
      <c r="L395" s="117" t="str">
        <f t="shared" si="74"/>
        <v/>
      </c>
      <c r="M395" s="117" t="str">
        <f t="shared" si="76"/>
        <v/>
      </c>
      <c r="N395" s="117" t="str">
        <f>IF(ISBLANK(INDEX('register map'!M:M,'Logical Group Generator'!C395)),"No","Yes")</f>
        <v>No</v>
      </c>
      <c r="O395" s="117" t="str">
        <f>IF(NOT(ISBLANK(INDEX('register map'!N:N,'Logical Group Generator'!C395))),"Yes","")</f>
        <v/>
      </c>
      <c r="P395" s="117" t="str">
        <f t="shared" si="67"/>
        <v/>
      </c>
      <c r="Q395" s="117" t="str">
        <f t="shared" si="68"/>
        <v/>
      </c>
      <c r="R395" s="117" t="str">
        <f t="shared" si="69"/>
        <v/>
      </c>
      <c r="S395" s="117" t="str">
        <f t="shared" si="70"/>
        <v>No</v>
      </c>
      <c r="T395" s="117" t="str">
        <f t="shared" si="71"/>
        <v/>
      </c>
      <c r="U395" s="117" t="b">
        <f t="shared" si="75"/>
        <v>0</v>
      </c>
      <c r="V395" s="157" t="b">
        <f>INDEX('register map'!P:P,C395)="yes"</f>
        <v>1</v>
      </c>
      <c r="W395" s="157" t="str">
        <f t="shared" si="72"/>
        <v>FALSE</v>
      </c>
    </row>
    <row r="396" spans="2:23">
      <c r="B396" s="157" t="str">
        <f t="array" ref="B396">IF(ROWS($3:396)&lt;=COUNTA('register map'!$L$5:$L$902),INDEX('register map'!$L$5:$L$902,SMALL(IF('register map'!$L$5:$L$902&lt;&gt;"",ROW('register map'!$L$5:$L$902)-MIN(ROW('register map'!$L$5:$L$902))+1),ROWS($3:396))),"")</f>
        <v>OTP_RSVD_38_17_1</v>
      </c>
      <c r="C396" s="157">
        <f>IF(B396="PART_NUMBER",IF(COUNTIF($B$1:B395,"PART_NUMBER")=0,6,8),MATCH(B396,'register map'!L:L,0))</f>
        <v>500</v>
      </c>
      <c r="D396" s="117" t="str">
        <f>IF(ISBLANK(INDEX('register map'!C:C,'Logical Group Generator'!C396)),"No","Yes")</f>
        <v>No</v>
      </c>
      <c r="E396" s="117" t="str">
        <f>IF(ISBLANK(INDEX('register map'!A:A,C396)),IF(ISBLANK(INDEX('register map'!A:A,C396-1)),IF(ISBLANK(INDEX('register map'!A:A,C396-2)),IF(ISBLANK(INDEX('register map'!A:A,C396-3)),IF(ISBLANK(INDEX('register map'!A:A,C396-4)),IF(ISBLANK(INDEX('register map'!A:A,C396-5)),IF(ISBLANK(INDEX('register map'!A:A,C396-6)),IF(ISBLANK(INDEX('register map'!A:A,C396-7)),IF(ISBLANK(INDEX('register map'!A:A,C396-8)),"ERROR",INDEX('register map'!A:A,C396-8)),INDEX('register map'!A:A,C396-7)),INDEX('register map'!A:A,C396-6)),INDEX('register map'!A:A,C396-5)),INDEX('register map'!A:A,C396-4)),INDEX('register map'!A:A,C396-3)),INDEX('register map'!A:A,C396-2)),INDEX('register map'!A:A,C396-1)),INDEX('register map'!A:A,C396))</f>
        <v>0x38</v>
      </c>
      <c r="F396" s="117" t="str">
        <f>IF(ISBLANK(INDEX('register map'!B:B,C396)),IF(ISBLANK(INDEX('register map'!B:B,C396-1)),IF(ISBLANK(INDEX('register map'!B:B,C396-2)),IF(ISBLANK(INDEX('register map'!B:B,C396-3)),IF(ISBLANK(INDEX('register map'!B:B,C396-4)),IF(ISBLANK(INDEX('register map'!B:B,C396-5)),IF(ISBLANK(INDEX('register map'!B:B,C396-6)),IF(ISBLANK(INDEX('register map'!B:B,C396-7)),IF(ISBLANK(INDEX('register map'!B:B,C396-8)),"ERROR",INDEX('register map'!B:B,C396-8)),INDEX('register map'!B:B,C396-7)),INDEX('register map'!B:B,C396-6)),INDEX('register map'!B:B,C396-5)),INDEX('register map'!B:B,C396-4)),INDEX('register map'!B:B,C396-3)),INDEX('register map'!B:B,C396-2)),INDEX('register map'!B:B,C396-1)),INDEX('register map'!B:B,C396))</f>
        <v>0x17</v>
      </c>
      <c r="G396" s="117" t="str">
        <f>CONCATENATE(IF(ISNUMBER(INDEX('register map'!D:D,C396)),7,""),IF(ISNUMBER(INDEX('register map'!E:E,C396)),6,""),IF(ISNUMBER(INDEX('register map'!F:F,C396)),5,""),IF(ISNUMBER(INDEX('register map'!G:G,C396)),4,""),IF(ISNUMBER(INDEX('register map'!H:H,C396)),3,""),IF(ISNUMBER(INDEX('register map'!I:I,C396)),2,""),IF(ISNUMBER(INDEX('register map'!J:J,C396)),1,""),IF(ISNUMBER(INDEX('register map'!K:K,C396)),0,""))</f>
        <v>1</v>
      </c>
      <c r="H396" s="117" t="str">
        <f>RIGHT(INDEX('register map'!V:V,MATCH('Logical Group Generator'!B396,'register map'!L:L,0)),LEN(G396))</f>
        <v>1</v>
      </c>
      <c r="I396" s="117" t="str">
        <f>CONCATENATE(IF(ISNUMBER(INDEX('register map'!K:K,C396)),0,""),IF(ISNUMBER(INDEX('register map'!J:J,C396)),1,""),IF(ISNUMBER(INDEX('register map'!I:I,C396)),2,""),IF(ISNUMBER(INDEX('register map'!H:H,C396)),3,""),IF(ISNUMBER(INDEX('register map'!G:G,C396)),4,""),IF(ISNUMBER(INDEX('register map'!F:F,C396)),5,""),IF(ISNUMBER(INDEX('register map'!E:E,C396)),6,""),IF(ISNUMBER(INDEX('register map'!D:D,C396)),7,""))</f>
        <v>1</v>
      </c>
      <c r="J396" s="117" t="str">
        <f t="shared" si="73"/>
        <v>1</v>
      </c>
      <c r="K396" s="117" t="str">
        <f t="shared" si="66"/>
        <v/>
      </c>
      <c r="L396" s="117" t="str">
        <f t="shared" si="74"/>
        <v/>
      </c>
      <c r="M396" s="117" t="str">
        <f t="shared" si="76"/>
        <v/>
      </c>
      <c r="N396" s="117" t="str">
        <f>IF(ISBLANK(INDEX('register map'!M:M,'Logical Group Generator'!C396)),"No","Yes")</f>
        <v>No</v>
      </c>
      <c r="O396" s="117" t="str">
        <f>IF(NOT(ISBLANK(INDEX('register map'!N:N,'Logical Group Generator'!C396))),"Yes","")</f>
        <v/>
      </c>
      <c r="P396" s="117" t="str">
        <f t="shared" si="67"/>
        <v/>
      </c>
      <c r="Q396" s="117" t="str">
        <f t="shared" si="68"/>
        <v/>
      </c>
      <c r="R396" s="117" t="str">
        <f t="shared" si="69"/>
        <v/>
      </c>
      <c r="S396" s="117" t="str">
        <f t="shared" si="70"/>
        <v>No</v>
      </c>
      <c r="T396" s="117" t="str">
        <f t="shared" si="71"/>
        <v/>
      </c>
      <c r="U396" s="117" t="b">
        <f t="shared" si="75"/>
        <v>0</v>
      </c>
      <c r="V396" s="157" t="b">
        <f>INDEX('register map'!P:P,C396)="yes"</f>
        <v>1</v>
      </c>
      <c r="W396" s="157" t="str">
        <f t="shared" si="72"/>
        <v>FALSE</v>
      </c>
    </row>
    <row r="397" spans="2:23">
      <c r="B397" s="157" t="str">
        <f t="array" ref="B397">IF(ROWS($3:397)&lt;=COUNTA('register map'!$L$5:$L$902),INDEX('register map'!$L$5:$L$902,SMALL(IF('register map'!$L$5:$L$902&lt;&gt;"",ROW('register map'!$L$5:$L$902)-MIN(ROW('register map'!$L$5:$L$902))+1),ROWS($3:397))),"")</f>
        <v>OTP_RSVD_38_17_432</v>
      </c>
      <c r="C397" s="157">
        <f>IF(B397="PART_NUMBER",IF(COUNTIF($B$1:B396,"PART_NUMBER")=0,6,8),MATCH(B397,'register map'!L:L,0))</f>
        <v>501</v>
      </c>
      <c r="D397" s="117" t="str">
        <f>IF(ISBLANK(INDEX('register map'!C:C,'Logical Group Generator'!C397)),"No","Yes")</f>
        <v>No</v>
      </c>
      <c r="E397" s="117" t="str">
        <f>IF(ISBLANK(INDEX('register map'!A:A,C397)),IF(ISBLANK(INDEX('register map'!A:A,C397-1)),IF(ISBLANK(INDEX('register map'!A:A,C397-2)),IF(ISBLANK(INDEX('register map'!A:A,C397-3)),IF(ISBLANK(INDEX('register map'!A:A,C397-4)),IF(ISBLANK(INDEX('register map'!A:A,C397-5)),IF(ISBLANK(INDEX('register map'!A:A,C397-6)),IF(ISBLANK(INDEX('register map'!A:A,C397-7)),IF(ISBLANK(INDEX('register map'!A:A,C397-8)),"ERROR",INDEX('register map'!A:A,C397-8)),INDEX('register map'!A:A,C397-7)),INDEX('register map'!A:A,C397-6)),INDEX('register map'!A:A,C397-5)),INDEX('register map'!A:A,C397-4)),INDEX('register map'!A:A,C397-3)),INDEX('register map'!A:A,C397-2)),INDEX('register map'!A:A,C397-1)),INDEX('register map'!A:A,C397))</f>
        <v>0x38</v>
      </c>
      <c r="F397" s="117" t="str">
        <f>IF(ISBLANK(INDEX('register map'!B:B,C397)),IF(ISBLANK(INDEX('register map'!B:B,C397-1)),IF(ISBLANK(INDEX('register map'!B:B,C397-2)),IF(ISBLANK(INDEX('register map'!B:B,C397-3)),IF(ISBLANK(INDEX('register map'!B:B,C397-4)),IF(ISBLANK(INDEX('register map'!B:B,C397-5)),IF(ISBLANK(INDEX('register map'!B:B,C397-6)),IF(ISBLANK(INDEX('register map'!B:B,C397-7)),IF(ISBLANK(INDEX('register map'!B:B,C397-8)),"ERROR",INDEX('register map'!B:B,C397-8)),INDEX('register map'!B:B,C397-7)),INDEX('register map'!B:B,C397-6)),INDEX('register map'!B:B,C397-5)),INDEX('register map'!B:B,C397-4)),INDEX('register map'!B:B,C397-3)),INDEX('register map'!B:B,C397-2)),INDEX('register map'!B:B,C397-1)),INDEX('register map'!B:B,C397))</f>
        <v>0x17</v>
      </c>
      <c r="G397" s="117" t="str">
        <f>CONCATENATE(IF(ISNUMBER(INDEX('register map'!D:D,C397)),7,""),IF(ISNUMBER(INDEX('register map'!E:E,C397)),6,""),IF(ISNUMBER(INDEX('register map'!F:F,C397)),5,""),IF(ISNUMBER(INDEX('register map'!G:G,C397)),4,""),IF(ISNUMBER(INDEX('register map'!H:H,C397)),3,""),IF(ISNUMBER(INDEX('register map'!I:I,C397)),2,""),IF(ISNUMBER(INDEX('register map'!J:J,C397)),1,""),IF(ISNUMBER(INDEX('register map'!K:K,C397)),0,""))</f>
        <v>432</v>
      </c>
      <c r="H397" s="117" t="str">
        <f>RIGHT(INDEX('register map'!V:V,MATCH('Logical Group Generator'!B397,'register map'!L:L,0)),LEN(G397))</f>
        <v>100</v>
      </c>
      <c r="I397" s="117" t="str">
        <f>CONCATENATE(IF(ISNUMBER(INDEX('register map'!K:K,C397)),0,""),IF(ISNUMBER(INDEX('register map'!J:J,C397)),1,""),IF(ISNUMBER(INDEX('register map'!I:I,C397)),2,""),IF(ISNUMBER(INDEX('register map'!H:H,C397)),3,""),IF(ISNUMBER(INDEX('register map'!G:G,C397)),4,""),IF(ISNUMBER(INDEX('register map'!F:F,C397)),5,""),IF(ISNUMBER(INDEX('register map'!E:E,C397)),6,""),IF(ISNUMBER(INDEX('register map'!D:D,C397)),7,""))</f>
        <v>234</v>
      </c>
      <c r="J397" s="117" t="str">
        <f t="shared" si="73"/>
        <v>001</v>
      </c>
      <c r="K397" s="117" t="str">
        <f t="shared" si="66"/>
        <v/>
      </c>
      <c r="L397" s="117" t="str">
        <f t="shared" si="74"/>
        <v/>
      </c>
      <c r="M397" s="117" t="str">
        <f t="shared" si="76"/>
        <v/>
      </c>
      <c r="N397" s="117" t="str">
        <f>IF(ISBLANK(INDEX('register map'!M:M,'Logical Group Generator'!C397)),"No","Yes")</f>
        <v>No</v>
      </c>
      <c r="O397" s="117" t="str">
        <f>IF(NOT(ISBLANK(INDEX('register map'!N:N,'Logical Group Generator'!C397))),"Yes","")</f>
        <v/>
      </c>
      <c r="P397" s="117" t="str">
        <f t="shared" si="67"/>
        <v/>
      </c>
      <c r="Q397" s="117" t="str">
        <f t="shared" si="68"/>
        <v/>
      </c>
      <c r="R397" s="117" t="str">
        <f t="shared" si="69"/>
        <v/>
      </c>
      <c r="S397" s="117" t="str">
        <f t="shared" si="70"/>
        <v>No</v>
      </c>
      <c r="T397" s="117" t="str">
        <f t="shared" si="71"/>
        <v/>
      </c>
      <c r="U397" s="117" t="b">
        <f t="shared" si="75"/>
        <v>0</v>
      </c>
      <c r="V397" s="157" t="b">
        <f>INDEX('register map'!P:P,C397)="yes"</f>
        <v>1</v>
      </c>
      <c r="W397" s="157" t="str">
        <f t="shared" si="72"/>
        <v>FALSE</v>
      </c>
    </row>
    <row r="398" spans="2:23">
      <c r="B398" s="157" t="str">
        <f t="array" ref="B398">IF(ROWS($3:398)&lt;=COUNTA('register map'!$L$5:$L$902),INDEX('register map'!$L$5:$L$902,SMALL(IF('register map'!$L$5:$L$902&lt;&gt;"",ROW('register map'!$L$5:$L$902)-MIN(ROW('register map'!$L$5:$L$902))+1),ROWS($3:398))),"")</f>
        <v>OTP_RSVD_38_17_5</v>
      </c>
      <c r="C398" s="157">
        <f>IF(B398="PART_NUMBER",IF(COUNTIF($B$1:B397,"PART_NUMBER")=0,6,8),MATCH(B398,'register map'!L:L,0))</f>
        <v>502</v>
      </c>
      <c r="D398" s="117" t="str">
        <f>IF(ISBLANK(INDEX('register map'!C:C,'Logical Group Generator'!C398)),"No","Yes")</f>
        <v>No</v>
      </c>
      <c r="E398" s="117" t="str">
        <f>IF(ISBLANK(INDEX('register map'!A:A,C398)),IF(ISBLANK(INDEX('register map'!A:A,C398-1)),IF(ISBLANK(INDEX('register map'!A:A,C398-2)),IF(ISBLANK(INDEX('register map'!A:A,C398-3)),IF(ISBLANK(INDEX('register map'!A:A,C398-4)),IF(ISBLANK(INDEX('register map'!A:A,C398-5)),IF(ISBLANK(INDEX('register map'!A:A,C398-6)),IF(ISBLANK(INDEX('register map'!A:A,C398-7)),IF(ISBLANK(INDEX('register map'!A:A,C398-8)),"ERROR",INDEX('register map'!A:A,C398-8)),INDEX('register map'!A:A,C398-7)),INDEX('register map'!A:A,C398-6)),INDEX('register map'!A:A,C398-5)),INDEX('register map'!A:A,C398-4)),INDEX('register map'!A:A,C398-3)),INDEX('register map'!A:A,C398-2)),INDEX('register map'!A:A,C398-1)),INDEX('register map'!A:A,C398))</f>
        <v>0x38</v>
      </c>
      <c r="F398" s="117" t="str">
        <f>IF(ISBLANK(INDEX('register map'!B:B,C398)),IF(ISBLANK(INDEX('register map'!B:B,C398-1)),IF(ISBLANK(INDEX('register map'!B:B,C398-2)),IF(ISBLANK(INDEX('register map'!B:B,C398-3)),IF(ISBLANK(INDEX('register map'!B:B,C398-4)),IF(ISBLANK(INDEX('register map'!B:B,C398-5)),IF(ISBLANK(INDEX('register map'!B:B,C398-6)),IF(ISBLANK(INDEX('register map'!B:B,C398-7)),IF(ISBLANK(INDEX('register map'!B:B,C398-8)),"ERROR",INDEX('register map'!B:B,C398-8)),INDEX('register map'!B:B,C398-7)),INDEX('register map'!B:B,C398-6)),INDEX('register map'!B:B,C398-5)),INDEX('register map'!B:B,C398-4)),INDEX('register map'!B:B,C398-3)),INDEX('register map'!B:B,C398-2)),INDEX('register map'!B:B,C398-1)),INDEX('register map'!B:B,C398))</f>
        <v>0x17</v>
      </c>
      <c r="G398" s="117" t="str">
        <f>CONCATENATE(IF(ISNUMBER(INDEX('register map'!D:D,C398)),7,""),IF(ISNUMBER(INDEX('register map'!E:E,C398)),6,""),IF(ISNUMBER(INDEX('register map'!F:F,C398)),5,""),IF(ISNUMBER(INDEX('register map'!G:G,C398)),4,""),IF(ISNUMBER(INDEX('register map'!H:H,C398)),3,""),IF(ISNUMBER(INDEX('register map'!I:I,C398)),2,""),IF(ISNUMBER(INDEX('register map'!J:J,C398)),1,""),IF(ISNUMBER(INDEX('register map'!K:K,C398)),0,""))</f>
        <v>5</v>
      </c>
      <c r="H398" s="117" t="str">
        <f>RIGHT(INDEX('register map'!V:V,MATCH('Logical Group Generator'!B398,'register map'!L:L,0)),LEN(G398))</f>
        <v>0</v>
      </c>
      <c r="I398" s="117" t="str">
        <f>CONCATENATE(IF(ISNUMBER(INDEX('register map'!K:K,C398)),0,""),IF(ISNUMBER(INDEX('register map'!J:J,C398)),1,""),IF(ISNUMBER(INDEX('register map'!I:I,C398)),2,""),IF(ISNUMBER(INDEX('register map'!H:H,C398)),3,""),IF(ISNUMBER(INDEX('register map'!G:G,C398)),4,""),IF(ISNUMBER(INDEX('register map'!F:F,C398)),5,""),IF(ISNUMBER(INDEX('register map'!E:E,C398)),6,""),IF(ISNUMBER(INDEX('register map'!D:D,C398)),7,""))</f>
        <v>5</v>
      </c>
      <c r="J398" s="117" t="str">
        <f t="shared" si="73"/>
        <v>0</v>
      </c>
      <c r="K398" s="117" t="str">
        <f t="shared" si="66"/>
        <v/>
      </c>
      <c r="L398" s="117" t="str">
        <f t="shared" si="74"/>
        <v/>
      </c>
      <c r="M398" s="117" t="str">
        <f t="shared" si="76"/>
        <v/>
      </c>
      <c r="N398" s="117" t="str">
        <f>IF(ISBLANK(INDEX('register map'!M:M,'Logical Group Generator'!C398)),"No","Yes")</f>
        <v>No</v>
      </c>
      <c r="O398" s="117" t="str">
        <f>IF(NOT(ISBLANK(INDEX('register map'!N:N,'Logical Group Generator'!C398))),"Yes","")</f>
        <v/>
      </c>
      <c r="P398" s="117" t="str">
        <f t="shared" si="67"/>
        <v/>
      </c>
      <c r="Q398" s="117" t="str">
        <f t="shared" si="68"/>
        <v/>
      </c>
      <c r="R398" s="117" t="str">
        <f t="shared" si="69"/>
        <v/>
      </c>
      <c r="S398" s="117" t="str">
        <f t="shared" si="70"/>
        <v>No</v>
      </c>
      <c r="T398" s="117" t="str">
        <f t="shared" si="71"/>
        <v/>
      </c>
      <c r="U398" s="117" t="b">
        <f t="shared" si="75"/>
        <v>0</v>
      </c>
      <c r="V398" s="157" t="b">
        <f>INDEX('register map'!P:P,C398)="yes"</f>
        <v>1</v>
      </c>
      <c r="W398" s="157" t="str">
        <f t="shared" si="72"/>
        <v>FALSE</v>
      </c>
    </row>
    <row r="399" spans="2:23">
      <c r="B399" s="157" t="str">
        <f t="array" ref="B399">IF(ROWS($3:399)&lt;=COUNTA('register map'!$L$5:$L$902),INDEX('register map'!$L$5:$L$902,SMALL(IF('register map'!$L$5:$L$902&lt;&gt;"",ROW('register map'!$L$5:$L$902)-MIN(ROW('register map'!$L$5:$L$902))+1),ROWS($3:399))),"")</f>
        <v>OTP_RSVD_38_17_76</v>
      </c>
      <c r="C399" s="157">
        <f>IF(B399="PART_NUMBER",IF(COUNTIF($B$1:B398,"PART_NUMBER")=0,6,8),MATCH(B399,'register map'!L:L,0))</f>
        <v>503</v>
      </c>
      <c r="D399" s="117" t="str">
        <f>IF(ISBLANK(INDEX('register map'!C:C,'Logical Group Generator'!C399)),"No","Yes")</f>
        <v>No</v>
      </c>
      <c r="E399" s="117" t="str">
        <f>IF(ISBLANK(INDEX('register map'!A:A,C399)),IF(ISBLANK(INDEX('register map'!A:A,C399-1)),IF(ISBLANK(INDEX('register map'!A:A,C399-2)),IF(ISBLANK(INDEX('register map'!A:A,C399-3)),IF(ISBLANK(INDEX('register map'!A:A,C399-4)),IF(ISBLANK(INDEX('register map'!A:A,C399-5)),IF(ISBLANK(INDEX('register map'!A:A,C399-6)),IF(ISBLANK(INDEX('register map'!A:A,C399-7)),IF(ISBLANK(INDEX('register map'!A:A,C399-8)),"ERROR",INDEX('register map'!A:A,C399-8)),INDEX('register map'!A:A,C399-7)),INDEX('register map'!A:A,C399-6)),INDEX('register map'!A:A,C399-5)),INDEX('register map'!A:A,C399-4)),INDEX('register map'!A:A,C399-3)),INDEX('register map'!A:A,C399-2)),INDEX('register map'!A:A,C399-1)),INDEX('register map'!A:A,C399))</f>
        <v>0x38</v>
      </c>
      <c r="F399" s="117" t="str">
        <f>IF(ISBLANK(INDEX('register map'!B:B,C399)),IF(ISBLANK(INDEX('register map'!B:B,C399-1)),IF(ISBLANK(INDEX('register map'!B:B,C399-2)),IF(ISBLANK(INDEX('register map'!B:B,C399-3)),IF(ISBLANK(INDEX('register map'!B:B,C399-4)),IF(ISBLANK(INDEX('register map'!B:B,C399-5)),IF(ISBLANK(INDEX('register map'!B:B,C399-6)),IF(ISBLANK(INDEX('register map'!B:B,C399-7)),IF(ISBLANK(INDEX('register map'!B:B,C399-8)),"ERROR",INDEX('register map'!B:B,C399-8)),INDEX('register map'!B:B,C399-7)),INDEX('register map'!B:B,C399-6)),INDEX('register map'!B:B,C399-5)),INDEX('register map'!B:B,C399-4)),INDEX('register map'!B:B,C399-3)),INDEX('register map'!B:B,C399-2)),INDEX('register map'!B:B,C399-1)),INDEX('register map'!B:B,C399))</f>
        <v>0x17</v>
      </c>
      <c r="G399" s="117" t="str">
        <f>CONCATENATE(IF(ISNUMBER(INDEX('register map'!D:D,C399)),7,""),IF(ISNUMBER(INDEX('register map'!E:E,C399)),6,""),IF(ISNUMBER(INDEX('register map'!F:F,C399)),5,""),IF(ISNUMBER(INDEX('register map'!G:G,C399)),4,""),IF(ISNUMBER(INDEX('register map'!H:H,C399)),3,""),IF(ISNUMBER(INDEX('register map'!I:I,C399)),2,""),IF(ISNUMBER(INDEX('register map'!J:J,C399)),1,""),IF(ISNUMBER(INDEX('register map'!K:K,C399)),0,""))</f>
        <v>76</v>
      </c>
      <c r="H399" s="117" t="str">
        <f>RIGHT(INDEX('register map'!V:V,MATCH('Logical Group Generator'!B399,'register map'!L:L,0)),LEN(G399))</f>
        <v>11</v>
      </c>
      <c r="I399" s="117" t="str">
        <f>CONCATENATE(IF(ISNUMBER(INDEX('register map'!K:K,C399)),0,""),IF(ISNUMBER(INDEX('register map'!J:J,C399)),1,""),IF(ISNUMBER(INDEX('register map'!I:I,C399)),2,""),IF(ISNUMBER(INDEX('register map'!H:H,C399)),3,""),IF(ISNUMBER(INDEX('register map'!G:G,C399)),4,""),IF(ISNUMBER(INDEX('register map'!F:F,C399)),5,""),IF(ISNUMBER(INDEX('register map'!E:E,C399)),6,""),IF(ISNUMBER(INDEX('register map'!D:D,C399)),7,""))</f>
        <v>67</v>
      </c>
      <c r="J399" s="117" t="str">
        <f t="shared" si="73"/>
        <v>11</v>
      </c>
      <c r="K399" s="117" t="str">
        <f t="shared" si="66"/>
        <v/>
      </c>
      <c r="L399" s="117" t="str">
        <f t="shared" si="74"/>
        <v/>
      </c>
      <c r="M399" s="117" t="str">
        <f t="shared" si="76"/>
        <v/>
      </c>
      <c r="N399" s="117" t="str">
        <f>IF(ISBLANK(INDEX('register map'!M:M,'Logical Group Generator'!C399)),"No","Yes")</f>
        <v>No</v>
      </c>
      <c r="O399" s="117" t="str">
        <f>IF(NOT(ISBLANK(INDEX('register map'!N:N,'Logical Group Generator'!C399))),"Yes","")</f>
        <v/>
      </c>
      <c r="P399" s="117" t="str">
        <f t="shared" si="67"/>
        <v/>
      </c>
      <c r="Q399" s="117" t="str">
        <f t="shared" si="68"/>
        <v/>
      </c>
      <c r="R399" s="117" t="str">
        <f t="shared" si="69"/>
        <v/>
      </c>
      <c r="S399" s="117" t="str">
        <f t="shared" si="70"/>
        <v>No</v>
      </c>
      <c r="T399" s="117" t="str">
        <f t="shared" si="71"/>
        <v/>
      </c>
      <c r="U399" s="117" t="b">
        <f t="shared" si="75"/>
        <v>0</v>
      </c>
      <c r="V399" s="157" t="b">
        <f>INDEX('register map'!P:P,C399)="yes"</f>
        <v>1</v>
      </c>
      <c r="W399" s="157" t="str">
        <f t="shared" si="72"/>
        <v>FALSE</v>
      </c>
    </row>
    <row r="400" spans="2:23">
      <c r="B400" s="157" t="str">
        <f t="array" ref="B400">IF(ROWS($3:400)&lt;=COUNTA('register map'!$L$5:$L$902),INDEX('register map'!$L$5:$L$902,SMALL(IF('register map'!$L$5:$L$902&lt;&gt;"",ROW('register map'!$L$5:$L$902)-MIN(ROW('register map'!$L$5:$L$902))+1),ROWS($3:400))),"")</f>
        <v>BUCK6_CTRL_EN3</v>
      </c>
      <c r="C400" s="157">
        <f>IF(B400="PART_NUMBER",IF(COUNTIF($B$1:B399,"PART_NUMBER")=0,6,8),MATCH(B400,'register map'!L:L,0))</f>
        <v>504</v>
      </c>
      <c r="D400" s="117" t="str">
        <f>IF(ISBLANK(INDEX('register map'!C:C,'Logical Group Generator'!C400)),"No","Yes")</f>
        <v>Yes</v>
      </c>
      <c r="E400" s="117" t="str">
        <f>IF(ISBLANK(INDEX('register map'!A:A,C400)),IF(ISBLANK(INDEX('register map'!A:A,C400-1)),IF(ISBLANK(INDEX('register map'!A:A,C400-2)),IF(ISBLANK(INDEX('register map'!A:A,C400-3)),IF(ISBLANK(INDEX('register map'!A:A,C400-4)),IF(ISBLANK(INDEX('register map'!A:A,C400-5)),IF(ISBLANK(INDEX('register map'!A:A,C400-6)),IF(ISBLANK(INDEX('register map'!A:A,C400-7)),IF(ISBLANK(INDEX('register map'!A:A,C400-8)),"ERROR",INDEX('register map'!A:A,C400-8)),INDEX('register map'!A:A,C400-7)),INDEX('register map'!A:A,C400-6)),INDEX('register map'!A:A,C400-5)),INDEX('register map'!A:A,C400-4)),INDEX('register map'!A:A,C400-3)),INDEX('register map'!A:A,C400-2)),INDEX('register map'!A:A,C400-1)),INDEX('register map'!A:A,C400))</f>
        <v>0x38</v>
      </c>
      <c r="F400" s="117" t="str">
        <f>IF(ISBLANK(INDEX('register map'!B:B,C400)),IF(ISBLANK(INDEX('register map'!B:B,C400-1)),IF(ISBLANK(INDEX('register map'!B:B,C400-2)),IF(ISBLANK(INDEX('register map'!B:B,C400-3)),IF(ISBLANK(INDEX('register map'!B:B,C400-4)),IF(ISBLANK(INDEX('register map'!B:B,C400-5)),IF(ISBLANK(INDEX('register map'!B:B,C400-6)),IF(ISBLANK(INDEX('register map'!B:B,C400-7)),IF(ISBLANK(INDEX('register map'!B:B,C400-8)),"ERROR",INDEX('register map'!B:B,C400-8)),INDEX('register map'!B:B,C400-7)),INDEX('register map'!B:B,C400-6)),INDEX('register map'!B:B,C400-5)),INDEX('register map'!B:B,C400-4)),INDEX('register map'!B:B,C400-3)),INDEX('register map'!B:B,C400-2)),INDEX('register map'!B:B,C400-1)),INDEX('register map'!B:B,C400))</f>
        <v>0x18</v>
      </c>
      <c r="G400" s="117" t="str">
        <f>CONCATENATE(IF(ISNUMBER(INDEX('register map'!D:D,C400)),7,""),IF(ISNUMBER(INDEX('register map'!E:E,C400)),6,""),IF(ISNUMBER(INDEX('register map'!F:F,C400)),5,""),IF(ISNUMBER(INDEX('register map'!G:G,C400)),4,""),IF(ISNUMBER(INDEX('register map'!H:H,C400)),3,""),IF(ISNUMBER(INDEX('register map'!I:I,C400)),2,""),IF(ISNUMBER(INDEX('register map'!J:J,C400)),1,""),IF(ISNUMBER(INDEX('register map'!K:K,C400)),0,""))</f>
        <v/>
      </c>
      <c r="H400" s="117" t="str">
        <f>RIGHT(INDEX('register map'!V:V,MATCH('Logical Group Generator'!B400,'register map'!L:L,0)),LEN(G400))</f>
        <v/>
      </c>
      <c r="I400" s="117" t="str">
        <f>CONCATENATE(IF(ISNUMBER(INDEX('register map'!K:K,C400)),0,""),IF(ISNUMBER(INDEX('register map'!J:J,C400)),1,""),IF(ISNUMBER(INDEX('register map'!I:I,C400)),2,""),IF(ISNUMBER(INDEX('register map'!H:H,C400)),3,""),IF(ISNUMBER(INDEX('register map'!G:G,C400)),4,""),IF(ISNUMBER(INDEX('register map'!F:F,C400)),5,""),IF(ISNUMBER(INDEX('register map'!E:E,C400)),6,""),IF(ISNUMBER(INDEX('register map'!D:D,C400)),7,""))</f>
        <v/>
      </c>
      <c r="J400" s="117" t="str">
        <f t="shared" si="73"/>
        <v/>
      </c>
      <c r="K400" s="117" t="str">
        <f t="shared" si="66"/>
        <v>00100100</v>
      </c>
      <c r="L400" s="117" t="str">
        <f t="shared" si="74"/>
        <v>00100100</v>
      </c>
      <c r="M400" s="117" t="str">
        <f t="shared" si="76"/>
        <v>24</v>
      </c>
      <c r="N400" s="117" t="str">
        <f>IF(ISBLANK(INDEX('register map'!M:M,'Logical Group Generator'!C400)),"No","Yes")</f>
        <v>No</v>
      </c>
      <c r="O400" s="117" t="str">
        <f>IF(NOT(ISBLANK(INDEX('register map'!N:N,'Logical Group Generator'!C400))),"Yes","")</f>
        <v/>
      </c>
      <c r="P400" s="117" t="str">
        <f t="shared" si="67"/>
        <v>No</v>
      </c>
      <c r="Q400" s="117" t="str">
        <f t="shared" si="68"/>
        <v>No</v>
      </c>
      <c r="R400" s="117" t="str">
        <f t="shared" si="69"/>
        <v>No</v>
      </c>
      <c r="S400" s="117" t="str">
        <f t="shared" si="70"/>
        <v/>
      </c>
      <c r="T400" s="117" t="b">
        <f t="shared" si="71"/>
        <v>1</v>
      </c>
      <c r="U400" s="117" t="b">
        <f t="shared" si="75"/>
        <v>1</v>
      </c>
      <c r="V400" s="157" t="b">
        <f>INDEX('register map'!P:P,C400)="yes"</f>
        <v>1</v>
      </c>
      <c r="W400" s="157" t="str">
        <f t="shared" si="72"/>
        <v>REGISTER</v>
      </c>
    </row>
    <row r="401" spans="2:23">
      <c r="B401" s="157" t="str">
        <f t="array" ref="B401">IF(ROWS($3:401)&lt;=COUNTA('register map'!$L$5:$L$902),INDEX('register map'!$L$5:$L$902,SMALL(IF('register map'!$L$5:$L$902&lt;&gt;"",ROW('register map'!$L$5:$L$902)-MIN(ROW('register map'!$L$5:$L$902))+1),ROWS($3:401))),"")</f>
        <v>OTP_RSVD_38_18_210</v>
      </c>
      <c r="C401" s="157">
        <f>IF(B401="PART_NUMBER",IF(COUNTIF($B$1:B400,"PART_NUMBER")=0,6,8),MATCH(B401,'register map'!L:L,0))</f>
        <v>505</v>
      </c>
      <c r="D401" s="117" t="str">
        <f>IF(ISBLANK(INDEX('register map'!C:C,'Logical Group Generator'!C401)),"No","Yes")</f>
        <v>No</v>
      </c>
      <c r="E401" s="117" t="str">
        <f>IF(ISBLANK(INDEX('register map'!A:A,C401)),IF(ISBLANK(INDEX('register map'!A:A,C401-1)),IF(ISBLANK(INDEX('register map'!A:A,C401-2)),IF(ISBLANK(INDEX('register map'!A:A,C401-3)),IF(ISBLANK(INDEX('register map'!A:A,C401-4)),IF(ISBLANK(INDEX('register map'!A:A,C401-5)),IF(ISBLANK(INDEX('register map'!A:A,C401-6)),IF(ISBLANK(INDEX('register map'!A:A,C401-7)),IF(ISBLANK(INDEX('register map'!A:A,C401-8)),"ERROR",INDEX('register map'!A:A,C401-8)),INDEX('register map'!A:A,C401-7)),INDEX('register map'!A:A,C401-6)),INDEX('register map'!A:A,C401-5)),INDEX('register map'!A:A,C401-4)),INDEX('register map'!A:A,C401-3)),INDEX('register map'!A:A,C401-2)),INDEX('register map'!A:A,C401-1)),INDEX('register map'!A:A,C401))</f>
        <v>0x38</v>
      </c>
      <c r="F401" s="117" t="str">
        <f>IF(ISBLANK(INDEX('register map'!B:B,C401)),IF(ISBLANK(INDEX('register map'!B:B,C401-1)),IF(ISBLANK(INDEX('register map'!B:B,C401-2)),IF(ISBLANK(INDEX('register map'!B:B,C401-3)),IF(ISBLANK(INDEX('register map'!B:B,C401-4)),IF(ISBLANK(INDEX('register map'!B:B,C401-5)),IF(ISBLANK(INDEX('register map'!B:B,C401-6)),IF(ISBLANK(INDEX('register map'!B:B,C401-7)),IF(ISBLANK(INDEX('register map'!B:B,C401-8)),"ERROR",INDEX('register map'!B:B,C401-8)),INDEX('register map'!B:B,C401-7)),INDEX('register map'!B:B,C401-6)),INDEX('register map'!B:B,C401-5)),INDEX('register map'!B:B,C401-4)),INDEX('register map'!B:B,C401-3)),INDEX('register map'!B:B,C401-2)),INDEX('register map'!B:B,C401-1)),INDEX('register map'!B:B,C401))</f>
        <v>0x18</v>
      </c>
      <c r="G401" s="117" t="str">
        <f>CONCATENATE(IF(ISNUMBER(INDEX('register map'!D:D,C401)),7,""),IF(ISNUMBER(INDEX('register map'!E:E,C401)),6,""),IF(ISNUMBER(INDEX('register map'!F:F,C401)),5,""),IF(ISNUMBER(INDEX('register map'!G:G,C401)),4,""),IF(ISNUMBER(INDEX('register map'!H:H,C401)),3,""),IF(ISNUMBER(INDEX('register map'!I:I,C401)),2,""),IF(ISNUMBER(INDEX('register map'!J:J,C401)),1,""),IF(ISNUMBER(INDEX('register map'!K:K,C401)),0,""))</f>
        <v>210</v>
      </c>
      <c r="H401" s="117" t="str">
        <f>RIGHT(INDEX('register map'!V:V,MATCH('Logical Group Generator'!B401,'register map'!L:L,0)),LEN(G401))</f>
        <v>100</v>
      </c>
      <c r="I401" s="117" t="str">
        <f>CONCATENATE(IF(ISNUMBER(INDEX('register map'!K:K,C401)),0,""),IF(ISNUMBER(INDEX('register map'!J:J,C401)),1,""),IF(ISNUMBER(INDEX('register map'!I:I,C401)),2,""),IF(ISNUMBER(INDEX('register map'!H:H,C401)),3,""),IF(ISNUMBER(INDEX('register map'!G:G,C401)),4,""),IF(ISNUMBER(INDEX('register map'!F:F,C401)),5,""),IF(ISNUMBER(INDEX('register map'!E:E,C401)),6,""),IF(ISNUMBER(INDEX('register map'!D:D,C401)),7,""))</f>
        <v>012</v>
      </c>
      <c r="J401" s="117" t="str">
        <f t="shared" si="73"/>
        <v>001</v>
      </c>
      <c r="K401" s="117" t="str">
        <f t="shared" si="66"/>
        <v/>
      </c>
      <c r="L401" s="117" t="str">
        <f t="shared" si="74"/>
        <v/>
      </c>
      <c r="M401" s="117" t="str">
        <f t="shared" si="76"/>
        <v/>
      </c>
      <c r="N401" s="117" t="str">
        <f>IF(ISBLANK(INDEX('register map'!M:M,'Logical Group Generator'!C401)),"No","Yes")</f>
        <v>No</v>
      </c>
      <c r="O401" s="117" t="str">
        <f>IF(NOT(ISBLANK(INDEX('register map'!N:N,'Logical Group Generator'!C401))),"Yes","")</f>
        <v/>
      </c>
      <c r="P401" s="117" t="str">
        <f t="shared" si="67"/>
        <v/>
      </c>
      <c r="Q401" s="117" t="str">
        <f t="shared" si="68"/>
        <v/>
      </c>
      <c r="R401" s="117" t="str">
        <f t="shared" si="69"/>
        <v/>
      </c>
      <c r="S401" s="117" t="str">
        <f t="shared" si="70"/>
        <v>No</v>
      </c>
      <c r="T401" s="117" t="str">
        <f t="shared" si="71"/>
        <v/>
      </c>
      <c r="U401" s="117" t="b">
        <f t="shared" si="75"/>
        <v>0</v>
      </c>
      <c r="V401" s="157" t="b">
        <f>INDEX('register map'!P:P,C401)="yes"</f>
        <v>1</v>
      </c>
      <c r="W401" s="157" t="str">
        <f t="shared" si="72"/>
        <v>FALSE</v>
      </c>
    </row>
    <row r="402" spans="2:23">
      <c r="B402" s="157" t="str">
        <f t="array" ref="B402">IF(ROWS($3:402)&lt;=COUNTA('register map'!$L$5:$L$902),INDEX('register map'!$L$5:$L$902,SMALL(IF('register map'!$L$5:$L$902&lt;&gt;"",ROW('register map'!$L$5:$L$902)-MIN(ROW('register map'!$L$5:$L$902))+1),ROWS($3:402))),"")</f>
        <v>OTP_RSVD_38_18_543</v>
      </c>
      <c r="C402" s="157">
        <f>IF(B402="PART_NUMBER",IF(COUNTIF($B$1:B401,"PART_NUMBER")=0,6,8),MATCH(B402,'register map'!L:L,0))</f>
        <v>506</v>
      </c>
      <c r="D402" s="117" t="str">
        <f>IF(ISBLANK(INDEX('register map'!C:C,'Logical Group Generator'!C402)),"No","Yes")</f>
        <v>No</v>
      </c>
      <c r="E402" s="117" t="str">
        <f>IF(ISBLANK(INDEX('register map'!A:A,C402)),IF(ISBLANK(INDEX('register map'!A:A,C402-1)),IF(ISBLANK(INDEX('register map'!A:A,C402-2)),IF(ISBLANK(INDEX('register map'!A:A,C402-3)),IF(ISBLANK(INDEX('register map'!A:A,C402-4)),IF(ISBLANK(INDEX('register map'!A:A,C402-5)),IF(ISBLANK(INDEX('register map'!A:A,C402-6)),IF(ISBLANK(INDEX('register map'!A:A,C402-7)),IF(ISBLANK(INDEX('register map'!A:A,C402-8)),"ERROR",INDEX('register map'!A:A,C402-8)),INDEX('register map'!A:A,C402-7)),INDEX('register map'!A:A,C402-6)),INDEX('register map'!A:A,C402-5)),INDEX('register map'!A:A,C402-4)),INDEX('register map'!A:A,C402-3)),INDEX('register map'!A:A,C402-2)),INDEX('register map'!A:A,C402-1)),INDEX('register map'!A:A,C402))</f>
        <v>0x38</v>
      </c>
      <c r="F402" s="117" t="str">
        <f>IF(ISBLANK(INDEX('register map'!B:B,C402)),IF(ISBLANK(INDEX('register map'!B:B,C402-1)),IF(ISBLANK(INDEX('register map'!B:B,C402-2)),IF(ISBLANK(INDEX('register map'!B:B,C402-3)),IF(ISBLANK(INDEX('register map'!B:B,C402-4)),IF(ISBLANK(INDEX('register map'!B:B,C402-5)),IF(ISBLANK(INDEX('register map'!B:B,C402-6)),IF(ISBLANK(INDEX('register map'!B:B,C402-7)),IF(ISBLANK(INDEX('register map'!B:B,C402-8)),"ERROR",INDEX('register map'!B:B,C402-8)),INDEX('register map'!B:B,C402-7)),INDEX('register map'!B:B,C402-6)),INDEX('register map'!B:B,C402-5)),INDEX('register map'!B:B,C402-4)),INDEX('register map'!B:B,C402-3)),INDEX('register map'!B:B,C402-2)),INDEX('register map'!B:B,C402-1)),INDEX('register map'!B:B,C402))</f>
        <v>0x18</v>
      </c>
      <c r="G402" s="117" t="str">
        <f>CONCATENATE(IF(ISNUMBER(INDEX('register map'!D:D,C402)),7,""),IF(ISNUMBER(INDEX('register map'!E:E,C402)),6,""),IF(ISNUMBER(INDEX('register map'!F:F,C402)),5,""),IF(ISNUMBER(INDEX('register map'!G:G,C402)),4,""),IF(ISNUMBER(INDEX('register map'!H:H,C402)),3,""),IF(ISNUMBER(INDEX('register map'!I:I,C402)),2,""),IF(ISNUMBER(INDEX('register map'!J:J,C402)),1,""),IF(ISNUMBER(INDEX('register map'!K:K,C402)),0,""))</f>
        <v>543</v>
      </c>
      <c r="H402" s="117" t="str">
        <f>RIGHT(INDEX('register map'!V:V,MATCH('Logical Group Generator'!B402,'register map'!L:L,0)),LEN(G402))</f>
        <v>100</v>
      </c>
      <c r="I402" s="117" t="str">
        <f>CONCATENATE(IF(ISNUMBER(INDEX('register map'!K:K,C402)),0,""),IF(ISNUMBER(INDEX('register map'!J:J,C402)),1,""),IF(ISNUMBER(INDEX('register map'!I:I,C402)),2,""),IF(ISNUMBER(INDEX('register map'!H:H,C402)),3,""),IF(ISNUMBER(INDEX('register map'!G:G,C402)),4,""),IF(ISNUMBER(INDEX('register map'!F:F,C402)),5,""),IF(ISNUMBER(INDEX('register map'!E:E,C402)),6,""),IF(ISNUMBER(INDEX('register map'!D:D,C402)),7,""))</f>
        <v>345</v>
      </c>
      <c r="J402" s="117" t="str">
        <f t="shared" si="73"/>
        <v>001</v>
      </c>
      <c r="K402" s="117" t="str">
        <f t="shared" si="66"/>
        <v/>
      </c>
      <c r="L402" s="117" t="str">
        <f t="shared" si="74"/>
        <v/>
      </c>
      <c r="M402" s="117" t="str">
        <f t="shared" si="76"/>
        <v/>
      </c>
      <c r="N402" s="117" t="str">
        <f>IF(ISBLANK(INDEX('register map'!M:M,'Logical Group Generator'!C402)),"No","Yes")</f>
        <v>No</v>
      </c>
      <c r="O402" s="117" t="str">
        <f>IF(NOT(ISBLANK(INDEX('register map'!N:N,'Logical Group Generator'!C402))),"Yes","")</f>
        <v/>
      </c>
      <c r="P402" s="117" t="str">
        <f t="shared" si="67"/>
        <v/>
      </c>
      <c r="Q402" s="117" t="str">
        <f t="shared" si="68"/>
        <v/>
      </c>
      <c r="R402" s="117" t="str">
        <f t="shared" si="69"/>
        <v/>
      </c>
      <c r="S402" s="117" t="str">
        <f t="shared" si="70"/>
        <v>No</v>
      </c>
      <c r="T402" s="117" t="str">
        <f t="shared" si="71"/>
        <v/>
      </c>
      <c r="U402" s="117" t="b">
        <f t="shared" si="75"/>
        <v>0</v>
      </c>
      <c r="V402" s="157" t="b">
        <f>INDEX('register map'!P:P,C402)="yes"</f>
        <v>1</v>
      </c>
      <c r="W402" s="157" t="str">
        <f t="shared" si="72"/>
        <v>FALSE</v>
      </c>
    </row>
    <row r="403" spans="2:23">
      <c r="B403" s="157" t="str">
        <f t="array" ref="B403">IF(ROWS($3:403)&lt;=COUNTA('register map'!$L$5:$L$902),INDEX('register map'!$L$5:$L$902,SMALL(IF('register map'!$L$5:$L$902&lt;&gt;"",ROW('register map'!$L$5:$L$902)-MIN(ROW('register map'!$L$5:$L$902))+1),ROWS($3:403))),"")</f>
        <v>OTP_RSVD_38_18_76</v>
      </c>
      <c r="C403" s="157">
        <f>IF(B403="PART_NUMBER",IF(COUNTIF($B$1:B402,"PART_NUMBER")=0,6,8),MATCH(B403,'register map'!L:L,0))</f>
        <v>507</v>
      </c>
      <c r="D403" s="117" t="str">
        <f>IF(ISBLANK(INDEX('register map'!C:C,'Logical Group Generator'!C403)),"No","Yes")</f>
        <v>No</v>
      </c>
      <c r="E403" s="117" t="str">
        <f>IF(ISBLANK(INDEX('register map'!A:A,C403)),IF(ISBLANK(INDEX('register map'!A:A,C403-1)),IF(ISBLANK(INDEX('register map'!A:A,C403-2)),IF(ISBLANK(INDEX('register map'!A:A,C403-3)),IF(ISBLANK(INDEX('register map'!A:A,C403-4)),IF(ISBLANK(INDEX('register map'!A:A,C403-5)),IF(ISBLANK(INDEX('register map'!A:A,C403-6)),IF(ISBLANK(INDEX('register map'!A:A,C403-7)),IF(ISBLANK(INDEX('register map'!A:A,C403-8)),"ERROR",INDEX('register map'!A:A,C403-8)),INDEX('register map'!A:A,C403-7)),INDEX('register map'!A:A,C403-6)),INDEX('register map'!A:A,C403-5)),INDEX('register map'!A:A,C403-4)),INDEX('register map'!A:A,C403-3)),INDEX('register map'!A:A,C403-2)),INDEX('register map'!A:A,C403-1)),INDEX('register map'!A:A,C403))</f>
        <v>0x38</v>
      </c>
      <c r="F403" s="117" t="str">
        <f>IF(ISBLANK(INDEX('register map'!B:B,C403)),IF(ISBLANK(INDEX('register map'!B:B,C403-1)),IF(ISBLANK(INDEX('register map'!B:B,C403-2)),IF(ISBLANK(INDEX('register map'!B:B,C403-3)),IF(ISBLANK(INDEX('register map'!B:B,C403-4)),IF(ISBLANK(INDEX('register map'!B:B,C403-5)),IF(ISBLANK(INDEX('register map'!B:B,C403-6)),IF(ISBLANK(INDEX('register map'!B:B,C403-7)),IF(ISBLANK(INDEX('register map'!B:B,C403-8)),"ERROR",INDEX('register map'!B:B,C403-8)),INDEX('register map'!B:B,C403-7)),INDEX('register map'!B:B,C403-6)),INDEX('register map'!B:B,C403-5)),INDEX('register map'!B:B,C403-4)),INDEX('register map'!B:B,C403-3)),INDEX('register map'!B:B,C403-2)),INDEX('register map'!B:B,C403-1)),INDEX('register map'!B:B,C403))</f>
        <v>0x18</v>
      </c>
      <c r="G403" s="117" t="str">
        <f>CONCATENATE(IF(ISNUMBER(INDEX('register map'!D:D,C403)),7,""),IF(ISNUMBER(INDEX('register map'!E:E,C403)),6,""),IF(ISNUMBER(INDEX('register map'!F:F,C403)),5,""),IF(ISNUMBER(INDEX('register map'!G:G,C403)),4,""),IF(ISNUMBER(INDEX('register map'!H:H,C403)),3,""),IF(ISNUMBER(INDEX('register map'!I:I,C403)),2,""),IF(ISNUMBER(INDEX('register map'!J:J,C403)),1,""),IF(ISNUMBER(INDEX('register map'!K:K,C403)),0,""))</f>
        <v>76</v>
      </c>
      <c r="H403" s="117" t="str">
        <f>RIGHT(INDEX('register map'!V:V,MATCH('Logical Group Generator'!B403,'register map'!L:L,0)),LEN(G403))</f>
        <v>00</v>
      </c>
      <c r="I403" s="117" t="str">
        <f>CONCATENATE(IF(ISNUMBER(INDEX('register map'!K:K,C403)),0,""),IF(ISNUMBER(INDEX('register map'!J:J,C403)),1,""),IF(ISNUMBER(INDEX('register map'!I:I,C403)),2,""),IF(ISNUMBER(INDEX('register map'!H:H,C403)),3,""),IF(ISNUMBER(INDEX('register map'!G:G,C403)),4,""),IF(ISNUMBER(INDEX('register map'!F:F,C403)),5,""),IF(ISNUMBER(INDEX('register map'!E:E,C403)),6,""),IF(ISNUMBER(INDEX('register map'!D:D,C403)),7,""))</f>
        <v>67</v>
      </c>
      <c r="J403" s="117" t="str">
        <f t="shared" si="73"/>
        <v>00</v>
      </c>
      <c r="K403" s="117" t="str">
        <f t="shared" si="66"/>
        <v/>
      </c>
      <c r="L403" s="117" t="str">
        <f t="shared" si="74"/>
        <v/>
      </c>
      <c r="M403" s="117" t="str">
        <f t="shared" si="76"/>
        <v/>
      </c>
      <c r="N403" s="117" t="str">
        <f>IF(ISBLANK(INDEX('register map'!M:M,'Logical Group Generator'!C403)),"No","Yes")</f>
        <v>No</v>
      </c>
      <c r="O403" s="117" t="str">
        <f>IF(NOT(ISBLANK(INDEX('register map'!N:N,'Logical Group Generator'!C403))),"Yes","")</f>
        <v/>
      </c>
      <c r="P403" s="117" t="str">
        <f t="shared" si="67"/>
        <v/>
      </c>
      <c r="Q403" s="117" t="str">
        <f t="shared" si="68"/>
        <v/>
      </c>
      <c r="R403" s="117" t="str">
        <f t="shared" si="69"/>
        <v/>
      </c>
      <c r="S403" s="117" t="str">
        <f t="shared" si="70"/>
        <v>No</v>
      </c>
      <c r="T403" s="117" t="str">
        <f t="shared" si="71"/>
        <v/>
      </c>
      <c r="U403" s="117" t="b">
        <f t="shared" si="75"/>
        <v>0</v>
      </c>
      <c r="V403" s="157" t="b">
        <f>INDEX('register map'!P:P,C403)="yes"</f>
        <v>1</v>
      </c>
      <c r="W403" s="157" t="str">
        <f t="shared" si="72"/>
        <v>FALSE</v>
      </c>
    </row>
    <row r="404" spans="2:23">
      <c r="B404" s="157" t="str">
        <f t="array" ref="B404">IF(ROWS($3:404)&lt;=COUNTA('register map'!$L$5:$L$902),INDEX('register map'!$L$5:$L$902,SMALL(IF('register map'!$L$5:$L$902&lt;&gt;"",ROW('register map'!$L$5:$L$902)-MIN(ROW('register map'!$L$5:$L$902))+1),ROWS($3:404))),"")</f>
        <v>SWA1_CTRL_EN1</v>
      </c>
      <c r="C404" s="157">
        <f>IF(B404="PART_NUMBER",IF(COUNTIF($B$1:B403,"PART_NUMBER")=0,6,8),MATCH(B404,'register map'!L:L,0))</f>
        <v>508</v>
      </c>
      <c r="D404" s="117" t="str">
        <f>IF(ISBLANK(INDEX('register map'!C:C,'Logical Group Generator'!C404)),"No","Yes")</f>
        <v>Yes</v>
      </c>
      <c r="E404" s="117" t="str">
        <f>IF(ISBLANK(INDEX('register map'!A:A,C404)),IF(ISBLANK(INDEX('register map'!A:A,C404-1)),IF(ISBLANK(INDEX('register map'!A:A,C404-2)),IF(ISBLANK(INDEX('register map'!A:A,C404-3)),IF(ISBLANK(INDEX('register map'!A:A,C404-4)),IF(ISBLANK(INDEX('register map'!A:A,C404-5)),IF(ISBLANK(INDEX('register map'!A:A,C404-6)),IF(ISBLANK(INDEX('register map'!A:A,C404-7)),IF(ISBLANK(INDEX('register map'!A:A,C404-8)),"ERROR",INDEX('register map'!A:A,C404-8)),INDEX('register map'!A:A,C404-7)),INDEX('register map'!A:A,C404-6)),INDEX('register map'!A:A,C404-5)),INDEX('register map'!A:A,C404-4)),INDEX('register map'!A:A,C404-3)),INDEX('register map'!A:A,C404-2)),INDEX('register map'!A:A,C404-1)),INDEX('register map'!A:A,C404))</f>
        <v>0x38</v>
      </c>
      <c r="F404" s="117" t="str">
        <f>IF(ISBLANK(INDEX('register map'!B:B,C404)),IF(ISBLANK(INDEX('register map'!B:B,C404-1)),IF(ISBLANK(INDEX('register map'!B:B,C404-2)),IF(ISBLANK(INDEX('register map'!B:B,C404-3)),IF(ISBLANK(INDEX('register map'!B:B,C404-4)),IF(ISBLANK(INDEX('register map'!B:B,C404-5)),IF(ISBLANK(INDEX('register map'!B:B,C404-6)),IF(ISBLANK(INDEX('register map'!B:B,C404-7)),IF(ISBLANK(INDEX('register map'!B:B,C404-8)),"ERROR",INDEX('register map'!B:B,C404-8)),INDEX('register map'!B:B,C404-7)),INDEX('register map'!B:B,C404-6)),INDEX('register map'!B:B,C404-5)),INDEX('register map'!B:B,C404-4)),INDEX('register map'!B:B,C404-3)),INDEX('register map'!B:B,C404-2)),INDEX('register map'!B:B,C404-1)),INDEX('register map'!B:B,C404))</f>
        <v>0x19</v>
      </c>
      <c r="G404" s="117" t="str">
        <f>CONCATENATE(IF(ISNUMBER(INDEX('register map'!D:D,C404)),7,""),IF(ISNUMBER(INDEX('register map'!E:E,C404)),6,""),IF(ISNUMBER(INDEX('register map'!F:F,C404)),5,""),IF(ISNUMBER(INDEX('register map'!G:G,C404)),4,""),IF(ISNUMBER(INDEX('register map'!H:H,C404)),3,""),IF(ISNUMBER(INDEX('register map'!I:I,C404)),2,""),IF(ISNUMBER(INDEX('register map'!J:J,C404)),1,""),IF(ISNUMBER(INDEX('register map'!K:K,C404)),0,""))</f>
        <v/>
      </c>
      <c r="H404" s="117" t="str">
        <f>RIGHT(INDEX('register map'!V:V,MATCH('Logical Group Generator'!B404,'register map'!L:L,0)),LEN(G404))</f>
        <v/>
      </c>
      <c r="I404" s="117" t="str">
        <f>CONCATENATE(IF(ISNUMBER(INDEX('register map'!K:K,C404)),0,""),IF(ISNUMBER(INDEX('register map'!J:J,C404)),1,""),IF(ISNUMBER(INDEX('register map'!I:I,C404)),2,""),IF(ISNUMBER(INDEX('register map'!H:H,C404)),3,""),IF(ISNUMBER(INDEX('register map'!G:G,C404)),4,""),IF(ISNUMBER(INDEX('register map'!F:F,C404)),5,""),IF(ISNUMBER(INDEX('register map'!E:E,C404)),6,""),IF(ISNUMBER(INDEX('register map'!D:D,C404)),7,""))</f>
        <v/>
      </c>
      <c r="J404" s="117" t="str">
        <f t="shared" si="73"/>
        <v/>
      </c>
      <c r="K404" s="117" t="str">
        <f t="shared" si="66"/>
        <v>11111111</v>
      </c>
      <c r="L404" s="117" t="str">
        <f t="shared" si="74"/>
        <v>11111111</v>
      </c>
      <c r="M404" s="117" t="str">
        <f t="shared" si="76"/>
        <v>FF</v>
      </c>
      <c r="N404" s="117" t="str">
        <f>IF(ISBLANK(INDEX('register map'!M:M,'Logical Group Generator'!C404)),"No","Yes")</f>
        <v>No</v>
      </c>
      <c r="O404" s="117" t="str">
        <f>IF(NOT(ISBLANK(INDEX('register map'!N:N,'Logical Group Generator'!C404))),"Yes","")</f>
        <v/>
      </c>
      <c r="P404" s="117" t="str">
        <f t="shared" si="67"/>
        <v>No</v>
      </c>
      <c r="Q404" s="117" t="str">
        <f t="shared" si="68"/>
        <v>No</v>
      </c>
      <c r="R404" s="117" t="str">
        <f t="shared" si="69"/>
        <v>No</v>
      </c>
      <c r="S404" s="117" t="str">
        <f t="shared" si="70"/>
        <v/>
      </c>
      <c r="T404" s="117" t="b">
        <f t="shared" si="71"/>
        <v>1</v>
      </c>
      <c r="U404" s="117" t="b">
        <f t="shared" si="75"/>
        <v>1</v>
      </c>
      <c r="V404" s="157" t="b">
        <f>INDEX('register map'!P:P,C404)="yes"</f>
        <v>1</v>
      </c>
      <c r="W404" s="157" t="str">
        <f t="shared" si="72"/>
        <v>REGISTER</v>
      </c>
    </row>
    <row r="405" spans="2:23">
      <c r="B405" s="157" t="str">
        <f t="array" ref="B405">IF(ROWS($3:405)&lt;=COUNTA('register map'!$L$5:$L$902),INDEX('register map'!$L$5:$L$902,SMALL(IF('register map'!$L$5:$L$902&lt;&gt;"",ROW('register map'!$L$5:$L$902)-MIN(ROW('register map'!$L$5:$L$902))+1),ROWS($3:405))),"")</f>
        <v>OTP_RSVD_38_19_0</v>
      </c>
      <c r="C405" s="157">
        <f>IF(B405="PART_NUMBER",IF(COUNTIF($B$1:B404,"PART_NUMBER")=0,6,8),MATCH(B405,'register map'!L:L,0))</f>
        <v>509</v>
      </c>
      <c r="D405" s="117" t="str">
        <f>IF(ISBLANK(INDEX('register map'!C:C,'Logical Group Generator'!C405)),"No","Yes")</f>
        <v>No</v>
      </c>
      <c r="E405" s="117" t="str">
        <f>IF(ISBLANK(INDEX('register map'!A:A,C405)),IF(ISBLANK(INDEX('register map'!A:A,C405-1)),IF(ISBLANK(INDEX('register map'!A:A,C405-2)),IF(ISBLANK(INDEX('register map'!A:A,C405-3)),IF(ISBLANK(INDEX('register map'!A:A,C405-4)),IF(ISBLANK(INDEX('register map'!A:A,C405-5)),IF(ISBLANK(INDEX('register map'!A:A,C405-6)),IF(ISBLANK(INDEX('register map'!A:A,C405-7)),IF(ISBLANK(INDEX('register map'!A:A,C405-8)),"ERROR",INDEX('register map'!A:A,C405-8)),INDEX('register map'!A:A,C405-7)),INDEX('register map'!A:A,C405-6)),INDEX('register map'!A:A,C405-5)),INDEX('register map'!A:A,C405-4)),INDEX('register map'!A:A,C405-3)),INDEX('register map'!A:A,C405-2)),INDEX('register map'!A:A,C405-1)),INDEX('register map'!A:A,C405))</f>
        <v>0x38</v>
      </c>
      <c r="F405" s="117" t="str">
        <f>IF(ISBLANK(INDEX('register map'!B:B,C405)),IF(ISBLANK(INDEX('register map'!B:B,C405-1)),IF(ISBLANK(INDEX('register map'!B:B,C405-2)),IF(ISBLANK(INDEX('register map'!B:B,C405-3)),IF(ISBLANK(INDEX('register map'!B:B,C405-4)),IF(ISBLANK(INDEX('register map'!B:B,C405-5)),IF(ISBLANK(INDEX('register map'!B:B,C405-6)),IF(ISBLANK(INDEX('register map'!B:B,C405-7)),IF(ISBLANK(INDEX('register map'!B:B,C405-8)),"ERROR",INDEX('register map'!B:B,C405-8)),INDEX('register map'!B:B,C405-7)),INDEX('register map'!B:B,C405-6)),INDEX('register map'!B:B,C405-5)),INDEX('register map'!B:B,C405-4)),INDEX('register map'!B:B,C405-3)),INDEX('register map'!B:B,C405-2)),INDEX('register map'!B:B,C405-1)),INDEX('register map'!B:B,C405))</f>
        <v>0x19</v>
      </c>
      <c r="G405" s="117" t="str">
        <f>CONCATENATE(IF(ISNUMBER(INDEX('register map'!D:D,C405)),7,""),IF(ISNUMBER(INDEX('register map'!E:E,C405)),6,""),IF(ISNUMBER(INDEX('register map'!F:F,C405)),5,""),IF(ISNUMBER(INDEX('register map'!G:G,C405)),4,""),IF(ISNUMBER(INDEX('register map'!H:H,C405)),3,""),IF(ISNUMBER(INDEX('register map'!I:I,C405)),2,""),IF(ISNUMBER(INDEX('register map'!J:J,C405)),1,""),IF(ISNUMBER(INDEX('register map'!K:K,C405)),0,""))</f>
        <v>0</v>
      </c>
      <c r="H405" s="117" t="str">
        <f>RIGHT(INDEX('register map'!V:V,MATCH('Logical Group Generator'!B405,'register map'!L:L,0)),LEN(G405))</f>
        <v>1</v>
      </c>
      <c r="I405" s="117" t="str">
        <f>CONCATENATE(IF(ISNUMBER(INDEX('register map'!K:K,C405)),0,""),IF(ISNUMBER(INDEX('register map'!J:J,C405)),1,""),IF(ISNUMBER(INDEX('register map'!I:I,C405)),2,""),IF(ISNUMBER(INDEX('register map'!H:H,C405)),3,""),IF(ISNUMBER(INDEX('register map'!G:G,C405)),4,""),IF(ISNUMBER(INDEX('register map'!F:F,C405)),5,""),IF(ISNUMBER(INDEX('register map'!E:E,C405)),6,""),IF(ISNUMBER(INDEX('register map'!D:D,C405)),7,""))</f>
        <v>0</v>
      </c>
      <c r="J405" s="117" t="str">
        <f t="shared" si="73"/>
        <v>1</v>
      </c>
      <c r="K405" s="117" t="str">
        <f t="shared" si="66"/>
        <v/>
      </c>
      <c r="L405" s="117" t="str">
        <f t="shared" si="74"/>
        <v/>
      </c>
      <c r="M405" s="117" t="str">
        <f t="shared" si="76"/>
        <v/>
      </c>
      <c r="N405" s="117" t="str">
        <f>IF(ISBLANK(INDEX('register map'!M:M,'Logical Group Generator'!C405)),"No","Yes")</f>
        <v>No</v>
      </c>
      <c r="O405" s="117" t="str">
        <f>IF(NOT(ISBLANK(INDEX('register map'!N:N,'Logical Group Generator'!C405))),"Yes","")</f>
        <v/>
      </c>
      <c r="P405" s="117" t="str">
        <f t="shared" si="67"/>
        <v/>
      </c>
      <c r="Q405" s="117" t="str">
        <f t="shared" si="68"/>
        <v/>
      </c>
      <c r="R405" s="117" t="str">
        <f t="shared" si="69"/>
        <v/>
      </c>
      <c r="S405" s="117" t="str">
        <f t="shared" si="70"/>
        <v>No</v>
      </c>
      <c r="T405" s="117" t="str">
        <f t="shared" si="71"/>
        <v/>
      </c>
      <c r="U405" s="117" t="b">
        <f t="shared" si="75"/>
        <v>0</v>
      </c>
      <c r="V405" s="157" t="b">
        <f>INDEX('register map'!P:P,C405)="yes"</f>
        <v>1</v>
      </c>
      <c r="W405" s="157" t="str">
        <f t="shared" si="72"/>
        <v>FALSE</v>
      </c>
    </row>
    <row r="406" spans="2:23">
      <c r="B406" s="157" t="str">
        <f t="array" ref="B406">IF(ROWS($3:406)&lt;=COUNTA('register map'!$L$5:$L$902),INDEX('register map'!$L$5:$L$902,SMALL(IF('register map'!$L$5:$L$902&lt;&gt;"",ROW('register map'!$L$5:$L$902)-MIN(ROW('register map'!$L$5:$L$902))+1),ROWS($3:406))),"")</f>
        <v>OTP_RSVD_38_19_1</v>
      </c>
      <c r="C406" s="157">
        <f>IF(B406="PART_NUMBER",IF(COUNTIF($B$1:B405,"PART_NUMBER")=0,6,8),MATCH(B406,'register map'!L:L,0))</f>
        <v>510</v>
      </c>
      <c r="D406" s="117" t="str">
        <f>IF(ISBLANK(INDEX('register map'!C:C,'Logical Group Generator'!C406)),"No","Yes")</f>
        <v>No</v>
      </c>
      <c r="E406" s="117" t="str">
        <f>IF(ISBLANK(INDEX('register map'!A:A,C406)),IF(ISBLANK(INDEX('register map'!A:A,C406-1)),IF(ISBLANK(INDEX('register map'!A:A,C406-2)),IF(ISBLANK(INDEX('register map'!A:A,C406-3)),IF(ISBLANK(INDEX('register map'!A:A,C406-4)),IF(ISBLANK(INDEX('register map'!A:A,C406-5)),IF(ISBLANK(INDEX('register map'!A:A,C406-6)),IF(ISBLANK(INDEX('register map'!A:A,C406-7)),IF(ISBLANK(INDEX('register map'!A:A,C406-8)),"ERROR",INDEX('register map'!A:A,C406-8)),INDEX('register map'!A:A,C406-7)),INDEX('register map'!A:A,C406-6)),INDEX('register map'!A:A,C406-5)),INDEX('register map'!A:A,C406-4)),INDEX('register map'!A:A,C406-3)),INDEX('register map'!A:A,C406-2)),INDEX('register map'!A:A,C406-1)),INDEX('register map'!A:A,C406))</f>
        <v>0x38</v>
      </c>
      <c r="F406" s="117" t="str">
        <f>IF(ISBLANK(INDEX('register map'!B:B,C406)),IF(ISBLANK(INDEX('register map'!B:B,C406-1)),IF(ISBLANK(INDEX('register map'!B:B,C406-2)),IF(ISBLANK(INDEX('register map'!B:B,C406-3)),IF(ISBLANK(INDEX('register map'!B:B,C406-4)),IF(ISBLANK(INDEX('register map'!B:B,C406-5)),IF(ISBLANK(INDEX('register map'!B:B,C406-6)),IF(ISBLANK(INDEX('register map'!B:B,C406-7)),IF(ISBLANK(INDEX('register map'!B:B,C406-8)),"ERROR",INDEX('register map'!B:B,C406-8)),INDEX('register map'!B:B,C406-7)),INDEX('register map'!B:B,C406-6)),INDEX('register map'!B:B,C406-5)),INDEX('register map'!B:B,C406-4)),INDEX('register map'!B:B,C406-3)),INDEX('register map'!B:B,C406-2)),INDEX('register map'!B:B,C406-1)),INDEX('register map'!B:B,C406))</f>
        <v>0x19</v>
      </c>
      <c r="G406" s="117" t="str">
        <f>CONCATENATE(IF(ISNUMBER(INDEX('register map'!D:D,C406)),7,""),IF(ISNUMBER(INDEX('register map'!E:E,C406)),6,""),IF(ISNUMBER(INDEX('register map'!F:F,C406)),5,""),IF(ISNUMBER(INDEX('register map'!G:G,C406)),4,""),IF(ISNUMBER(INDEX('register map'!H:H,C406)),3,""),IF(ISNUMBER(INDEX('register map'!I:I,C406)),2,""),IF(ISNUMBER(INDEX('register map'!J:J,C406)),1,""),IF(ISNUMBER(INDEX('register map'!K:K,C406)),0,""))</f>
        <v>1</v>
      </c>
      <c r="H406" s="117" t="str">
        <f>RIGHT(INDEX('register map'!V:V,MATCH('Logical Group Generator'!B406,'register map'!L:L,0)),LEN(G406))</f>
        <v>1</v>
      </c>
      <c r="I406" s="117" t="str">
        <f>CONCATENATE(IF(ISNUMBER(INDEX('register map'!K:K,C406)),0,""),IF(ISNUMBER(INDEX('register map'!J:J,C406)),1,""),IF(ISNUMBER(INDEX('register map'!I:I,C406)),2,""),IF(ISNUMBER(INDEX('register map'!H:H,C406)),3,""),IF(ISNUMBER(INDEX('register map'!G:G,C406)),4,""),IF(ISNUMBER(INDEX('register map'!F:F,C406)),5,""),IF(ISNUMBER(INDEX('register map'!E:E,C406)),6,""),IF(ISNUMBER(INDEX('register map'!D:D,C406)),7,""))</f>
        <v>1</v>
      </c>
      <c r="J406" s="117" t="str">
        <f t="shared" si="73"/>
        <v>1</v>
      </c>
      <c r="K406" s="117" t="str">
        <f t="shared" si="66"/>
        <v/>
      </c>
      <c r="L406" s="117" t="str">
        <f t="shared" si="74"/>
        <v/>
      </c>
      <c r="M406" s="117" t="str">
        <f t="shared" si="76"/>
        <v/>
      </c>
      <c r="N406" s="117" t="str">
        <f>IF(ISBLANK(INDEX('register map'!M:M,'Logical Group Generator'!C406)),"No","Yes")</f>
        <v>No</v>
      </c>
      <c r="O406" s="117" t="str">
        <f>IF(NOT(ISBLANK(INDEX('register map'!N:N,'Logical Group Generator'!C406))),"Yes","")</f>
        <v/>
      </c>
      <c r="P406" s="117" t="str">
        <f t="shared" si="67"/>
        <v/>
      </c>
      <c r="Q406" s="117" t="str">
        <f t="shared" si="68"/>
        <v/>
      </c>
      <c r="R406" s="117" t="str">
        <f t="shared" si="69"/>
        <v/>
      </c>
      <c r="S406" s="117" t="str">
        <f t="shared" si="70"/>
        <v>No</v>
      </c>
      <c r="T406" s="117" t="str">
        <f t="shared" si="71"/>
        <v/>
      </c>
      <c r="U406" s="117" t="b">
        <f t="shared" si="75"/>
        <v>0</v>
      </c>
      <c r="V406" s="157" t="b">
        <f>INDEX('register map'!P:P,C406)="yes"</f>
        <v>1</v>
      </c>
      <c r="W406" s="157" t="str">
        <f t="shared" si="72"/>
        <v>FALSE</v>
      </c>
    </row>
    <row r="407" spans="2:23">
      <c r="B407" s="157" t="str">
        <f t="array" ref="B407">IF(ROWS($3:407)&lt;=COUNTA('register map'!$L$5:$L$902),INDEX('register map'!$L$5:$L$902,SMALL(IF('register map'!$L$5:$L$902&lt;&gt;"",ROW('register map'!$L$5:$L$902)-MIN(ROW('register map'!$L$5:$L$902))+1),ROWS($3:407))),"")</f>
        <v>OTP_RSVD_38_19_2</v>
      </c>
      <c r="C407" s="157">
        <f>IF(B407="PART_NUMBER",IF(COUNTIF($B$1:B406,"PART_NUMBER")=0,6,8),MATCH(B407,'register map'!L:L,0))</f>
        <v>511</v>
      </c>
      <c r="D407" s="117" t="str">
        <f>IF(ISBLANK(INDEX('register map'!C:C,'Logical Group Generator'!C407)),"No","Yes")</f>
        <v>No</v>
      </c>
      <c r="E407" s="117" t="str">
        <f>IF(ISBLANK(INDEX('register map'!A:A,C407)),IF(ISBLANK(INDEX('register map'!A:A,C407-1)),IF(ISBLANK(INDEX('register map'!A:A,C407-2)),IF(ISBLANK(INDEX('register map'!A:A,C407-3)),IF(ISBLANK(INDEX('register map'!A:A,C407-4)),IF(ISBLANK(INDEX('register map'!A:A,C407-5)),IF(ISBLANK(INDEX('register map'!A:A,C407-6)),IF(ISBLANK(INDEX('register map'!A:A,C407-7)),IF(ISBLANK(INDEX('register map'!A:A,C407-8)),"ERROR",INDEX('register map'!A:A,C407-8)),INDEX('register map'!A:A,C407-7)),INDEX('register map'!A:A,C407-6)),INDEX('register map'!A:A,C407-5)),INDEX('register map'!A:A,C407-4)),INDEX('register map'!A:A,C407-3)),INDEX('register map'!A:A,C407-2)),INDEX('register map'!A:A,C407-1)),INDEX('register map'!A:A,C407))</f>
        <v>0x38</v>
      </c>
      <c r="F407" s="117" t="str">
        <f>IF(ISBLANK(INDEX('register map'!B:B,C407)),IF(ISBLANK(INDEX('register map'!B:B,C407-1)),IF(ISBLANK(INDEX('register map'!B:B,C407-2)),IF(ISBLANK(INDEX('register map'!B:B,C407-3)),IF(ISBLANK(INDEX('register map'!B:B,C407-4)),IF(ISBLANK(INDEX('register map'!B:B,C407-5)),IF(ISBLANK(INDEX('register map'!B:B,C407-6)),IF(ISBLANK(INDEX('register map'!B:B,C407-7)),IF(ISBLANK(INDEX('register map'!B:B,C407-8)),"ERROR",INDEX('register map'!B:B,C407-8)),INDEX('register map'!B:B,C407-7)),INDEX('register map'!B:B,C407-6)),INDEX('register map'!B:B,C407-5)),INDEX('register map'!B:B,C407-4)),INDEX('register map'!B:B,C407-3)),INDEX('register map'!B:B,C407-2)),INDEX('register map'!B:B,C407-1)),INDEX('register map'!B:B,C407))</f>
        <v>0x19</v>
      </c>
      <c r="G407" s="117" t="str">
        <f>CONCATENATE(IF(ISNUMBER(INDEX('register map'!D:D,C407)),7,""),IF(ISNUMBER(INDEX('register map'!E:E,C407)),6,""),IF(ISNUMBER(INDEX('register map'!F:F,C407)),5,""),IF(ISNUMBER(INDEX('register map'!G:G,C407)),4,""),IF(ISNUMBER(INDEX('register map'!H:H,C407)),3,""),IF(ISNUMBER(INDEX('register map'!I:I,C407)),2,""),IF(ISNUMBER(INDEX('register map'!J:J,C407)),1,""),IF(ISNUMBER(INDEX('register map'!K:K,C407)),0,""))</f>
        <v>2</v>
      </c>
      <c r="H407" s="117" t="str">
        <f>RIGHT(INDEX('register map'!V:V,MATCH('Logical Group Generator'!B407,'register map'!L:L,0)),LEN(G407))</f>
        <v>1</v>
      </c>
      <c r="I407" s="117" t="str">
        <f>CONCATENATE(IF(ISNUMBER(INDEX('register map'!K:K,C407)),0,""),IF(ISNUMBER(INDEX('register map'!J:J,C407)),1,""),IF(ISNUMBER(INDEX('register map'!I:I,C407)),2,""),IF(ISNUMBER(INDEX('register map'!H:H,C407)),3,""),IF(ISNUMBER(INDEX('register map'!G:G,C407)),4,""),IF(ISNUMBER(INDEX('register map'!F:F,C407)),5,""),IF(ISNUMBER(INDEX('register map'!E:E,C407)),6,""),IF(ISNUMBER(INDEX('register map'!D:D,C407)),7,""))</f>
        <v>2</v>
      </c>
      <c r="J407" s="117" t="str">
        <f t="shared" si="73"/>
        <v>1</v>
      </c>
      <c r="K407" s="117" t="str">
        <f t="shared" si="66"/>
        <v/>
      </c>
      <c r="L407" s="117" t="str">
        <f t="shared" si="74"/>
        <v/>
      </c>
      <c r="M407" s="117" t="str">
        <f t="shared" si="76"/>
        <v/>
      </c>
      <c r="N407" s="117" t="str">
        <f>IF(ISBLANK(INDEX('register map'!M:M,'Logical Group Generator'!C407)),"No","Yes")</f>
        <v>No</v>
      </c>
      <c r="O407" s="117" t="str">
        <f>IF(NOT(ISBLANK(INDEX('register map'!N:N,'Logical Group Generator'!C407))),"Yes","")</f>
        <v/>
      </c>
      <c r="P407" s="117" t="str">
        <f t="shared" si="67"/>
        <v/>
      </c>
      <c r="Q407" s="117" t="str">
        <f t="shared" si="68"/>
        <v/>
      </c>
      <c r="R407" s="117" t="str">
        <f t="shared" si="69"/>
        <v/>
      </c>
      <c r="S407" s="117" t="str">
        <f t="shared" si="70"/>
        <v>No</v>
      </c>
      <c r="T407" s="117" t="str">
        <f t="shared" si="71"/>
        <v/>
      </c>
      <c r="U407" s="117" t="b">
        <f t="shared" si="75"/>
        <v>0</v>
      </c>
      <c r="V407" s="157" t="b">
        <f>INDEX('register map'!P:P,C407)="yes"</f>
        <v>1</v>
      </c>
      <c r="W407" s="157" t="str">
        <f t="shared" si="72"/>
        <v>FALSE</v>
      </c>
    </row>
    <row r="408" spans="2:23">
      <c r="B408" s="157" t="str">
        <f t="array" ref="B408">IF(ROWS($3:408)&lt;=COUNTA('register map'!$L$5:$L$902),INDEX('register map'!$L$5:$L$902,SMALL(IF('register map'!$L$5:$L$902&lt;&gt;"",ROW('register map'!$L$5:$L$902)-MIN(ROW('register map'!$L$5:$L$902))+1),ROWS($3:408))),"")</f>
        <v>OTP_RSVD_38_19_3</v>
      </c>
      <c r="C408" s="157">
        <f>IF(B408="PART_NUMBER",IF(COUNTIF($B$1:B407,"PART_NUMBER")=0,6,8),MATCH(B408,'register map'!L:L,0))</f>
        <v>512</v>
      </c>
      <c r="D408" s="117" t="str">
        <f>IF(ISBLANK(INDEX('register map'!C:C,'Logical Group Generator'!C408)),"No","Yes")</f>
        <v>No</v>
      </c>
      <c r="E408" s="117" t="str">
        <f>IF(ISBLANK(INDEX('register map'!A:A,C408)),IF(ISBLANK(INDEX('register map'!A:A,C408-1)),IF(ISBLANK(INDEX('register map'!A:A,C408-2)),IF(ISBLANK(INDEX('register map'!A:A,C408-3)),IF(ISBLANK(INDEX('register map'!A:A,C408-4)),IF(ISBLANK(INDEX('register map'!A:A,C408-5)),IF(ISBLANK(INDEX('register map'!A:A,C408-6)),IF(ISBLANK(INDEX('register map'!A:A,C408-7)),IF(ISBLANK(INDEX('register map'!A:A,C408-8)),"ERROR",INDEX('register map'!A:A,C408-8)),INDEX('register map'!A:A,C408-7)),INDEX('register map'!A:A,C408-6)),INDEX('register map'!A:A,C408-5)),INDEX('register map'!A:A,C408-4)),INDEX('register map'!A:A,C408-3)),INDEX('register map'!A:A,C408-2)),INDEX('register map'!A:A,C408-1)),INDEX('register map'!A:A,C408))</f>
        <v>0x38</v>
      </c>
      <c r="F408" s="117" t="str">
        <f>IF(ISBLANK(INDEX('register map'!B:B,C408)),IF(ISBLANK(INDEX('register map'!B:B,C408-1)),IF(ISBLANK(INDEX('register map'!B:B,C408-2)),IF(ISBLANK(INDEX('register map'!B:B,C408-3)),IF(ISBLANK(INDEX('register map'!B:B,C408-4)),IF(ISBLANK(INDEX('register map'!B:B,C408-5)),IF(ISBLANK(INDEX('register map'!B:B,C408-6)),IF(ISBLANK(INDEX('register map'!B:B,C408-7)),IF(ISBLANK(INDEX('register map'!B:B,C408-8)),"ERROR",INDEX('register map'!B:B,C408-8)),INDEX('register map'!B:B,C408-7)),INDEX('register map'!B:B,C408-6)),INDEX('register map'!B:B,C408-5)),INDEX('register map'!B:B,C408-4)),INDEX('register map'!B:B,C408-3)),INDEX('register map'!B:B,C408-2)),INDEX('register map'!B:B,C408-1)),INDEX('register map'!B:B,C408))</f>
        <v>0x19</v>
      </c>
      <c r="G408" s="117" t="str">
        <f>CONCATENATE(IF(ISNUMBER(INDEX('register map'!D:D,C408)),7,""),IF(ISNUMBER(INDEX('register map'!E:E,C408)),6,""),IF(ISNUMBER(INDEX('register map'!F:F,C408)),5,""),IF(ISNUMBER(INDEX('register map'!G:G,C408)),4,""),IF(ISNUMBER(INDEX('register map'!H:H,C408)),3,""),IF(ISNUMBER(INDEX('register map'!I:I,C408)),2,""),IF(ISNUMBER(INDEX('register map'!J:J,C408)),1,""),IF(ISNUMBER(INDEX('register map'!K:K,C408)),0,""))</f>
        <v>3</v>
      </c>
      <c r="H408" s="117" t="str">
        <f>RIGHT(INDEX('register map'!V:V,MATCH('Logical Group Generator'!B408,'register map'!L:L,0)),LEN(G408))</f>
        <v>1</v>
      </c>
      <c r="I408" s="117" t="str">
        <f>CONCATENATE(IF(ISNUMBER(INDEX('register map'!K:K,C408)),0,""),IF(ISNUMBER(INDEX('register map'!J:J,C408)),1,""),IF(ISNUMBER(INDEX('register map'!I:I,C408)),2,""),IF(ISNUMBER(INDEX('register map'!H:H,C408)),3,""),IF(ISNUMBER(INDEX('register map'!G:G,C408)),4,""),IF(ISNUMBER(INDEX('register map'!F:F,C408)),5,""),IF(ISNUMBER(INDEX('register map'!E:E,C408)),6,""),IF(ISNUMBER(INDEX('register map'!D:D,C408)),7,""))</f>
        <v>3</v>
      </c>
      <c r="J408" s="117" t="str">
        <f t="shared" si="73"/>
        <v>1</v>
      </c>
      <c r="K408" s="117" t="str">
        <f t="shared" si="66"/>
        <v/>
      </c>
      <c r="L408" s="117" t="str">
        <f t="shared" si="74"/>
        <v/>
      </c>
      <c r="M408" s="117" t="str">
        <f t="shared" si="76"/>
        <v/>
      </c>
      <c r="N408" s="117" t="str">
        <f>IF(ISBLANK(INDEX('register map'!M:M,'Logical Group Generator'!C408)),"No","Yes")</f>
        <v>No</v>
      </c>
      <c r="O408" s="117" t="str">
        <f>IF(NOT(ISBLANK(INDEX('register map'!N:N,'Logical Group Generator'!C408))),"Yes","")</f>
        <v/>
      </c>
      <c r="P408" s="117" t="str">
        <f t="shared" si="67"/>
        <v/>
      </c>
      <c r="Q408" s="117" t="str">
        <f t="shared" si="68"/>
        <v/>
      </c>
      <c r="R408" s="117" t="str">
        <f t="shared" si="69"/>
        <v/>
      </c>
      <c r="S408" s="117" t="str">
        <f t="shared" si="70"/>
        <v>No</v>
      </c>
      <c r="T408" s="117" t="str">
        <f t="shared" si="71"/>
        <v/>
      </c>
      <c r="U408" s="117" t="b">
        <f t="shared" si="75"/>
        <v>0</v>
      </c>
      <c r="V408" s="157" t="b">
        <f>INDEX('register map'!P:P,C408)="yes"</f>
        <v>1</v>
      </c>
      <c r="W408" s="157" t="str">
        <f t="shared" si="72"/>
        <v>FALSE</v>
      </c>
    </row>
    <row r="409" spans="2:23">
      <c r="B409" s="157" t="str">
        <f t="array" ref="B409">IF(ROWS($3:409)&lt;=COUNTA('register map'!$L$5:$L$902),INDEX('register map'!$L$5:$L$902,SMALL(IF('register map'!$L$5:$L$902&lt;&gt;"",ROW('register map'!$L$5:$L$902)-MIN(ROW('register map'!$L$5:$L$902))+1),ROWS($3:409))),"")</f>
        <v>OTP_RSVD_38_19_4</v>
      </c>
      <c r="C409" s="157">
        <f>IF(B409="PART_NUMBER",IF(COUNTIF($B$1:B408,"PART_NUMBER")=0,6,8),MATCH(B409,'register map'!L:L,0))</f>
        <v>513</v>
      </c>
      <c r="D409" s="117" t="str">
        <f>IF(ISBLANK(INDEX('register map'!C:C,'Logical Group Generator'!C409)),"No","Yes")</f>
        <v>No</v>
      </c>
      <c r="E409" s="117" t="str">
        <f>IF(ISBLANK(INDEX('register map'!A:A,C409)),IF(ISBLANK(INDEX('register map'!A:A,C409-1)),IF(ISBLANK(INDEX('register map'!A:A,C409-2)),IF(ISBLANK(INDEX('register map'!A:A,C409-3)),IF(ISBLANK(INDEX('register map'!A:A,C409-4)),IF(ISBLANK(INDEX('register map'!A:A,C409-5)),IF(ISBLANK(INDEX('register map'!A:A,C409-6)),IF(ISBLANK(INDEX('register map'!A:A,C409-7)),IF(ISBLANK(INDEX('register map'!A:A,C409-8)),"ERROR",INDEX('register map'!A:A,C409-8)),INDEX('register map'!A:A,C409-7)),INDEX('register map'!A:A,C409-6)),INDEX('register map'!A:A,C409-5)),INDEX('register map'!A:A,C409-4)),INDEX('register map'!A:A,C409-3)),INDEX('register map'!A:A,C409-2)),INDEX('register map'!A:A,C409-1)),INDEX('register map'!A:A,C409))</f>
        <v>0x38</v>
      </c>
      <c r="F409" s="117" t="str">
        <f>IF(ISBLANK(INDEX('register map'!B:B,C409)),IF(ISBLANK(INDEX('register map'!B:B,C409-1)),IF(ISBLANK(INDEX('register map'!B:B,C409-2)),IF(ISBLANK(INDEX('register map'!B:B,C409-3)),IF(ISBLANK(INDEX('register map'!B:B,C409-4)),IF(ISBLANK(INDEX('register map'!B:B,C409-5)),IF(ISBLANK(INDEX('register map'!B:B,C409-6)),IF(ISBLANK(INDEX('register map'!B:B,C409-7)),IF(ISBLANK(INDEX('register map'!B:B,C409-8)),"ERROR",INDEX('register map'!B:B,C409-8)),INDEX('register map'!B:B,C409-7)),INDEX('register map'!B:B,C409-6)),INDEX('register map'!B:B,C409-5)),INDEX('register map'!B:B,C409-4)),INDEX('register map'!B:B,C409-3)),INDEX('register map'!B:B,C409-2)),INDEX('register map'!B:B,C409-1)),INDEX('register map'!B:B,C409))</f>
        <v>0x19</v>
      </c>
      <c r="G409" s="117" t="str">
        <f>CONCATENATE(IF(ISNUMBER(INDEX('register map'!D:D,C409)),7,""),IF(ISNUMBER(INDEX('register map'!E:E,C409)),6,""),IF(ISNUMBER(INDEX('register map'!F:F,C409)),5,""),IF(ISNUMBER(INDEX('register map'!G:G,C409)),4,""),IF(ISNUMBER(INDEX('register map'!H:H,C409)),3,""),IF(ISNUMBER(INDEX('register map'!I:I,C409)),2,""),IF(ISNUMBER(INDEX('register map'!J:J,C409)),1,""),IF(ISNUMBER(INDEX('register map'!K:K,C409)),0,""))</f>
        <v>4</v>
      </c>
      <c r="H409" s="117" t="str">
        <f>RIGHT(INDEX('register map'!V:V,MATCH('Logical Group Generator'!B409,'register map'!L:L,0)),LEN(G409))</f>
        <v>1</v>
      </c>
      <c r="I409" s="117" t="str">
        <f>CONCATENATE(IF(ISNUMBER(INDEX('register map'!K:K,C409)),0,""),IF(ISNUMBER(INDEX('register map'!J:J,C409)),1,""),IF(ISNUMBER(INDEX('register map'!I:I,C409)),2,""),IF(ISNUMBER(INDEX('register map'!H:H,C409)),3,""),IF(ISNUMBER(INDEX('register map'!G:G,C409)),4,""),IF(ISNUMBER(INDEX('register map'!F:F,C409)),5,""),IF(ISNUMBER(INDEX('register map'!E:E,C409)),6,""),IF(ISNUMBER(INDEX('register map'!D:D,C409)),7,""))</f>
        <v>4</v>
      </c>
      <c r="J409" s="117" t="str">
        <f t="shared" si="73"/>
        <v>1</v>
      </c>
      <c r="K409" s="117" t="str">
        <f t="shared" si="66"/>
        <v/>
      </c>
      <c r="L409" s="117" t="str">
        <f t="shared" si="74"/>
        <v/>
      </c>
      <c r="M409" s="117" t="str">
        <f t="shared" si="76"/>
        <v/>
      </c>
      <c r="N409" s="117" t="str">
        <f>IF(ISBLANK(INDEX('register map'!M:M,'Logical Group Generator'!C409)),"No","Yes")</f>
        <v>No</v>
      </c>
      <c r="O409" s="117" t="str">
        <f>IF(NOT(ISBLANK(INDEX('register map'!N:N,'Logical Group Generator'!C409))),"Yes","")</f>
        <v/>
      </c>
      <c r="P409" s="117" t="str">
        <f t="shared" si="67"/>
        <v/>
      </c>
      <c r="Q409" s="117" t="str">
        <f t="shared" si="68"/>
        <v/>
      </c>
      <c r="R409" s="117" t="str">
        <f t="shared" si="69"/>
        <v/>
      </c>
      <c r="S409" s="117" t="str">
        <f t="shared" si="70"/>
        <v>No</v>
      </c>
      <c r="T409" s="117" t="str">
        <f t="shared" si="71"/>
        <v/>
      </c>
      <c r="U409" s="117" t="b">
        <f t="shared" si="75"/>
        <v>0</v>
      </c>
      <c r="V409" s="157" t="b">
        <f>INDEX('register map'!P:P,C409)="yes"</f>
        <v>1</v>
      </c>
      <c r="W409" s="157" t="str">
        <f t="shared" si="72"/>
        <v>FALSE</v>
      </c>
    </row>
    <row r="410" spans="2:23">
      <c r="B410" s="157" t="str">
        <f t="array" ref="B410">IF(ROWS($3:410)&lt;=COUNTA('register map'!$L$5:$L$902),INDEX('register map'!$L$5:$L$902,SMALL(IF('register map'!$L$5:$L$902&lt;&gt;"",ROW('register map'!$L$5:$L$902)-MIN(ROW('register map'!$L$5:$L$902))+1),ROWS($3:410))),"")</f>
        <v>OTP_RSVD_38_19_5</v>
      </c>
      <c r="C410" s="157">
        <f>IF(B410="PART_NUMBER",IF(COUNTIF($B$1:B409,"PART_NUMBER")=0,6,8),MATCH(B410,'register map'!L:L,0))</f>
        <v>514</v>
      </c>
      <c r="D410" s="117" t="str">
        <f>IF(ISBLANK(INDEX('register map'!C:C,'Logical Group Generator'!C410)),"No","Yes")</f>
        <v>No</v>
      </c>
      <c r="E410" s="117" t="str">
        <f>IF(ISBLANK(INDEX('register map'!A:A,C410)),IF(ISBLANK(INDEX('register map'!A:A,C410-1)),IF(ISBLANK(INDEX('register map'!A:A,C410-2)),IF(ISBLANK(INDEX('register map'!A:A,C410-3)),IF(ISBLANK(INDEX('register map'!A:A,C410-4)),IF(ISBLANK(INDEX('register map'!A:A,C410-5)),IF(ISBLANK(INDEX('register map'!A:A,C410-6)),IF(ISBLANK(INDEX('register map'!A:A,C410-7)),IF(ISBLANK(INDEX('register map'!A:A,C410-8)),"ERROR",INDEX('register map'!A:A,C410-8)),INDEX('register map'!A:A,C410-7)),INDEX('register map'!A:A,C410-6)),INDEX('register map'!A:A,C410-5)),INDEX('register map'!A:A,C410-4)),INDEX('register map'!A:A,C410-3)),INDEX('register map'!A:A,C410-2)),INDEX('register map'!A:A,C410-1)),INDEX('register map'!A:A,C410))</f>
        <v>0x38</v>
      </c>
      <c r="F410" s="117" t="str">
        <f>IF(ISBLANK(INDEX('register map'!B:B,C410)),IF(ISBLANK(INDEX('register map'!B:B,C410-1)),IF(ISBLANK(INDEX('register map'!B:B,C410-2)),IF(ISBLANK(INDEX('register map'!B:B,C410-3)),IF(ISBLANK(INDEX('register map'!B:B,C410-4)),IF(ISBLANK(INDEX('register map'!B:B,C410-5)),IF(ISBLANK(INDEX('register map'!B:B,C410-6)),IF(ISBLANK(INDEX('register map'!B:B,C410-7)),IF(ISBLANK(INDEX('register map'!B:B,C410-8)),"ERROR",INDEX('register map'!B:B,C410-8)),INDEX('register map'!B:B,C410-7)),INDEX('register map'!B:B,C410-6)),INDEX('register map'!B:B,C410-5)),INDEX('register map'!B:B,C410-4)),INDEX('register map'!B:B,C410-3)),INDEX('register map'!B:B,C410-2)),INDEX('register map'!B:B,C410-1)),INDEX('register map'!B:B,C410))</f>
        <v>0x19</v>
      </c>
      <c r="G410" s="117" t="str">
        <f>CONCATENATE(IF(ISNUMBER(INDEX('register map'!D:D,C410)),7,""),IF(ISNUMBER(INDEX('register map'!E:E,C410)),6,""),IF(ISNUMBER(INDEX('register map'!F:F,C410)),5,""),IF(ISNUMBER(INDEX('register map'!G:G,C410)),4,""),IF(ISNUMBER(INDEX('register map'!H:H,C410)),3,""),IF(ISNUMBER(INDEX('register map'!I:I,C410)),2,""),IF(ISNUMBER(INDEX('register map'!J:J,C410)),1,""),IF(ISNUMBER(INDEX('register map'!K:K,C410)),0,""))</f>
        <v>5</v>
      </c>
      <c r="H410" s="117" t="str">
        <f>RIGHT(INDEX('register map'!V:V,MATCH('Logical Group Generator'!B410,'register map'!L:L,0)),LEN(G410))</f>
        <v>1</v>
      </c>
      <c r="I410" s="117" t="str">
        <f>CONCATENATE(IF(ISNUMBER(INDEX('register map'!K:K,C410)),0,""),IF(ISNUMBER(INDEX('register map'!J:J,C410)),1,""),IF(ISNUMBER(INDEX('register map'!I:I,C410)),2,""),IF(ISNUMBER(INDEX('register map'!H:H,C410)),3,""),IF(ISNUMBER(INDEX('register map'!G:G,C410)),4,""),IF(ISNUMBER(INDEX('register map'!F:F,C410)),5,""),IF(ISNUMBER(INDEX('register map'!E:E,C410)),6,""),IF(ISNUMBER(INDEX('register map'!D:D,C410)),7,""))</f>
        <v>5</v>
      </c>
      <c r="J410" s="117" t="str">
        <f t="shared" si="73"/>
        <v>1</v>
      </c>
      <c r="K410" s="117" t="str">
        <f t="shared" si="66"/>
        <v/>
      </c>
      <c r="L410" s="117" t="str">
        <f t="shared" si="74"/>
        <v/>
      </c>
      <c r="M410" s="117" t="str">
        <f t="shared" si="76"/>
        <v/>
      </c>
      <c r="N410" s="117" t="str">
        <f>IF(ISBLANK(INDEX('register map'!M:M,'Logical Group Generator'!C410)),"No","Yes")</f>
        <v>No</v>
      </c>
      <c r="O410" s="117" t="str">
        <f>IF(NOT(ISBLANK(INDEX('register map'!N:N,'Logical Group Generator'!C410))),"Yes","")</f>
        <v/>
      </c>
      <c r="P410" s="117" t="str">
        <f t="shared" si="67"/>
        <v/>
      </c>
      <c r="Q410" s="117" t="str">
        <f t="shared" si="68"/>
        <v/>
      </c>
      <c r="R410" s="117" t="str">
        <f t="shared" si="69"/>
        <v/>
      </c>
      <c r="S410" s="117" t="str">
        <f t="shared" si="70"/>
        <v>No</v>
      </c>
      <c r="T410" s="117" t="str">
        <f t="shared" si="71"/>
        <v/>
      </c>
      <c r="U410" s="117" t="b">
        <f t="shared" si="75"/>
        <v>0</v>
      </c>
      <c r="V410" s="157" t="b">
        <f>INDEX('register map'!P:P,C410)="yes"</f>
        <v>1</v>
      </c>
      <c r="W410" s="157" t="str">
        <f t="shared" si="72"/>
        <v>FALSE</v>
      </c>
    </row>
    <row r="411" spans="2:23">
      <c r="B411" s="157" t="str">
        <f t="array" ref="B411">IF(ROWS($3:411)&lt;=COUNTA('register map'!$L$5:$L$902),INDEX('register map'!$L$5:$L$902,SMALL(IF('register map'!$L$5:$L$902&lt;&gt;"",ROW('register map'!$L$5:$L$902)-MIN(ROW('register map'!$L$5:$L$902))+1),ROWS($3:411))),"")</f>
        <v>OTP_RSVD_38_19_6</v>
      </c>
      <c r="C411" s="157">
        <f>IF(B411="PART_NUMBER",IF(COUNTIF($B$1:B410,"PART_NUMBER")=0,6,8),MATCH(B411,'register map'!L:L,0))</f>
        <v>515</v>
      </c>
      <c r="D411" s="117" t="str">
        <f>IF(ISBLANK(INDEX('register map'!C:C,'Logical Group Generator'!C411)),"No","Yes")</f>
        <v>No</v>
      </c>
      <c r="E411" s="117" t="str">
        <f>IF(ISBLANK(INDEX('register map'!A:A,C411)),IF(ISBLANK(INDEX('register map'!A:A,C411-1)),IF(ISBLANK(INDEX('register map'!A:A,C411-2)),IF(ISBLANK(INDEX('register map'!A:A,C411-3)),IF(ISBLANK(INDEX('register map'!A:A,C411-4)),IF(ISBLANK(INDEX('register map'!A:A,C411-5)),IF(ISBLANK(INDEX('register map'!A:A,C411-6)),IF(ISBLANK(INDEX('register map'!A:A,C411-7)),IF(ISBLANK(INDEX('register map'!A:A,C411-8)),"ERROR",INDEX('register map'!A:A,C411-8)),INDEX('register map'!A:A,C411-7)),INDEX('register map'!A:A,C411-6)),INDEX('register map'!A:A,C411-5)),INDEX('register map'!A:A,C411-4)),INDEX('register map'!A:A,C411-3)),INDEX('register map'!A:A,C411-2)),INDEX('register map'!A:A,C411-1)),INDEX('register map'!A:A,C411))</f>
        <v>0x38</v>
      </c>
      <c r="F411" s="117" t="str">
        <f>IF(ISBLANK(INDEX('register map'!B:B,C411)),IF(ISBLANK(INDEX('register map'!B:B,C411-1)),IF(ISBLANK(INDEX('register map'!B:B,C411-2)),IF(ISBLANK(INDEX('register map'!B:B,C411-3)),IF(ISBLANK(INDEX('register map'!B:B,C411-4)),IF(ISBLANK(INDEX('register map'!B:B,C411-5)),IF(ISBLANK(INDEX('register map'!B:B,C411-6)),IF(ISBLANK(INDEX('register map'!B:B,C411-7)),IF(ISBLANK(INDEX('register map'!B:B,C411-8)),"ERROR",INDEX('register map'!B:B,C411-8)),INDEX('register map'!B:B,C411-7)),INDEX('register map'!B:B,C411-6)),INDEX('register map'!B:B,C411-5)),INDEX('register map'!B:B,C411-4)),INDEX('register map'!B:B,C411-3)),INDEX('register map'!B:B,C411-2)),INDEX('register map'!B:B,C411-1)),INDEX('register map'!B:B,C411))</f>
        <v>0x19</v>
      </c>
      <c r="G411" s="117" t="str">
        <f>CONCATENATE(IF(ISNUMBER(INDEX('register map'!D:D,C411)),7,""),IF(ISNUMBER(INDEX('register map'!E:E,C411)),6,""),IF(ISNUMBER(INDEX('register map'!F:F,C411)),5,""),IF(ISNUMBER(INDEX('register map'!G:G,C411)),4,""),IF(ISNUMBER(INDEX('register map'!H:H,C411)),3,""),IF(ISNUMBER(INDEX('register map'!I:I,C411)),2,""),IF(ISNUMBER(INDEX('register map'!J:J,C411)),1,""),IF(ISNUMBER(INDEX('register map'!K:K,C411)),0,""))</f>
        <v>6</v>
      </c>
      <c r="H411" s="117" t="str">
        <f>RIGHT(INDEX('register map'!V:V,MATCH('Logical Group Generator'!B411,'register map'!L:L,0)),LEN(G411))</f>
        <v>1</v>
      </c>
      <c r="I411" s="117" t="str">
        <f>CONCATENATE(IF(ISNUMBER(INDEX('register map'!K:K,C411)),0,""),IF(ISNUMBER(INDEX('register map'!J:J,C411)),1,""),IF(ISNUMBER(INDEX('register map'!I:I,C411)),2,""),IF(ISNUMBER(INDEX('register map'!H:H,C411)),3,""),IF(ISNUMBER(INDEX('register map'!G:G,C411)),4,""),IF(ISNUMBER(INDEX('register map'!F:F,C411)),5,""),IF(ISNUMBER(INDEX('register map'!E:E,C411)),6,""),IF(ISNUMBER(INDEX('register map'!D:D,C411)),7,""))</f>
        <v>6</v>
      </c>
      <c r="J411" s="117" t="str">
        <f t="shared" si="73"/>
        <v>1</v>
      </c>
      <c r="K411" s="117" t="str">
        <f t="shared" si="66"/>
        <v/>
      </c>
      <c r="L411" s="117" t="str">
        <f t="shared" si="74"/>
        <v/>
      </c>
      <c r="M411" s="117" t="str">
        <f t="shared" si="76"/>
        <v/>
      </c>
      <c r="N411" s="117" t="str">
        <f>IF(ISBLANK(INDEX('register map'!M:M,'Logical Group Generator'!C411)),"No","Yes")</f>
        <v>No</v>
      </c>
      <c r="O411" s="117" t="str">
        <f>IF(NOT(ISBLANK(INDEX('register map'!N:N,'Logical Group Generator'!C411))),"Yes","")</f>
        <v/>
      </c>
      <c r="P411" s="117" t="str">
        <f t="shared" si="67"/>
        <v/>
      </c>
      <c r="Q411" s="117" t="str">
        <f t="shared" si="68"/>
        <v/>
      </c>
      <c r="R411" s="117" t="str">
        <f t="shared" si="69"/>
        <v/>
      </c>
      <c r="S411" s="117" t="str">
        <f t="shared" si="70"/>
        <v>No</v>
      </c>
      <c r="T411" s="117" t="str">
        <f t="shared" si="71"/>
        <v/>
      </c>
      <c r="U411" s="117" t="b">
        <f t="shared" si="75"/>
        <v>0</v>
      </c>
      <c r="V411" s="157" t="b">
        <f>INDEX('register map'!P:P,C411)="yes"</f>
        <v>1</v>
      </c>
      <c r="W411" s="157" t="str">
        <f t="shared" si="72"/>
        <v>FALSE</v>
      </c>
    </row>
    <row r="412" spans="2:23">
      <c r="B412" s="157" t="str">
        <f t="array" ref="B412">IF(ROWS($3:412)&lt;=COUNTA('register map'!$L$5:$L$902),INDEX('register map'!$L$5:$L$902,SMALL(IF('register map'!$L$5:$L$902&lt;&gt;"",ROW('register map'!$L$5:$L$902)-MIN(ROW('register map'!$L$5:$L$902))+1),ROWS($3:412))),"")</f>
        <v>OTP_RSVD_38_19_7</v>
      </c>
      <c r="C412" s="157">
        <f>IF(B412="PART_NUMBER",IF(COUNTIF($B$1:B411,"PART_NUMBER")=0,6,8),MATCH(B412,'register map'!L:L,0))</f>
        <v>516</v>
      </c>
      <c r="D412" s="117" t="str">
        <f>IF(ISBLANK(INDEX('register map'!C:C,'Logical Group Generator'!C412)),"No","Yes")</f>
        <v>No</v>
      </c>
      <c r="E412" s="117" t="str">
        <f>IF(ISBLANK(INDEX('register map'!A:A,C412)),IF(ISBLANK(INDEX('register map'!A:A,C412-1)),IF(ISBLANK(INDEX('register map'!A:A,C412-2)),IF(ISBLANK(INDEX('register map'!A:A,C412-3)),IF(ISBLANK(INDEX('register map'!A:A,C412-4)),IF(ISBLANK(INDEX('register map'!A:A,C412-5)),IF(ISBLANK(INDEX('register map'!A:A,C412-6)),IF(ISBLANK(INDEX('register map'!A:A,C412-7)),IF(ISBLANK(INDEX('register map'!A:A,C412-8)),"ERROR",INDEX('register map'!A:A,C412-8)),INDEX('register map'!A:A,C412-7)),INDEX('register map'!A:A,C412-6)),INDEX('register map'!A:A,C412-5)),INDEX('register map'!A:A,C412-4)),INDEX('register map'!A:A,C412-3)),INDEX('register map'!A:A,C412-2)),INDEX('register map'!A:A,C412-1)),INDEX('register map'!A:A,C412))</f>
        <v>0x38</v>
      </c>
      <c r="F412" s="117" t="str">
        <f>IF(ISBLANK(INDEX('register map'!B:B,C412)),IF(ISBLANK(INDEX('register map'!B:B,C412-1)),IF(ISBLANK(INDEX('register map'!B:B,C412-2)),IF(ISBLANK(INDEX('register map'!B:B,C412-3)),IF(ISBLANK(INDEX('register map'!B:B,C412-4)),IF(ISBLANK(INDEX('register map'!B:B,C412-5)),IF(ISBLANK(INDEX('register map'!B:B,C412-6)),IF(ISBLANK(INDEX('register map'!B:B,C412-7)),IF(ISBLANK(INDEX('register map'!B:B,C412-8)),"ERROR",INDEX('register map'!B:B,C412-8)),INDEX('register map'!B:B,C412-7)),INDEX('register map'!B:B,C412-6)),INDEX('register map'!B:B,C412-5)),INDEX('register map'!B:B,C412-4)),INDEX('register map'!B:B,C412-3)),INDEX('register map'!B:B,C412-2)),INDEX('register map'!B:B,C412-1)),INDEX('register map'!B:B,C412))</f>
        <v>0x19</v>
      </c>
      <c r="G412" s="117" t="str">
        <f>CONCATENATE(IF(ISNUMBER(INDEX('register map'!D:D,C412)),7,""),IF(ISNUMBER(INDEX('register map'!E:E,C412)),6,""),IF(ISNUMBER(INDEX('register map'!F:F,C412)),5,""),IF(ISNUMBER(INDEX('register map'!G:G,C412)),4,""),IF(ISNUMBER(INDEX('register map'!H:H,C412)),3,""),IF(ISNUMBER(INDEX('register map'!I:I,C412)),2,""),IF(ISNUMBER(INDEX('register map'!J:J,C412)),1,""),IF(ISNUMBER(INDEX('register map'!K:K,C412)),0,""))</f>
        <v>7</v>
      </c>
      <c r="H412" s="117" t="str">
        <f>RIGHT(INDEX('register map'!V:V,MATCH('Logical Group Generator'!B412,'register map'!L:L,0)),LEN(G412))</f>
        <v>1</v>
      </c>
      <c r="I412" s="117" t="str">
        <f>CONCATENATE(IF(ISNUMBER(INDEX('register map'!K:K,C412)),0,""),IF(ISNUMBER(INDEX('register map'!J:J,C412)),1,""),IF(ISNUMBER(INDEX('register map'!I:I,C412)),2,""),IF(ISNUMBER(INDEX('register map'!H:H,C412)),3,""),IF(ISNUMBER(INDEX('register map'!G:G,C412)),4,""),IF(ISNUMBER(INDEX('register map'!F:F,C412)),5,""),IF(ISNUMBER(INDEX('register map'!E:E,C412)),6,""),IF(ISNUMBER(INDEX('register map'!D:D,C412)),7,""))</f>
        <v>7</v>
      </c>
      <c r="J412" s="117" t="str">
        <f t="shared" si="73"/>
        <v>1</v>
      </c>
      <c r="K412" s="117" t="str">
        <f t="shared" si="66"/>
        <v/>
      </c>
      <c r="L412" s="117" t="str">
        <f t="shared" si="74"/>
        <v/>
      </c>
      <c r="M412" s="117" t="str">
        <f t="shared" si="76"/>
        <v/>
      </c>
      <c r="N412" s="117" t="str">
        <f>IF(ISBLANK(INDEX('register map'!M:M,'Logical Group Generator'!C412)),"No","Yes")</f>
        <v>No</v>
      </c>
      <c r="O412" s="117" t="str">
        <f>IF(NOT(ISBLANK(INDEX('register map'!N:N,'Logical Group Generator'!C412))),"Yes","")</f>
        <v/>
      </c>
      <c r="P412" s="117" t="str">
        <f t="shared" si="67"/>
        <v/>
      </c>
      <c r="Q412" s="117" t="str">
        <f t="shared" si="68"/>
        <v/>
      </c>
      <c r="R412" s="117" t="str">
        <f t="shared" si="69"/>
        <v/>
      </c>
      <c r="S412" s="117" t="str">
        <f t="shared" si="70"/>
        <v>No</v>
      </c>
      <c r="T412" s="117" t="str">
        <f t="shared" si="71"/>
        <v/>
      </c>
      <c r="U412" s="117" t="b">
        <f t="shared" si="75"/>
        <v>0</v>
      </c>
      <c r="V412" s="157" t="b">
        <f>INDEX('register map'!P:P,C412)="yes"</f>
        <v>1</v>
      </c>
      <c r="W412" s="157" t="str">
        <f t="shared" si="72"/>
        <v>FALSE</v>
      </c>
    </row>
    <row r="413" spans="2:23">
      <c r="B413" s="157" t="str">
        <f t="array" ref="B413">IF(ROWS($3:413)&lt;=COUNTA('register map'!$L$5:$L$902),INDEX('register map'!$L$5:$L$902,SMALL(IF('register map'!$L$5:$L$902&lt;&gt;"",ROW('register map'!$L$5:$L$902)-MIN(ROW('register map'!$L$5:$L$902))+1),ROWS($3:413))),"")</f>
        <v>SWA1_CTRL_EN2</v>
      </c>
      <c r="C413" s="157">
        <f>IF(B413="PART_NUMBER",IF(COUNTIF($B$1:B412,"PART_NUMBER")=0,6,8),MATCH(B413,'register map'!L:L,0))</f>
        <v>517</v>
      </c>
      <c r="D413" s="117" t="str">
        <f>IF(ISBLANK(INDEX('register map'!C:C,'Logical Group Generator'!C413)),"No","Yes")</f>
        <v>Yes</v>
      </c>
      <c r="E413" s="117" t="str">
        <f>IF(ISBLANK(INDEX('register map'!A:A,C413)),IF(ISBLANK(INDEX('register map'!A:A,C413-1)),IF(ISBLANK(INDEX('register map'!A:A,C413-2)),IF(ISBLANK(INDEX('register map'!A:A,C413-3)),IF(ISBLANK(INDEX('register map'!A:A,C413-4)),IF(ISBLANK(INDEX('register map'!A:A,C413-5)),IF(ISBLANK(INDEX('register map'!A:A,C413-6)),IF(ISBLANK(INDEX('register map'!A:A,C413-7)),IF(ISBLANK(INDEX('register map'!A:A,C413-8)),"ERROR",INDEX('register map'!A:A,C413-8)),INDEX('register map'!A:A,C413-7)),INDEX('register map'!A:A,C413-6)),INDEX('register map'!A:A,C413-5)),INDEX('register map'!A:A,C413-4)),INDEX('register map'!A:A,C413-3)),INDEX('register map'!A:A,C413-2)),INDEX('register map'!A:A,C413-1)),INDEX('register map'!A:A,C413))</f>
        <v>0x38</v>
      </c>
      <c r="F413" s="117" t="str">
        <f>IF(ISBLANK(INDEX('register map'!B:B,C413)),IF(ISBLANK(INDEX('register map'!B:B,C413-1)),IF(ISBLANK(INDEX('register map'!B:B,C413-2)),IF(ISBLANK(INDEX('register map'!B:B,C413-3)),IF(ISBLANK(INDEX('register map'!B:B,C413-4)),IF(ISBLANK(INDEX('register map'!B:B,C413-5)),IF(ISBLANK(INDEX('register map'!B:B,C413-6)),IF(ISBLANK(INDEX('register map'!B:B,C413-7)),IF(ISBLANK(INDEX('register map'!B:B,C413-8)),"ERROR",INDEX('register map'!B:B,C413-8)),INDEX('register map'!B:B,C413-7)),INDEX('register map'!B:B,C413-6)),INDEX('register map'!B:B,C413-5)),INDEX('register map'!B:B,C413-4)),INDEX('register map'!B:B,C413-3)),INDEX('register map'!B:B,C413-2)),INDEX('register map'!B:B,C413-1)),INDEX('register map'!B:B,C413))</f>
        <v>0x1A</v>
      </c>
      <c r="G413" s="117" t="str">
        <f>CONCATENATE(IF(ISNUMBER(INDEX('register map'!D:D,C413)),7,""),IF(ISNUMBER(INDEX('register map'!E:E,C413)),6,""),IF(ISNUMBER(INDEX('register map'!F:F,C413)),5,""),IF(ISNUMBER(INDEX('register map'!G:G,C413)),4,""),IF(ISNUMBER(INDEX('register map'!H:H,C413)),3,""),IF(ISNUMBER(INDEX('register map'!I:I,C413)),2,""),IF(ISNUMBER(INDEX('register map'!J:J,C413)),1,""),IF(ISNUMBER(INDEX('register map'!K:K,C413)),0,""))</f>
        <v/>
      </c>
      <c r="H413" s="117" t="str">
        <f>RIGHT(INDEX('register map'!V:V,MATCH('Logical Group Generator'!B413,'register map'!L:L,0)),LEN(G413))</f>
        <v/>
      </c>
      <c r="I413" s="117" t="str">
        <f>CONCATENATE(IF(ISNUMBER(INDEX('register map'!K:K,C413)),0,""),IF(ISNUMBER(INDEX('register map'!J:J,C413)),1,""),IF(ISNUMBER(INDEX('register map'!I:I,C413)),2,""),IF(ISNUMBER(INDEX('register map'!H:H,C413)),3,""),IF(ISNUMBER(INDEX('register map'!G:G,C413)),4,""),IF(ISNUMBER(INDEX('register map'!F:F,C413)),5,""),IF(ISNUMBER(INDEX('register map'!E:E,C413)),6,""),IF(ISNUMBER(INDEX('register map'!D:D,C413)),7,""))</f>
        <v/>
      </c>
      <c r="J413" s="117" t="str">
        <f t="shared" si="73"/>
        <v/>
      </c>
      <c r="K413" s="117" t="str">
        <f t="shared" si="66"/>
        <v>11000100</v>
      </c>
      <c r="L413" s="117" t="str">
        <f t="shared" si="74"/>
        <v>00100011</v>
      </c>
      <c r="M413" s="117" t="str">
        <f t="shared" si="76"/>
        <v>23</v>
      </c>
      <c r="N413" s="117" t="str">
        <f>IF(ISBLANK(INDEX('register map'!M:M,'Logical Group Generator'!C413)),"No","Yes")</f>
        <v>No</v>
      </c>
      <c r="O413" s="117" t="str">
        <f>IF(NOT(ISBLANK(INDEX('register map'!N:N,'Logical Group Generator'!C413))),"Yes","")</f>
        <v/>
      </c>
      <c r="P413" s="117" t="str">
        <f t="shared" si="67"/>
        <v>No</v>
      </c>
      <c r="Q413" s="117" t="str">
        <f t="shared" si="68"/>
        <v>No</v>
      </c>
      <c r="R413" s="117" t="str">
        <f t="shared" si="69"/>
        <v>No</v>
      </c>
      <c r="S413" s="117" t="str">
        <f t="shared" si="70"/>
        <v/>
      </c>
      <c r="T413" s="117" t="b">
        <f t="shared" si="71"/>
        <v>1</v>
      </c>
      <c r="U413" s="117" t="b">
        <f t="shared" si="75"/>
        <v>1</v>
      </c>
      <c r="V413" s="157" t="b">
        <f>INDEX('register map'!P:P,C413)="yes"</f>
        <v>1</v>
      </c>
      <c r="W413" s="157" t="str">
        <f t="shared" si="72"/>
        <v>REGISTER</v>
      </c>
    </row>
    <row r="414" spans="2:23">
      <c r="B414" s="157" t="str">
        <f t="array" ref="B414">IF(ROWS($3:414)&lt;=COUNTA('register map'!$L$5:$L$902),INDEX('register map'!$L$5:$L$902,SMALL(IF('register map'!$L$5:$L$902&lt;&gt;"",ROW('register map'!$L$5:$L$902)-MIN(ROW('register map'!$L$5:$L$902))+1),ROWS($3:414))),"")</f>
        <v>OTP_RSVD_38_1A_0</v>
      </c>
      <c r="C414" s="157">
        <f>IF(B414="PART_NUMBER",IF(COUNTIF($B$1:B413,"PART_NUMBER")=0,6,8),MATCH(B414,'register map'!L:L,0))</f>
        <v>518</v>
      </c>
      <c r="D414" s="117" t="str">
        <f>IF(ISBLANK(INDEX('register map'!C:C,'Logical Group Generator'!C414)),"No","Yes")</f>
        <v>No</v>
      </c>
      <c r="E414" s="117" t="str">
        <f>IF(ISBLANK(INDEX('register map'!A:A,C414)),IF(ISBLANK(INDEX('register map'!A:A,C414-1)),IF(ISBLANK(INDEX('register map'!A:A,C414-2)),IF(ISBLANK(INDEX('register map'!A:A,C414-3)),IF(ISBLANK(INDEX('register map'!A:A,C414-4)),IF(ISBLANK(INDEX('register map'!A:A,C414-5)),IF(ISBLANK(INDEX('register map'!A:A,C414-6)),IF(ISBLANK(INDEX('register map'!A:A,C414-7)),IF(ISBLANK(INDEX('register map'!A:A,C414-8)),"ERROR",INDEX('register map'!A:A,C414-8)),INDEX('register map'!A:A,C414-7)),INDEX('register map'!A:A,C414-6)),INDEX('register map'!A:A,C414-5)),INDEX('register map'!A:A,C414-4)),INDEX('register map'!A:A,C414-3)),INDEX('register map'!A:A,C414-2)),INDEX('register map'!A:A,C414-1)),INDEX('register map'!A:A,C414))</f>
        <v>0x38</v>
      </c>
      <c r="F414" s="117" t="str">
        <f>IF(ISBLANK(INDEX('register map'!B:B,C414)),IF(ISBLANK(INDEX('register map'!B:B,C414-1)),IF(ISBLANK(INDEX('register map'!B:B,C414-2)),IF(ISBLANK(INDEX('register map'!B:B,C414-3)),IF(ISBLANK(INDEX('register map'!B:B,C414-4)),IF(ISBLANK(INDEX('register map'!B:B,C414-5)),IF(ISBLANK(INDEX('register map'!B:B,C414-6)),IF(ISBLANK(INDEX('register map'!B:B,C414-7)),IF(ISBLANK(INDEX('register map'!B:B,C414-8)),"ERROR",INDEX('register map'!B:B,C414-8)),INDEX('register map'!B:B,C414-7)),INDEX('register map'!B:B,C414-6)),INDEX('register map'!B:B,C414-5)),INDEX('register map'!B:B,C414-4)),INDEX('register map'!B:B,C414-3)),INDEX('register map'!B:B,C414-2)),INDEX('register map'!B:B,C414-1)),INDEX('register map'!B:B,C414))</f>
        <v>0x1A</v>
      </c>
      <c r="G414" s="117" t="str">
        <f>CONCATENATE(IF(ISNUMBER(INDEX('register map'!D:D,C414)),7,""),IF(ISNUMBER(INDEX('register map'!E:E,C414)),6,""),IF(ISNUMBER(INDEX('register map'!F:F,C414)),5,""),IF(ISNUMBER(INDEX('register map'!G:G,C414)),4,""),IF(ISNUMBER(INDEX('register map'!H:H,C414)),3,""),IF(ISNUMBER(INDEX('register map'!I:I,C414)),2,""),IF(ISNUMBER(INDEX('register map'!J:J,C414)),1,""),IF(ISNUMBER(INDEX('register map'!K:K,C414)),0,""))</f>
        <v>0</v>
      </c>
      <c r="H414" s="117" t="str">
        <f>RIGHT(INDEX('register map'!V:V,MATCH('Logical Group Generator'!B414,'register map'!L:L,0)),LEN(G414))</f>
        <v>1</v>
      </c>
      <c r="I414" s="117" t="str">
        <f>CONCATENATE(IF(ISNUMBER(INDEX('register map'!K:K,C414)),0,""),IF(ISNUMBER(INDEX('register map'!J:J,C414)),1,""),IF(ISNUMBER(INDEX('register map'!I:I,C414)),2,""),IF(ISNUMBER(INDEX('register map'!H:H,C414)),3,""),IF(ISNUMBER(INDEX('register map'!G:G,C414)),4,""),IF(ISNUMBER(INDEX('register map'!F:F,C414)),5,""),IF(ISNUMBER(INDEX('register map'!E:E,C414)),6,""),IF(ISNUMBER(INDEX('register map'!D:D,C414)),7,""))</f>
        <v>0</v>
      </c>
      <c r="J414" s="117" t="str">
        <f t="shared" si="73"/>
        <v>1</v>
      </c>
      <c r="K414" s="117" t="str">
        <f t="shared" si="66"/>
        <v/>
      </c>
      <c r="L414" s="117" t="str">
        <f t="shared" si="74"/>
        <v/>
      </c>
      <c r="M414" s="117" t="str">
        <f t="shared" si="76"/>
        <v/>
      </c>
      <c r="N414" s="117" t="str">
        <f>IF(ISBLANK(INDEX('register map'!M:M,'Logical Group Generator'!C414)),"No","Yes")</f>
        <v>No</v>
      </c>
      <c r="O414" s="117" t="str">
        <f>IF(NOT(ISBLANK(INDEX('register map'!N:N,'Logical Group Generator'!C414))),"Yes","")</f>
        <v/>
      </c>
      <c r="P414" s="117" t="str">
        <f t="shared" si="67"/>
        <v/>
      </c>
      <c r="Q414" s="117" t="str">
        <f t="shared" si="68"/>
        <v/>
      </c>
      <c r="R414" s="117" t="str">
        <f t="shared" si="69"/>
        <v/>
      </c>
      <c r="S414" s="117" t="str">
        <f t="shared" si="70"/>
        <v>No</v>
      </c>
      <c r="T414" s="117" t="str">
        <f t="shared" si="71"/>
        <v/>
      </c>
      <c r="U414" s="117" t="b">
        <f t="shared" si="75"/>
        <v>0</v>
      </c>
      <c r="V414" s="157" t="b">
        <f>INDEX('register map'!P:P,C414)="yes"</f>
        <v>1</v>
      </c>
      <c r="W414" s="157" t="str">
        <f t="shared" si="72"/>
        <v>FALSE</v>
      </c>
    </row>
    <row r="415" spans="2:23">
      <c r="B415" s="157" t="str">
        <f t="array" ref="B415">IF(ROWS($3:415)&lt;=COUNTA('register map'!$L$5:$L$902),INDEX('register map'!$L$5:$L$902,SMALL(IF('register map'!$L$5:$L$902&lt;&gt;"",ROW('register map'!$L$5:$L$902)-MIN(ROW('register map'!$L$5:$L$902))+1),ROWS($3:415))),"")</f>
        <v>OTP_RSVD_38_1A_1</v>
      </c>
      <c r="C415" s="157">
        <f>IF(B415="PART_NUMBER",IF(COUNTIF($B$1:B414,"PART_NUMBER")=0,6,8),MATCH(B415,'register map'!L:L,0))</f>
        <v>519</v>
      </c>
      <c r="D415" s="117" t="str">
        <f>IF(ISBLANK(INDEX('register map'!C:C,'Logical Group Generator'!C415)),"No","Yes")</f>
        <v>No</v>
      </c>
      <c r="E415" s="117" t="str">
        <f>IF(ISBLANK(INDEX('register map'!A:A,C415)),IF(ISBLANK(INDEX('register map'!A:A,C415-1)),IF(ISBLANK(INDEX('register map'!A:A,C415-2)),IF(ISBLANK(INDEX('register map'!A:A,C415-3)),IF(ISBLANK(INDEX('register map'!A:A,C415-4)),IF(ISBLANK(INDEX('register map'!A:A,C415-5)),IF(ISBLANK(INDEX('register map'!A:A,C415-6)),IF(ISBLANK(INDEX('register map'!A:A,C415-7)),IF(ISBLANK(INDEX('register map'!A:A,C415-8)),"ERROR",INDEX('register map'!A:A,C415-8)),INDEX('register map'!A:A,C415-7)),INDEX('register map'!A:A,C415-6)),INDEX('register map'!A:A,C415-5)),INDEX('register map'!A:A,C415-4)),INDEX('register map'!A:A,C415-3)),INDEX('register map'!A:A,C415-2)),INDEX('register map'!A:A,C415-1)),INDEX('register map'!A:A,C415))</f>
        <v>0x38</v>
      </c>
      <c r="F415" s="117" t="str">
        <f>IF(ISBLANK(INDEX('register map'!B:B,C415)),IF(ISBLANK(INDEX('register map'!B:B,C415-1)),IF(ISBLANK(INDEX('register map'!B:B,C415-2)),IF(ISBLANK(INDEX('register map'!B:B,C415-3)),IF(ISBLANK(INDEX('register map'!B:B,C415-4)),IF(ISBLANK(INDEX('register map'!B:B,C415-5)),IF(ISBLANK(INDEX('register map'!B:B,C415-6)),IF(ISBLANK(INDEX('register map'!B:B,C415-7)),IF(ISBLANK(INDEX('register map'!B:B,C415-8)),"ERROR",INDEX('register map'!B:B,C415-8)),INDEX('register map'!B:B,C415-7)),INDEX('register map'!B:B,C415-6)),INDEX('register map'!B:B,C415-5)),INDEX('register map'!B:B,C415-4)),INDEX('register map'!B:B,C415-3)),INDEX('register map'!B:B,C415-2)),INDEX('register map'!B:B,C415-1)),INDEX('register map'!B:B,C415))</f>
        <v>0x1A</v>
      </c>
      <c r="G415" s="117" t="str">
        <f>CONCATENATE(IF(ISNUMBER(INDEX('register map'!D:D,C415)),7,""),IF(ISNUMBER(INDEX('register map'!E:E,C415)),6,""),IF(ISNUMBER(INDEX('register map'!F:F,C415)),5,""),IF(ISNUMBER(INDEX('register map'!G:G,C415)),4,""),IF(ISNUMBER(INDEX('register map'!H:H,C415)),3,""),IF(ISNUMBER(INDEX('register map'!I:I,C415)),2,""),IF(ISNUMBER(INDEX('register map'!J:J,C415)),1,""),IF(ISNUMBER(INDEX('register map'!K:K,C415)),0,""))</f>
        <v>1</v>
      </c>
      <c r="H415" s="117" t="str">
        <f>RIGHT(INDEX('register map'!V:V,MATCH('Logical Group Generator'!B415,'register map'!L:L,0)),LEN(G415))</f>
        <v>1</v>
      </c>
      <c r="I415" s="117" t="str">
        <f>CONCATENATE(IF(ISNUMBER(INDEX('register map'!K:K,C415)),0,""),IF(ISNUMBER(INDEX('register map'!J:J,C415)),1,""),IF(ISNUMBER(INDEX('register map'!I:I,C415)),2,""),IF(ISNUMBER(INDEX('register map'!H:H,C415)),3,""),IF(ISNUMBER(INDEX('register map'!G:G,C415)),4,""),IF(ISNUMBER(INDEX('register map'!F:F,C415)),5,""),IF(ISNUMBER(INDEX('register map'!E:E,C415)),6,""),IF(ISNUMBER(INDEX('register map'!D:D,C415)),7,""))</f>
        <v>1</v>
      </c>
      <c r="J415" s="117" t="str">
        <f t="shared" si="73"/>
        <v>1</v>
      </c>
      <c r="K415" s="117" t="str">
        <f t="shared" si="66"/>
        <v/>
      </c>
      <c r="L415" s="117" t="str">
        <f t="shared" si="74"/>
        <v/>
      </c>
      <c r="M415" s="117" t="str">
        <f t="shared" si="76"/>
        <v/>
      </c>
      <c r="N415" s="117" t="str">
        <f>IF(ISBLANK(INDEX('register map'!M:M,'Logical Group Generator'!C415)),"No","Yes")</f>
        <v>No</v>
      </c>
      <c r="O415" s="117" t="str">
        <f>IF(NOT(ISBLANK(INDEX('register map'!N:N,'Logical Group Generator'!C415))),"Yes","")</f>
        <v/>
      </c>
      <c r="P415" s="117" t="str">
        <f t="shared" si="67"/>
        <v/>
      </c>
      <c r="Q415" s="117" t="str">
        <f t="shared" si="68"/>
        <v/>
      </c>
      <c r="R415" s="117" t="str">
        <f t="shared" si="69"/>
        <v/>
      </c>
      <c r="S415" s="117" t="str">
        <f t="shared" si="70"/>
        <v>No</v>
      </c>
      <c r="T415" s="117" t="str">
        <f t="shared" si="71"/>
        <v/>
      </c>
      <c r="U415" s="117" t="b">
        <f t="shared" si="75"/>
        <v>0</v>
      </c>
      <c r="V415" s="157" t="b">
        <f>INDEX('register map'!P:P,C415)="yes"</f>
        <v>1</v>
      </c>
      <c r="W415" s="157" t="str">
        <f t="shared" si="72"/>
        <v>FALSE</v>
      </c>
    </row>
    <row r="416" spans="2:23">
      <c r="B416" s="157" t="str">
        <f t="array" ref="B416">IF(ROWS($3:416)&lt;=COUNTA('register map'!$L$5:$L$902),INDEX('register map'!$L$5:$L$902,SMALL(IF('register map'!$L$5:$L$902&lt;&gt;"",ROW('register map'!$L$5:$L$902)-MIN(ROW('register map'!$L$5:$L$902))+1),ROWS($3:416))),"")</f>
        <v>OTP_RSVD_38_1A_432</v>
      </c>
      <c r="C416" s="157">
        <f>IF(B416="PART_NUMBER",IF(COUNTIF($B$1:B415,"PART_NUMBER")=0,6,8),MATCH(B416,'register map'!L:L,0))</f>
        <v>520</v>
      </c>
      <c r="D416" s="117" t="str">
        <f>IF(ISBLANK(INDEX('register map'!C:C,'Logical Group Generator'!C416)),"No","Yes")</f>
        <v>No</v>
      </c>
      <c r="E416" s="117" t="str">
        <f>IF(ISBLANK(INDEX('register map'!A:A,C416)),IF(ISBLANK(INDEX('register map'!A:A,C416-1)),IF(ISBLANK(INDEX('register map'!A:A,C416-2)),IF(ISBLANK(INDEX('register map'!A:A,C416-3)),IF(ISBLANK(INDEX('register map'!A:A,C416-4)),IF(ISBLANK(INDEX('register map'!A:A,C416-5)),IF(ISBLANK(INDEX('register map'!A:A,C416-6)),IF(ISBLANK(INDEX('register map'!A:A,C416-7)),IF(ISBLANK(INDEX('register map'!A:A,C416-8)),"ERROR",INDEX('register map'!A:A,C416-8)),INDEX('register map'!A:A,C416-7)),INDEX('register map'!A:A,C416-6)),INDEX('register map'!A:A,C416-5)),INDEX('register map'!A:A,C416-4)),INDEX('register map'!A:A,C416-3)),INDEX('register map'!A:A,C416-2)),INDEX('register map'!A:A,C416-1)),INDEX('register map'!A:A,C416))</f>
        <v>0x38</v>
      </c>
      <c r="F416" s="117" t="str">
        <f>IF(ISBLANK(INDEX('register map'!B:B,C416)),IF(ISBLANK(INDEX('register map'!B:B,C416-1)),IF(ISBLANK(INDEX('register map'!B:B,C416-2)),IF(ISBLANK(INDEX('register map'!B:B,C416-3)),IF(ISBLANK(INDEX('register map'!B:B,C416-4)),IF(ISBLANK(INDEX('register map'!B:B,C416-5)),IF(ISBLANK(INDEX('register map'!B:B,C416-6)),IF(ISBLANK(INDEX('register map'!B:B,C416-7)),IF(ISBLANK(INDEX('register map'!B:B,C416-8)),"ERROR",INDEX('register map'!B:B,C416-8)),INDEX('register map'!B:B,C416-7)),INDEX('register map'!B:B,C416-6)),INDEX('register map'!B:B,C416-5)),INDEX('register map'!B:B,C416-4)),INDEX('register map'!B:B,C416-3)),INDEX('register map'!B:B,C416-2)),INDEX('register map'!B:B,C416-1)),INDEX('register map'!B:B,C416))</f>
        <v>0x1A</v>
      </c>
      <c r="G416" s="117" t="str">
        <f>CONCATENATE(IF(ISNUMBER(INDEX('register map'!D:D,C416)),7,""),IF(ISNUMBER(INDEX('register map'!E:E,C416)),6,""),IF(ISNUMBER(INDEX('register map'!F:F,C416)),5,""),IF(ISNUMBER(INDEX('register map'!G:G,C416)),4,""),IF(ISNUMBER(INDEX('register map'!H:H,C416)),3,""),IF(ISNUMBER(INDEX('register map'!I:I,C416)),2,""),IF(ISNUMBER(INDEX('register map'!J:J,C416)),1,""),IF(ISNUMBER(INDEX('register map'!K:K,C416)),0,""))</f>
        <v>432</v>
      </c>
      <c r="H416" s="117" t="str">
        <f>RIGHT(INDEX('register map'!V:V,MATCH('Logical Group Generator'!B416,'register map'!L:L,0)),LEN(G416))</f>
        <v>000</v>
      </c>
      <c r="I416" s="117" t="str">
        <f>CONCATENATE(IF(ISNUMBER(INDEX('register map'!K:K,C416)),0,""),IF(ISNUMBER(INDEX('register map'!J:J,C416)),1,""),IF(ISNUMBER(INDEX('register map'!I:I,C416)),2,""),IF(ISNUMBER(INDEX('register map'!H:H,C416)),3,""),IF(ISNUMBER(INDEX('register map'!G:G,C416)),4,""),IF(ISNUMBER(INDEX('register map'!F:F,C416)),5,""),IF(ISNUMBER(INDEX('register map'!E:E,C416)),6,""),IF(ISNUMBER(INDEX('register map'!D:D,C416)),7,""))</f>
        <v>234</v>
      </c>
      <c r="J416" s="117" t="str">
        <f t="shared" si="73"/>
        <v>000</v>
      </c>
      <c r="K416" s="117" t="str">
        <f t="shared" si="66"/>
        <v/>
      </c>
      <c r="L416" s="117" t="str">
        <f t="shared" si="74"/>
        <v/>
      </c>
      <c r="M416" s="117" t="str">
        <f t="shared" si="76"/>
        <v/>
      </c>
      <c r="N416" s="117" t="str">
        <f>IF(ISBLANK(INDEX('register map'!M:M,'Logical Group Generator'!C416)),"No","Yes")</f>
        <v>No</v>
      </c>
      <c r="O416" s="117" t="str">
        <f>IF(NOT(ISBLANK(INDEX('register map'!N:N,'Logical Group Generator'!C416))),"Yes","")</f>
        <v/>
      </c>
      <c r="P416" s="117" t="str">
        <f t="shared" si="67"/>
        <v/>
      </c>
      <c r="Q416" s="117" t="str">
        <f t="shared" si="68"/>
        <v/>
      </c>
      <c r="R416" s="117" t="str">
        <f t="shared" si="69"/>
        <v/>
      </c>
      <c r="S416" s="117" t="str">
        <f t="shared" si="70"/>
        <v>No</v>
      </c>
      <c r="T416" s="117" t="str">
        <f t="shared" si="71"/>
        <v/>
      </c>
      <c r="U416" s="117" t="b">
        <f t="shared" si="75"/>
        <v>0</v>
      </c>
      <c r="V416" s="157" t="b">
        <f>INDEX('register map'!P:P,C416)="yes"</f>
        <v>1</v>
      </c>
      <c r="W416" s="157" t="str">
        <f t="shared" si="72"/>
        <v>FALSE</v>
      </c>
    </row>
    <row r="417" spans="2:23">
      <c r="B417" s="157" t="str">
        <f t="array" ref="B417">IF(ROWS($3:417)&lt;=COUNTA('register map'!$L$5:$L$902),INDEX('register map'!$L$5:$L$902,SMALL(IF('register map'!$L$5:$L$902&lt;&gt;"",ROW('register map'!$L$5:$L$902)-MIN(ROW('register map'!$L$5:$L$902))+1),ROWS($3:417))),"")</f>
        <v>OTP_RSVD_38_1A_65</v>
      </c>
      <c r="C417" s="157">
        <f>IF(B417="PART_NUMBER",IF(COUNTIF($B$1:B416,"PART_NUMBER")=0,6,8),MATCH(B417,'register map'!L:L,0))</f>
        <v>521</v>
      </c>
      <c r="D417" s="117" t="str">
        <f>IF(ISBLANK(INDEX('register map'!C:C,'Logical Group Generator'!C417)),"No","Yes")</f>
        <v>No</v>
      </c>
      <c r="E417" s="117" t="str">
        <f>IF(ISBLANK(INDEX('register map'!A:A,C417)),IF(ISBLANK(INDEX('register map'!A:A,C417-1)),IF(ISBLANK(INDEX('register map'!A:A,C417-2)),IF(ISBLANK(INDEX('register map'!A:A,C417-3)),IF(ISBLANK(INDEX('register map'!A:A,C417-4)),IF(ISBLANK(INDEX('register map'!A:A,C417-5)),IF(ISBLANK(INDEX('register map'!A:A,C417-6)),IF(ISBLANK(INDEX('register map'!A:A,C417-7)),IF(ISBLANK(INDEX('register map'!A:A,C417-8)),"ERROR",INDEX('register map'!A:A,C417-8)),INDEX('register map'!A:A,C417-7)),INDEX('register map'!A:A,C417-6)),INDEX('register map'!A:A,C417-5)),INDEX('register map'!A:A,C417-4)),INDEX('register map'!A:A,C417-3)),INDEX('register map'!A:A,C417-2)),INDEX('register map'!A:A,C417-1)),INDEX('register map'!A:A,C417))</f>
        <v>0x38</v>
      </c>
      <c r="F417" s="117" t="str">
        <f>IF(ISBLANK(INDEX('register map'!B:B,C417)),IF(ISBLANK(INDEX('register map'!B:B,C417-1)),IF(ISBLANK(INDEX('register map'!B:B,C417-2)),IF(ISBLANK(INDEX('register map'!B:B,C417-3)),IF(ISBLANK(INDEX('register map'!B:B,C417-4)),IF(ISBLANK(INDEX('register map'!B:B,C417-5)),IF(ISBLANK(INDEX('register map'!B:B,C417-6)),IF(ISBLANK(INDEX('register map'!B:B,C417-7)),IF(ISBLANK(INDEX('register map'!B:B,C417-8)),"ERROR",INDEX('register map'!B:B,C417-8)),INDEX('register map'!B:B,C417-7)),INDEX('register map'!B:B,C417-6)),INDEX('register map'!B:B,C417-5)),INDEX('register map'!B:B,C417-4)),INDEX('register map'!B:B,C417-3)),INDEX('register map'!B:B,C417-2)),INDEX('register map'!B:B,C417-1)),INDEX('register map'!B:B,C417))</f>
        <v>0x1A</v>
      </c>
      <c r="G417" s="117" t="str">
        <f>CONCATENATE(IF(ISNUMBER(INDEX('register map'!D:D,C417)),7,""),IF(ISNUMBER(INDEX('register map'!E:E,C417)),6,""),IF(ISNUMBER(INDEX('register map'!F:F,C417)),5,""),IF(ISNUMBER(INDEX('register map'!G:G,C417)),4,""),IF(ISNUMBER(INDEX('register map'!H:H,C417)),3,""),IF(ISNUMBER(INDEX('register map'!I:I,C417)),2,""),IF(ISNUMBER(INDEX('register map'!J:J,C417)),1,""),IF(ISNUMBER(INDEX('register map'!K:K,C417)),0,""))</f>
        <v>65</v>
      </c>
      <c r="H417" s="117" t="str">
        <f>RIGHT(INDEX('register map'!V:V,MATCH('Logical Group Generator'!B417,'register map'!L:L,0)),LEN(G417))</f>
        <v>01</v>
      </c>
      <c r="I417" s="117" t="str">
        <f>CONCATENATE(IF(ISNUMBER(INDEX('register map'!K:K,C417)),0,""),IF(ISNUMBER(INDEX('register map'!J:J,C417)),1,""),IF(ISNUMBER(INDEX('register map'!I:I,C417)),2,""),IF(ISNUMBER(INDEX('register map'!H:H,C417)),3,""),IF(ISNUMBER(INDEX('register map'!G:G,C417)),4,""),IF(ISNUMBER(INDEX('register map'!F:F,C417)),5,""),IF(ISNUMBER(INDEX('register map'!E:E,C417)),6,""),IF(ISNUMBER(INDEX('register map'!D:D,C417)),7,""))</f>
        <v>56</v>
      </c>
      <c r="J417" s="117" t="str">
        <f t="shared" si="73"/>
        <v>10</v>
      </c>
      <c r="K417" s="117" t="str">
        <f t="shared" si="66"/>
        <v/>
      </c>
      <c r="L417" s="117" t="str">
        <f t="shared" si="74"/>
        <v/>
      </c>
      <c r="M417" s="117" t="str">
        <f t="shared" si="76"/>
        <v/>
      </c>
      <c r="N417" s="117" t="str">
        <f>IF(ISBLANK(INDEX('register map'!M:M,'Logical Group Generator'!C417)),"No","Yes")</f>
        <v>No</v>
      </c>
      <c r="O417" s="117" t="str">
        <f>IF(NOT(ISBLANK(INDEX('register map'!N:N,'Logical Group Generator'!C417))),"Yes","")</f>
        <v/>
      </c>
      <c r="P417" s="117" t="str">
        <f t="shared" si="67"/>
        <v/>
      </c>
      <c r="Q417" s="117" t="str">
        <f t="shared" si="68"/>
        <v/>
      </c>
      <c r="R417" s="117" t="str">
        <f t="shared" si="69"/>
        <v/>
      </c>
      <c r="S417" s="117" t="str">
        <f t="shared" si="70"/>
        <v>No</v>
      </c>
      <c r="T417" s="117" t="str">
        <f t="shared" si="71"/>
        <v/>
      </c>
      <c r="U417" s="117" t="b">
        <f t="shared" si="75"/>
        <v>0</v>
      </c>
      <c r="V417" s="157" t="b">
        <f>INDEX('register map'!P:P,C417)="yes"</f>
        <v>1</v>
      </c>
      <c r="W417" s="157" t="str">
        <f t="shared" si="72"/>
        <v>FALSE</v>
      </c>
    </row>
    <row r="418" spans="2:23">
      <c r="B418" s="157" t="str">
        <f t="array" ref="B418">IF(ROWS($3:418)&lt;=COUNTA('register map'!$L$5:$L$902),INDEX('register map'!$L$5:$L$902,SMALL(IF('register map'!$L$5:$L$902&lt;&gt;"",ROW('register map'!$L$5:$L$902)-MIN(ROW('register map'!$L$5:$L$902))+1),ROWS($3:418))),"")</f>
        <v>OTP_RSVD_38_1A_7</v>
      </c>
      <c r="C418" s="157">
        <f>IF(B418="PART_NUMBER",IF(COUNTIF($B$1:B417,"PART_NUMBER")=0,6,8),MATCH(B418,'register map'!L:L,0))</f>
        <v>522</v>
      </c>
      <c r="D418" s="117" t="str">
        <f>IF(ISBLANK(INDEX('register map'!C:C,'Logical Group Generator'!C418)),"No","Yes")</f>
        <v>No</v>
      </c>
      <c r="E418" s="117" t="str">
        <f>IF(ISBLANK(INDEX('register map'!A:A,C418)),IF(ISBLANK(INDEX('register map'!A:A,C418-1)),IF(ISBLANK(INDEX('register map'!A:A,C418-2)),IF(ISBLANK(INDEX('register map'!A:A,C418-3)),IF(ISBLANK(INDEX('register map'!A:A,C418-4)),IF(ISBLANK(INDEX('register map'!A:A,C418-5)),IF(ISBLANK(INDEX('register map'!A:A,C418-6)),IF(ISBLANK(INDEX('register map'!A:A,C418-7)),IF(ISBLANK(INDEX('register map'!A:A,C418-8)),"ERROR",INDEX('register map'!A:A,C418-8)),INDEX('register map'!A:A,C418-7)),INDEX('register map'!A:A,C418-6)),INDEX('register map'!A:A,C418-5)),INDEX('register map'!A:A,C418-4)),INDEX('register map'!A:A,C418-3)),INDEX('register map'!A:A,C418-2)),INDEX('register map'!A:A,C418-1)),INDEX('register map'!A:A,C418))</f>
        <v>0x38</v>
      </c>
      <c r="F418" s="117" t="str">
        <f>IF(ISBLANK(INDEX('register map'!B:B,C418)),IF(ISBLANK(INDEX('register map'!B:B,C418-1)),IF(ISBLANK(INDEX('register map'!B:B,C418-2)),IF(ISBLANK(INDEX('register map'!B:B,C418-3)),IF(ISBLANK(INDEX('register map'!B:B,C418-4)),IF(ISBLANK(INDEX('register map'!B:B,C418-5)),IF(ISBLANK(INDEX('register map'!B:B,C418-6)),IF(ISBLANK(INDEX('register map'!B:B,C418-7)),IF(ISBLANK(INDEX('register map'!B:B,C418-8)),"ERROR",INDEX('register map'!B:B,C418-8)),INDEX('register map'!B:B,C418-7)),INDEX('register map'!B:B,C418-6)),INDEX('register map'!B:B,C418-5)),INDEX('register map'!B:B,C418-4)),INDEX('register map'!B:B,C418-3)),INDEX('register map'!B:B,C418-2)),INDEX('register map'!B:B,C418-1)),INDEX('register map'!B:B,C418))</f>
        <v>0x1A</v>
      </c>
      <c r="G418" s="117" t="str">
        <f>CONCATENATE(IF(ISNUMBER(INDEX('register map'!D:D,C418)),7,""),IF(ISNUMBER(INDEX('register map'!E:E,C418)),6,""),IF(ISNUMBER(INDEX('register map'!F:F,C418)),5,""),IF(ISNUMBER(INDEX('register map'!G:G,C418)),4,""),IF(ISNUMBER(INDEX('register map'!H:H,C418)),3,""),IF(ISNUMBER(INDEX('register map'!I:I,C418)),2,""),IF(ISNUMBER(INDEX('register map'!J:J,C418)),1,""),IF(ISNUMBER(INDEX('register map'!K:K,C418)),0,""))</f>
        <v>7</v>
      </c>
      <c r="H418" s="117" t="str">
        <f>RIGHT(INDEX('register map'!V:V,MATCH('Logical Group Generator'!B418,'register map'!L:L,0)),LEN(G418))</f>
        <v>0</v>
      </c>
      <c r="I418" s="117" t="str">
        <f>CONCATENATE(IF(ISNUMBER(INDEX('register map'!K:K,C418)),0,""),IF(ISNUMBER(INDEX('register map'!J:J,C418)),1,""),IF(ISNUMBER(INDEX('register map'!I:I,C418)),2,""),IF(ISNUMBER(INDEX('register map'!H:H,C418)),3,""),IF(ISNUMBER(INDEX('register map'!G:G,C418)),4,""),IF(ISNUMBER(INDEX('register map'!F:F,C418)),5,""),IF(ISNUMBER(INDEX('register map'!E:E,C418)),6,""),IF(ISNUMBER(INDEX('register map'!D:D,C418)),7,""))</f>
        <v>7</v>
      </c>
      <c r="J418" s="117" t="str">
        <f t="shared" si="73"/>
        <v>0</v>
      </c>
      <c r="K418" s="117" t="str">
        <f t="shared" si="66"/>
        <v/>
      </c>
      <c r="L418" s="117" t="str">
        <f t="shared" si="74"/>
        <v/>
      </c>
      <c r="M418" s="117" t="str">
        <f t="shared" si="76"/>
        <v/>
      </c>
      <c r="N418" s="117" t="str">
        <f>IF(ISBLANK(INDEX('register map'!M:M,'Logical Group Generator'!C418)),"No","Yes")</f>
        <v>No</v>
      </c>
      <c r="O418" s="117" t="str">
        <f>IF(NOT(ISBLANK(INDEX('register map'!N:N,'Logical Group Generator'!C418))),"Yes","")</f>
        <v/>
      </c>
      <c r="P418" s="117" t="str">
        <f t="shared" si="67"/>
        <v/>
      </c>
      <c r="Q418" s="117" t="str">
        <f t="shared" si="68"/>
        <v/>
      </c>
      <c r="R418" s="117" t="str">
        <f t="shared" si="69"/>
        <v/>
      </c>
      <c r="S418" s="117" t="str">
        <f t="shared" si="70"/>
        <v>No</v>
      </c>
      <c r="T418" s="117" t="str">
        <f t="shared" si="71"/>
        <v/>
      </c>
      <c r="U418" s="117" t="b">
        <f t="shared" si="75"/>
        <v>0</v>
      </c>
      <c r="V418" s="157" t="b">
        <f>INDEX('register map'!P:P,C418)="yes"</f>
        <v>1</v>
      </c>
      <c r="W418" s="157" t="str">
        <f t="shared" si="72"/>
        <v>FALSE</v>
      </c>
    </row>
    <row r="419" spans="2:23">
      <c r="B419" s="157" t="str">
        <f t="array" ref="B419">IF(ROWS($3:419)&lt;=COUNTA('register map'!$L$5:$L$902),INDEX('register map'!$L$5:$L$902,SMALL(IF('register map'!$L$5:$L$902&lt;&gt;"",ROW('register map'!$L$5:$L$902)-MIN(ROW('register map'!$L$5:$L$902))+1),ROWS($3:419))),"")</f>
        <v>SWA1_CTRL_EN3</v>
      </c>
      <c r="C419" s="157">
        <f>IF(B419="PART_NUMBER",IF(COUNTIF($B$1:B418,"PART_NUMBER")=0,6,8),MATCH(B419,'register map'!L:L,0))</f>
        <v>523</v>
      </c>
      <c r="D419" s="117" t="str">
        <f>IF(ISBLANK(INDEX('register map'!C:C,'Logical Group Generator'!C419)),"No","Yes")</f>
        <v>Yes</v>
      </c>
      <c r="E419" s="117" t="str">
        <f>IF(ISBLANK(INDEX('register map'!A:A,C419)),IF(ISBLANK(INDEX('register map'!A:A,C419-1)),IF(ISBLANK(INDEX('register map'!A:A,C419-2)),IF(ISBLANK(INDEX('register map'!A:A,C419-3)),IF(ISBLANK(INDEX('register map'!A:A,C419-4)),IF(ISBLANK(INDEX('register map'!A:A,C419-5)),IF(ISBLANK(INDEX('register map'!A:A,C419-6)),IF(ISBLANK(INDEX('register map'!A:A,C419-7)),IF(ISBLANK(INDEX('register map'!A:A,C419-8)),"ERROR",INDEX('register map'!A:A,C419-8)),INDEX('register map'!A:A,C419-7)),INDEX('register map'!A:A,C419-6)),INDEX('register map'!A:A,C419-5)),INDEX('register map'!A:A,C419-4)),INDEX('register map'!A:A,C419-3)),INDEX('register map'!A:A,C419-2)),INDEX('register map'!A:A,C419-1)),INDEX('register map'!A:A,C419))</f>
        <v>0x38</v>
      </c>
      <c r="F419" s="117" t="str">
        <f>IF(ISBLANK(INDEX('register map'!B:B,C419)),IF(ISBLANK(INDEX('register map'!B:B,C419-1)),IF(ISBLANK(INDEX('register map'!B:B,C419-2)),IF(ISBLANK(INDEX('register map'!B:B,C419-3)),IF(ISBLANK(INDEX('register map'!B:B,C419-4)),IF(ISBLANK(INDEX('register map'!B:B,C419-5)),IF(ISBLANK(INDEX('register map'!B:B,C419-6)),IF(ISBLANK(INDEX('register map'!B:B,C419-7)),IF(ISBLANK(INDEX('register map'!B:B,C419-8)),"ERROR",INDEX('register map'!B:B,C419-8)),INDEX('register map'!B:B,C419-7)),INDEX('register map'!B:B,C419-6)),INDEX('register map'!B:B,C419-5)),INDEX('register map'!B:B,C419-4)),INDEX('register map'!B:B,C419-3)),INDEX('register map'!B:B,C419-2)),INDEX('register map'!B:B,C419-1)),INDEX('register map'!B:B,C419))</f>
        <v>0x1B</v>
      </c>
      <c r="G419" s="117" t="str">
        <f>CONCATENATE(IF(ISNUMBER(INDEX('register map'!D:D,C419)),7,""),IF(ISNUMBER(INDEX('register map'!E:E,C419)),6,""),IF(ISNUMBER(INDEX('register map'!F:F,C419)),5,""),IF(ISNUMBER(INDEX('register map'!G:G,C419)),4,""),IF(ISNUMBER(INDEX('register map'!H:H,C419)),3,""),IF(ISNUMBER(INDEX('register map'!I:I,C419)),2,""),IF(ISNUMBER(INDEX('register map'!J:J,C419)),1,""),IF(ISNUMBER(INDEX('register map'!K:K,C419)),0,""))</f>
        <v/>
      </c>
      <c r="H419" s="117" t="str">
        <f>RIGHT(INDEX('register map'!V:V,MATCH('Logical Group Generator'!B419,'register map'!L:L,0)),LEN(G419))</f>
        <v/>
      </c>
      <c r="I419" s="117" t="str">
        <f>CONCATENATE(IF(ISNUMBER(INDEX('register map'!K:K,C419)),0,""),IF(ISNUMBER(INDEX('register map'!J:J,C419)),1,""),IF(ISNUMBER(INDEX('register map'!I:I,C419)),2,""),IF(ISNUMBER(INDEX('register map'!H:H,C419)),3,""),IF(ISNUMBER(INDEX('register map'!G:G,C419)),4,""),IF(ISNUMBER(INDEX('register map'!F:F,C419)),5,""),IF(ISNUMBER(INDEX('register map'!E:E,C419)),6,""),IF(ISNUMBER(INDEX('register map'!D:D,C419)),7,""))</f>
        <v/>
      </c>
      <c r="J419" s="117" t="str">
        <f t="shared" si="73"/>
        <v/>
      </c>
      <c r="K419" s="117" t="str">
        <f t="shared" si="66"/>
        <v>00000000</v>
      </c>
      <c r="L419" s="117" t="str">
        <f t="shared" si="74"/>
        <v>00000000</v>
      </c>
      <c r="M419" s="117" t="str">
        <f t="shared" si="76"/>
        <v>00</v>
      </c>
      <c r="N419" s="117" t="str">
        <f>IF(ISBLANK(INDEX('register map'!M:M,'Logical Group Generator'!C419)),"No","Yes")</f>
        <v>No</v>
      </c>
      <c r="O419" s="117" t="str">
        <f>IF(NOT(ISBLANK(INDEX('register map'!N:N,'Logical Group Generator'!C419))),"Yes","")</f>
        <v/>
      </c>
      <c r="P419" s="117" t="str">
        <f t="shared" si="67"/>
        <v>No</v>
      </c>
      <c r="Q419" s="117" t="str">
        <f t="shared" si="68"/>
        <v>No</v>
      </c>
      <c r="R419" s="117" t="str">
        <f t="shared" si="69"/>
        <v>No</v>
      </c>
      <c r="S419" s="117" t="str">
        <f t="shared" si="70"/>
        <v/>
      </c>
      <c r="T419" s="117" t="b">
        <f t="shared" si="71"/>
        <v>1</v>
      </c>
      <c r="U419" s="117" t="b">
        <f t="shared" si="75"/>
        <v>1</v>
      </c>
      <c r="V419" s="157" t="b">
        <f>INDEX('register map'!P:P,C419)="yes"</f>
        <v>1</v>
      </c>
      <c r="W419" s="157" t="str">
        <f t="shared" si="72"/>
        <v>REGISTER</v>
      </c>
    </row>
    <row r="420" spans="2:23">
      <c r="B420" s="157" t="str">
        <f t="array" ref="B420">IF(ROWS($3:420)&lt;=COUNTA('register map'!$L$5:$L$902),INDEX('register map'!$L$5:$L$902,SMALL(IF('register map'!$L$5:$L$902&lt;&gt;"",ROW('register map'!$L$5:$L$902)-MIN(ROW('register map'!$L$5:$L$902))+1),ROWS($3:420))),"")</f>
        <v>OTP_RSVD_38_1B_210</v>
      </c>
      <c r="C420" s="157">
        <f>IF(B420="PART_NUMBER",IF(COUNTIF($B$1:B419,"PART_NUMBER")=0,6,8),MATCH(B420,'register map'!L:L,0))</f>
        <v>524</v>
      </c>
      <c r="D420" s="117" t="str">
        <f>IF(ISBLANK(INDEX('register map'!C:C,'Logical Group Generator'!C420)),"No","Yes")</f>
        <v>No</v>
      </c>
      <c r="E420" s="117" t="str">
        <f>IF(ISBLANK(INDEX('register map'!A:A,C420)),IF(ISBLANK(INDEX('register map'!A:A,C420-1)),IF(ISBLANK(INDEX('register map'!A:A,C420-2)),IF(ISBLANK(INDEX('register map'!A:A,C420-3)),IF(ISBLANK(INDEX('register map'!A:A,C420-4)),IF(ISBLANK(INDEX('register map'!A:A,C420-5)),IF(ISBLANK(INDEX('register map'!A:A,C420-6)),IF(ISBLANK(INDEX('register map'!A:A,C420-7)),IF(ISBLANK(INDEX('register map'!A:A,C420-8)),"ERROR",INDEX('register map'!A:A,C420-8)),INDEX('register map'!A:A,C420-7)),INDEX('register map'!A:A,C420-6)),INDEX('register map'!A:A,C420-5)),INDEX('register map'!A:A,C420-4)),INDEX('register map'!A:A,C420-3)),INDEX('register map'!A:A,C420-2)),INDEX('register map'!A:A,C420-1)),INDEX('register map'!A:A,C420))</f>
        <v>0x38</v>
      </c>
      <c r="F420" s="117" t="str">
        <f>IF(ISBLANK(INDEX('register map'!B:B,C420)),IF(ISBLANK(INDEX('register map'!B:B,C420-1)),IF(ISBLANK(INDEX('register map'!B:B,C420-2)),IF(ISBLANK(INDEX('register map'!B:B,C420-3)),IF(ISBLANK(INDEX('register map'!B:B,C420-4)),IF(ISBLANK(INDEX('register map'!B:B,C420-5)),IF(ISBLANK(INDEX('register map'!B:B,C420-6)),IF(ISBLANK(INDEX('register map'!B:B,C420-7)),IF(ISBLANK(INDEX('register map'!B:B,C420-8)),"ERROR",INDEX('register map'!B:B,C420-8)),INDEX('register map'!B:B,C420-7)),INDEX('register map'!B:B,C420-6)),INDEX('register map'!B:B,C420-5)),INDEX('register map'!B:B,C420-4)),INDEX('register map'!B:B,C420-3)),INDEX('register map'!B:B,C420-2)),INDEX('register map'!B:B,C420-1)),INDEX('register map'!B:B,C420))</f>
        <v>0x1B</v>
      </c>
      <c r="G420" s="117" t="str">
        <f>CONCATENATE(IF(ISNUMBER(INDEX('register map'!D:D,C420)),7,""),IF(ISNUMBER(INDEX('register map'!E:E,C420)),6,""),IF(ISNUMBER(INDEX('register map'!F:F,C420)),5,""),IF(ISNUMBER(INDEX('register map'!G:G,C420)),4,""),IF(ISNUMBER(INDEX('register map'!H:H,C420)),3,""),IF(ISNUMBER(INDEX('register map'!I:I,C420)),2,""),IF(ISNUMBER(INDEX('register map'!J:J,C420)),1,""),IF(ISNUMBER(INDEX('register map'!K:K,C420)),0,""))</f>
        <v>210</v>
      </c>
      <c r="H420" s="117" t="str">
        <f>RIGHT(INDEX('register map'!V:V,MATCH('Logical Group Generator'!B420,'register map'!L:L,0)),LEN(G420))</f>
        <v>000</v>
      </c>
      <c r="I420" s="117" t="str">
        <f>CONCATENATE(IF(ISNUMBER(INDEX('register map'!K:K,C420)),0,""),IF(ISNUMBER(INDEX('register map'!J:J,C420)),1,""),IF(ISNUMBER(INDEX('register map'!I:I,C420)),2,""),IF(ISNUMBER(INDEX('register map'!H:H,C420)),3,""),IF(ISNUMBER(INDEX('register map'!G:G,C420)),4,""),IF(ISNUMBER(INDEX('register map'!F:F,C420)),5,""),IF(ISNUMBER(INDEX('register map'!E:E,C420)),6,""),IF(ISNUMBER(INDEX('register map'!D:D,C420)),7,""))</f>
        <v>012</v>
      </c>
      <c r="J420" s="117" t="str">
        <f t="shared" si="73"/>
        <v>000</v>
      </c>
      <c r="K420" s="117" t="str">
        <f t="shared" si="66"/>
        <v/>
      </c>
      <c r="L420" s="117" t="str">
        <f t="shared" si="74"/>
        <v/>
      </c>
      <c r="M420" s="117" t="str">
        <f t="shared" si="76"/>
        <v/>
      </c>
      <c r="N420" s="117" t="str">
        <f>IF(ISBLANK(INDEX('register map'!M:M,'Logical Group Generator'!C420)),"No","Yes")</f>
        <v>No</v>
      </c>
      <c r="O420" s="117" t="str">
        <f>IF(NOT(ISBLANK(INDEX('register map'!N:N,'Logical Group Generator'!C420))),"Yes","")</f>
        <v/>
      </c>
      <c r="P420" s="117" t="str">
        <f t="shared" si="67"/>
        <v/>
      </c>
      <c r="Q420" s="117" t="str">
        <f t="shared" si="68"/>
        <v/>
      </c>
      <c r="R420" s="117" t="str">
        <f t="shared" si="69"/>
        <v/>
      </c>
      <c r="S420" s="117" t="str">
        <f t="shared" si="70"/>
        <v>No</v>
      </c>
      <c r="T420" s="117" t="str">
        <f t="shared" si="71"/>
        <v/>
      </c>
      <c r="U420" s="117" t="b">
        <f t="shared" si="75"/>
        <v>0</v>
      </c>
      <c r="V420" s="157" t="b">
        <f>INDEX('register map'!P:P,C420)="yes"</f>
        <v>1</v>
      </c>
      <c r="W420" s="157" t="str">
        <f t="shared" si="72"/>
        <v>FALSE</v>
      </c>
    </row>
    <row r="421" spans="2:23">
      <c r="B421" s="157" t="str">
        <f t="array" ref="B421">IF(ROWS($3:421)&lt;=COUNTA('register map'!$L$5:$L$902),INDEX('register map'!$L$5:$L$902,SMALL(IF('register map'!$L$5:$L$902&lt;&gt;"",ROW('register map'!$L$5:$L$902)-MIN(ROW('register map'!$L$5:$L$902))+1),ROWS($3:421))),"")</f>
        <v>OTP_RSVD_38_1B_543</v>
      </c>
      <c r="C421" s="157">
        <f>IF(B421="PART_NUMBER",IF(COUNTIF($B$1:B420,"PART_NUMBER")=0,6,8),MATCH(B421,'register map'!L:L,0))</f>
        <v>525</v>
      </c>
      <c r="D421" s="117" t="str">
        <f>IF(ISBLANK(INDEX('register map'!C:C,'Logical Group Generator'!C421)),"No","Yes")</f>
        <v>No</v>
      </c>
      <c r="E421" s="117" t="str">
        <f>IF(ISBLANK(INDEX('register map'!A:A,C421)),IF(ISBLANK(INDEX('register map'!A:A,C421-1)),IF(ISBLANK(INDEX('register map'!A:A,C421-2)),IF(ISBLANK(INDEX('register map'!A:A,C421-3)),IF(ISBLANK(INDEX('register map'!A:A,C421-4)),IF(ISBLANK(INDEX('register map'!A:A,C421-5)),IF(ISBLANK(INDEX('register map'!A:A,C421-6)),IF(ISBLANK(INDEX('register map'!A:A,C421-7)),IF(ISBLANK(INDEX('register map'!A:A,C421-8)),"ERROR",INDEX('register map'!A:A,C421-8)),INDEX('register map'!A:A,C421-7)),INDEX('register map'!A:A,C421-6)),INDEX('register map'!A:A,C421-5)),INDEX('register map'!A:A,C421-4)),INDEX('register map'!A:A,C421-3)),INDEX('register map'!A:A,C421-2)),INDEX('register map'!A:A,C421-1)),INDEX('register map'!A:A,C421))</f>
        <v>0x38</v>
      </c>
      <c r="F421" s="117" t="str">
        <f>IF(ISBLANK(INDEX('register map'!B:B,C421)),IF(ISBLANK(INDEX('register map'!B:B,C421-1)),IF(ISBLANK(INDEX('register map'!B:B,C421-2)),IF(ISBLANK(INDEX('register map'!B:B,C421-3)),IF(ISBLANK(INDEX('register map'!B:B,C421-4)),IF(ISBLANK(INDEX('register map'!B:B,C421-5)),IF(ISBLANK(INDEX('register map'!B:B,C421-6)),IF(ISBLANK(INDEX('register map'!B:B,C421-7)),IF(ISBLANK(INDEX('register map'!B:B,C421-8)),"ERROR",INDEX('register map'!B:B,C421-8)),INDEX('register map'!B:B,C421-7)),INDEX('register map'!B:B,C421-6)),INDEX('register map'!B:B,C421-5)),INDEX('register map'!B:B,C421-4)),INDEX('register map'!B:B,C421-3)),INDEX('register map'!B:B,C421-2)),INDEX('register map'!B:B,C421-1)),INDEX('register map'!B:B,C421))</f>
        <v>0x1B</v>
      </c>
      <c r="G421" s="117" t="str">
        <f>CONCATENATE(IF(ISNUMBER(INDEX('register map'!D:D,C421)),7,""),IF(ISNUMBER(INDEX('register map'!E:E,C421)),6,""),IF(ISNUMBER(INDEX('register map'!F:F,C421)),5,""),IF(ISNUMBER(INDEX('register map'!G:G,C421)),4,""),IF(ISNUMBER(INDEX('register map'!H:H,C421)),3,""),IF(ISNUMBER(INDEX('register map'!I:I,C421)),2,""),IF(ISNUMBER(INDEX('register map'!J:J,C421)),1,""),IF(ISNUMBER(INDEX('register map'!K:K,C421)),0,""))</f>
        <v>543</v>
      </c>
      <c r="H421" s="117" t="str">
        <f>RIGHT(INDEX('register map'!V:V,MATCH('Logical Group Generator'!B421,'register map'!L:L,0)),LEN(G421))</f>
        <v>000</v>
      </c>
      <c r="I421" s="117" t="str">
        <f>CONCATENATE(IF(ISNUMBER(INDEX('register map'!K:K,C421)),0,""),IF(ISNUMBER(INDEX('register map'!J:J,C421)),1,""),IF(ISNUMBER(INDEX('register map'!I:I,C421)),2,""),IF(ISNUMBER(INDEX('register map'!H:H,C421)),3,""),IF(ISNUMBER(INDEX('register map'!G:G,C421)),4,""),IF(ISNUMBER(INDEX('register map'!F:F,C421)),5,""),IF(ISNUMBER(INDEX('register map'!E:E,C421)),6,""),IF(ISNUMBER(INDEX('register map'!D:D,C421)),7,""))</f>
        <v>345</v>
      </c>
      <c r="J421" s="117" t="str">
        <f t="shared" si="73"/>
        <v>000</v>
      </c>
      <c r="K421" s="117" t="str">
        <f t="shared" si="66"/>
        <v/>
      </c>
      <c r="L421" s="117" t="str">
        <f t="shared" si="74"/>
        <v/>
      </c>
      <c r="M421" s="117" t="str">
        <f t="shared" si="76"/>
        <v/>
      </c>
      <c r="N421" s="117" t="str">
        <f>IF(ISBLANK(INDEX('register map'!M:M,'Logical Group Generator'!C421)),"No","Yes")</f>
        <v>No</v>
      </c>
      <c r="O421" s="117" t="str">
        <f>IF(NOT(ISBLANK(INDEX('register map'!N:N,'Logical Group Generator'!C421))),"Yes","")</f>
        <v/>
      </c>
      <c r="P421" s="117" t="str">
        <f t="shared" si="67"/>
        <v/>
      </c>
      <c r="Q421" s="117" t="str">
        <f t="shared" si="68"/>
        <v/>
      </c>
      <c r="R421" s="117" t="str">
        <f t="shared" si="69"/>
        <v/>
      </c>
      <c r="S421" s="117" t="str">
        <f t="shared" si="70"/>
        <v>No</v>
      </c>
      <c r="T421" s="117" t="str">
        <f t="shared" si="71"/>
        <v/>
      </c>
      <c r="U421" s="117" t="b">
        <f t="shared" si="75"/>
        <v>0</v>
      </c>
      <c r="V421" s="157" t="b">
        <f>INDEX('register map'!P:P,C421)="yes"</f>
        <v>1</v>
      </c>
      <c r="W421" s="157" t="str">
        <f t="shared" si="72"/>
        <v>FALSE</v>
      </c>
    </row>
    <row r="422" spans="2:23">
      <c r="B422" s="157" t="str">
        <f t="array" ref="B422">IF(ROWS($3:422)&lt;=COUNTA('register map'!$L$5:$L$902),INDEX('register map'!$L$5:$L$902,SMALL(IF('register map'!$L$5:$L$902&lt;&gt;"",ROW('register map'!$L$5:$L$902)-MIN(ROW('register map'!$L$5:$L$902))+1),ROWS($3:422))),"")</f>
        <v>OTP_RSVD_38_1B_76</v>
      </c>
      <c r="C422" s="157">
        <f>IF(B422="PART_NUMBER",IF(COUNTIF($B$1:B421,"PART_NUMBER")=0,6,8),MATCH(B422,'register map'!L:L,0))</f>
        <v>526</v>
      </c>
      <c r="D422" s="117" t="str">
        <f>IF(ISBLANK(INDEX('register map'!C:C,'Logical Group Generator'!C422)),"No","Yes")</f>
        <v>No</v>
      </c>
      <c r="E422" s="117" t="str">
        <f>IF(ISBLANK(INDEX('register map'!A:A,C422)),IF(ISBLANK(INDEX('register map'!A:A,C422-1)),IF(ISBLANK(INDEX('register map'!A:A,C422-2)),IF(ISBLANK(INDEX('register map'!A:A,C422-3)),IF(ISBLANK(INDEX('register map'!A:A,C422-4)),IF(ISBLANK(INDEX('register map'!A:A,C422-5)),IF(ISBLANK(INDEX('register map'!A:A,C422-6)),IF(ISBLANK(INDEX('register map'!A:A,C422-7)),IF(ISBLANK(INDEX('register map'!A:A,C422-8)),"ERROR",INDEX('register map'!A:A,C422-8)),INDEX('register map'!A:A,C422-7)),INDEX('register map'!A:A,C422-6)),INDEX('register map'!A:A,C422-5)),INDEX('register map'!A:A,C422-4)),INDEX('register map'!A:A,C422-3)),INDEX('register map'!A:A,C422-2)),INDEX('register map'!A:A,C422-1)),INDEX('register map'!A:A,C422))</f>
        <v>0x38</v>
      </c>
      <c r="F422" s="117" t="str">
        <f>IF(ISBLANK(INDEX('register map'!B:B,C422)),IF(ISBLANK(INDEX('register map'!B:B,C422-1)),IF(ISBLANK(INDEX('register map'!B:B,C422-2)),IF(ISBLANK(INDEX('register map'!B:B,C422-3)),IF(ISBLANK(INDEX('register map'!B:B,C422-4)),IF(ISBLANK(INDEX('register map'!B:B,C422-5)),IF(ISBLANK(INDEX('register map'!B:B,C422-6)),IF(ISBLANK(INDEX('register map'!B:B,C422-7)),IF(ISBLANK(INDEX('register map'!B:B,C422-8)),"ERROR",INDEX('register map'!B:B,C422-8)),INDEX('register map'!B:B,C422-7)),INDEX('register map'!B:B,C422-6)),INDEX('register map'!B:B,C422-5)),INDEX('register map'!B:B,C422-4)),INDEX('register map'!B:B,C422-3)),INDEX('register map'!B:B,C422-2)),INDEX('register map'!B:B,C422-1)),INDEX('register map'!B:B,C422))</f>
        <v>0x1B</v>
      </c>
      <c r="G422" s="117" t="str">
        <f>CONCATENATE(IF(ISNUMBER(INDEX('register map'!D:D,C422)),7,""),IF(ISNUMBER(INDEX('register map'!E:E,C422)),6,""),IF(ISNUMBER(INDEX('register map'!F:F,C422)),5,""),IF(ISNUMBER(INDEX('register map'!G:G,C422)),4,""),IF(ISNUMBER(INDEX('register map'!H:H,C422)),3,""),IF(ISNUMBER(INDEX('register map'!I:I,C422)),2,""),IF(ISNUMBER(INDEX('register map'!J:J,C422)),1,""),IF(ISNUMBER(INDEX('register map'!K:K,C422)),0,""))</f>
        <v>76</v>
      </c>
      <c r="H422" s="117" t="str">
        <f>RIGHT(INDEX('register map'!V:V,MATCH('Logical Group Generator'!B422,'register map'!L:L,0)),LEN(G422))</f>
        <v>00</v>
      </c>
      <c r="I422" s="117" t="str">
        <f>CONCATENATE(IF(ISNUMBER(INDEX('register map'!K:K,C422)),0,""),IF(ISNUMBER(INDEX('register map'!J:J,C422)),1,""),IF(ISNUMBER(INDEX('register map'!I:I,C422)),2,""),IF(ISNUMBER(INDEX('register map'!H:H,C422)),3,""),IF(ISNUMBER(INDEX('register map'!G:G,C422)),4,""),IF(ISNUMBER(INDEX('register map'!F:F,C422)),5,""),IF(ISNUMBER(INDEX('register map'!E:E,C422)),6,""),IF(ISNUMBER(INDEX('register map'!D:D,C422)),7,""))</f>
        <v>67</v>
      </c>
      <c r="J422" s="117" t="str">
        <f t="shared" si="73"/>
        <v>00</v>
      </c>
      <c r="K422" s="117" t="str">
        <f t="shared" si="66"/>
        <v/>
      </c>
      <c r="L422" s="117" t="str">
        <f t="shared" si="74"/>
        <v/>
      </c>
      <c r="M422" s="117" t="str">
        <f t="shared" si="76"/>
        <v/>
      </c>
      <c r="N422" s="117" t="str">
        <f>IF(ISBLANK(INDEX('register map'!M:M,'Logical Group Generator'!C422)),"No","Yes")</f>
        <v>No</v>
      </c>
      <c r="O422" s="117" t="str">
        <f>IF(NOT(ISBLANK(INDEX('register map'!N:N,'Logical Group Generator'!C422))),"Yes","")</f>
        <v/>
      </c>
      <c r="P422" s="117" t="str">
        <f t="shared" si="67"/>
        <v/>
      </c>
      <c r="Q422" s="117" t="str">
        <f t="shared" si="68"/>
        <v/>
      </c>
      <c r="R422" s="117" t="str">
        <f t="shared" si="69"/>
        <v/>
      </c>
      <c r="S422" s="117" t="str">
        <f t="shared" si="70"/>
        <v>No</v>
      </c>
      <c r="T422" s="117" t="str">
        <f t="shared" si="71"/>
        <v/>
      </c>
      <c r="U422" s="117" t="b">
        <f t="shared" si="75"/>
        <v>0</v>
      </c>
      <c r="V422" s="157" t="b">
        <f>INDEX('register map'!P:P,C422)="yes"</f>
        <v>1</v>
      </c>
      <c r="W422" s="157" t="str">
        <f t="shared" si="72"/>
        <v>FALSE</v>
      </c>
    </row>
    <row r="423" spans="2:23">
      <c r="B423" s="157" t="str">
        <f t="array" ref="B423">IF(ROWS($3:423)&lt;=COUNTA('register map'!$L$5:$L$902),INDEX('register map'!$L$5:$L$902,SMALL(IF('register map'!$L$5:$L$902&lt;&gt;"",ROW('register map'!$L$5:$L$902)-MIN(ROW('register map'!$L$5:$L$902))+1),ROWS($3:423))),"")</f>
        <v>LDOA2_CTRL_EN1</v>
      </c>
      <c r="C423" s="157">
        <f>IF(B423="PART_NUMBER",IF(COUNTIF($B$1:B422,"PART_NUMBER")=0,6,8),MATCH(B423,'register map'!L:L,0))</f>
        <v>527</v>
      </c>
      <c r="D423" s="117" t="str">
        <f>IF(ISBLANK(INDEX('register map'!C:C,'Logical Group Generator'!C423)),"No","Yes")</f>
        <v>Yes</v>
      </c>
      <c r="E423" s="117" t="str">
        <f>IF(ISBLANK(INDEX('register map'!A:A,C423)),IF(ISBLANK(INDEX('register map'!A:A,C423-1)),IF(ISBLANK(INDEX('register map'!A:A,C423-2)),IF(ISBLANK(INDEX('register map'!A:A,C423-3)),IF(ISBLANK(INDEX('register map'!A:A,C423-4)),IF(ISBLANK(INDEX('register map'!A:A,C423-5)),IF(ISBLANK(INDEX('register map'!A:A,C423-6)),IF(ISBLANK(INDEX('register map'!A:A,C423-7)),IF(ISBLANK(INDEX('register map'!A:A,C423-8)),"ERROR",INDEX('register map'!A:A,C423-8)),INDEX('register map'!A:A,C423-7)),INDEX('register map'!A:A,C423-6)),INDEX('register map'!A:A,C423-5)),INDEX('register map'!A:A,C423-4)),INDEX('register map'!A:A,C423-3)),INDEX('register map'!A:A,C423-2)),INDEX('register map'!A:A,C423-1)),INDEX('register map'!A:A,C423))</f>
        <v>0x38</v>
      </c>
      <c r="F423" s="117" t="str">
        <f>IF(ISBLANK(INDEX('register map'!B:B,C423)),IF(ISBLANK(INDEX('register map'!B:B,C423-1)),IF(ISBLANK(INDEX('register map'!B:B,C423-2)),IF(ISBLANK(INDEX('register map'!B:B,C423-3)),IF(ISBLANK(INDEX('register map'!B:B,C423-4)),IF(ISBLANK(INDEX('register map'!B:B,C423-5)),IF(ISBLANK(INDEX('register map'!B:B,C423-6)),IF(ISBLANK(INDEX('register map'!B:B,C423-7)),IF(ISBLANK(INDEX('register map'!B:B,C423-8)),"ERROR",INDEX('register map'!B:B,C423-8)),INDEX('register map'!B:B,C423-7)),INDEX('register map'!B:B,C423-6)),INDEX('register map'!B:B,C423-5)),INDEX('register map'!B:B,C423-4)),INDEX('register map'!B:B,C423-3)),INDEX('register map'!B:B,C423-2)),INDEX('register map'!B:B,C423-1)),INDEX('register map'!B:B,C423))</f>
        <v>0x1C</v>
      </c>
      <c r="G423" s="117" t="str">
        <f>CONCATENATE(IF(ISNUMBER(INDEX('register map'!D:D,C423)),7,""),IF(ISNUMBER(INDEX('register map'!E:E,C423)),6,""),IF(ISNUMBER(INDEX('register map'!F:F,C423)),5,""),IF(ISNUMBER(INDEX('register map'!G:G,C423)),4,""),IF(ISNUMBER(INDEX('register map'!H:H,C423)),3,""),IF(ISNUMBER(INDEX('register map'!I:I,C423)),2,""),IF(ISNUMBER(INDEX('register map'!J:J,C423)),1,""),IF(ISNUMBER(INDEX('register map'!K:K,C423)),0,""))</f>
        <v/>
      </c>
      <c r="H423" s="117" t="str">
        <f>RIGHT(INDEX('register map'!V:V,MATCH('Logical Group Generator'!B423,'register map'!L:L,0)),LEN(G423))</f>
        <v/>
      </c>
      <c r="I423" s="117" t="str">
        <f>CONCATENATE(IF(ISNUMBER(INDEX('register map'!K:K,C423)),0,""),IF(ISNUMBER(INDEX('register map'!J:J,C423)),1,""),IF(ISNUMBER(INDEX('register map'!I:I,C423)),2,""),IF(ISNUMBER(INDEX('register map'!H:H,C423)),3,""),IF(ISNUMBER(INDEX('register map'!G:G,C423)),4,""),IF(ISNUMBER(INDEX('register map'!F:F,C423)),5,""),IF(ISNUMBER(INDEX('register map'!E:E,C423)),6,""),IF(ISNUMBER(INDEX('register map'!D:D,C423)),7,""))</f>
        <v/>
      </c>
      <c r="J423" s="117" t="str">
        <f t="shared" si="73"/>
        <v/>
      </c>
      <c r="K423" s="117" t="str">
        <f t="shared" si="66"/>
        <v>11111111</v>
      </c>
      <c r="L423" s="117" t="str">
        <f t="shared" si="74"/>
        <v>11111111</v>
      </c>
      <c r="M423" s="117" t="str">
        <f t="shared" si="76"/>
        <v>FF</v>
      </c>
      <c r="N423" s="117" t="str">
        <f>IF(ISBLANK(INDEX('register map'!M:M,'Logical Group Generator'!C423)),"No","Yes")</f>
        <v>No</v>
      </c>
      <c r="O423" s="117" t="str">
        <f>IF(NOT(ISBLANK(INDEX('register map'!N:N,'Logical Group Generator'!C423))),"Yes","")</f>
        <v/>
      </c>
      <c r="P423" s="117" t="str">
        <f t="shared" si="67"/>
        <v>No</v>
      </c>
      <c r="Q423" s="117" t="str">
        <f t="shared" si="68"/>
        <v>No</v>
      </c>
      <c r="R423" s="117" t="str">
        <f t="shared" si="69"/>
        <v>No</v>
      </c>
      <c r="S423" s="117" t="str">
        <f t="shared" si="70"/>
        <v/>
      </c>
      <c r="T423" s="117" t="b">
        <f t="shared" si="71"/>
        <v>1</v>
      </c>
      <c r="U423" s="117" t="b">
        <f t="shared" si="75"/>
        <v>1</v>
      </c>
      <c r="V423" s="157" t="b">
        <f>INDEX('register map'!P:P,C423)="yes"</f>
        <v>1</v>
      </c>
      <c r="W423" s="157" t="str">
        <f t="shared" si="72"/>
        <v>REGISTER</v>
      </c>
    </row>
    <row r="424" spans="2:23">
      <c r="B424" s="157" t="str">
        <f t="array" ref="B424">IF(ROWS($3:424)&lt;=COUNTA('register map'!$L$5:$L$902),INDEX('register map'!$L$5:$L$902,SMALL(IF('register map'!$L$5:$L$902&lt;&gt;"",ROW('register map'!$L$5:$L$902)-MIN(ROW('register map'!$L$5:$L$902))+1),ROWS($3:424))),"")</f>
        <v>OTP_RSVD_38_1C_0</v>
      </c>
      <c r="C424" s="157">
        <f>IF(B424="PART_NUMBER",IF(COUNTIF($B$1:B423,"PART_NUMBER")=0,6,8),MATCH(B424,'register map'!L:L,0))</f>
        <v>528</v>
      </c>
      <c r="D424" s="117" t="str">
        <f>IF(ISBLANK(INDEX('register map'!C:C,'Logical Group Generator'!C424)),"No","Yes")</f>
        <v>No</v>
      </c>
      <c r="E424" s="117" t="str">
        <f>IF(ISBLANK(INDEX('register map'!A:A,C424)),IF(ISBLANK(INDEX('register map'!A:A,C424-1)),IF(ISBLANK(INDEX('register map'!A:A,C424-2)),IF(ISBLANK(INDEX('register map'!A:A,C424-3)),IF(ISBLANK(INDEX('register map'!A:A,C424-4)),IF(ISBLANK(INDEX('register map'!A:A,C424-5)),IF(ISBLANK(INDEX('register map'!A:A,C424-6)),IF(ISBLANK(INDEX('register map'!A:A,C424-7)),IF(ISBLANK(INDEX('register map'!A:A,C424-8)),"ERROR",INDEX('register map'!A:A,C424-8)),INDEX('register map'!A:A,C424-7)),INDEX('register map'!A:A,C424-6)),INDEX('register map'!A:A,C424-5)),INDEX('register map'!A:A,C424-4)),INDEX('register map'!A:A,C424-3)),INDEX('register map'!A:A,C424-2)),INDEX('register map'!A:A,C424-1)),INDEX('register map'!A:A,C424))</f>
        <v>0x38</v>
      </c>
      <c r="F424" s="117" t="str">
        <f>IF(ISBLANK(INDEX('register map'!B:B,C424)),IF(ISBLANK(INDEX('register map'!B:B,C424-1)),IF(ISBLANK(INDEX('register map'!B:B,C424-2)),IF(ISBLANK(INDEX('register map'!B:B,C424-3)),IF(ISBLANK(INDEX('register map'!B:B,C424-4)),IF(ISBLANK(INDEX('register map'!B:B,C424-5)),IF(ISBLANK(INDEX('register map'!B:B,C424-6)),IF(ISBLANK(INDEX('register map'!B:B,C424-7)),IF(ISBLANK(INDEX('register map'!B:B,C424-8)),"ERROR",INDEX('register map'!B:B,C424-8)),INDEX('register map'!B:B,C424-7)),INDEX('register map'!B:B,C424-6)),INDEX('register map'!B:B,C424-5)),INDEX('register map'!B:B,C424-4)),INDEX('register map'!B:B,C424-3)),INDEX('register map'!B:B,C424-2)),INDEX('register map'!B:B,C424-1)),INDEX('register map'!B:B,C424))</f>
        <v>0x1C</v>
      </c>
      <c r="G424" s="117" t="str">
        <f>CONCATENATE(IF(ISNUMBER(INDEX('register map'!D:D,C424)),7,""),IF(ISNUMBER(INDEX('register map'!E:E,C424)),6,""),IF(ISNUMBER(INDEX('register map'!F:F,C424)),5,""),IF(ISNUMBER(INDEX('register map'!G:G,C424)),4,""),IF(ISNUMBER(INDEX('register map'!H:H,C424)),3,""),IF(ISNUMBER(INDEX('register map'!I:I,C424)),2,""),IF(ISNUMBER(INDEX('register map'!J:J,C424)),1,""),IF(ISNUMBER(INDEX('register map'!K:K,C424)),0,""))</f>
        <v>0</v>
      </c>
      <c r="H424" s="117" t="str">
        <f>RIGHT(INDEX('register map'!V:V,MATCH('Logical Group Generator'!B424,'register map'!L:L,0)),LEN(G424))</f>
        <v>1</v>
      </c>
      <c r="I424" s="117" t="str">
        <f>CONCATENATE(IF(ISNUMBER(INDEX('register map'!K:K,C424)),0,""),IF(ISNUMBER(INDEX('register map'!J:J,C424)),1,""),IF(ISNUMBER(INDEX('register map'!I:I,C424)),2,""),IF(ISNUMBER(INDEX('register map'!H:H,C424)),3,""),IF(ISNUMBER(INDEX('register map'!G:G,C424)),4,""),IF(ISNUMBER(INDEX('register map'!F:F,C424)),5,""),IF(ISNUMBER(INDEX('register map'!E:E,C424)),6,""),IF(ISNUMBER(INDEX('register map'!D:D,C424)),7,""))</f>
        <v>0</v>
      </c>
      <c r="J424" s="117" t="str">
        <f t="shared" si="73"/>
        <v>1</v>
      </c>
      <c r="K424" s="117" t="str">
        <f t="shared" si="66"/>
        <v/>
      </c>
      <c r="L424" s="117" t="str">
        <f t="shared" si="74"/>
        <v/>
      </c>
      <c r="M424" s="117" t="str">
        <f t="shared" si="76"/>
        <v/>
      </c>
      <c r="N424" s="117" t="str">
        <f>IF(ISBLANK(INDEX('register map'!M:M,'Logical Group Generator'!C424)),"No","Yes")</f>
        <v>No</v>
      </c>
      <c r="O424" s="117" t="str">
        <f>IF(NOT(ISBLANK(INDEX('register map'!N:N,'Logical Group Generator'!C424))),"Yes","")</f>
        <v/>
      </c>
      <c r="P424" s="117" t="str">
        <f t="shared" si="67"/>
        <v/>
      </c>
      <c r="Q424" s="117" t="str">
        <f t="shared" si="68"/>
        <v/>
      </c>
      <c r="R424" s="117" t="str">
        <f t="shared" si="69"/>
        <v/>
      </c>
      <c r="S424" s="117" t="str">
        <f t="shared" si="70"/>
        <v>No</v>
      </c>
      <c r="T424" s="117" t="str">
        <f t="shared" si="71"/>
        <v/>
      </c>
      <c r="U424" s="117" t="b">
        <f t="shared" si="75"/>
        <v>0</v>
      </c>
      <c r="V424" s="157" t="b">
        <f>INDEX('register map'!P:P,C424)="yes"</f>
        <v>1</v>
      </c>
      <c r="W424" s="157" t="str">
        <f t="shared" si="72"/>
        <v>FALSE</v>
      </c>
    </row>
    <row r="425" spans="2:23">
      <c r="B425" s="157" t="str">
        <f t="array" ref="B425">IF(ROWS($3:425)&lt;=COUNTA('register map'!$L$5:$L$902),INDEX('register map'!$L$5:$L$902,SMALL(IF('register map'!$L$5:$L$902&lt;&gt;"",ROW('register map'!$L$5:$L$902)-MIN(ROW('register map'!$L$5:$L$902))+1),ROWS($3:425))),"")</f>
        <v>OTP_RSVD_38_1C_1</v>
      </c>
      <c r="C425" s="157">
        <f>IF(B425="PART_NUMBER",IF(COUNTIF($B$1:B424,"PART_NUMBER")=0,6,8),MATCH(B425,'register map'!L:L,0))</f>
        <v>529</v>
      </c>
      <c r="D425" s="117" t="str">
        <f>IF(ISBLANK(INDEX('register map'!C:C,'Logical Group Generator'!C425)),"No","Yes")</f>
        <v>No</v>
      </c>
      <c r="E425" s="117" t="str">
        <f>IF(ISBLANK(INDEX('register map'!A:A,C425)),IF(ISBLANK(INDEX('register map'!A:A,C425-1)),IF(ISBLANK(INDEX('register map'!A:A,C425-2)),IF(ISBLANK(INDEX('register map'!A:A,C425-3)),IF(ISBLANK(INDEX('register map'!A:A,C425-4)),IF(ISBLANK(INDEX('register map'!A:A,C425-5)),IF(ISBLANK(INDEX('register map'!A:A,C425-6)),IF(ISBLANK(INDEX('register map'!A:A,C425-7)),IF(ISBLANK(INDEX('register map'!A:A,C425-8)),"ERROR",INDEX('register map'!A:A,C425-8)),INDEX('register map'!A:A,C425-7)),INDEX('register map'!A:A,C425-6)),INDEX('register map'!A:A,C425-5)),INDEX('register map'!A:A,C425-4)),INDEX('register map'!A:A,C425-3)),INDEX('register map'!A:A,C425-2)),INDEX('register map'!A:A,C425-1)),INDEX('register map'!A:A,C425))</f>
        <v>0x38</v>
      </c>
      <c r="F425" s="117" t="str">
        <f>IF(ISBLANK(INDEX('register map'!B:B,C425)),IF(ISBLANK(INDEX('register map'!B:B,C425-1)),IF(ISBLANK(INDEX('register map'!B:B,C425-2)),IF(ISBLANK(INDEX('register map'!B:B,C425-3)),IF(ISBLANK(INDEX('register map'!B:B,C425-4)),IF(ISBLANK(INDEX('register map'!B:B,C425-5)),IF(ISBLANK(INDEX('register map'!B:B,C425-6)),IF(ISBLANK(INDEX('register map'!B:B,C425-7)),IF(ISBLANK(INDEX('register map'!B:B,C425-8)),"ERROR",INDEX('register map'!B:B,C425-8)),INDEX('register map'!B:B,C425-7)),INDEX('register map'!B:B,C425-6)),INDEX('register map'!B:B,C425-5)),INDEX('register map'!B:B,C425-4)),INDEX('register map'!B:B,C425-3)),INDEX('register map'!B:B,C425-2)),INDEX('register map'!B:B,C425-1)),INDEX('register map'!B:B,C425))</f>
        <v>0x1C</v>
      </c>
      <c r="G425" s="117" t="str">
        <f>CONCATENATE(IF(ISNUMBER(INDEX('register map'!D:D,C425)),7,""),IF(ISNUMBER(INDEX('register map'!E:E,C425)),6,""),IF(ISNUMBER(INDEX('register map'!F:F,C425)),5,""),IF(ISNUMBER(INDEX('register map'!G:G,C425)),4,""),IF(ISNUMBER(INDEX('register map'!H:H,C425)),3,""),IF(ISNUMBER(INDEX('register map'!I:I,C425)),2,""),IF(ISNUMBER(INDEX('register map'!J:J,C425)),1,""),IF(ISNUMBER(INDEX('register map'!K:K,C425)),0,""))</f>
        <v>1</v>
      </c>
      <c r="H425" s="117" t="str">
        <f>RIGHT(INDEX('register map'!V:V,MATCH('Logical Group Generator'!B425,'register map'!L:L,0)),LEN(G425))</f>
        <v>1</v>
      </c>
      <c r="I425" s="117" t="str">
        <f>CONCATENATE(IF(ISNUMBER(INDEX('register map'!K:K,C425)),0,""),IF(ISNUMBER(INDEX('register map'!J:J,C425)),1,""),IF(ISNUMBER(INDEX('register map'!I:I,C425)),2,""),IF(ISNUMBER(INDEX('register map'!H:H,C425)),3,""),IF(ISNUMBER(INDEX('register map'!G:G,C425)),4,""),IF(ISNUMBER(INDEX('register map'!F:F,C425)),5,""),IF(ISNUMBER(INDEX('register map'!E:E,C425)),6,""),IF(ISNUMBER(INDEX('register map'!D:D,C425)),7,""))</f>
        <v>1</v>
      </c>
      <c r="J425" s="117" t="str">
        <f t="shared" si="73"/>
        <v>1</v>
      </c>
      <c r="K425" s="117" t="str">
        <f t="shared" si="66"/>
        <v/>
      </c>
      <c r="L425" s="117" t="str">
        <f t="shared" si="74"/>
        <v/>
      </c>
      <c r="M425" s="117" t="str">
        <f t="shared" si="76"/>
        <v/>
      </c>
      <c r="N425" s="117" t="str">
        <f>IF(ISBLANK(INDEX('register map'!M:M,'Logical Group Generator'!C425)),"No","Yes")</f>
        <v>No</v>
      </c>
      <c r="O425" s="117" t="str">
        <f>IF(NOT(ISBLANK(INDEX('register map'!N:N,'Logical Group Generator'!C425))),"Yes","")</f>
        <v/>
      </c>
      <c r="P425" s="117" t="str">
        <f t="shared" si="67"/>
        <v/>
      </c>
      <c r="Q425" s="117" t="str">
        <f t="shared" si="68"/>
        <v/>
      </c>
      <c r="R425" s="117" t="str">
        <f t="shared" si="69"/>
        <v/>
      </c>
      <c r="S425" s="117" t="str">
        <f t="shared" si="70"/>
        <v>No</v>
      </c>
      <c r="T425" s="117" t="str">
        <f t="shared" si="71"/>
        <v/>
      </c>
      <c r="U425" s="117" t="b">
        <f t="shared" si="75"/>
        <v>0</v>
      </c>
      <c r="V425" s="157" t="b">
        <f>INDEX('register map'!P:P,C425)="yes"</f>
        <v>1</v>
      </c>
      <c r="W425" s="157" t="str">
        <f t="shared" si="72"/>
        <v>FALSE</v>
      </c>
    </row>
    <row r="426" spans="2:23">
      <c r="B426" s="157" t="str">
        <f t="array" ref="B426">IF(ROWS($3:426)&lt;=COUNTA('register map'!$L$5:$L$902),INDEX('register map'!$L$5:$L$902,SMALL(IF('register map'!$L$5:$L$902&lt;&gt;"",ROW('register map'!$L$5:$L$902)-MIN(ROW('register map'!$L$5:$L$902))+1),ROWS($3:426))),"")</f>
        <v>OTP_RSVD_38_1C_2</v>
      </c>
      <c r="C426" s="157">
        <f>IF(B426="PART_NUMBER",IF(COUNTIF($B$1:B425,"PART_NUMBER")=0,6,8),MATCH(B426,'register map'!L:L,0))</f>
        <v>530</v>
      </c>
      <c r="D426" s="117" t="str">
        <f>IF(ISBLANK(INDEX('register map'!C:C,'Logical Group Generator'!C426)),"No","Yes")</f>
        <v>No</v>
      </c>
      <c r="E426" s="117" t="str">
        <f>IF(ISBLANK(INDEX('register map'!A:A,C426)),IF(ISBLANK(INDEX('register map'!A:A,C426-1)),IF(ISBLANK(INDEX('register map'!A:A,C426-2)),IF(ISBLANK(INDEX('register map'!A:A,C426-3)),IF(ISBLANK(INDEX('register map'!A:A,C426-4)),IF(ISBLANK(INDEX('register map'!A:A,C426-5)),IF(ISBLANK(INDEX('register map'!A:A,C426-6)),IF(ISBLANK(INDEX('register map'!A:A,C426-7)),IF(ISBLANK(INDEX('register map'!A:A,C426-8)),"ERROR",INDEX('register map'!A:A,C426-8)),INDEX('register map'!A:A,C426-7)),INDEX('register map'!A:A,C426-6)),INDEX('register map'!A:A,C426-5)),INDEX('register map'!A:A,C426-4)),INDEX('register map'!A:A,C426-3)),INDEX('register map'!A:A,C426-2)),INDEX('register map'!A:A,C426-1)),INDEX('register map'!A:A,C426))</f>
        <v>0x38</v>
      </c>
      <c r="F426" s="117" t="str">
        <f>IF(ISBLANK(INDEX('register map'!B:B,C426)),IF(ISBLANK(INDEX('register map'!B:B,C426-1)),IF(ISBLANK(INDEX('register map'!B:B,C426-2)),IF(ISBLANK(INDEX('register map'!B:B,C426-3)),IF(ISBLANK(INDEX('register map'!B:B,C426-4)),IF(ISBLANK(INDEX('register map'!B:B,C426-5)),IF(ISBLANK(INDEX('register map'!B:B,C426-6)),IF(ISBLANK(INDEX('register map'!B:B,C426-7)),IF(ISBLANK(INDEX('register map'!B:B,C426-8)),"ERROR",INDEX('register map'!B:B,C426-8)),INDEX('register map'!B:B,C426-7)),INDEX('register map'!B:B,C426-6)),INDEX('register map'!B:B,C426-5)),INDEX('register map'!B:B,C426-4)),INDEX('register map'!B:B,C426-3)),INDEX('register map'!B:B,C426-2)),INDEX('register map'!B:B,C426-1)),INDEX('register map'!B:B,C426))</f>
        <v>0x1C</v>
      </c>
      <c r="G426" s="117" t="str">
        <f>CONCATENATE(IF(ISNUMBER(INDEX('register map'!D:D,C426)),7,""),IF(ISNUMBER(INDEX('register map'!E:E,C426)),6,""),IF(ISNUMBER(INDEX('register map'!F:F,C426)),5,""),IF(ISNUMBER(INDEX('register map'!G:G,C426)),4,""),IF(ISNUMBER(INDEX('register map'!H:H,C426)),3,""),IF(ISNUMBER(INDEX('register map'!I:I,C426)),2,""),IF(ISNUMBER(INDEX('register map'!J:J,C426)),1,""),IF(ISNUMBER(INDEX('register map'!K:K,C426)),0,""))</f>
        <v>2</v>
      </c>
      <c r="H426" s="117" t="str">
        <f>RIGHT(INDEX('register map'!V:V,MATCH('Logical Group Generator'!B426,'register map'!L:L,0)),LEN(G426))</f>
        <v>1</v>
      </c>
      <c r="I426" s="117" t="str">
        <f>CONCATENATE(IF(ISNUMBER(INDEX('register map'!K:K,C426)),0,""),IF(ISNUMBER(INDEX('register map'!J:J,C426)),1,""),IF(ISNUMBER(INDEX('register map'!I:I,C426)),2,""),IF(ISNUMBER(INDEX('register map'!H:H,C426)),3,""),IF(ISNUMBER(INDEX('register map'!G:G,C426)),4,""),IF(ISNUMBER(INDEX('register map'!F:F,C426)),5,""),IF(ISNUMBER(INDEX('register map'!E:E,C426)),6,""),IF(ISNUMBER(INDEX('register map'!D:D,C426)),7,""))</f>
        <v>2</v>
      </c>
      <c r="J426" s="117" t="str">
        <f t="shared" si="73"/>
        <v>1</v>
      </c>
      <c r="K426" s="117" t="str">
        <f t="shared" si="66"/>
        <v/>
      </c>
      <c r="L426" s="117" t="str">
        <f t="shared" si="74"/>
        <v/>
      </c>
      <c r="M426" s="117" t="str">
        <f t="shared" si="76"/>
        <v/>
      </c>
      <c r="N426" s="117" t="str">
        <f>IF(ISBLANK(INDEX('register map'!M:M,'Logical Group Generator'!C426)),"No","Yes")</f>
        <v>No</v>
      </c>
      <c r="O426" s="117" t="str">
        <f>IF(NOT(ISBLANK(INDEX('register map'!N:N,'Logical Group Generator'!C426))),"Yes","")</f>
        <v/>
      </c>
      <c r="P426" s="117" t="str">
        <f t="shared" si="67"/>
        <v/>
      </c>
      <c r="Q426" s="117" t="str">
        <f t="shared" si="68"/>
        <v/>
      </c>
      <c r="R426" s="117" t="str">
        <f t="shared" si="69"/>
        <v/>
      </c>
      <c r="S426" s="117" t="str">
        <f t="shared" si="70"/>
        <v>No</v>
      </c>
      <c r="T426" s="117" t="str">
        <f t="shared" si="71"/>
        <v/>
      </c>
      <c r="U426" s="117" t="b">
        <f t="shared" si="75"/>
        <v>0</v>
      </c>
      <c r="V426" s="157" t="b">
        <f>INDEX('register map'!P:P,C426)="yes"</f>
        <v>1</v>
      </c>
      <c r="W426" s="157" t="str">
        <f t="shared" si="72"/>
        <v>FALSE</v>
      </c>
    </row>
    <row r="427" spans="2:23">
      <c r="B427" s="157" t="str">
        <f t="array" ref="B427">IF(ROWS($3:427)&lt;=COUNTA('register map'!$L$5:$L$902),INDEX('register map'!$L$5:$L$902,SMALL(IF('register map'!$L$5:$L$902&lt;&gt;"",ROW('register map'!$L$5:$L$902)-MIN(ROW('register map'!$L$5:$L$902))+1),ROWS($3:427))),"")</f>
        <v>OTP_RSVD_38_1C_3</v>
      </c>
      <c r="C427" s="157">
        <f>IF(B427="PART_NUMBER",IF(COUNTIF($B$1:B426,"PART_NUMBER")=0,6,8),MATCH(B427,'register map'!L:L,0))</f>
        <v>531</v>
      </c>
      <c r="D427" s="117" t="str">
        <f>IF(ISBLANK(INDEX('register map'!C:C,'Logical Group Generator'!C427)),"No","Yes")</f>
        <v>No</v>
      </c>
      <c r="E427" s="117" t="str">
        <f>IF(ISBLANK(INDEX('register map'!A:A,C427)),IF(ISBLANK(INDEX('register map'!A:A,C427-1)),IF(ISBLANK(INDEX('register map'!A:A,C427-2)),IF(ISBLANK(INDEX('register map'!A:A,C427-3)),IF(ISBLANK(INDEX('register map'!A:A,C427-4)),IF(ISBLANK(INDEX('register map'!A:A,C427-5)),IF(ISBLANK(INDEX('register map'!A:A,C427-6)),IF(ISBLANK(INDEX('register map'!A:A,C427-7)),IF(ISBLANK(INDEX('register map'!A:A,C427-8)),"ERROR",INDEX('register map'!A:A,C427-8)),INDEX('register map'!A:A,C427-7)),INDEX('register map'!A:A,C427-6)),INDEX('register map'!A:A,C427-5)),INDEX('register map'!A:A,C427-4)),INDEX('register map'!A:A,C427-3)),INDEX('register map'!A:A,C427-2)),INDEX('register map'!A:A,C427-1)),INDEX('register map'!A:A,C427))</f>
        <v>0x38</v>
      </c>
      <c r="F427" s="117" t="str">
        <f>IF(ISBLANK(INDEX('register map'!B:B,C427)),IF(ISBLANK(INDEX('register map'!B:B,C427-1)),IF(ISBLANK(INDEX('register map'!B:B,C427-2)),IF(ISBLANK(INDEX('register map'!B:B,C427-3)),IF(ISBLANK(INDEX('register map'!B:B,C427-4)),IF(ISBLANK(INDEX('register map'!B:B,C427-5)),IF(ISBLANK(INDEX('register map'!B:B,C427-6)),IF(ISBLANK(INDEX('register map'!B:B,C427-7)),IF(ISBLANK(INDEX('register map'!B:B,C427-8)),"ERROR",INDEX('register map'!B:B,C427-8)),INDEX('register map'!B:B,C427-7)),INDEX('register map'!B:B,C427-6)),INDEX('register map'!B:B,C427-5)),INDEX('register map'!B:B,C427-4)),INDEX('register map'!B:B,C427-3)),INDEX('register map'!B:B,C427-2)),INDEX('register map'!B:B,C427-1)),INDEX('register map'!B:B,C427))</f>
        <v>0x1C</v>
      </c>
      <c r="G427" s="117" t="str">
        <f>CONCATENATE(IF(ISNUMBER(INDEX('register map'!D:D,C427)),7,""),IF(ISNUMBER(INDEX('register map'!E:E,C427)),6,""),IF(ISNUMBER(INDEX('register map'!F:F,C427)),5,""),IF(ISNUMBER(INDEX('register map'!G:G,C427)),4,""),IF(ISNUMBER(INDEX('register map'!H:H,C427)),3,""),IF(ISNUMBER(INDEX('register map'!I:I,C427)),2,""),IF(ISNUMBER(INDEX('register map'!J:J,C427)),1,""),IF(ISNUMBER(INDEX('register map'!K:K,C427)),0,""))</f>
        <v>3</v>
      </c>
      <c r="H427" s="117" t="str">
        <f>RIGHT(INDEX('register map'!V:V,MATCH('Logical Group Generator'!B427,'register map'!L:L,0)),LEN(G427))</f>
        <v>1</v>
      </c>
      <c r="I427" s="117" t="str">
        <f>CONCATENATE(IF(ISNUMBER(INDEX('register map'!K:K,C427)),0,""),IF(ISNUMBER(INDEX('register map'!J:J,C427)),1,""),IF(ISNUMBER(INDEX('register map'!I:I,C427)),2,""),IF(ISNUMBER(INDEX('register map'!H:H,C427)),3,""),IF(ISNUMBER(INDEX('register map'!G:G,C427)),4,""),IF(ISNUMBER(INDEX('register map'!F:F,C427)),5,""),IF(ISNUMBER(INDEX('register map'!E:E,C427)),6,""),IF(ISNUMBER(INDEX('register map'!D:D,C427)),7,""))</f>
        <v>3</v>
      </c>
      <c r="J427" s="117" t="str">
        <f t="shared" si="73"/>
        <v>1</v>
      </c>
      <c r="K427" s="117" t="str">
        <f t="shared" si="66"/>
        <v/>
      </c>
      <c r="L427" s="117" t="str">
        <f t="shared" si="74"/>
        <v/>
      </c>
      <c r="M427" s="117" t="str">
        <f t="shared" si="76"/>
        <v/>
      </c>
      <c r="N427" s="117" t="str">
        <f>IF(ISBLANK(INDEX('register map'!M:M,'Logical Group Generator'!C427)),"No","Yes")</f>
        <v>No</v>
      </c>
      <c r="O427" s="117" t="str">
        <f>IF(NOT(ISBLANK(INDEX('register map'!N:N,'Logical Group Generator'!C427))),"Yes","")</f>
        <v/>
      </c>
      <c r="P427" s="117" t="str">
        <f t="shared" si="67"/>
        <v/>
      </c>
      <c r="Q427" s="117" t="str">
        <f t="shared" si="68"/>
        <v/>
      </c>
      <c r="R427" s="117" t="str">
        <f t="shared" si="69"/>
        <v/>
      </c>
      <c r="S427" s="117" t="str">
        <f t="shared" si="70"/>
        <v>No</v>
      </c>
      <c r="T427" s="117" t="str">
        <f t="shared" si="71"/>
        <v/>
      </c>
      <c r="U427" s="117" t="b">
        <f t="shared" si="75"/>
        <v>0</v>
      </c>
      <c r="V427" s="157" t="b">
        <f>INDEX('register map'!P:P,C427)="yes"</f>
        <v>1</v>
      </c>
      <c r="W427" s="157" t="str">
        <f t="shared" si="72"/>
        <v>FALSE</v>
      </c>
    </row>
    <row r="428" spans="2:23">
      <c r="B428" s="157" t="str">
        <f t="array" ref="B428">IF(ROWS($3:428)&lt;=COUNTA('register map'!$L$5:$L$902),INDEX('register map'!$L$5:$L$902,SMALL(IF('register map'!$L$5:$L$902&lt;&gt;"",ROW('register map'!$L$5:$L$902)-MIN(ROW('register map'!$L$5:$L$902))+1),ROWS($3:428))),"")</f>
        <v>OTP_RSVD_38_1C_4</v>
      </c>
      <c r="C428" s="157">
        <f>IF(B428="PART_NUMBER",IF(COUNTIF($B$1:B427,"PART_NUMBER")=0,6,8),MATCH(B428,'register map'!L:L,0))</f>
        <v>532</v>
      </c>
      <c r="D428" s="117" t="str">
        <f>IF(ISBLANK(INDEX('register map'!C:C,'Logical Group Generator'!C428)),"No","Yes")</f>
        <v>No</v>
      </c>
      <c r="E428" s="117" t="str">
        <f>IF(ISBLANK(INDEX('register map'!A:A,C428)),IF(ISBLANK(INDEX('register map'!A:A,C428-1)),IF(ISBLANK(INDEX('register map'!A:A,C428-2)),IF(ISBLANK(INDEX('register map'!A:A,C428-3)),IF(ISBLANK(INDEX('register map'!A:A,C428-4)),IF(ISBLANK(INDEX('register map'!A:A,C428-5)),IF(ISBLANK(INDEX('register map'!A:A,C428-6)),IF(ISBLANK(INDEX('register map'!A:A,C428-7)),IF(ISBLANK(INDEX('register map'!A:A,C428-8)),"ERROR",INDEX('register map'!A:A,C428-8)),INDEX('register map'!A:A,C428-7)),INDEX('register map'!A:A,C428-6)),INDEX('register map'!A:A,C428-5)),INDEX('register map'!A:A,C428-4)),INDEX('register map'!A:A,C428-3)),INDEX('register map'!A:A,C428-2)),INDEX('register map'!A:A,C428-1)),INDEX('register map'!A:A,C428))</f>
        <v>0x38</v>
      </c>
      <c r="F428" s="117" t="str">
        <f>IF(ISBLANK(INDEX('register map'!B:B,C428)),IF(ISBLANK(INDEX('register map'!B:B,C428-1)),IF(ISBLANK(INDEX('register map'!B:B,C428-2)),IF(ISBLANK(INDEX('register map'!B:B,C428-3)),IF(ISBLANK(INDEX('register map'!B:B,C428-4)),IF(ISBLANK(INDEX('register map'!B:B,C428-5)),IF(ISBLANK(INDEX('register map'!B:B,C428-6)),IF(ISBLANK(INDEX('register map'!B:B,C428-7)),IF(ISBLANK(INDEX('register map'!B:B,C428-8)),"ERROR",INDEX('register map'!B:B,C428-8)),INDEX('register map'!B:B,C428-7)),INDEX('register map'!B:B,C428-6)),INDEX('register map'!B:B,C428-5)),INDEX('register map'!B:B,C428-4)),INDEX('register map'!B:B,C428-3)),INDEX('register map'!B:B,C428-2)),INDEX('register map'!B:B,C428-1)),INDEX('register map'!B:B,C428))</f>
        <v>0x1C</v>
      </c>
      <c r="G428" s="117" t="str">
        <f>CONCATENATE(IF(ISNUMBER(INDEX('register map'!D:D,C428)),7,""),IF(ISNUMBER(INDEX('register map'!E:E,C428)),6,""),IF(ISNUMBER(INDEX('register map'!F:F,C428)),5,""),IF(ISNUMBER(INDEX('register map'!G:G,C428)),4,""),IF(ISNUMBER(INDEX('register map'!H:H,C428)),3,""),IF(ISNUMBER(INDEX('register map'!I:I,C428)),2,""),IF(ISNUMBER(INDEX('register map'!J:J,C428)),1,""),IF(ISNUMBER(INDEX('register map'!K:K,C428)),0,""))</f>
        <v>4</v>
      </c>
      <c r="H428" s="117" t="str">
        <f>RIGHT(INDEX('register map'!V:V,MATCH('Logical Group Generator'!B428,'register map'!L:L,0)),LEN(G428))</f>
        <v>1</v>
      </c>
      <c r="I428" s="117" t="str">
        <f>CONCATENATE(IF(ISNUMBER(INDEX('register map'!K:K,C428)),0,""),IF(ISNUMBER(INDEX('register map'!J:J,C428)),1,""),IF(ISNUMBER(INDEX('register map'!I:I,C428)),2,""),IF(ISNUMBER(INDEX('register map'!H:H,C428)),3,""),IF(ISNUMBER(INDEX('register map'!G:G,C428)),4,""),IF(ISNUMBER(INDEX('register map'!F:F,C428)),5,""),IF(ISNUMBER(INDEX('register map'!E:E,C428)),6,""),IF(ISNUMBER(INDEX('register map'!D:D,C428)),7,""))</f>
        <v>4</v>
      </c>
      <c r="J428" s="117" t="str">
        <f t="shared" si="73"/>
        <v>1</v>
      </c>
      <c r="K428" s="117" t="str">
        <f t="shared" si="66"/>
        <v/>
      </c>
      <c r="L428" s="117" t="str">
        <f t="shared" si="74"/>
        <v/>
      </c>
      <c r="M428" s="117" t="str">
        <f t="shared" si="76"/>
        <v/>
      </c>
      <c r="N428" s="117" t="str">
        <f>IF(ISBLANK(INDEX('register map'!M:M,'Logical Group Generator'!C428)),"No","Yes")</f>
        <v>No</v>
      </c>
      <c r="O428" s="117" t="str">
        <f>IF(NOT(ISBLANK(INDEX('register map'!N:N,'Logical Group Generator'!C428))),"Yes","")</f>
        <v/>
      </c>
      <c r="P428" s="117" t="str">
        <f t="shared" si="67"/>
        <v/>
      </c>
      <c r="Q428" s="117" t="str">
        <f t="shared" si="68"/>
        <v/>
      </c>
      <c r="R428" s="117" t="str">
        <f t="shared" si="69"/>
        <v/>
      </c>
      <c r="S428" s="117" t="str">
        <f t="shared" si="70"/>
        <v>No</v>
      </c>
      <c r="T428" s="117" t="str">
        <f t="shared" si="71"/>
        <v/>
      </c>
      <c r="U428" s="117" t="b">
        <f t="shared" si="75"/>
        <v>0</v>
      </c>
      <c r="V428" s="157" t="b">
        <f>INDEX('register map'!P:P,C428)="yes"</f>
        <v>1</v>
      </c>
      <c r="W428" s="157" t="str">
        <f t="shared" si="72"/>
        <v>FALSE</v>
      </c>
    </row>
    <row r="429" spans="2:23">
      <c r="B429" s="157" t="str">
        <f t="array" ref="B429">IF(ROWS($3:429)&lt;=COUNTA('register map'!$L$5:$L$902),INDEX('register map'!$L$5:$L$902,SMALL(IF('register map'!$L$5:$L$902&lt;&gt;"",ROW('register map'!$L$5:$L$902)-MIN(ROW('register map'!$L$5:$L$902))+1),ROWS($3:429))),"")</f>
        <v>OTP_RSVD_38_1C_5</v>
      </c>
      <c r="C429" s="157">
        <f>IF(B429="PART_NUMBER",IF(COUNTIF($B$1:B428,"PART_NUMBER")=0,6,8),MATCH(B429,'register map'!L:L,0))</f>
        <v>533</v>
      </c>
      <c r="D429" s="117" t="str">
        <f>IF(ISBLANK(INDEX('register map'!C:C,'Logical Group Generator'!C429)),"No","Yes")</f>
        <v>No</v>
      </c>
      <c r="E429" s="117" t="str">
        <f>IF(ISBLANK(INDEX('register map'!A:A,C429)),IF(ISBLANK(INDEX('register map'!A:A,C429-1)),IF(ISBLANK(INDEX('register map'!A:A,C429-2)),IF(ISBLANK(INDEX('register map'!A:A,C429-3)),IF(ISBLANK(INDEX('register map'!A:A,C429-4)),IF(ISBLANK(INDEX('register map'!A:A,C429-5)),IF(ISBLANK(INDEX('register map'!A:A,C429-6)),IF(ISBLANK(INDEX('register map'!A:A,C429-7)),IF(ISBLANK(INDEX('register map'!A:A,C429-8)),"ERROR",INDEX('register map'!A:A,C429-8)),INDEX('register map'!A:A,C429-7)),INDEX('register map'!A:A,C429-6)),INDEX('register map'!A:A,C429-5)),INDEX('register map'!A:A,C429-4)),INDEX('register map'!A:A,C429-3)),INDEX('register map'!A:A,C429-2)),INDEX('register map'!A:A,C429-1)),INDEX('register map'!A:A,C429))</f>
        <v>0x38</v>
      </c>
      <c r="F429" s="117" t="str">
        <f>IF(ISBLANK(INDEX('register map'!B:B,C429)),IF(ISBLANK(INDEX('register map'!B:B,C429-1)),IF(ISBLANK(INDEX('register map'!B:B,C429-2)),IF(ISBLANK(INDEX('register map'!B:B,C429-3)),IF(ISBLANK(INDEX('register map'!B:B,C429-4)),IF(ISBLANK(INDEX('register map'!B:B,C429-5)),IF(ISBLANK(INDEX('register map'!B:B,C429-6)),IF(ISBLANK(INDEX('register map'!B:B,C429-7)),IF(ISBLANK(INDEX('register map'!B:B,C429-8)),"ERROR",INDEX('register map'!B:B,C429-8)),INDEX('register map'!B:B,C429-7)),INDEX('register map'!B:B,C429-6)),INDEX('register map'!B:B,C429-5)),INDEX('register map'!B:B,C429-4)),INDEX('register map'!B:B,C429-3)),INDEX('register map'!B:B,C429-2)),INDEX('register map'!B:B,C429-1)),INDEX('register map'!B:B,C429))</f>
        <v>0x1C</v>
      </c>
      <c r="G429" s="117" t="str">
        <f>CONCATENATE(IF(ISNUMBER(INDEX('register map'!D:D,C429)),7,""),IF(ISNUMBER(INDEX('register map'!E:E,C429)),6,""),IF(ISNUMBER(INDEX('register map'!F:F,C429)),5,""),IF(ISNUMBER(INDEX('register map'!G:G,C429)),4,""),IF(ISNUMBER(INDEX('register map'!H:H,C429)),3,""),IF(ISNUMBER(INDEX('register map'!I:I,C429)),2,""),IF(ISNUMBER(INDEX('register map'!J:J,C429)),1,""),IF(ISNUMBER(INDEX('register map'!K:K,C429)),0,""))</f>
        <v>5</v>
      </c>
      <c r="H429" s="117" t="str">
        <f>RIGHT(INDEX('register map'!V:V,MATCH('Logical Group Generator'!B429,'register map'!L:L,0)),LEN(G429))</f>
        <v>1</v>
      </c>
      <c r="I429" s="117" t="str">
        <f>CONCATENATE(IF(ISNUMBER(INDEX('register map'!K:K,C429)),0,""),IF(ISNUMBER(INDEX('register map'!J:J,C429)),1,""),IF(ISNUMBER(INDEX('register map'!I:I,C429)),2,""),IF(ISNUMBER(INDEX('register map'!H:H,C429)),3,""),IF(ISNUMBER(INDEX('register map'!G:G,C429)),4,""),IF(ISNUMBER(INDEX('register map'!F:F,C429)),5,""),IF(ISNUMBER(INDEX('register map'!E:E,C429)),6,""),IF(ISNUMBER(INDEX('register map'!D:D,C429)),7,""))</f>
        <v>5</v>
      </c>
      <c r="J429" s="117" t="str">
        <f t="shared" si="73"/>
        <v>1</v>
      </c>
      <c r="K429" s="117" t="str">
        <f t="shared" si="66"/>
        <v/>
      </c>
      <c r="L429" s="117" t="str">
        <f t="shared" si="74"/>
        <v/>
      </c>
      <c r="M429" s="117" t="str">
        <f t="shared" si="76"/>
        <v/>
      </c>
      <c r="N429" s="117" t="str">
        <f>IF(ISBLANK(INDEX('register map'!M:M,'Logical Group Generator'!C429)),"No","Yes")</f>
        <v>No</v>
      </c>
      <c r="O429" s="117" t="str">
        <f>IF(NOT(ISBLANK(INDEX('register map'!N:N,'Logical Group Generator'!C429))),"Yes","")</f>
        <v/>
      </c>
      <c r="P429" s="117" t="str">
        <f t="shared" si="67"/>
        <v/>
      </c>
      <c r="Q429" s="117" t="str">
        <f t="shared" si="68"/>
        <v/>
      </c>
      <c r="R429" s="117" t="str">
        <f t="shared" si="69"/>
        <v/>
      </c>
      <c r="S429" s="117" t="str">
        <f t="shared" si="70"/>
        <v>No</v>
      </c>
      <c r="T429" s="117" t="str">
        <f t="shared" si="71"/>
        <v/>
      </c>
      <c r="U429" s="117" t="b">
        <f t="shared" si="75"/>
        <v>0</v>
      </c>
      <c r="V429" s="157" t="b">
        <f>INDEX('register map'!P:P,C429)="yes"</f>
        <v>1</v>
      </c>
      <c r="W429" s="157" t="str">
        <f t="shared" si="72"/>
        <v>FALSE</v>
      </c>
    </row>
    <row r="430" spans="2:23">
      <c r="B430" s="157" t="str">
        <f t="array" ref="B430">IF(ROWS($3:430)&lt;=COUNTA('register map'!$L$5:$L$902),INDEX('register map'!$L$5:$L$902,SMALL(IF('register map'!$L$5:$L$902&lt;&gt;"",ROW('register map'!$L$5:$L$902)-MIN(ROW('register map'!$L$5:$L$902))+1),ROWS($3:430))),"")</f>
        <v>OTP_RSVD_38_1C_6</v>
      </c>
      <c r="C430" s="157">
        <f>IF(B430="PART_NUMBER",IF(COUNTIF($B$1:B429,"PART_NUMBER")=0,6,8),MATCH(B430,'register map'!L:L,0))</f>
        <v>534</v>
      </c>
      <c r="D430" s="117" t="str">
        <f>IF(ISBLANK(INDEX('register map'!C:C,'Logical Group Generator'!C430)),"No","Yes")</f>
        <v>No</v>
      </c>
      <c r="E430" s="117" t="str">
        <f>IF(ISBLANK(INDEX('register map'!A:A,C430)),IF(ISBLANK(INDEX('register map'!A:A,C430-1)),IF(ISBLANK(INDEX('register map'!A:A,C430-2)),IF(ISBLANK(INDEX('register map'!A:A,C430-3)),IF(ISBLANK(INDEX('register map'!A:A,C430-4)),IF(ISBLANK(INDEX('register map'!A:A,C430-5)),IF(ISBLANK(INDEX('register map'!A:A,C430-6)),IF(ISBLANK(INDEX('register map'!A:A,C430-7)),IF(ISBLANK(INDEX('register map'!A:A,C430-8)),"ERROR",INDEX('register map'!A:A,C430-8)),INDEX('register map'!A:A,C430-7)),INDEX('register map'!A:A,C430-6)),INDEX('register map'!A:A,C430-5)),INDEX('register map'!A:A,C430-4)),INDEX('register map'!A:A,C430-3)),INDEX('register map'!A:A,C430-2)),INDEX('register map'!A:A,C430-1)),INDEX('register map'!A:A,C430))</f>
        <v>0x38</v>
      </c>
      <c r="F430" s="117" t="str">
        <f>IF(ISBLANK(INDEX('register map'!B:B,C430)),IF(ISBLANK(INDEX('register map'!B:B,C430-1)),IF(ISBLANK(INDEX('register map'!B:B,C430-2)),IF(ISBLANK(INDEX('register map'!B:B,C430-3)),IF(ISBLANK(INDEX('register map'!B:B,C430-4)),IF(ISBLANK(INDEX('register map'!B:B,C430-5)),IF(ISBLANK(INDEX('register map'!B:B,C430-6)),IF(ISBLANK(INDEX('register map'!B:B,C430-7)),IF(ISBLANK(INDEX('register map'!B:B,C430-8)),"ERROR",INDEX('register map'!B:B,C430-8)),INDEX('register map'!B:B,C430-7)),INDEX('register map'!B:B,C430-6)),INDEX('register map'!B:B,C430-5)),INDEX('register map'!B:B,C430-4)),INDEX('register map'!B:B,C430-3)),INDEX('register map'!B:B,C430-2)),INDEX('register map'!B:B,C430-1)),INDEX('register map'!B:B,C430))</f>
        <v>0x1C</v>
      </c>
      <c r="G430" s="117" t="str">
        <f>CONCATENATE(IF(ISNUMBER(INDEX('register map'!D:D,C430)),7,""),IF(ISNUMBER(INDEX('register map'!E:E,C430)),6,""),IF(ISNUMBER(INDEX('register map'!F:F,C430)),5,""),IF(ISNUMBER(INDEX('register map'!G:G,C430)),4,""),IF(ISNUMBER(INDEX('register map'!H:H,C430)),3,""),IF(ISNUMBER(INDEX('register map'!I:I,C430)),2,""),IF(ISNUMBER(INDEX('register map'!J:J,C430)),1,""),IF(ISNUMBER(INDEX('register map'!K:K,C430)),0,""))</f>
        <v>6</v>
      </c>
      <c r="H430" s="117" t="str">
        <f>RIGHT(INDEX('register map'!V:V,MATCH('Logical Group Generator'!B430,'register map'!L:L,0)),LEN(G430))</f>
        <v>1</v>
      </c>
      <c r="I430" s="117" t="str">
        <f>CONCATENATE(IF(ISNUMBER(INDEX('register map'!K:K,C430)),0,""),IF(ISNUMBER(INDEX('register map'!J:J,C430)),1,""),IF(ISNUMBER(INDEX('register map'!I:I,C430)),2,""),IF(ISNUMBER(INDEX('register map'!H:H,C430)),3,""),IF(ISNUMBER(INDEX('register map'!G:G,C430)),4,""),IF(ISNUMBER(INDEX('register map'!F:F,C430)),5,""),IF(ISNUMBER(INDEX('register map'!E:E,C430)),6,""),IF(ISNUMBER(INDEX('register map'!D:D,C430)),7,""))</f>
        <v>6</v>
      </c>
      <c r="J430" s="117" t="str">
        <f t="shared" si="73"/>
        <v>1</v>
      </c>
      <c r="K430" s="117" t="str">
        <f t="shared" si="66"/>
        <v/>
      </c>
      <c r="L430" s="117" t="str">
        <f t="shared" si="74"/>
        <v/>
      </c>
      <c r="M430" s="117" t="str">
        <f t="shared" si="76"/>
        <v/>
      </c>
      <c r="N430" s="117" t="str">
        <f>IF(ISBLANK(INDEX('register map'!M:M,'Logical Group Generator'!C430)),"No","Yes")</f>
        <v>No</v>
      </c>
      <c r="O430" s="117" t="str">
        <f>IF(NOT(ISBLANK(INDEX('register map'!N:N,'Logical Group Generator'!C430))),"Yes","")</f>
        <v/>
      </c>
      <c r="P430" s="117" t="str">
        <f t="shared" si="67"/>
        <v/>
      </c>
      <c r="Q430" s="117" t="str">
        <f t="shared" si="68"/>
        <v/>
      </c>
      <c r="R430" s="117" t="str">
        <f t="shared" si="69"/>
        <v/>
      </c>
      <c r="S430" s="117" t="str">
        <f t="shared" si="70"/>
        <v>No</v>
      </c>
      <c r="T430" s="117" t="str">
        <f t="shared" si="71"/>
        <v/>
      </c>
      <c r="U430" s="117" t="b">
        <f t="shared" si="75"/>
        <v>0</v>
      </c>
      <c r="V430" s="157" t="b">
        <f>INDEX('register map'!P:P,C430)="yes"</f>
        <v>1</v>
      </c>
      <c r="W430" s="157" t="str">
        <f t="shared" si="72"/>
        <v>FALSE</v>
      </c>
    </row>
    <row r="431" spans="2:23">
      <c r="B431" s="157" t="str">
        <f t="array" ref="B431">IF(ROWS($3:431)&lt;=COUNTA('register map'!$L$5:$L$902),INDEX('register map'!$L$5:$L$902,SMALL(IF('register map'!$L$5:$L$902&lt;&gt;"",ROW('register map'!$L$5:$L$902)-MIN(ROW('register map'!$L$5:$L$902))+1),ROWS($3:431))),"")</f>
        <v>OTP_RSVD_38_1C_7</v>
      </c>
      <c r="C431" s="157">
        <f>IF(B431="PART_NUMBER",IF(COUNTIF($B$1:B430,"PART_NUMBER")=0,6,8),MATCH(B431,'register map'!L:L,0))</f>
        <v>535</v>
      </c>
      <c r="D431" s="117" t="str">
        <f>IF(ISBLANK(INDEX('register map'!C:C,'Logical Group Generator'!C431)),"No","Yes")</f>
        <v>No</v>
      </c>
      <c r="E431" s="117" t="str">
        <f>IF(ISBLANK(INDEX('register map'!A:A,C431)),IF(ISBLANK(INDEX('register map'!A:A,C431-1)),IF(ISBLANK(INDEX('register map'!A:A,C431-2)),IF(ISBLANK(INDEX('register map'!A:A,C431-3)),IF(ISBLANK(INDEX('register map'!A:A,C431-4)),IF(ISBLANK(INDEX('register map'!A:A,C431-5)),IF(ISBLANK(INDEX('register map'!A:A,C431-6)),IF(ISBLANK(INDEX('register map'!A:A,C431-7)),IF(ISBLANK(INDEX('register map'!A:A,C431-8)),"ERROR",INDEX('register map'!A:A,C431-8)),INDEX('register map'!A:A,C431-7)),INDEX('register map'!A:A,C431-6)),INDEX('register map'!A:A,C431-5)),INDEX('register map'!A:A,C431-4)),INDEX('register map'!A:A,C431-3)),INDEX('register map'!A:A,C431-2)),INDEX('register map'!A:A,C431-1)),INDEX('register map'!A:A,C431))</f>
        <v>0x38</v>
      </c>
      <c r="F431" s="117" t="str">
        <f>IF(ISBLANK(INDEX('register map'!B:B,C431)),IF(ISBLANK(INDEX('register map'!B:B,C431-1)),IF(ISBLANK(INDEX('register map'!B:B,C431-2)),IF(ISBLANK(INDEX('register map'!B:B,C431-3)),IF(ISBLANK(INDEX('register map'!B:B,C431-4)),IF(ISBLANK(INDEX('register map'!B:B,C431-5)),IF(ISBLANK(INDEX('register map'!B:B,C431-6)),IF(ISBLANK(INDEX('register map'!B:B,C431-7)),IF(ISBLANK(INDEX('register map'!B:B,C431-8)),"ERROR",INDEX('register map'!B:B,C431-8)),INDEX('register map'!B:B,C431-7)),INDEX('register map'!B:B,C431-6)),INDEX('register map'!B:B,C431-5)),INDEX('register map'!B:B,C431-4)),INDEX('register map'!B:B,C431-3)),INDEX('register map'!B:B,C431-2)),INDEX('register map'!B:B,C431-1)),INDEX('register map'!B:B,C431))</f>
        <v>0x1C</v>
      </c>
      <c r="G431" s="117" t="str">
        <f>CONCATENATE(IF(ISNUMBER(INDEX('register map'!D:D,C431)),7,""),IF(ISNUMBER(INDEX('register map'!E:E,C431)),6,""),IF(ISNUMBER(INDEX('register map'!F:F,C431)),5,""),IF(ISNUMBER(INDEX('register map'!G:G,C431)),4,""),IF(ISNUMBER(INDEX('register map'!H:H,C431)),3,""),IF(ISNUMBER(INDEX('register map'!I:I,C431)),2,""),IF(ISNUMBER(INDEX('register map'!J:J,C431)),1,""),IF(ISNUMBER(INDEX('register map'!K:K,C431)),0,""))</f>
        <v>7</v>
      </c>
      <c r="H431" s="117" t="str">
        <f>RIGHT(INDEX('register map'!V:V,MATCH('Logical Group Generator'!B431,'register map'!L:L,0)),LEN(G431))</f>
        <v>1</v>
      </c>
      <c r="I431" s="117" t="str">
        <f>CONCATENATE(IF(ISNUMBER(INDEX('register map'!K:K,C431)),0,""),IF(ISNUMBER(INDEX('register map'!J:J,C431)),1,""),IF(ISNUMBER(INDEX('register map'!I:I,C431)),2,""),IF(ISNUMBER(INDEX('register map'!H:H,C431)),3,""),IF(ISNUMBER(INDEX('register map'!G:G,C431)),4,""),IF(ISNUMBER(INDEX('register map'!F:F,C431)),5,""),IF(ISNUMBER(INDEX('register map'!E:E,C431)),6,""),IF(ISNUMBER(INDEX('register map'!D:D,C431)),7,""))</f>
        <v>7</v>
      </c>
      <c r="J431" s="117" t="str">
        <f t="shared" si="73"/>
        <v>1</v>
      </c>
      <c r="K431" s="117" t="str">
        <f t="shared" si="66"/>
        <v/>
      </c>
      <c r="L431" s="117" t="str">
        <f t="shared" si="74"/>
        <v/>
      </c>
      <c r="M431" s="117" t="str">
        <f t="shared" si="76"/>
        <v/>
      </c>
      <c r="N431" s="117" t="str">
        <f>IF(ISBLANK(INDEX('register map'!M:M,'Logical Group Generator'!C431)),"No","Yes")</f>
        <v>No</v>
      </c>
      <c r="O431" s="117" t="str">
        <f>IF(NOT(ISBLANK(INDEX('register map'!N:N,'Logical Group Generator'!C431))),"Yes","")</f>
        <v/>
      </c>
      <c r="P431" s="117" t="str">
        <f t="shared" si="67"/>
        <v/>
      </c>
      <c r="Q431" s="117" t="str">
        <f t="shared" si="68"/>
        <v/>
      </c>
      <c r="R431" s="117" t="str">
        <f t="shared" si="69"/>
        <v/>
      </c>
      <c r="S431" s="117" t="str">
        <f t="shared" si="70"/>
        <v>No</v>
      </c>
      <c r="T431" s="117" t="str">
        <f t="shared" si="71"/>
        <v/>
      </c>
      <c r="U431" s="117" t="b">
        <f t="shared" si="75"/>
        <v>0</v>
      </c>
      <c r="V431" s="157" t="b">
        <f>INDEX('register map'!P:P,C431)="yes"</f>
        <v>1</v>
      </c>
      <c r="W431" s="157" t="str">
        <f t="shared" si="72"/>
        <v>FALSE</v>
      </c>
    </row>
    <row r="432" spans="2:23">
      <c r="B432" s="157" t="str">
        <f t="array" ref="B432">IF(ROWS($3:432)&lt;=COUNTA('register map'!$L$5:$L$902),INDEX('register map'!$L$5:$L$902,SMALL(IF('register map'!$L$5:$L$902&lt;&gt;"",ROW('register map'!$L$5:$L$902)-MIN(ROW('register map'!$L$5:$L$902))+1),ROWS($3:432))),"")</f>
        <v>LDOA2_CTRL_EN2</v>
      </c>
      <c r="C432" s="157">
        <f>IF(B432="PART_NUMBER",IF(COUNTIF($B$1:B431,"PART_NUMBER")=0,6,8),MATCH(B432,'register map'!L:L,0))</f>
        <v>536</v>
      </c>
      <c r="D432" s="117" t="str">
        <f>IF(ISBLANK(INDEX('register map'!C:C,'Logical Group Generator'!C432)),"No","Yes")</f>
        <v>Yes</v>
      </c>
      <c r="E432" s="117" t="str">
        <f>IF(ISBLANK(INDEX('register map'!A:A,C432)),IF(ISBLANK(INDEX('register map'!A:A,C432-1)),IF(ISBLANK(INDEX('register map'!A:A,C432-2)),IF(ISBLANK(INDEX('register map'!A:A,C432-3)),IF(ISBLANK(INDEX('register map'!A:A,C432-4)),IF(ISBLANK(INDEX('register map'!A:A,C432-5)),IF(ISBLANK(INDEX('register map'!A:A,C432-6)),IF(ISBLANK(INDEX('register map'!A:A,C432-7)),IF(ISBLANK(INDEX('register map'!A:A,C432-8)),"ERROR",INDEX('register map'!A:A,C432-8)),INDEX('register map'!A:A,C432-7)),INDEX('register map'!A:A,C432-6)),INDEX('register map'!A:A,C432-5)),INDEX('register map'!A:A,C432-4)),INDEX('register map'!A:A,C432-3)),INDEX('register map'!A:A,C432-2)),INDEX('register map'!A:A,C432-1)),INDEX('register map'!A:A,C432))</f>
        <v>0x38</v>
      </c>
      <c r="F432" s="117" t="str">
        <f>IF(ISBLANK(INDEX('register map'!B:B,C432)),IF(ISBLANK(INDEX('register map'!B:B,C432-1)),IF(ISBLANK(INDEX('register map'!B:B,C432-2)),IF(ISBLANK(INDEX('register map'!B:B,C432-3)),IF(ISBLANK(INDEX('register map'!B:B,C432-4)),IF(ISBLANK(INDEX('register map'!B:B,C432-5)),IF(ISBLANK(INDEX('register map'!B:B,C432-6)),IF(ISBLANK(INDEX('register map'!B:B,C432-7)),IF(ISBLANK(INDEX('register map'!B:B,C432-8)),"ERROR",INDEX('register map'!B:B,C432-8)),INDEX('register map'!B:B,C432-7)),INDEX('register map'!B:B,C432-6)),INDEX('register map'!B:B,C432-5)),INDEX('register map'!B:B,C432-4)),INDEX('register map'!B:B,C432-3)),INDEX('register map'!B:B,C432-2)),INDEX('register map'!B:B,C432-1)),INDEX('register map'!B:B,C432))</f>
        <v>0x1D</v>
      </c>
      <c r="G432" s="117" t="str">
        <f>CONCATENATE(IF(ISNUMBER(INDEX('register map'!D:D,C432)),7,""),IF(ISNUMBER(INDEX('register map'!E:E,C432)),6,""),IF(ISNUMBER(INDEX('register map'!F:F,C432)),5,""),IF(ISNUMBER(INDEX('register map'!G:G,C432)),4,""),IF(ISNUMBER(INDEX('register map'!H:H,C432)),3,""),IF(ISNUMBER(INDEX('register map'!I:I,C432)),2,""),IF(ISNUMBER(INDEX('register map'!J:J,C432)),1,""),IF(ISNUMBER(INDEX('register map'!K:K,C432)),0,""))</f>
        <v/>
      </c>
      <c r="H432" s="117" t="str">
        <f>RIGHT(INDEX('register map'!V:V,MATCH('Logical Group Generator'!B432,'register map'!L:L,0)),LEN(G432))</f>
        <v/>
      </c>
      <c r="I432" s="117" t="str">
        <f>CONCATENATE(IF(ISNUMBER(INDEX('register map'!K:K,C432)),0,""),IF(ISNUMBER(INDEX('register map'!J:J,C432)),1,""),IF(ISNUMBER(INDEX('register map'!I:I,C432)),2,""),IF(ISNUMBER(INDEX('register map'!H:H,C432)),3,""),IF(ISNUMBER(INDEX('register map'!G:G,C432)),4,""),IF(ISNUMBER(INDEX('register map'!F:F,C432)),5,""),IF(ISNUMBER(INDEX('register map'!E:E,C432)),6,""),IF(ISNUMBER(INDEX('register map'!D:D,C432)),7,""))</f>
        <v/>
      </c>
      <c r="J432" s="117" t="str">
        <f t="shared" si="73"/>
        <v/>
      </c>
      <c r="K432" s="117" t="str">
        <f t="shared" si="66"/>
        <v>11000010</v>
      </c>
      <c r="L432" s="117" t="str">
        <f t="shared" si="74"/>
        <v>01000011</v>
      </c>
      <c r="M432" s="117" t="str">
        <f t="shared" si="76"/>
        <v>43</v>
      </c>
      <c r="N432" s="117" t="str">
        <f>IF(ISBLANK(INDEX('register map'!M:M,'Logical Group Generator'!C432)),"No","Yes")</f>
        <v>No</v>
      </c>
      <c r="O432" s="117" t="str">
        <f>IF(NOT(ISBLANK(INDEX('register map'!N:N,'Logical Group Generator'!C432))),"Yes","")</f>
        <v/>
      </c>
      <c r="P432" s="117" t="str">
        <f t="shared" si="67"/>
        <v>No</v>
      </c>
      <c r="Q432" s="117" t="str">
        <f t="shared" si="68"/>
        <v>No</v>
      </c>
      <c r="R432" s="117" t="str">
        <f t="shared" si="69"/>
        <v>No</v>
      </c>
      <c r="S432" s="117" t="str">
        <f t="shared" si="70"/>
        <v/>
      </c>
      <c r="T432" s="117" t="b">
        <f t="shared" si="71"/>
        <v>1</v>
      </c>
      <c r="U432" s="117" t="b">
        <f t="shared" si="75"/>
        <v>1</v>
      </c>
      <c r="V432" s="157" t="b">
        <f>INDEX('register map'!P:P,C432)="yes"</f>
        <v>1</v>
      </c>
      <c r="W432" s="157" t="str">
        <f t="shared" si="72"/>
        <v>REGISTER</v>
      </c>
    </row>
    <row r="433" spans="2:23">
      <c r="B433" s="157" t="str">
        <f t="array" ref="B433">IF(ROWS($3:433)&lt;=COUNTA('register map'!$L$5:$L$902),INDEX('register map'!$L$5:$L$902,SMALL(IF('register map'!$L$5:$L$902&lt;&gt;"",ROW('register map'!$L$5:$L$902)-MIN(ROW('register map'!$L$5:$L$902))+1),ROWS($3:433))),"")</f>
        <v>OTP_RSVD_38_1D_0</v>
      </c>
      <c r="C433" s="157">
        <f>IF(B433="PART_NUMBER",IF(COUNTIF($B$1:B432,"PART_NUMBER")=0,6,8),MATCH(B433,'register map'!L:L,0))</f>
        <v>537</v>
      </c>
      <c r="D433" s="117" t="str">
        <f>IF(ISBLANK(INDEX('register map'!C:C,'Logical Group Generator'!C433)),"No","Yes")</f>
        <v>No</v>
      </c>
      <c r="E433" s="117" t="str">
        <f>IF(ISBLANK(INDEX('register map'!A:A,C433)),IF(ISBLANK(INDEX('register map'!A:A,C433-1)),IF(ISBLANK(INDEX('register map'!A:A,C433-2)),IF(ISBLANK(INDEX('register map'!A:A,C433-3)),IF(ISBLANK(INDEX('register map'!A:A,C433-4)),IF(ISBLANK(INDEX('register map'!A:A,C433-5)),IF(ISBLANK(INDEX('register map'!A:A,C433-6)),IF(ISBLANK(INDEX('register map'!A:A,C433-7)),IF(ISBLANK(INDEX('register map'!A:A,C433-8)),"ERROR",INDEX('register map'!A:A,C433-8)),INDEX('register map'!A:A,C433-7)),INDEX('register map'!A:A,C433-6)),INDEX('register map'!A:A,C433-5)),INDEX('register map'!A:A,C433-4)),INDEX('register map'!A:A,C433-3)),INDEX('register map'!A:A,C433-2)),INDEX('register map'!A:A,C433-1)),INDEX('register map'!A:A,C433))</f>
        <v>0x38</v>
      </c>
      <c r="F433" s="117" t="str">
        <f>IF(ISBLANK(INDEX('register map'!B:B,C433)),IF(ISBLANK(INDEX('register map'!B:B,C433-1)),IF(ISBLANK(INDEX('register map'!B:B,C433-2)),IF(ISBLANK(INDEX('register map'!B:B,C433-3)),IF(ISBLANK(INDEX('register map'!B:B,C433-4)),IF(ISBLANK(INDEX('register map'!B:B,C433-5)),IF(ISBLANK(INDEX('register map'!B:B,C433-6)),IF(ISBLANK(INDEX('register map'!B:B,C433-7)),IF(ISBLANK(INDEX('register map'!B:B,C433-8)),"ERROR",INDEX('register map'!B:B,C433-8)),INDEX('register map'!B:B,C433-7)),INDEX('register map'!B:B,C433-6)),INDEX('register map'!B:B,C433-5)),INDEX('register map'!B:B,C433-4)),INDEX('register map'!B:B,C433-3)),INDEX('register map'!B:B,C433-2)),INDEX('register map'!B:B,C433-1)),INDEX('register map'!B:B,C433))</f>
        <v>0x1D</v>
      </c>
      <c r="G433" s="117" t="str">
        <f>CONCATENATE(IF(ISNUMBER(INDEX('register map'!D:D,C433)),7,""),IF(ISNUMBER(INDEX('register map'!E:E,C433)),6,""),IF(ISNUMBER(INDEX('register map'!F:F,C433)),5,""),IF(ISNUMBER(INDEX('register map'!G:G,C433)),4,""),IF(ISNUMBER(INDEX('register map'!H:H,C433)),3,""),IF(ISNUMBER(INDEX('register map'!I:I,C433)),2,""),IF(ISNUMBER(INDEX('register map'!J:J,C433)),1,""),IF(ISNUMBER(INDEX('register map'!K:K,C433)),0,""))</f>
        <v>0</v>
      </c>
      <c r="H433" s="117" t="str">
        <f>RIGHT(INDEX('register map'!V:V,MATCH('Logical Group Generator'!B433,'register map'!L:L,0)),LEN(G433))</f>
        <v>1</v>
      </c>
      <c r="I433" s="117" t="str">
        <f>CONCATENATE(IF(ISNUMBER(INDEX('register map'!K:K,C433)),0,""),IF(ISNUMBER(INDEX('register map'!J:J,C433)),1,""),IF(ISNUMBER(INDEX('register map'!I:I,C433)),2,""),IF(ISNUMBER(INDEX('register map'!H:H,C433)),3,""),IF(ISNUMBER(INDEX('register map'!G:G,C433)),4,""),IF(ISNUMBER(INDEX('register map'!F:F,C433)),5,""),IF(ISNUMBER(INDEX('register map'!E:E,C433)),6,""),IF(ISNUMBER(INDEX('register map'!D:D,C433)),7,""))</f>
        <v>0</v>
      </c>
      <c r="J433" s="117" t="str">
        <f t="shared" si="73"/>
        <v>1</v>
      </c>
      <c r="K433" s="117" t="str">
        <f t="shared" si="66"/>
        <v/>
      </c>
      <c r="L433" s="117" t="str">
        <f t="shared" si="74"/>
        <v/>
      </c>
      <c r="M433" s="117" t="str">
        <f t="shared" si="76"/>
        <v/>
      </c>
      <c r="N433" s="117" t="str">
        <f>IF(ISBLANK(INDEX('register map'!M:M,'Logical Group Generator'!C433)),"No","Yes")</f>
        <v>No</v>
      </c>
      <c r="O433" s="117" t="str">
        <f>IF(NOT(ISBLANK(INDEX('register map'!N:N,'Logical Group Generator'!C433))),"Yes","")</f>
        <v/>
      </c>
      <c r="P433" s="117" t="str">
        <f t="shared" si="67"/>
        <v/>
      </c>
      <c r="Q433" s="117" t="str">
        <f t="shared" si="68"/>
        <v/>
      </c>
      <c r="R433" s="117" t="str">
        <f t="shared" si="69"/>
        <v/>
      </c>
      <c r="S433" s="117" t="str">
        <f t="shared" si="70"/>
        <v>No</v>
      </c>
      <c r="T433" s="117" t="str">
        <f t="shared" si="71"/>
        <v/>
      </c>
      <c r="U433" s="117" t="b">
        <f t="shared" si="75"/>
        <v>0</v>
      </c>
      <c r="V433" s="157" t="b">
        <f>INDEX('register map'!P:P,C433)="yes"</f>
        <v>1</v>
      </c>
      <c r="W433" s="157" t="str">
        <f t="shared" si="72"/>
        <v>FALSE</v>
      </c>
    </row>
    <row r="434" spans="2:23">
      <c r="B434" s="157" t="str">
        <f t="array" ref="B434">IF(ROWS($3:434)&lt;=COUNTA('register map'!$L$5:$L$902),INDEX('register map'!$L$5:$L$902,SMALL(IF('register map'!$L$5:$L$902&lt;&gt;"",ROW('register map'!$L$5:$L$902)-MIN(ROW('register map'!$L$5:$L$902))+1),ROWS($3:434))),"")</f>
        <v>OTP_RSVD_38_1D_1</v>
      </c>
      <c r="C434" s="157">
        <f>IF(B434="PART_NUMBER",IF(COUNTIF($B$1:B433,"PART_NUMBER")=0,6,8),MATCH(B434,'register map'!L:L,0))</f>
        <v>538</v>
      </c>
      <c r="D434" s="117" t="str">
        <f>IF(ISBLANK(INDEX('register map'!C:C,'Logical Group Generator'!C434)),"No","Yes")</f>
        <v>No</v>
      </c>
      <c r="E434" s="117" t="str">
        <f>IF(ISBLANK(INDEX('register map'!A:A,C434)),IF(ISBLANK(INDEX('register map'!A:A,C434-1)),IF(ISBLANK(INDEX('register map'!A:A,C434-2)),IF(ISBLANK(INDEX('register map'!A:A,C434-3)),IF(ISBLANK(INDEX('register map'!A:A,C434-4)),IF(ISBLANK(INDEX('register map'!A:A,C434-5)),IF(ISBLANK(INDEX('register map'!A:A,C434-6)),IF(ISBLANK(INDEX('register map'!A:A,C434-7)),IF(ISBLANK(INDEX('register map'!A:A,C434-8)),"ERROR",INDEX('register map'!A:A,C434-8)),INDEX('register map'!A:A,C434-7)),INDEX('register map'!A:A,C434-6)),INDEX('register map'!A:A,C434-5)),INDEX('register map'!A:A,C434-4)),INDEX('register map'!A:A,C434-3)),INDEX('register map'!A:A,C434-2)),INDEX('register map'!A:A,C434-1)),INDEX('register map'!A:A,C434))</f>
        <v>0x38</v>
      </c>
      <c r="F434" s="117" t="str">
        <f>IF(ISBLANK(INDEX('register map'!B:B,C434)),IF(ISBLANK(INDEX('register map'!B:B,C434-1)),IF(ISBLANK(INDEX('register map'!B:B,C434-2)),IF(ISBLANK(INDEX('register map'!B:B,C434-3)),IF(ISBLANK(INDEX('register map'!B:B,C434-4)),IF(ISBLANK(INDEX('register map'!B:B,C434-5)),IF(ISBLANK(INDEX('register map'!B:B,C434-6)),IF(ISBLANK(INDEX('register map'!B:B,C434-7)),IF(ISBLANK(INDEX('register map'!B:B,C434-8)),"ERROR",INDEX('register map'!B:B,C434-8)),INDEX('register map'!B:B,C434-7)),INDEX('register map'!B:B,C434-6)),INDEX('register map'!B:B,C434-5)),INDEX('register map'!B:B,C434-4)),INDEX('register map'!B:B,C434-3)),INDEX('register map'!B:B,C434-2)),INDEX('register map'!B:B,C434-1)),INDEX('register map'!B:B,C434))</f>
        <v>0x1D</v>
      </c>
      <c r="G434" s="117" t="str">
        <f>CONCATENATE(IF(ISNUMBER(INDEX('register map'!D:D,C434)),7,""),IF(ISNUMBER(INDEX('register map'!E:E,C434)),6,""),IF(ISNUMBER(INDEX('register map'!F:F,C434)),5,""),IF(ISNUMBER(INDEX('register map'!G:G,C434)),4,""),IF(ISNUMBER(INDEX('register map'!H:H,C434)),3,""),IF(ISNUMBER(INDEX('register map'!I:I,C434)),2,""),IF(ISNUMBER(INDEX('register map'!J:J,C434)),1,""),IF(ISNUMBER(INDEX('register map'!K:K,C434)),0,""))</f>
        <v>1</v>
      </c>
      <c r="H434" s="117" t="str">
        <f>RIGHT(INDEX('register map'!V:V,MATCH('Logical Group Generator'!B434,'register map'!L:L,0)),LEN(G434))</f>
        <v>1</v>
      </c>
      <c r="I434" s="117" t="str">
        <f>CONCATENATE(IF(ISNUMBER(INDEX('register map'!K:K,C434)),0,""),IF(ISNUMBER(INDEX('register map'!J:J,C434)),1,""),IF(ISNUMBER(INDEX('register map'!I:I,C434)),2,""),IF(ISNUMBER(INDEX('register map'!H:H,C434)),3,""),IF(ISNUMBER(INDEX('register map'!G:G,C434)),4,""),IF(ISNUMBER(INDEX('register map'!F:F,C434)),5,""),IF(ISNUMBER(INDEX('register map'!E:E,C434)),6,""),IF(ISNUMBER(INDEX('register map'!D:D,C434)),7,""))</f>
        <v>1</v>
      </c>
      <c r="J434" s="117" t="str">
        <f t="shared" si="73"/>
        <v>1</v>
      </c>
      <c r="K434" s="117" t="str">
        <f t="shared" si="66"/>
        <v/>
      </c>
      <c r="L434" s="117" t="str">
        <f t="shared" si="74"/>
        <v/>
      </c>
      <c r="M434" s="117" t="str">
        <f t="shared" si="76"/>
        <v/>
      </c>
      <c r="N434" s="117" t="str">
        <f>IF(ISBLANK(INDEX('register map'!M:M,'Logical Group Generator'!C434)),"No","Yes")</f>
        <v>No</v>
      </c>
      <c r="O434" s="117" t="str">
        <f>IF(NOT(ISBLANK(INDEX('register map'!N:N,'Logical Group Generator'!C434))),"Yes","")</f>
        <v/>
      </c>
      <c r="P434" s="117" t="str">
        <f t="shared" si="67"/>
        <v/>
      </c>
      <c r="Q434" s="117" t="str">
        <f t="shared" si="68"/>
        <v/>
      </c>
      <c r="R434" s="117" t="str">
        <f t="shared" si="69"/>
        <v/>
      </c>
      <c r="S434" s="117" t="str">
        <f t="shared" si="70"/>
        <v>No</v>
      </c>
      <c r="T434" s="117" t="str">
        <f t="shared" si="71"/>
        <v/>
      </c>
      <c r="U434" s="117" t="b">
        <f t="shared" si="75"/>
        <v>0</v>
      </c>
      <c r="V434" s="157" t="b">
        <f>INDEX('register map'!P:P,C434)="yes"</f>
        <v>1</v>
      </c>
      <c r="W434" s="157" t="str">
        <f t="shared" si="72"/>
        <v>FALSE</v>
      </c>
    </row>
    <row r="435" spans="2:23">
      <c r="B435" s="157" t="str">
        <f t="array" ref="B435">IF(ROWS($3:435)&lt;=COUNTA('register map'!$L$5:$L$902),INDEX('register map'!$L$5:$L$902,SMALL(IF('register map'!$L$5:$L$902&lt;&gt;"",ROW('register map'!$L$5:$L$902)-MIN(ROW('register map'!$L$5:$L$902))+1),ROWS($3:435))),"")</f>
        <v>OTP_RSVD_38_1D_432</v>
      </c>
      <c r="C435" s="157">
        <f>IF(B435="PART_NUMBER",IF(COUNTIF($B$1:B434,"PART_NUMBER")=0,6,8),MATCH(B435,'register map'!L:L,0))</f>
        <v>539</v>
      </c>
      <c r="D435" s="117" t="str">
        <f>IF(ISBLANK(INDEX('register map'!C:C,'Logical Group Generator'!C435)),"No","Yes")</f>
        <v>No</v>
      </c>
      <c r="E435" s="117" t="str">
        <f>IF(ISBLANK(INDEX('register map'!A:A,C435)),IF(ISBLANK(INDEX('register map'!A:A,C435-1)),IF(ISBLANK(INDEX('register map'!A:A,C435-2)),IF(ISBLANK(INDEX('register map'!A:A,C435-3)),IF(ISBLANK(INDEX('register map'!A:A,C435-4)),IF(ISBLANK(INDEX('register map'!A:A,C435-5)),IF(ISBLANK(INDEX('register map'!A:A,C435-6)),IF(ISBLANK(INDEX('register map'!A:A,C435-7)),IF(ISBLANK(INDEX('register map'!A:A,C435-8)),"ERROR",INDEX('register map'!A:A,C435-8)),INDEX('register map'!A:A,C435-7)),INDEX('register map'!A:A,C435-6)),INDEX('register map'!A:A,C435-5)),INDEX('register map'!A:A,C435-4)),INDEX('register map'!A:A,C435-3)),INDEX('register map'!A:A,C435-2)),INDEX('register map'!A:A,C435-1)),INDEX('register map'!A:A,C435))</f>
        <v>0x38</v>
      </c>
      <c r="F435" s="117" t="str">
        <f>IF(ISBLANK(INDEX('register map'!B:B,C435)),IF(ISBLANK(INDEX('register map'!B:B,C435-1)),IF(ISBLANK(INDEX('register map'!B:B,C435-2)),IF(ISBLANK(INDEX('register map'!B:B,C435-3)),IF(ISBLANK(INDEX('register map'!B:B,C435-4)),IF(ISBLANK(INDEX('register map'!B:B,C435-5)),IF(ISBLANK(INDEX('register map'!B:B,C435-6)),IF(ISBLANK(INDEX('register map'!B:B,C435-7)),IF(ISBLANK(INDEX('register map'!B:B,C435-8)),"ERROR",INDEX('register map'!B:B,C435-8)),INDEX('register map'!B:B,C435-7)),INDEX('register map'!B:B,C435-6)),INDEX('register map'!B:B,C435-5)),INDEX('register map'!B:B,C435-4)),INDEX('register map'!B:B,C435-3)),INDEX('register map'!B:B,C435-2)),INDEX('register map'!B:B,C435-1)),INDEX('register map'!B:B,C435))</f>
        <v>0x1D</v>
      </c>
      <c r="G435" s="117" t="str">
        <f>CONCATENATE(IF(ISNUMBER(INDEX('register map'!D:D,C435)),7,""),IF(ISNUMBER(INDEX('register map'!E:E,C435)),6,""),IF(ISNUMBER(INDEX('register map'!F:F,C435)),5,""),IF(ISNUMBER(INDEX('register map'!G:G,C435)),4,""),IF(ISNUMBER(INDEX('register map'!H:H,C435)),3,""),IF(ISNUMBER(INDEX('register map'!I:I,C435)),2,""),IF(ISNUMBER(INDEX('register map'!J:J,C435)),1,""),IF(ISNUMBER(INDEX('register map'!K:K,C435)),0,""))</f>
        <v>432</v>
      </c>
      <c r="H435" s="117" t="str">
        <f>RIGHT(INDEX('register map'!V:V,MATCH('Logical Group Generator'!B435,'register map'!L:L,0)),LEN(G435))</f>
        <v>000</v>
      </c>
      <c r="I435" s="117" t="str">
        <f>CONCATENATE(IF(ISNUMBER(INDEX('register map'!K:K,C435)),0,""),IF(ISNUMBER(INDEX('register map'!J:J,C435)),1,""),IF(ISNUMBER(INDEX('register map'!I:I,C435)),2,""),IF(ISNUMBER(INDEX('register map'!H:H,C435)),3,""),IF(ISNUMBER(INDEX('register map'!G:G,C435)),4,""),IF(ISNUMBER(INDEX('register map'!F:F,C435)),5,""),IF(ISNUMBER(INDEX('register map'!E:E,C435)),6,""),IF(ISNUMBER(INDEX('register map'!D:D,C435)),7,""))</f>
        <v>234</v>
      </c>
      <c r="J435" s="117" t="str">
        <f t="shared" si="73"/>
        <v>000</v>
      </c>
      <c r="K435" s="117" t="str">
        <f t="shared" si="66"/>
        <v/>
      </c>
      <c r="L435" s="117" t="str">
        <f t="shared" si="74"/>
        <v/>
      </c>
      <c r="M435" s="117" t="str">
        <f t="shared" si="76"/>
        <v/>
      </c>
      <c r="N435" s="117" t="str">
        <f>IF(ISBLANK(INDEX('register map'!M:M,'Logical Group Generator'!C435)),"No","Yes")</f>
        <v>No</v>
      </c>
      <c r="O435" s="117" t="str">
        <f>IF(NOT(ISBLANK(INDEX('register map'!N:N,'Logical Group Generator'!C435))),"Yes","")</f>
        <v/>
      </c>
      <c r="P435" s="117" t="str">
        <f t="shared" si="67"/>
        <v/>
      </c>
      <c r="Q435" s="117" t="str">
        <f t="shared" si="68"/>
        <v/>
      </c>
      <c r="R435" s="117" t="str">
        <f t="shared" si="69"/>
        <v/>
      </c>
      <c r="S435" s="117" t="str">
        <f t="shared" si="70"/>
        <v>No</v>
      </c>
      <c r="T435" s="117" t="str">
        <f t="shared" si="71"/>
        <v/>
      </c>
      <c r="U435" s="117" t="b">
        <f t="shared" si="75"/>
        <v>0</v>
      </c>
      <c r="V435" s="157" t="b">
        <f>INDEX('register map'!P:P,C435)="yes"</f>
        <v>1</v>
      </c>
      <c r="W435" s="157" t="str">
        <f t="shared" si="72"/>
        <v>FALSE</v>
      </c>
    </row>
    <row r="436" spans="2:23">
      <c r="B436" s="157" t="str">
        <f t="array" ref="B436">IF(ROWS($3:436)&lt;=COUNTA('register map'!$L$5:$L$902),INDEX('register map'!$L$5:$L$902,SMALL(IF('register map'!$L$5:$L$902&lt;&gt;"",ROW('register map'!$L$5:$L$902)-MIN(ROW('register map'!$L$5:$L$902))+1),ROWS($3:436))),"")</f>
        <v>OTP_RSVD_38_1D_5</v>
      </c>
      <c r="C436" s="157">
        <f>IF(B436="PART_NUMBER",IF(COUNTIF($B$1:B435,"PART_NUMBER")=0,6,8),MATCH(B436,'register map'!L:L,0))</f>
        <v>540</v>
      </c>
      <c r="D436" s="117" t="str">
        <f>IF(ISBLANK(INDEX('register map'!C:C,'Logical Group Generator'!C436)),"No","Yes")</f>
        <v>No</v>
      </c>
      <c r="E436" s="117" t="str">
        <f>IF(ISBLANK(INDEX('register map'!A:A,C436)),IF(ISBLANK(INDEX('register map'!A:A,C436-1)),IF(ISBLANK(INDEX('register map'!A:A,C436-2)),IF(ISBLANK(INDEX('register map'!A:A,C436-3)),IF(ISBLANK(INDEX('register map'!A:A,C436-4)),IF(ISBLANK(INDEX('register map'!A:A,C436-5)),IF(ISBLANK(INDEX('register map'!A:A,C436-6)),IF(ISBLANK(INDEX('register map'!A:A,C436-7)),IF(ISBLANK(INDEX('register map'!A:A,C436-8)),"ERROR",INDEX('register map'!A:A,C436-8)),INDEX('register map'!A:A,C436-7)),INDEX('register map'!A:A,C436-6)),INDEX('register map'!A:A,C436-5)),INDEX('register map'!A:A,C436-4)),INDEX('register map'!A:A,C436-3)),INDEX('register map'!A:A,C436-2)),INDEX('register map'!A:A,C436-1)),INDEX('register map'!A:A,C436))</f>
        <v>0x38</v>
      </c>
      <c r="F436" s="117" t="str">
        <f>IF(ISBLANK(INDEX('register map'!B:B,C436)),IF(ISBLANK(INDEX('register map'!B:B,C436-1)),IF(ISBLANK(INDEX('register map'!B:B,C436-2)),IF(ISBLANK(INDEX('register map'!B:B,C436-3)),IF(ISBLANK(INDEX('register map'!B:B,C436-4)),IF(ISBLANK(INDEX('register map'!B:B,C436-5)),IF(ISBLANK(INDEX('register map'!B:B,C436-6)),IF(ISBLANK(INDEX('register map'!B:B,C436-7)),IF(ISBLANK(INDEX('register map'!B:B,C436-8)),"ERROR",INDEX('register map'!B:B,C436-8)),INDEX('register map'!B:B,C436-7)),INDEX('register map'!B:B,C436-6)),INDEX('register map'!B:B,C436-5)),INDEX('register map'!B:B,C436-4)),INDEX('register map'!B:B,C436-3)),INDEX('register map'!B:B,C436-2)),INDEX('register map'!B:B,C436-1)),INDEX('register map'!B:B,C436))</f>
        <v>0x1D</v>
      </c>
      <c r="G436" s="117" t="str">
        <f>CONCATENATE(IF(ISNUMBER(INDEX('register map'!D:D,C436)),7,""),IF(ISNUMBER(INDEX('register map'!E:E,C436)),6,""),IF(ISNUMBER(INDEX('register map'!F:F,C436)),5,""),IF(ISNUMBER(INDEX('register map'!G:G,C436)),4,""),IF(ISNUMBER(INDEX('register map'!H:H,C436)),3,""),IF(ISNUMBER(INDEX('register map'!I:I,C436)),2,""),IF(ISNUMBER(INDEX('register map'!J:J,C436)),1,""),IF(ISNUMBER(INDEX('register map'!K:K,C436)),0,""))</f>
        <v>5</v>
      </c>
      <c r="H436" s="117" t="str">
        <f>RIGHT(INDEX('register map'!V:V,MATCH('Logical Group Generator'!B436,'register map'!L:L,0)),LEN(G436))</f>
        <v>0</v>
      </c>
      <c r="I436" s="117" t="str">
        <f>CONCATENATE(IF(ISNUMBER(INDEX('register map'!K:K,C436)),0,""),IF(ISNUMBER(INDEX('register map'!J:J,C436)),1,""),IF(ISNUMBER(INDEX('register map'!I:I,C436)),2,""),IF(ISNUMBER(INDEX('register map'!H:H,C436)),3,""),IF(ISNUMBER(INDEX('register map'!G:G,C436)),4,""),IF(ISNUMBER(INDEX('register map'!F:F,C436)),5,""),IF(ISNUMBER(INDEX('register map'!E:E,C436)),6,""),IF(ISNUMBER(INDEX('register map'!D:D,C436)),7,""))</f>
        <v>5</v>
      </c>
      <c r="J436" s="117" t="str">
        <f t="shared" si="73"/>
        <v>0</v>
      </c>
      <c r="K436" s="117" t="str">
        <f t="shared" si="66"/>
        <v/>
      </c>
      <c r="L436" s="117" t="str">
        <f t="shared" si="74"/>
        <v/>
      </c>
      <c r="M436" s="117" t="str">
        <f t="shared" si="76"/>
        <v/>
      </c>
      <c r="N436" s="117" t="str">
        <f>IF(ISBLANK(INDEX('register map'!M:M,'Logical Group Generator'!C436)),"No","Yes")</f>
        <v>No</v>
      </c>
      <c r="O436" s="117" t="str">
        <f>IF(NOT(ISBLANK(INDEX('register map'!N:N,'Logical Group Generator'!C436))),"Yes","")</f>
        <v/>
      </c>
      <c r="P436" s="117" t="str">
        <f t="shared" si="67"/>
        <v/>
      </c>
      <c r="Q436" s="117" t="str">
        <f t="shared" si="68"/>
        <v/>
      </c>
      <c r="R436" s="117" t="str">
        <f t="shared" si="69"/>
        <v/>
      </c>
      <c r="S436" s="117" t="str">
        <f t="shared" si="70"/>
        <v>No</v>
      </c>
      <c r="T436" s="117" t="str">
        <f t="shared" si="71"/>
        <v/>
      </c>
      <c r="U436" s="117" t="b">
        <f t="shared" si="75"/>
        <v>0</v>
      </c>
      <c r="V436" s="157" t="b">
        <f>INDEX('register map'!P:P,C436)="yes"</f>
        <v>1</v>
      </c>
      <c r="W436" s="157" t="str">
        <f t="shared" si="72"/>
        <v>FALSE</v>
      </c>
    </row>
    <row r="437" spans="2:23">
      <c r="B437" s="157" t="str">
        <f t="array" ref="B437">IF(ROWS($3:437)&lt;=COUNTA('register map'!$L$5:$L$902),INDEX('register map'!$L$5:$L$902,SMALL(IF('register map'!$L$5:$L$902&lt;&gt;"",ROW('register map'!$L$5:$L$902)-MIN(ROW('register map'!$L$5:$L$902))+1),ROWS($3:437))),"")</f>
        <v>OTP_RSVD_38_1D_6</v>
      </c>
      <c r="C437" s="157">
        <f>IF(B437="PART_NUMBER",IF(COUNTIF($B$1:B436,"PART_NUMBER")=0,6,8),MATCH(B437,'register map'!L:L,0))</f>
        <v>541</v>
      </c>
      <c r="D437" s="117" t="str">
        <f>IF(ISBLANK(INDEX('register map'!C:C,'Logical Group Generator'!C437)),"No","Yes")</f>
        <v>No</v>
      </c>
      <c r="E437" s="117" t="str">
        <f>IF(ISBLANK(INDEX('register map'!A:A,C437)),IF(ISBLANK(INDEX('register map'!A:A,C437-1)),IF(ISBLANK(INDEX('register map'!A:A,C437-2)),IF(ISBLANK(INDEX('register map'!A:A,C437-3)),IF(ISBLANK(INDEX('register map'!A:A,C437-4)),IF(ISBLANK(INDEX('register map'!A:A,C437-5)),IF(ISBLANK(INDEX('register map'!A:A,C437-6)),IF(ISBLANK(INDEX('register map'!A:A,C437-7)),IF(ISBLANK(INDEX('register map'!A:A,C437-8)),"ERROR",INDEX('register map'!A:A,C437-8)),INDEX('register map'!A:A,C437-7)),INDEX('register map'!A:A,C437-6)),INDEX('register map'!A:A,C437-5)),INDEX('register map'!A:A,C437-4)),INDEX('register map'!A:A,C437-3)),INDEX('register map'!A:A,C437-2)),INDEX('register map'!A:A,C437-1)),INDEX('register map'!A:A,C437))</f>
        <v>0x38</v>
      </c>
      <c r="F437" s="117" t="str">
        <f>IF(ISBLANK(INDEX('register map'!B:B,C437)),IF(ISBLANK(INDEX('register map'!B:B,C437-1)),IF(ISBLANK(INDEX('register map'!B:B,C437-2)),IF(ISBLANK(INDEX('register map'!B:B,C437-3)),IF(ISBLANK(INDEX('register map'!B:B,C437-4)),IF(ISBLANK(INDEX('register map'!B:B,C437-5)),IF(ISBLANK(INDEX('register map'!B:B,C437-6)),IF(ISBLANK(INDEX('register map'!B:B,C437-7)),IF(ISBLANK(INDEX('register map'!B:B,C437-8)),"ERROR",INDEX('register map'!B:B,C437-8)),INDEX('register map'!B:B,C437-7)),INDEX('register map'!B:B,C437-6)),INDEX('register map'!B:B,C437-5)),INDEX('register map'!B:B,C437-4)),INDEX('register map'!B:B,C437-3)),INDEX('register map'!B:B,C437-2)),INDEX('register map'!B:B,C437-1)),INDEX('register map'!B:B,C437))</f>
        <v>0x1D</v>
      </c>
      <c r="G437" s="117" t="str">
        <f>CONCATENATE(IF(ISNUMBER(INDEX('register map'!D:D,C437)),7,""),IF(ISNUMBER(INDEX('register map'!E:E,C437)),6,""),IF(ISNUMBER(INDEX('register map'!F:F,C437)),5,""),IF(ISNUMBER(INDEX('register map'!G:G,C437)),4,""),IF(ISNUMBER(INDEX('register map'!H:H,C437)),3,""),IF(ISNUMBER(INDEX('register map'!I:I,C437)),2,""),IF(ISNUMBER(INDEX('register map'!J:J,C437)),1,""),IF(ISNUMBER(INDEX('register map'!K:K,C437)),0,""))</f>
        <v>6</v>
      </c>
      <c r="H437" s="117" t="str">
        <f>RIGHT(INDEX('register map'!V:V,MATCH('Logical Group Generator'!B437,'register map'!L:L,0)),LEN(G437))</f>
        <v>1</v>
      </c>
      <c r="I437" s="117" t="str">
        <f>CONCATENATE(IF(ISNUMBER(INDEX('register map'!K:K,C437)),0,""),IF(ISNUMBER(INDEX('register map'!J:J,C437)),1,""),IF(ISNUMBER(INDEX('register map'!I:I,C437)),2,""),IF(ISNUMBER(INDEX('register map'!H:H,C437)),3,""),IF(ISNUMBER(INDEX('register map'!G:G,C437)),4,""),IF(ISNUMBER(INDEX('register map'!F:F,C437)),5,""),IF(ISNUMBER(INDEX('register map'!E:E,C437)),6,""),IF(ISNUMBER(INDEX('register map'!D:D,C437)),7,""))</f>
        <v>6</v>
      </c>
      <c r="J437" s="117" t="str">
        <f t="shared" si="73"/>
        <v>1</v>
      </c>
      <c r="K437" s="117" t="str">
        <f t="shared" si="66"/>
        <v/>
      </c>
      <c r="L437" s="117" t="str">
        <f t="shared" si="74"/>
        <v/>
      </c>
      <c r="M437" s="117" t="str">
        <f t="shared" si="76"/>
        <v/>
      </c>
      <c r="N437" s="117" t="str">
        <f>IF(ISBLANK(INDEX('register map'!M:M,'Logical Group Generator'!C437)),"No","Yes")</f>
        <v>No</v>
      </c>
      <c r="O437" s="117" t="str">
        <f>IF(NOT(ISBLANK(INDEX('register map'!N:N,'Logical Group Generator'!C437))),"Yes","")</f>
        <v/>
      </c>
      <c r="P437" s="117" t="str">
        <f t="shared" si="67"/>
        <v/>
      </c>
      <c r="Q437" s="117" t="str">
        <f t="shared" si="68"/>
        <v/>
      </c>
      <c r="R437" s="117" t="str">
        <f t="shared" si="69"/>
        <v/>
      </c>
      <c r="S437" s="117" t="str">
        <f t="shared" si="70"/>
        <v>No</v>
      </c>
      <c r="T437" s="117" t="str">
        <f t="shared" si="71"/>
        <v/>
      </c>
      <c r="U437" s="117" t="b">
        <f t="shared" si="75"/>
        <v>0</v>
      </c>
      <c r="V437" s="157" t="b">
        <f>INDEX('register map'!P:P,C437)="yes"</f>
        <v>1</v>
      </c>
      <c r="W437" s="157" t="str">
        <f t="shared" si="72"/>
        <v>FALSE</v>
      </c>
    </row>
    <row r="438" spans="2:23">
      <c r="B438" s="157" t="str">
        <f t="array" ref="B438">IF(ROWS($3:438)&lt;=COUNTA('register map'!$L$5:$L$902),INDEX('register map'!$L$5:$L$902,SMALL(IF('register map'!$L$5:$L$902&lt;&gt;"",ROW('register map'!$L$5:$L$902)-MIN(ROW('register map'!$L$5:$L$902))+1),ROWS($3:438))),"")</f>
        <v>OTP_RSVD_38_1D_7</v>
      </c>
      <c r="C438" s="157">
        <f>IF(B438="PART_NUMBER",IF(COUNTIF($B$1:B437,"PART_NUMBER")=0,6,8),MATCH(B438,'register map'!L:L,0))</f>
        <v>542</v>
      </c>
      <c r="D438" s="117" t="str">
        <f>IF(ISBLANK(INDEX('register map'!C:C,'Logical Group Generator'!C438)),"No","Yes")</f>
        <v>No</v>
      </c>
      <c r="E438" s="117" t="str">
        <f>IF(ISBLANK(INDEX('register map'!A:A,C438)),IF(ISBLANK(INDEX('register map'!A:A,C438-1)),IF(ISBLANK(INDEX('register map'!A:A,C438-2)),IF(ISBLANK(INDEX('register map'!A:A,C438-3)),IF(ISBLANK(INDEX('register map'!A:A,C438-4)),IF(ISBLANK(INDEX('register map'!A:A,C438-5)),IF(ISBLANK(INDEX('register map'!A:A,C438-6)),IF(ISBLANK(INDEX('register map'!A:A,C438-7)),IF(ISBLANK(INDEX('register map'!A:A,C438-8)),"ERROR",INDEX('register map'!A:A,C438-8)),INDEX('register map'!A:A,C438-7)),INDEX('register map'!A:A,C438-6)),INDEX('register map'!A:A,C438-5)),INDEX('register map'!A:A,C438-4)),INDEX('register map'!A:A,C438-3)),INDEX('register map'!A:A,C438-2)),INDEX('register map'!A:A,C438-1)),INDEX('register map'!A:A,C438))</f>
        <v>0x38</v>
      </c>
      <c r="F438" s="117" t="str">
        <f>IF(ISBLANK(INDEX('register map'!B:B,C438)),IF(ISBLANK(INDEX('register map'!B:B,C438-1)),IF(ISBLANK(INDEX('register map'!B:B,C438-2)),IF(ISBLANK(INDEX('register map'!B:B,C438-3)),IF(ISBLANK(INDEX('register map'!B:B,C438-4)),IF(ISBLANK(INDEX('register map'!B:B,C438-5)),IF(ISBLANK(INDEX('register map'!B:B,C438-6)),IF(ISBLANK(INDEX('register map'!B:B,C438-7)),IF(ISBLANK(INDEX('register map'!B:B,C438-8)),"ERROR",INDEX('register map'!B:B,C438-8)),INDEX('register map'!B:B,C438-7)),INDEX('register map'!B:B,C438-6)),INDEX('register map'!B:B,C438-5)),INDEX('register map'!B:B,C438-4)),INDEX('register map'!B:B,C438-3)),INDEX('register map'!B:B,C438-2)),INDEX('register map'!B:B,C438-1)),INDEX('register map'!B:B,C438))</f>
        <v>0x1D</v>
      </c>
      <c r="G438" s="117" t="str">
        <f>CONCATENATE(IF(ISNUMBER(INDEX('register map'!D:D,C438)),7,""),IF(ISNUMBER(INDEX('register map'!E:E,C438)),6,""),IF(ISNUMBER(INDEX('register map'!F:F,C438)),5,""),IF(ISNUMBER(INDEX('register map'!G:G,C438)),4,""),IF(ISNUMBER(INDEX('register map'!H:H,C438)),3,""),IF(ISNUMBER(INDEX('register map'!I:I,C438)),2,""),IF(ISNUMBER(INDEX('register map'!J:J,C438)),1,""),IF(ISNUMBER(INDEX('register map'!K:K,C438)),0,""))</f>
        <v>7</v>
      </c>
      <c r="H438" s="117" t="str">
        <f>RIGHT(INDEX('register map'!V:V,MATCH('Logical Group Generator'!B438,'register map'!L:L,0)),LEN(G438))</f>
        <v>0</v>
      </c>
      <c r="I438" s="117" t="str">
        <f>CONCATENATE(IF(ISNUMBER(INDEX('register map'!K:K,C438)),0,""),IF(ISNUMBER(INDEX('register map'!J:J,C438)),1,""),IF(ISNUMBER(INDEX('register map'!I:I,C438)),2,""),IF(ISNUMBER(INDEX('register map'!H:H,C438)),3,""),IF(ISNUMBER(INDEX('register map'!G:G,C438)),4,""),IF(ISNUMBER(INDEX('register map'!F:F,C438)),5,""),IF(ISNUMBER(INDEX('register map'!E:E,C438)),6,""),IF(ISNUMBER(INDEX('register map'!D:D,C438)),7,""))</f>
        <v>7</v>
      </c>
      <c r="J438" s="117" t="str">
        <f t="shared" si="73"/>
        <v>0</v>
      </c>
      <c r="K438" s="117" t="str">
        <f t="shared" si="66"/>
        <v/>
      </c>
      <c r="L438" s="117" t="str">
        <f t="shared" si="74"/>
        <v/>
      </c>
      <c r="M438" s="117" t="str">
        <f t="shared" si="76"/>
        <v/>
      </c>
      <c r="N438" s="117" t="str">
        <f>IF(ISBLANK(INDEX('register map'!M:M,'Logical Group Generator'!C438)),"No","Yes")</f>
        <v>No</v>
      </c>
      <c r="O438" s="117" t="str">
        <f>IF(NOT(ISBLANK(INDEX('register map'!N:N,'Logical Group Generator'!C438))),"Yes","")</f>
        <v/>
      </c>
      <c r="P438" s="117" t="str">
        <f t="shared" si="67"/>
        <v/>
      </c>
      <c r="Q438" s="117" t="str">
        <f t="shared" si="68"/>
        <v/>
      </c>
      <c r="R438" s="117" t="str">
        <f t="shared" si="69"/>
        <v/>
      </c>
      <c r="S438" s="117" t="str">
        <f t="shared" si="70"/>
        <v>No</v>
      </c>
      <c r="T438" s="117" t="str">
        <f t="shared" si="71"/>
        <v/>
      </c>
      <c r="U438" s="117" t="b">
        <f t="shared" si="75"/>
        <v>0</v>
      </c>
      <c r="V438" s="157" t="b">
        <f>INDEX('register map'!P:P,C438)="yes"</f>
        <v>1</v>
      </c>
      <c r="W438" s="157" t="str">
        <f t="shared" si="72"/>
        <v>FALSE</v>
      </c>
    </row>
    <row r="439" spans="2:23">
      <c r="B439" s="157" t="str">
        <f t="array" ref="B439">IF(ROWS($3:439)&lt;=COUNTA('register map'!$L$5:$L$902),INDEX('register map'!$L$5:$L$902,SMALL(IF('register map'!$L$5:$L$902&lt;&gt;"",ROW('register map'!$L$5:$L$902)-MIN(ROW('register map'!$L$5:$L$902))+1),ROWS($3:439))),"")</f>
        <v>LDOA2_CTRL_EN3</v>
      </c>
      <c r="C439" s="157">
        <f>IF(B439="PART_NUMBER",IF(COUNTIF($B$1:B438,"PART_NUMBER")=0,6,8),MATCH(B439,'register map'!L:L,0))</f>
        <v>543</v>
      </c>
      <c r="D439" s="117" t="str">
        <f>IF(ISBLANK(INDEX('register map'!C:C,'Logical Group Generator'!C439)),"No","Yes")</f>
        <v>Yes</v>
      </c>
      <c r="E439" s="117" t="str">
        <f>IF(ISBLANK(INDEX('register map'!A:A,C439)),IF(ISBLANK(INDEX('register map'!A:A,C439-1)),IF(ISBLANK(INDEX('register map'!A:A,C439-2)),IF(ISBLANK(INDEX('register map'!A:A,C439-3)),IF(ISBLANK(INDEX('register map'!A:A,C439-4)),IF(ISBLANK(INDEX('register map'!A:A,C439-5)),IF(ISBLANK(INDEX('register map'!A:A,C439-6)),IF(ISBLANK(INDEX('register map'!A:A,C439-7)),IF(ISBLANK(INDEX('register map'!A:A,C439-8)),"ERROR",INDEX('register map'!A:A,C439-8)),INDEX('register map'!A:A,C439-7)),INDEX('register map'!A:A,C439-6)),INDEX('register map'!A:A,C439-5)),INDEX('register map'!A:A,C439-4)),INDEX('register map'!A:A,C439-3)),INDEX('register map'!A:A,C439-2)),INDEX('register map'!A:A,C439-1)),INDEX('register map'!A:A,C439))</f>
        <v>0x38</v>
      </c>
      <c r="F439" s="117" t="str">
        <f>IF(ISBLANK(INDEX('register map'!B:B,C439)),IF(ISBLANK(INDEX('register map'!B:B,C439-1)),IF(ISBLANK(INDEX('register map'!B:B,C439-2)),IF(ISBLANK(INDEX('register map'!B:B,C439-3)),IF(ISBLANK(INDEX('register map'!B:B,C439-4)),IF(ISBLANK(INDEX('register map'!B:B,C439-5)),IF(ISBLANK(INDEX('register map'!B:B,C439-6)),IF(ISBLANK(INDEX('register map'!B:B,C439-7)),IF(ISBLANK(INDEX('register map'!B:B,C439-8)),"ERROR",INDEX('register map'!B:B,C439-8)),INDEX('register map'!B:B,C439-7)),INDEX('register map'!B:B,C439-6)),INDEX('register map'!B:B,C439-5)),INDEX('register map'!B:B,C439-4)),INDEX('register map'!B:B,C439-3)),INDEX('register map'!B:B,C439-2)),INDEX('register map'!B:B,C439-1)),INDEX('register map'!B:B,C439))</f>
        <v>0x1E</v>
      </c>
      <c r="G439" s="117" t="str">
        <f>CONCATENATE(IF(ISNUMBER(INDEX('register map'!D:D,C439)),7,""),IF(ISNUMBER(INDEX('register map'!E:E,C439)),6,""),IF(ISNUMBER(INDEX('register map'!F:F,C439)),5,""),IF(ISNUMBER(INDEX('register map'!G:G,C439)),4,""),IF(ISNUMBER(INDEX('register map'!H:H,C439)),3,""),IF(ISNUMBER(INDEX('register map'!I:I,C439)),2,""),IF(ISNUMBER(INDEX('register map'!J:J,C439)),1,""),IF(ISNUMBER(INDEX('register map'!K:K,C439)),0,""))</f>
        <v/>
      </c>
      <c r="H439" s="117" t="str">
        <f>RIGHT(INDEX('register map'!V:V,MATCH('Logical Group Generator'!B439,'register map'!L:L,0)),LEN(G439))</f>
        <v/>
      </c>
      <c r="I439" s="117" t="str">
        <f>CONCATENATE(IF(ISNUMBER(INDEX('register map'!K:K,C439)),0,""),IF(ISNUMBER(INDEX('register map'!J:J,C439)),1,""),IF(ISNUMBER(INDEX('register map'!I:I,C439)),2,""),IF(ISNUMBER(INDEX('register map'!H:H,C439)),3,""),IF(ISNUMBER(INDEX('register map'!G:G,C439)),4,""),IF(ISNUMBER(INDEX('register map'!F:F,C439)),5,""),IF(ISNUMBER(INDEX('register map'!E:E,C439)),6,""),IF(ISNUMBER(INDEX('register map'!D:D,C439)),7,""))</f>
        <v/>
      </c>
      <c r="J439" s="117" t="str">
        <f t="shared" si="73"/>
        <v/>
      </c>
      <c r="K439" s="117" t="str">
        <f t="shared" si="66"/>
        <v>01001000</v>
      </c>
      <c r="L439" s="117" t="str">
        <f t="shared" si="74"/>
        <v>00010010</v>
      </c>
      <c r="M439" s="117" t="str">
        <f t="shared" si="76"/>
        <v>12</v>
      </c>
      <c r="N439" s="117" t="str">
        <f>IF(ISBLANK(INDEX('register map'!M:M,'Logical Group Generator'!C439)),"No","Yes")</f>
        <v>No</v>
      </c>
      <c r="O439" s="117" t="str">
        <f>IF(NOT(ISBLANK(INDEX('register map'!N:N,'Logical Group Generator'!C439))),"Yes","")</f>
        <v/>
      </c>
      <c r="P439" s="117" t="str">
        <f t="shared" si="67"/>
        <v>No</v>
      </c>
      <c r="Q439" s="117" t="str">
        <f t="shared" si="68"/>
        <v>No</v>
      </c>
      <c r="R439" s="117" t="str">
        <f t="shared" si="69"/>
        <v>No</v>
      </c>
      <c r="S439" s="117" t="str">
        <f t="shared" si="70"/>
        <v/>
      </c>
      <c r="T439" s="117" t="b">
        <f t="shared" si="71"/>
        <v>1</v>
      </c>
      <c r="U439" s="117" t="b">
        <f t="shared" si="75"/>
        <v>1</v>
      </c>
      <c r="V439" s="157" t="b">
        <f>INDEX('register map'!P:P,C439)="yes"</f>
        <v>1</v>
      </c>
      <c r="W439" s="157" t="str">
        <f t="shared" si="72"/>
        <v>REGISTER</v>
      </c>
    </row>
    <row r="440" spans="2:23">
      <c r="B440" s="157" t="str">
        <f t="array" ref="B440">IF(ROWS($3:440)&lt;=COUNTA('register map'!$L$5:$L$902),INDEX('register map'!$L$5:$L$902,SMALL(IF('register map'!$L$5:$L$902&lt;&gt;"",ROW('register map'!$L$5:$L$902)-MIN(ROW('register map'!$L$5:$L$902))+1),ROWS($3:440))),"")</f>
        <v>OTP_RSVD_38_1E_210</v>
      </c>
      <c r="C440" s="157">
        <f>IF(B440="PART_NUMBER",IF(COUNTIF($B$1:B439,"PART_NUMBER")=0,6,8),MATCH(B440,'register map'!L:L,0))</f>
        <v>544</v>
      </c>
      <c r="D440" s="117" t="str">
        <f>IF(ISBLANK(INDEX('register map'!C:C,'Logical Group Generator'!C440)),"No","Yes")</f>
        <v>No</v>
      </c>
      <c r="E440" s="117" t="str">
        <f>IF(ISBLANK(INDEX('register map'!A:A,C440)),IF(ISBLANK(INDEX('register map'!A:A,C440-1)),IF(ISBLANK(INDEX('register map'!A:A,C440-2)),IF(ISBLANK(INDEX('register map'!A:A,C440-3)),IF(ISBLANK(INDEX('register map'!A:A,C440-4)),IF(ISBLANK(INDEX('register map'!A:A,C440-5)),IF(ISBLANK(INDEX('register map'!A:A,C440-6)),IF(ISBLANK(INDEX('register map'!A:A,C440-7)),IF(ISBLANK(INDEX('register map'!A:A,C440-8)),"ERROR",INDEX('register map'!A:A,C440-8)),INDEX('register map'!A:A,C440-7)),INDEX('register map'!A:A,C440-6)),INDEX('register map'!A:A,C440-5)),INDEX('register map'!A:A,C440-4)),INDEX('register map'!A:A,C440-3)),INDEX('register map'!A:A,C440-2)),INDEX('register map'!A:A,C440-1)),INDEX('register map'!A:A,C440))</f>
        <v>0x38</v>
      </c>
      <c r="F440" s="117" t="str">
        <f>IF(ISBLANK(INDEX('register map'!B:B,C440)),IF(ISBLANK(INDEX('register map'!B:B,C440-1)),IF(ISBLANK(INDEX('register map'!B:B,C440-2)),IF(ISBLANK(INDEX('register map'!B:B,C440-3)),IF(ISBLANK(INDEX('register map'!B:B,C440-4)),IF(ISBLANK(INDEX('register map'!B:B,C440-5)),IF(ISBLANK(INDEX('register map'!B:B,C440-6)),IF(ISBLANK(INDEX('register map'!B:B,C440-7)),IF(ISBLANK(INDEX('register map'!B:B,C440-8)),"ERROR",INDEX('register map'!B:B,C440-8)),INDEX('register map'!B:B,C440-7)),INDEX('register map'!B:B,C440-6)),INDEX('register map'!B:B,C440-5)),INDEX('register map'!B:B,C440-4)),INDEX('register map'!B:B,C440-3)),INDEX('register map'!B:B,C440-2)),INDEX('register map'!B:B,C440-1)),INDEX('register map'!B:B,C440))</f>
        <v>0x1E</v>
      </c>
      <c r="G440" s="117" t="str">
        <f>CONCATENATE(IF(ISNUMBER(INDEX('register map'!D:D,C440)),7,""),IF(ISNUMBER(INDEX('register map'!E:E,C440)),6,""),IF(ISNUMBER(INDEX('register map'!F:F,C440)),5,""),IF(ISNUMBER(INDEX('register map'!G:G,C440)),4,""),IF(ISNUMBER(INDEX('register map'!H:H,C440)),3,""),IF(ISNUMBER(INDEX('register map'!I:I,C440)),2,""),IF(ISNUMBER(INDEX('register map'!J:J,C440)),1,""),IF(ISNUMBER(INDEX('register map'!K:K,C440)),0,""))</f>
        <v>210</v>
      </c>
      <c r="H440" s="117" t="str">
        <f>RIGHT(INDEX('register map'!V:V,MATCH('Logical Group Generator'!B440,'register map'!L:L,0)),LEN(G440))</f>
        <v>010</v>
      </c>
      <c r="I440" s="117" t="str">
        <f>CONCATENATE(IF(ISNUMBER(INDEX('register map'!K:K,C440)),0,""),IF(ISNUMBER(INDEX('register map'!J:J,C440)),1,""),IF(ISNUMBER(INDEX('register map'!I:I,C440)),2,""),IF(ISNUMBER(INDEX('register map'!H:H,C440)),3,""),IF(ISNUMBER(INDEX('register map'!G:G,C440)),4,""),IF(ISNUMBER(INDEX('register map'!F:F,C440)),5,""),IF(ISNUMBER(INDEX('register map'!E:E,C440)),6,""),IF(ISNUMBER(INDEX('register map'!D:D,C440)),7,""))</f>
        <v>012</v>
      </c>
      <c r="J440" s="117" t="str">
        <f t="shared" si="73"/>
        <v>010</v>
      </c>
      <c r="K440" s="117" t="str">
        <f t="shared" si="66"/>
        <v/>
      </c>
      <c r="L440" s="117" t="str">
        <f t="shared" si="74"/>
        <v/>
      </c>
      <c r="M440" s="117" t="str">
        <f t="shared" si="76"/>
        <v/>
      </c>
      <c r="N440" s="117" t="str">
        <f>IF(ISBLANK(INDEX('register map'!M:M,'Logical Group Generator'!C440)),"No","Yes")</f>
        <v>No</v>
      </c>
      <c r="O440" s="117" t="str">
        <f>IF(NOT(ISBLANK(INDEX('register map'!N:N,'Logical Group Generator'!C440))),"Yes","")</f>
        <v/>
      </c>
      <c r="P440" s="117" t="str">
        <f t="shared" si="67"/>
        <v/>
      </c>
      <c r="Q440" s="117" t="str">
        <f t="shared" si="68"/>
        <v/>
      </c>
      <c r="R440" s="117" t="str">
        <f t="shared" si="69"/>
        <v/>
      </c>
      <c r="S440" s="117" t="str">
        <f t="shared" si="70"/>
        <v>No</v>
      </c>
      <c r="T440" s="117" t="str">
        <f t="shared" si="71"/>
        <v/>
      </c>
      <c r="U440" s="117" t="b">
        <f t="shared" si="75"/>
        <v>0</v>
      </c>
      <c r="V440" s="157" t="b">
        <f>INDEX('register map'!P:P,C440)="yes"</f>
        <v>1</v>
      </c>
      <c r="W440" s="157" t="str">
        <f t="shared" si="72"/>
        <v>FALSE</v>
      </c>
    </row>
    <row r="441" spans="2:23">
      <c r="B441" s="157" t="str">
        <f t="array" ref="B441">IF(ROWS($3:441)&lt;=COUNTA('register map'!$L$5:$L$902),INDEX('register map'!$L$5:$L$902,SMALL(IF('register map'!$L$5:$L$902&lt;&gt;"",ROW('register map'!$L$5:$L$902)-MIN(ROW('register map'!$L$5:$L$902))+1),ROWS($3:441))),"")</f>
        <v>OTP_RSVD_38_1E_543</v>
      </c>
      <c r="C441" s="157">
        <f>IF(B441="PART_NUMBER",IF(COUNTIF($B$1:B440,"PART_NUMBER")=0,6,8),MATCH(B441,'register map'!L:L,0))</f>
        <v>545</v>
      </c>
      <c r="D441" s="117" t="str">
        <f>IF(ISBLANK(INDEX('register map'!C:C,'Logical Group Generator'!C441)),"No","Yes")</f>
        <v>No</v>
      </c>
      <c r="E441" s="117" t="str">
        <f>IF(ISBLANK(INDEX('register map'!A:A,C441)),IF(ISBLANK(INDEX('register map'!A:A,C441-1)),IF(ISBLANK(INDEX('register map'!A:A,C441-2)),IF(ISBLANK(INDEX('register map'!A:A,C441-3)),IF(ISBLANK(INDEX('register map'!A:A,C441-4)),IF(ISBLANK(INDEX('register map'!A:A,C441-5)),IF(ISBLANK(INDEX('register map'!A:A,C441-6)),IF(ISBLANK(INDEX('register map'!A:A,C441-7)),IF(ISBLANK(INDEX('register map'!A:A,C441-8)),"ERROR",INDEX('register map'!A:A,C441-8)),INDEX('register map'!A:A,C441-7)),INDEX('register map'!A:A,C441-6)),INDEX('register map'!A:A,C441-5)),INDEX('register map'!A:A,C441-4)),INDEX('register map'!A:A,C441-3)),INDEX('register map'!A:A,C441-2)),INDEX('register map'!A:A,C441-1)),INDEX('register map'!A:A,C441))</f>
        <v>0x38</v>
      </c>
      <c r="F441" s="117" t="str">
        <f>IF(ISBLANK(INDEX('register map'!B:B,C441)),IF(ISBLANK(INDEX('register map'!B:B,C441-1)),IF(ISBLANK(INDEX('register map'!B:B,C441-2)),IF(ISBLANK(INDEX('register map'!B:B,C441-3)),IF(ISBLANK(INDEX('register map'!B:B,C441-4)),IF(ISBLANK(INDEX('register map'!B:B,C441-5)),IF(ISBLANK(INDEX('register map'!B:B,C441-6)),IF(ISBLANK(INDEX('register map'!B:B,C441-7)),IF(ISBLANK(INDEX('register map'!B:B,C441-8)),"ERROR",INDEX('register map'!B:B,C441-8)),INDEX('register map'!B:B,C441-7)),INDEX('register map'!B:B,C441-6)),INDEX('register map'!B:B,C441-5)),INDEX('register map'!B:B,C441-4)),INDEX('register map'!B:B,C441-3)),INDEX('register map'!B:B,C441-2)),INDEX('register map'!B:B,C441-1)),INDEX('register map'!B:B,C441))</f>
        <v>0x1E</v>
      </c>
      <c r="G441" s="117" t="str">
        <f>CONCATENATE(IF(ISNUMBER(INDEX('register map'!D:D,C441)),7,""),IF(ISNUMBER(INDEX('register map'!E:E,C441)),6,""),IF(ISNUMBER(INDEX('register map'!F:F,C441)),5,""),IF(ISNUMBER(INDEX('register map'!G:G,C441)),4,""),IF(ISNUMBER(INDEX('register map'!H:H,C441)),3,""),IF(ISNUMBER(INDEX('register map'!I:I,C441)),2,""),IF(ISNUMBER(INDEX('register map'!J:J,C441)),1,""),IF(ISNUMBER(INDEX('register map'!K:K,C441)),0,""))</f>
        <v>543</v>
      </c>
      <c r="H441" s="117" t="str">
        <f>RIGHT(INDEX('register map'!V:V,MATCH('Logical Group Generator'!B441,'register map'!L:L,0)),LEN(G441))</f>
        <v>010</v>
      </c>
      <c r="I441" s="117" t="str">
        <f>CONCATENATE(IF(ISNUMBER(INDEX('register map'!K:K,C441)),0,""),IF(ISNUMBER(INDEX('register map'!J:J,C441)),1,""),IF(ISNUMBER(INDEX('register map'!I:I,C441)),2,""),IF(ISNUMBER(INDEX('register map'!H:H,C441)),3,""),IF(ISNUMBER(INDEX('register map'!G:G,C441)),4,""),IF(ISNUMBER(INDEX('register map'!F:F,C441)),5,""),IF(ISNUMBER(INDEX('register map'!E:E,C441)),6,""),IF(ISNUMBER(INDEX('register map'!D:D,C441)),7,""))</f>
        <v>345</v>
      </c>
      <c r="J441" s="117" t="str">
        <f t="shared" si="73"/>
        <v>010</v>
      </c>
      <c r="K441" s="117" t="str">
        <f t="shared" si="66"/>
        <v/>
      </c>
      <c r="L441" s="117" t="str">
        <f t="shared" si="74"/>
        <v/>
      </c>
      <c r="M441" s="117" t="str">
        <f t="shared" si="76"/>
        <v/>
      </c>
      <c r="N441" s="117" t="str">
        <f>IF(ISBLANK(INDEX('register map'!M:M,'Logical Group Generator'!C441)),"No","Yes")</f>
        <v>No</v>
      </c>
      <c r="O441" s="117" t="str">
        <f>IF(NOT(ISBLANK(INDEX('register map'!N:N,'Logical Group Generator'!C441))),"Yes","")</f>
        <v/>
      </c>
      <c r="P441" s="117" t="str">
        <f t="shared" si="67"/>
        <v/>
      </c>
      <c r="Q441" s="117" t="str">
        <f t="shared" si="68"/>
        <v/>
      </c>
      <c r="R441" s="117" t="str">
        <f t="shared" si="69"/>
        <v/>
      </c>
      <c r="S441" s="117" t="str">
        <f t="shared" si="70"/>
        <v>No</v>
      </c>
      <c r="T441" s="117" t="str">
        <f t="shared" si="71"/>
        <v/>
      </c>
      <c r="U441" s="117" t="b">
        <f t="shared" si="75"/>
        <v>0</v>
      </c>
      <c r="V441" s="157" t="b">
        <f>INDEX('register map'!P:P,C441)="yes"</f>
        <v>1</v>
      </c>
      <c r="W441" s="157" t="str">
        <f t="shared" si="72"/>
        <v>FALSE</v>
      </c>
    </row>
    <row r="442" spans="2:23">
      <c r="B442" s="157" t="str">
        <f t="array" ref="B442">IF(ROWS($3:442)&lt;=COUNTA('register map'!$L$5:$L$902),INDEX('register map'!$L$5:$L$902,SMALL(IF('register map'!$L$5:$L$902&lt;&gt;"",ROW('register map'!$L$5:$L$902)-MIN(ROW('register map'!$L$5:$L$902))+1),ROWS($3:442))),"")</f>
        <v>OTP_RSVD_38_1E_76</v>
      </c>
      <c r="C442" s="157">
        <f>IF(B442="PART_NUMBER",IF(COUNTIF($B$1:B441,"PART_NUMBER")=0,6,8),MATCH(B442,'register map'!L:L,0))</f>
        <v>546</v>
      </c>
      <c r="D442" s="117" t="str">
        <f>IF(ISBLANK(INDEX('register map'!C:C,'Logical Group Generator'!C442)),"No","Yes")</f>
        <v>No</v>
      </c>
      <c r="E442" s="117" t="str">
        <f>IF(ISBLANK(INDEX('register map'!A:A,C442)),IF(ISBLANK(INDEX('register map'!A:A,C442-1)),IF(ISBLANK(INDEX('register map'!A:A,C442-2)),IF(ISBLANK(INDEX('register map'!A:A,C442-3)),IF(ISBLANK(INDEX('register map'!A:A,C442-4)),IF(ISBLANK(INDEX('register map'!A:A,C442-5)),IF(ISBLANK(INDEX('register map'!A:A,C442-6)),IF(ISBLANK(INDEX('register map'!A:A,C442-7)),IF(ISBLANK(INDEX('register map'!A:A,C442-8)),"ERROR",INDEX('register map'!A:A,C442-8)),INDEX('register map'!A:A,C442-7)),INDEX('register map'!A:A,C442-6)),INDEX('register map'!A:A,C442-5)),INDEX('register map'!A:A,C442-4)),INDEX('register map'!A:A,C442-3)),INDEX('register map'!A:A,C442-2)),INDEX('register map'!A:A,C442-1)),INDEX('register map'!A:A,C442))</f>
        <v>0x38</v>
      </c>
      <c r="F442" s="117" t="str">
        <f>IF(ISBLANK(INDEX('register map'!B:B,C442)),IF(ISBLANK(INDEX('register map'!B:B,C442-1)),IF(ISBLANK(INDEX('register map'!B:B,C442-2)),IF(ISBLANK(INDEX('register map'!B:B,C442-3)),IF(ISBLANK(INDEX('register map'!B:B,C442-4)),IF(ISBLANK(INDEX('register map'!B:B,C442-5)),IF(ISBLANK(INDEX('register map'!B:B,C442-6)),IF(ISBLANK(INDEX('register map'!B:B,C442-7)),IF(ISBLANK(INDEX('register map'!B:B,C442-8)),"ERROR",INDEX('register map'!B:B,C442-8)),INDEX('register map'!B:B,C442-7)),INDEX('register map'!B:B,C442-6)),INDEX('register map'!B:B,C442-5)),INDEX('register map'!B:B,C442-4)),INDEX('register map'!B:B,C442-3)),INDEX('register map'!B:B,C442-2)),INDEX('register map'!B:B,C442-1)),INDEX('register map'!B:B,C442))</f>
        <v>0x1E</v>
      </c>
      <c r="G442" s="117" t="str">
        <f>CONCATENATE(IF(ISNUMBER(INDEX('register map'!D:D,C442)),7,""),IF(ISNUMBER(INDEX('register map'!E:E,C442)),6,""),IF(ISNUMBER(INDEX('register map'!F:F,C442)),5,""),IF(ISNUMBER(INDEX('register map'!G:G,C442)),4,""),IF(ISNUMBER(INDEX('register map'!H:H,C442)),3,""),IF(ISNUMBER(INDEX('register map'!I:I,C442)),2,""),IF(ISNUMBER(INDEX('register map'!J:J,C442)),1,""),IF(ISNUMBER(INDEX('register map'!K:K,C442)),0,""))</f>
        <v>76</v>
      </c>
      <c r="H442" s="117" t="str">
        <f>RIGHT(INDEX('register map'!V:V,MATCH('Logical Group Generator'!B442,'register map'!L:L,0)),LEN(G442))</f>
        <v>00</v>
      </c>
      <c r="I442" s="117" t="str">
        <f>CONCATENATE(IF(ISNUMBER(INDEX('register map'!K:K,C442)),0,""),IF(ISNUMBER(INDEX('register map'!J:J,C442)),1,""),IF(ISNUMBER(INDEX('register map'!I:I,C442)),2,""),IF(ISNUMBER(INDEX('register map'!H:H,C442)),3,""),IF(ISNUMBER(INDEX('register map'!G:G,C442)),4,""),IF(ISNUMBER(INDEX('register map'!F:F,C442)),5,""),IF(ISNUMBER(INDEX('register map'!E:E,C442)),6,""),IF(ISNUMBER(INDEX('register map'!D:D,C442)),7,""))</f>
        <v>67</v>
      </c>
      <c r="J442" s="117" t="str">
        <f t="shared" si="73"/>
        <v>00</v>
      </c>
      <c r="K442" s="117" t="str">
        <f t="shared" si="66"/>
        <v/>
      </c>
      <c r="L442" s="117" t="str">
        <f t="shared" si="74"/>
        <v/>
      </c>
      <c r="M442" s="117" t="str">
        <f t="shared" si="76"/>
        <v/>
      </c>
      <c r="N442" s="117" t="str">
        <f>IF(ISBLANK(INDEX('register map'!M:M,'Logical Group Generator'!C442)),"No","Yes")</f>
        <v>No</v>
      </c>
      <c r="O442" s="117" t="str">
        <f>IF(NOT(ISBLANK(INDEX('register map'!N:N,'Logical Group Generator'!C442))),"Yes","")</f>
        <v/>
      </c>
      <c r="P442" s="117" t="str">
        <f t="shared" si="67"/>
        <v/>
      </c>
      <c r="Q442" s="117" t="str">
        <f t="shared" si="68"/>
        <v/>
      </c>
      <c r="R442" s="117" t="str">
        <f t="shared" si="69"/>
        <v/>
      </c>
      <c r="S442" s="117" t="str">
        <f t="shared" si="70"/>
        <v>No</v>
      </c>
      <c r="T442" s="117" t="str">
        <f t="shared" si="71"/>
        <v/>
      </c>
      <c r="U442" s="117" t="b">
        <f t="shared" si="75"/>
        <v>0</v>
      </c>
      <c r="V442" s="157" t="b">
        <f>INDEX('register map'!P:P,C442)="yes"</f>
        <v>1</v>
      </c>
      <c r="W442" s="157" t="str">
        <f t="shared" si="72"/>
        <v>FALSE</v>
      </c>
    </row>
    <row r="443" spans="2:23">
      <c r="B443" s="157" t="str">
        <f t="array" ref="B443">IF(ROWS($3:443)&lt;=COUNTA('register map'!$L$5:$L$902),INDEX('register map'!$L$5:$L$902,SMALL(IF('register map'!$L$5:$L$902&lt;&gt;"",ROW('register map'!$L$5:$L$902)-MIN(ROW('register map'!$L$5:$L$902))+1),ROWS($3:443))),"")</f>
        <v>LDOA3_CTRL_EN1</v>
      </c>
      <c r="C443" s="157">
        <f>IF(B443="PART_NUMBER",IF(COUNTIF($B$1:B442,"PART_NUMBER")=0,6,8),MATCH(B443,'register map'!L:L,0))</f>
        <v>547</v>
      </c>
      <c r="D443" s="117" t="str">
        <f>IF(ISBLANK(INDEX('register map'!C:C,'Logical Group Generator'!C443)),"No","Yes")</f>
        <v>Yes</v>
      </c>
      <c r="E443" s="117" t="str">
        <f>IF(ISBLANK(INDEX('register map'!A:A,C443)),IF(ISBLANK(INDEX('register map'!A:A,C443-1)),IF(ISBLANK(INDEX('register map'!A:A,C443-2)),IF(ISBLANK(INDEX('register map'!A:A,C443-3)),IF(ISBLANK(INDEX('register map'!A:A,C443-4)),IF(ISBLANK(INDEX('register map'!A:A,C443-5)),IF(ISBLANK(INDEX('register map'!A:A,C443-6)),IF(ISBLANK(INDEX('register map'!A:A,C443-7)),IF(ISBLANK(INDEX('register map'!A:A,C443-8)),"ERROR",INDEX('register map'!A:A,C443-8)),INDEX('register map'!A:A,C443-7)),INDEX('register map'!A:A,C443-6)),INDEX('register map'!A:A,C443-5)),INDEX('register map'!A:A,C443-4)),INDEX('register map'!A:A,C443-3)),INDEX('register map'!A:A,C443-2)),INDEX('register map'!A:A,C443-1)),INDEX('register map'!A:A,C443))</f>
        <v>0x38</v>
      </c>
      <c r="F443" s="117" t="str">
        <f>IF(ISBLANK(INDEX('register map'!B:B,C443)),IF(ISBLANK(INDEX('register map'!B:B,C443-1)),IF(ISBLANK(INDEX('register map'!B:B,C443-2)),IF(ISBLANK(INDEX('register map'!B:B,C443-3)),IF(ISBLANK(INDEX('register map'!B:B,C443-4)),IF(ISBLANK(INDEX('register map'!B:B,C443-5)),IF(ISBLANK(INDEX('register map'!B:B,C443-6)),IF(ISBLANK(INDEX('register map'!B:B,C443-7)),IF(ISBLANK(INDEX('register map'!B:B,C443-8)),"ERROR",INDEX('register map'!B:B,C443-8)),INDEX('register map'!B:B,C443-7)),INDEX('register map'!B:B,C443-6)),INDEX('register map'!B:B,C443-5)),INDEX('register map'!B:B,C443-4)),INDEX('register map'!B:B,C443-3)),INDEX('register map'!B:B,C443-2)),INDEX('register map'!B:B,C443-1)),INDEX('register map'!B:B,C443))</f>
        <v>0x1F</v>
      </c>
      <c r="G443" s="117" t="str">
        <f>CONCATENATE(IF(ISNUMBER(INDEX('register map'!D:D,C443)),7,""),IF(ISNUMBER(INDEX('register map'!E:E,C443)),6,""),IF(ISNUMBER(INDEX('register map'!F:F,C443)),5,""),IF(ISNUMBER(INDEX('register map'!G:G,C443)),4,""),IF(ISNUMBER(INDEX('register map'!H:H,C443)),3,""),IF(ISNUMBER(INDEX('register map'!I:I,C443)),2,""),IF(ISNUMBER(INDEX('register map'!J:J,C443)),1,""),IF(ISNUMBER(INDEX('register map'!K:K,C443)),0,""))</f>
        <v/>
      </c>
      <c r="H443" s="117" t="str">
        <f>RIGHT(INDEX('register map'!V:V,MATCH('Logical Group Generator'!B443,'register map'!L:L,0)),LEN(G443))</f>
        <v/>
      </c>
      <c r="I443" s="117" t="str">
        <f>CONCATENATE(IF(ISNUMBER(INDEX('register map'!K:K,C443)),0,""),IF(ISNUMBER(INDEX('register map'!J:J,C443)),1,""),IF(ISNUMBER(INDEX('register map'!I:I,C443)),2,""),IF(ISNUMBER(INDEX('register map'!H:H,C443)),3,""),IF(ISNUMBER(INDEX('register map'!G:G,C443)),4,""),IF(ISNUMBER(INDEX('register map'!F:F,C443)),5,""),IF(ISNUMBER(INDEX('register map'!E:E,C443)),6,""),IF(ISNUMBER(INDEX('register map'!D:D,C443)),7,""))</f>
        <v/>
      </c>
      <c r="J443" s="117" t="str">
        <f t="shared" si="73"/>
        <v/>
      </c>
      <c r="K443" s="117" t="str">
        <f t="shared" si="66"/>
        <v>01111111</v>
      </c>
      <c r="L443" s="117" t="str">
        <f t="shared" si="74"/>
        <v>11111110</v>
      </c>
      <c r="M443" s="117" t="str">
        <f t="shared" si="76"/>
        <v>FE</v>
      </c>
      <c r="N443" s="117" t="str">
        <f>IF(ISBLANK(INDEX('register map'!M:M,'Logical Group Generator'!C443)),"No","Yes")</f>
        <v>No</v>
      </c>
      <c r="O443" s="117" t="str">
        <f>IF(NOT(ISBLANK(INDEX('register map'!N:N,'Logical Group Generator'!C443))),"Yes","")</f>
        <v/>
      </c>
      <c r="P443" s="117" t="str">
        <f t="shared" si="67"/>
        <v>No</v>
      </c>
      <c r="Q443" s="117" t="str">
        <f t="shared" si="68"/>
        <v>No</v>
      </c>
      <c r="R443" s="117" t="str">
        <f t="shared" si="69"/>
        <v>No</v>
      </c>
      <c r="S443" s="117" t="str">
        <f t="shared" si="70"/>
        <v/>
      </c>
      <c r="T443" s="117" t="b">
        <f t="shared" si="71"/>
        <v>1</v>
      </c>
      <c r="U443" s="117" t="b">
        <f t="shared" si="75"/>
        <v>1</v>
      </c>
      <c r="V443" s="157" t="b">
        <f>INDEX('register map'!P:P,C443)="yes"</f>
        <v>1</v>
      </c>
      <c r="W443" s="157" t="str">
        <f t="shared" si="72"/>
        <v>REGISTER</v>
      </c>
    </row>
    <row r="444" spans="2:23">
      <c r="B444" s="157" t="str">
        <f t="array" ref="B444">IF(ROWS($3:444)&lt;=COUNTA('register map'!$L$5:$L$902),INDEX('register map'!$L$5:$L$902,SMALL(IF('register map'!$L$5:$L$902&lt;&gt;"",ROW('register map'!$L$5:$L$902)-MIN(ROW('register map'!$L$5:$L$902))+1),ROWS($3:444))),"")</f>
        <v>OTP_RSVD_38_1F_0</v>
      </c>
      <c r="C444" s="157">
        <f>IF(B444="PART_NUMBER",IF(COUNTIF($B$1:B443,"PART_NUMBER")=0,6,8),MATCH(B444,'register map'!L:L,0))</f>
        <v>548</v>
      </c>
      <c r="D444" s="117" t="str">
        <f>IF(ISBLANK(INDEX('register map'!C:C,'Logical Group Generator'!C444)),"No","Yes")</f>
        <v>No</v>
      </c>
      <c r="E444" s="117" t="str">
        <f>IF(ISBLANK(INDEX('register map'!A:A,C444)),IF(ISBLANK(INDEX('register map'!A:A,C444-1)),IF(ISBLANK(INDEX('register map'!A:A,C444-2)),IF(ISBLANK(INDEX('register map'!A:A,C444-3)),IF(ISBLANK(INDEX('register map'!A:A,C444-4)),IF(ISBLANK(INDEX('register map'!A:A,C444-5)),IF(ISBLANK(INDEX('register map'!A:A,C444-6)),IF(ISBLANK(INDEX('register map'!A:A,C444-7)),IF(ISBLANK(INDEX('register map'!A:A,C444-8)),"ERROR",INDEX('register map'!A:A,C444-8)),INDEX('register map'!A:A,C444-7)),INDEX('register map'!A:A,C444-6)),INDEX('register map'!A:A,C444-5)),INDEX('register map'!A:A,C444-4)),INDEX('register map'!A:A,C444-3)),INDEX('register map'!A:A,C444-2)),INDEX('register map'!A:A,C444-1)),INDEX('register map'!A:A,C444))</f>
        <v>0x38</v>
      </c>
      <c r="F444" s="117" t="str">
        <f>IF(ISBLANK(INDEX('register map'!B:B,C444)),IF(ISBLANK(INDEX('register map'!B:B,C444-1)),IF(ISBLANK(INDEX('register map'!B:B,C444-2)),IF(ISBLANK(INDEX('register map'!B:B,C444-3)),IF(ISBLANK(INDEX('register map'!B:B,C444-4)),IF(ISBLANK(INDEX('register map'!B:B,C444-5)),IF(ISBLANK(INDEX('register map'!B:B,C444-6)),IF(ISBLANK(INDEX('register map'!B:B,C444-7)),IF(ISBLANK(INDEX('register map'!B:B,C444-8)),"ERROR",INDEX('register map'!B:B,C444-8)),INDEX('register map'!B:B,C444-7)),INDEX('register map'!B:B,C444-6)),INDEX('register map'!B:B,C444-5)),INDEX('register map'!B:B,C444-4)),INDEX('register map'!B:B,C444-3)),INDEX('register map'!B:B,C444-2)),INDEX('register map'!B:B,C444-1)),INDEX('register map'!B:B,C444))</f>
        <v>0x1F</v>
      </c>
      <c r="G444" s="117" t="str">
        <f>CONCATENATE(IF(ISNUMBER(INDEX('register map'!D:D,C444)),7,""),IF(ISNUMBER(INDEX('register map'!E:E,C444)),6,""),IF(ISNUMBER(INDEX('register map'!F:F,C444)),5,""),IF(ISNUMBER(INDEX('register map'!G:G,C444)),4,""),IF(ISNUMBER(INDEX('register map'!H:H,C444)),3,""),IF(ISNUMBER(INDEX('register map'!I:I,C444)),2,""),IF(ISNUMBER(INDEX('register map'!J:J,C444)),1,""),IF(ISNUMBER(INDEX('register map'!K:K,C444)),0,""))</f>
        <v>0</v>
      </c>
      <c r="H444" s="117" t="str">
        <f>RIGHT(INDEX('register map'!V:V,MATCH('Logical Group Generator'!B444,'register map'!L:L,0)),LEN(G444))</f>
        <v>0</v>
      </c>
      <c r="I444" s="117" t="str">
        <f>CONCATENATE(IF(ISNUMBER(INDEX('register map'!K:K,C444)),0,""),IF(ISNUMBER(INDEX('register map'!J:J,C444)),1,""),IF(ISNUMBER(INDEX('register map'!I:I,C444)),2,""),IF(ISNUMBER(INDEX('register map'!H:H,C444)),3,""),IF(ISNUMBER(INDEX('register map'!G:G,C444)),4,""),IF(ISNUMBER(INDEX('register map'!F:F,C444)),5,""),IF(ISNUMBER(INDEX('register map'!E:E,C444)),6,""),IF(ISNUMBER(INDEX('register map'!D:D,C444)),7,""))</f>
        <v>0</v>
      </c>
      <c r="J444" s="117" t="str">
        <f t="shared" si="73"/>
        <v>0</v>
      </c>
      <c r="K444" s="117" t="str">
        <f t="shared" si="66"/>
        <v/>
      </c>
      <c r="L444" s="117" t="str">
        <f t="shared" si="74"/>
        <v/>
      </c>
      <c r="M444" s="117" t="str">
        <f t="shared" si="76"/>
        <v/>
      </c>
      <c r="N444" s="117" t="str">
        <f>IF(ISBLANK(INDEX('register map'!M:M,'Logical Group Generator'!C444)),"No","Yes")</f>
        <v>No</v>
      </c>
      <c r="O444" s="117" t="str">
        <f>IF(NOT(ISBLANK(INDEX('register map'!N:N,'Logical Group Generator'!C444))),"Yes","")</f>
        <v/>
      </c>
      <c r="P444" s="117" t="str">
        <f t="shared" si="67"/>
        <v/>
      </c>
      <c r="Q444" s="117" t="str">
        <f t="shared" si="68"/>
        <v/>
      </c>
      <c r="R444" s="117" t="str">
        <f t="shared" si="69"/>
        <v/>
      </c>
      <c r="S444" s="117" t="str">
        <f t="shared" si="70"/>
        <v>No</v>
      </c>
      <c r="T444" s="117" t="str">
        <f t="shared" si="71"/>
        <v/>
      </c>
      <c r="U444" s="117" t="b">
        <f t="shared" si="75"/>
        <v>0</v>
      </c>
      <c r="V444" s="157" t="b">
        <f>INDEX('register map'!P:P,C444)="yes"</f>
        <v>1</v>
      </c>
      <c r="W444" s="157" t="str">
        <f t="shared" si="72"/>
        <v>FALSE</v>
      </c>
    </row>
    <row r="445" spans="2:23">
      <c r="B445" s="157" t="str">
        <f t="array" ref="B445">IF(ROWS($3:445)&lt;=COUNTA('register map'!$L$5:$L$902),INDEX('register map'!$L$5:$L$902,SMALL(IF('register map'!$L$5:$L$902&lt;&gt;"",ROW('register map'!$L$5:$L$902)-MIN(ROW('register map'!$L$5:$L$902))+1),ROWS($3:445))),"")</f>
        <v>OTP_RSVD_38_1F_1</v>
      </c>
      <c r="C445" s="157">
        <f>IF(B445="PART_NUMBER",IF(COUNTIF($B$1:B444,"PART_NUMBER")=0,6,8),MATCH(B445,'register map'!L:L,0))</f>
        <v>549</v>
      </c>
      <c r="D445" s="117" t="str">
        <f>IF(ISBLANK(INDEX('register map'!C:C,'Logical Group Generator'!C445)),"No","Yes")</f>
        <v>No</v>
      </c>
      <c r="E445" s="117" t="str">
        <f>IF(ISBLANK(INDEX('register map'!A:A,C445)),IF(ISBLANK(INDEX('register map'!A:A,C445-1)),IF(ISBLANK(INDEX('register map'!A:A,C445-2)),IF(ISBLANK(INDEX('register map'!A:A,C445-3)),IF(ISBLANK(INDEX('register map'!A:A,C445-4)),IF(ISBLANK(INDEX('register map'!A:A,C445-5)),IF(ISBLANK(INDEX('register map'!A:A,C445-6)),IF(ISBLANK(INDEX('register map'!A:A,C445-7)),IF(ISBLANK(INDEX('register map'!A:A,C445-8)),"ERROR",INDEX('register map'!A:A,C445-8)),INDEX('register map'!A:A,C445-7)),INDEX('register map'!A:A,C445-6)),INDEX('register map'!A:A,C445-5)),INDEX('register map'!A:A,C445-4)),INDEX('register map'!A:A,C445-3)),INDEX('register map'!A:A,C445-2)),INDEX('register map'!A:A,C445-1)),INDEX('register map'!A:A,C445))</f>
        <v>0x38</v>
      </c>
      <c r="F445" s="117" t="str">
        <f>IF(ISBLANK(INDEX('register map'!B:B,C445)),IF(ISBLANK(INDEX('register map'!B:B,C445-1)),IF(ISBLANK(INDEX('register map'!B:B,C445-2)),IF(ISBLANK(INDEX('register map'!B:B,C445-3)),IF(ISBLANK(INDEX('register map'!B:B,C445-4)),IF(ISBLANK(INDEX('register map'!B:B,C445-5)),IF(ISBLANK(INDEX('register map'!B:B,C445-6)),IF(ISBLANK(INDEX('register map'!B:B,C445-7)),IF(ISBLANK(INDEX('register map'!B:B,C445-8)),"ERROR",INDEX('register map'!B:B,C445-8)),INDEX('register map'!B:B,C445-7)),INDEX('register map'!B:B,C445-6)),INDEX('register map'!B:B,C445-5)),INDEX('register map'!B:B,C445-4)),INDEX('register map'!B:B,C445-3)),INDEX('register map'!B:B,C445-2)),INDEX('register map'!B:B,C445-1)),INDEX('register map'!B:B,C445))</f>
        <v>0x1F</v>
      </c>
      <c r="G445" s="117" t="str">
        <f>CONCATENATE(IF(ISNUMBER(INDEX('register map'!D:D,C445)),7,""),IF(ISNUMBER(INDEX('register map'!E:E,C445)),6,""),IF(ISNUMBER(INDEX('register map'!F:F,C445)),5,""),IF(ISNUMBER(INDEX('register map'!G:G,C445)),4,""),IF(ISNUMBER(INDEX('register map'!H:H,C445)),3,""),IF(ISNUMBER(INDEX('register map'!I:I,C445)),2,""),IF(ISNUMBER(INDEX('register map'!J:J,C445)),1,""),IF(ISNUMBER(INDEX('register map'!K:K,C445)),0,""))</f>
        <v>1</v>
      </c>
      <c r="H445" s="117" t="str">
        <f>RIGHT(INDEX('register map'!V:V,MATCH('Logical Group Generator'!B445,'register map'!L:L,0)),LEN(G445))</f>
        <v>1</v>
      </c>
      <c r="I445" s="117" t="str">
        <f>CONCATENATE(IF(ISNUMBER(INDEX('register map'!K:K,C445)),0,""),IF(ISNUMBER(INDEX('register map'!J:J,C445)),1,""),IF(ISNUMBER(INDEX('register map'!I:I,C445)),2,""),IF(ISNUMBER(INDEX('register map'!H:H,C445)),3,""),IF(ISNUMBER(INDEX('register map'!G:G,C445)),4,""),IF(ISNUMBER(INDEX('register map'!F:F,C445)),5,""),IF(ISNUMBER(INDEX('register map'!E:E,C445)),6,""),IF(ISNUMBER(INDEX('register map'!D:D,C445)),7,""))</f>
        <v>1</v>
      </c>
      <c r="J445" s="117" t="str">
        <f t="shared" si="73"/>
        <v>1</v>
      </c>
      <c r="K445" s="117" t="str">
        <f t="shared" si="66"/>
        <v/>
      </c>
      <c r="L445" s="117" t="str">
        <f t="shared" si="74"/>
        <v/>
      </c>
      <c r="M445" s="117" t="str">
        <f t="shared" si="76"/>
        <v/>
      </c>
      <c r="N445" s="117" t="str">
        <f>IF(ISBLANK(INDEX('register map'!M:M,'Logical Group Generator'!C445)),"No","Yes")</f>
        <v>No</v>
      </c>
      <c r="O445" s="117" t="str">
        <f>IF(NOT(ISBLANK(INDEX('register map'!N:N,'Logical Group Generator'!C445))),"Yes","")</f>
        <v/>
      </c>
      <c r="P445" s="117" t="str">
        <f t="shared" si="67"/>
        <v/>
      </c>
      <c r="Q445" s="117" t="str">
        <f t="shared" si="68"/>
        <v/>
      </c>
      <c r="R445" s="117" t="str">
        <f t="shared" si="69"/>
        <v/>
      </c>
      <c r="S445" s="117" t="str">
        <f t="shared" si="70"/>
        <v>No</v>
      </c>
      <c r="T445" s="117" t="str">
        <f t="shared" si="71"/>
        <v/>
      </c>
      <c r="U445" s="117" t="b">
        <f t="shared" si="75"/>
        <v>0</v>
      </c>
      <c r="V445" s="157" t="b">
        <f>INDEX('register map'!P:P,C445)="yes"</f>
        <v>1</v>
      </c>
      <c r="W445" s="157" t="str">
        <f t="shared" si="72"/>
        <v>FALSE</v>
      </c>
    </row>
    <row r="446" spans="2:23">
      <c r="B446" s="157" t="str">
        <f t="array" ref="B446">IF(ROWS($3:446)&lt;=COUNTA('register map'!$L$5:$L$902),INDEX('register map'!$L$5:$L$902,SMALL(IF('register map'!$L$5:$L$902&lt;&gt;"",ROW('register map'!$L$5:$L$902)-MIN(ROW('register map'!$L$5:$L$902))+1),ROWS($3:446))),"")</f>
        <v>OTP_RSVD_38_1F_2</v>
      </c>
      <c r="C446" s="157">
        <f>IF(B446="PART_NUMBER",IF(COUNTIF($B$1:B445,"PART_NUMBER")=0,6,8),MATCH(B446,'register map'!L:L,0))</f>
        <v>550</v>
      </c>
      <c r="D446" s="117" t="str">
        <f>IF(ISBLANK(INDEX('register map'!C:C,'Logical Group Generator'!C446)),"No","Yes")</f>
        <v>No</v>
      </c>
      <c r="E446" s="117" t="str">
        <f>IF(ISBLANK(INDEX('register map'!A:A,C446)),IF(ISBLANK(INDEX('register map'!A:A,C446-1)),IF(ISBLANK(INDEX('register map'!A:A,C446-2)),IF(ISBLANK(INDEX('register map'!A:A,C446-3)),IF(ISBLANK(INDEX('register map'!A:A,C446-4)),IF(ISBLANK(INDEX('register map'!A:A,C446-5)),IF(ISBLANK(INDEX('register map'!A:A,C446-6)),IF(ISBLANK(INDEX('register map'!A:A,C446-7)),IF(ISBLANK(INDEX('register map'!A:A,C446-8)),"ERROR",INDEX('register map'!A:A,C446-8)),INDEX('register map'!A:A,C446-7)),INDEX('register map'!A:A,C446-6)),INDEX('register map'!A:A,C446-5)),INDEX('register map'!A:A,C446-4)),INDEX('register map'!A:A,C446-3)),INDEX('register map'!A:A,C446-2)),INDEX('register map'!A:A,C446-1)),INDEX('register map'!A:A,C446))</f>
        <v>0x38</v>
      </c>
      <c r="F446" s="117" t="str">
        <f>IF(ISBLANK(INDEX('register map'!B:B,C446)),IF(ISBLANK(INDEX('register map'!B:B,C446-1)),IF(ISBLANK(INDEX('register map'!B:B,C446-2)),IF(ISBLANK(INDEX('register map'!B:B,C446-3)),IF(ISBLANK(INDEX('register map'!B:B,C446-4)),IF(ISBLANK(INDEX('register map'!B:B,C446-5)),IF(ISBLANK(INDEX('register map'!B:B,C446-6)),IF(ISBLANK(INDEX('register map'!B:B,C446-7)),IF(ISBLANK(INDEX('register map'!B:B,C446-8)),"ERROR",INDEX('register map'!B:B,C446-8)),INDEX('register map'!B:B,C446-7)),INDEX('register map'!B:B,C446-6)),INDEX('register map'!B:B,C446-5)),INDEX('register map'!B:B,C446-4)),INDEX('register map'!B:B,C446-3)),INDEX('register map'!B:B,C446-2)),INDEX('register map'!B:B,C446-1)),INDEX('register map'!B:B,C446))</f>
        <v>0x1F</v>
      </c>
      <c r="G446" s="117" t="str">
        <f>CONCATENATE(IF(ISNUMBER(INDEX('register map'!D:D,C446)),7,""),IF(ISNUMBER(INDEX('register map'!E:E,C446)),6,""),IF(ISNUMBER(INDEX('register map'!F:F,C446)),5,""),IF(ISNUMBER(INDEX('register map'!G:G,C446)),4,""),IF(ISNUMBER(INDEX('register map'!H:H,C446)),3,""),IF(ISNUMBER(INDEX('register map'!I:I,C446)),2,""),IF(ISNUMBER(INDEX('register map'!J:J,C446)),1,""),IF(ISNUMBER(INDEX('register map'!K:K,C446)),0,""))</f>
        <v>2</v>
      </c>
      <c r="H446" s="117" t="str">
        <f>RIGHT(INDEX('register map'!V:V,MATCH('Logical Group Generator'!B446,'register map'!L:L,0)),LEN(G446))</f>
        <v>1</v>
      </c>
      <c r="I446" s="117" t="str">
        <f>CONCATENATE(IF(ISNUMBER(INDEX('register map'!K:K,C446)),0,""),IF(ISNUMBER(INDEX('register map'!J:J,C446)),1,""),IF(ISNUMBER(INDEX('register map'!I:I,C446)),2,""),IF(ISNUMBER(INDEX('register map'!H:H,C446)),3,""),IF(ISNUMBER(INDEX('register map'!G:G,C446)),4,""),IF(ISNUMBER(INDEX('register map'!F:F,C446)),5,""),IF(ISNUMBER(INDEX('register map'!E:E,C446)),6,""),IF(ISNUMBER(INDEX('register map'!D:D,C446)),7,""))</f>
        <v>2</v>
      </c>
      <c r="J446" s="117" t="str">
        <f t="shared" si="73"/>
        <v>1</v>
      </c>
      <c r="K446" s="117" t="str">
        <f t="shared" si="66"/>
        <v/>
      </c>
      <c r="L446" s="117" t="str">
        <f t="shared" si="74"/>
        <v/>
      </c>
      <c r="M446" s="117" t="str">
        <f t="shared" si="76"/>
        <v/>
      </c>
      <c r="N446" s="117" t="str">
        <f>IF(ISBLANK(INDEX('register map'!M:M,'Logical Group Generator'!C446)),"No","Yes")</f>
        <v>No</v>
      </c>
      <c r="O446" s="117" t="str">
        <f>IF(NOT(ISBLANK(INDEX('register map'!N:N,'Logical Group Generator'!C446))),"Yes","")</f>
        <v/>
      </c>
      <c r="P446" s="117" t="str">
        <f t="shared" si="67"/>
        <v/>
      </c>
      <c r="Q446" s="117" t="str">
        <f t="shared" si="68"/>
        <v/>
      </c>
      <c r="R446" s="117" t="str">
        <f t="shared" si="69"/>
        <v/>
      </c>
      <c r="S446" s="117" t="str">
        <f t="shared" si="70"/>
        <v>No</v>
      </c>
      <c r="T446" s="117" t="str">
        <f t="shared" si="71"/>
        <v/>
      </c>
      <c r="U446" s="117" t="b">
        <f t="shared" si="75"/>
        <v>0</v>
      </c>
      <c r="V446" s="157" t="b">
        <f>INDEX('register map'!P:P,C446)="yes"</f>
        <v>1</v>
      </c>
      <c r="W446" s="157" t="str">
        <f t="shared" si="72"/>
        <v>FALSE</v>
      </c>
    </row>
    <row r="447" spans="2:23">
      <c r="B447" s="157" t="str">
        <f t="array" ref="B447">IF(ROWS($3:447)&lt;=COUNTA('register map'!$L$5:$L$902),INDEX('register map'!$L$5:$L$902,SMALL(IF('register map'!$L$5:$L$902&lt;&gt;"",ROW('register map'!$L$5:$L$902)-MIN(ROW('register map'!$L$5:$L$902))+1),ROWS($3:447))),"")</f>
        <v>OTP_RSVD_38_1F_3</v>
      </c>
      <c r="C447" s="157">
        <f>IF(B447="PART_NUMBER",IF(COUNTIF($B$1:B446,"PART_NUMBER")=0,6,8),MATCH(B447,'register map'!L:L,0))</f>
        <v>551</v>
      </c>
      <c r="D447" s="117" t="str">
        <f>IF(ISBLANK(INDEX('register map'!C:C,'Logical Group Generator'!C447)),"No","Yes")</f>
        <v>No</v>
      </c>
      <c r="E447" s="117" t="str">
        <f>IF(ISBLANK(INDEX('register map'!A:A,C447)),IF(ISBLANK(INDEX('register map'!A:A,C447-1)),IF(ISBLANK(INDEX('register map'!A:A,C447-2)),IF(ISBLANK(INDEX('register map'!A:A,C447-3)),IF(ISBLANK(INDEX('register map'!A:A,C447-4)),IF(ISBLANK(INDEX('register map'!A:A,C447-5)),IF(ISBLANK(INDEX('register map'!A:A,C447-6)),IF(ISBLANK(INDEX('register map'!A:A,C447-7)),IF(ISBLANK(INDEX('register map'!A:A,C447-8)),"ERROR",INDEX('register map'!A:A,C447-8)),INDEX('register map'!A:A,C447-7)),INDEX('register map'!A:A,C447-6)),INDEX('register map'!A:A,C447-5)),INDEX('register map'!A:A,C447-4)),INDEX('register map'!A:A,C447-3)),INDEX('register map'!A:A,C447-2)),INDEX('register map'!A:A,C447-1)),INDEX('register map'!A:A,C447))</f>
        <v>0x38</v>
      </c>
      <c r="F447" s="117" t="str">
        <f>IF(ISBLANK(INDEX('register map'!B:B,C447)),IF(ISBLANK(INDEX('register map'!B:B,C447-1)),IF(ISBLANK(INDEX('register map'!B:B,C447-2)),IF(ISBLANK(INDEX('register map'!B:B,C447-3)),IF(ISBLANK(INDEX('register map'!B:B,C447-4)),IF(ISBLANK(INDEX('register map'!B:B,C447-5)),IF(ISBLANK(INDEX('register map'!B:B,C447-6)),IF(ISBLANK(INDEX('register map'!B:B,C447-7)),IF(ISBLANK(INDEX('register map'!B:B,C447-8)),"ERROR",INDEX('register map'!B:B,C447-8)),INDEX('register map'!B:B,C447-7)),INDEX('register map'!B:B,C447-6)),INDEX('register map'!B:B,C447-5)),INDEX('register map'!B:B,C447-4)),INDEX('register map'!B:B,C447-3)),INDEX('register map'!B:B,C447-2)),INDEX('register map'!B:B,C447-1)),INDEX('register map'!B:B,C447))</f>
        <v>0x1F</v>
      </c>
      <c r="G447" s="117" t="str">
        <f>CONCATENATE(IF(ISNUMBER(INDEX('register map'!D:D,C447)),7,""),IF(ISNUMBER(INDEX('register map'!E:E,C447)),6,""),IF(ISNUMBER(INDEX('register map'!F:F,C447)),5,""),IF(ISNUMBER(INDEX('register map'!G:G,C447)),4,""),IF(ISNUMBER(INDEX('register map'!H:H,C447)),3,""),IF(ISNUMBER(INDEX('register map'!I:I,C447)),2,""),IF(ISNUMBER(INDEX('register map'!J:J,C447)),1,""),IF(ISNUMBER(INDEX('register map'!K:K,C447)),0,""))</f>
        <v>3</v>
      </c>
      <c r="H447" s="117" t="str">
        <f>RIGHT(INDEX('register map'!V:V,MATCH('Logical Group Generator'!B447,'register map'!L:L,0)),LEN(G447))</f>
        <v>1</v>
      </c>
      <c r="I447" s="117" t="str">
        <f>CONCATENATE(IF(ISNUMBER(INDEX('register map'!K:K,C447)),0,""),IF(ISNUMBER(INDEX('register map'!J:J,C447)),1,""),IF(ISNUMBER(INDEX('register map'!I:I,C447)),2,""),IF(ISNUMBER(INDEX('register map'!H:H,C447)),3,""),IF(ISNUMBER(INDEX('register map'!G:G,C447)),4,""),IF(ISNUMBER(INDEX('register map'!F:F,C447)),5,""),IF(ISNUMBER(INDEX('register map'!E:E,C447)),6,""),IF(ISNUMBER(INDEX('register map'!D:D,C447)),7,""))</f>
        <v>3</v>
      </c>
      <c r="J447" s="117" t="str">
        <f t="shared" si="73"/>
        <v>1</v>
      </c>
      <c r="K447" s="117" t="str">
        <f t="shared" si="66"/>
        <v/>
      </c>
      <c r="L447" s="117" t="str">
        <f t="shared" si="74"/>
        <v/>
      </c>
      <c r="M447" s="117" t="str">
        <f t="shared" si="76"/>
        <v/>
      </c>
      <c r="N447" s="117" t="str">
        <f>IF(ISBLANK(INDEX('register map'!M:M,'Logical Group Generator'!C447)),"No","Yes")</f>
        <v>No</v>
      </c>
      <c r="O447" s="117" t="str">
        <f>IF(NOT(ISBLANK(INDEX('register map'!N:N,'Logical Group Generator'!C447))),"Yes","")</f>
        <v/>
      </c>
      <c r="P447" s="117" t="str">
        <f t="shared" si="67"/>
        <v/>
      </c>
      <c r="Q447" s="117" t="str">
        <f t="shared" si="68"/>
        <v/>
      </c>
      <c r="R447" s="117" t="str">
        <f t="shared" si="69"/>
        <v/>
      </c>
      <c r="S447" s="117" t="str">
        <f t="shared" si="70"/>
        <v>No</v>
      </c>
      <c r="T447" s="117" t="str">
        <f t="shared" si="71"/>
        <v/>
      </c>
      <c r="U447" s="117" t="b">
        <f t="shared" si="75"/>
        <v>0</v>
      </c>
      <c r="V447" s="157" t="b">
        <f>INDEX('register map'!P:P,C447)="yes"</f>
        <v>1</v>
      </c>
      <c r="W447" s="157" t="str">
        <f t="shared" si="72"/>
        <v>FALSE</v>
      </c>
    </row>
    <row r="448" spans="2:23">
      <c r="B448" s="157" t="str">
        <f t="array" ref="B448">IF(ROWS($3:448)&lt;=COUNTA('register map'!$L$5:$L$902),INDEX('register map'!$L$5:$L$902,SMALL(IF('register map'!$L$5:$L$902&lt;&gt;"",ROW('register map'!$L$5:$L$902)-MIN(ROW('register map'!$L$5:$L$902))+1),ROWS($3:448))),"")</f>
        <v>OTP_RSVD_38_1F_4</v>
      </c>
      <c r="C448" s="157">
        <f>IF(B448="PART_NUMBER",IF(COUNTIF($B$1:B447,"PART_NUMBER")=0,6,8),MATCH(B448,'register map'!L:L,0))</f>
        <v>552</v>
      </c>
      <c r="D448" s="117" t="str">
        <f>IF(ISBLANK(INDEX('register map'!C:C,'Logical Group Generator'!C448)),"No","Yes")</f>
        <v>No</v>
      </c>
      <c r="E448" s="117" t="str">
        <f>IF(ISBLANK(INDEX('register map'!A:A,C448)),IF(ISBLANK(INDEX('register map'!A:A,C448-1)),IF(ISBLANK(INDEX('register map'!A:A,C448-2)),IF(ISBLANK(INDEX('register map'!A:A,C448-3)),IF(ISBLANK(INDEX('register map'!A:A,C448-4)),IF(ISBLANK(INDEX('register map'!A:A,C448-5)),IF(ISBLANK(INDEX('register map'!A:A,C448-6)),IF(ISBLANK(INDEX('register map'!A:A,C448-7)),IF(ISBLANK(INDEX('register map'!A:A,C448-8)),"ERROR",INDEX('register map'!A:A,C448-8)),INDEX('register map'!A:A,C448-7)),INDEX('register map'!A:A,C448-6)),INDEX('register map'!A:A,C448-5)),INDEX('register map'!A:A,C448-4)),INDEX('register map'!A:A,C448-3)),INDEX('register map'!A:A,C448-2)),INDEX('register map'!A:A,C448-1)),INDEX('register map'!A:A,C448))</f>
        <v>0x38</v>
      </c>
      <c r="F448" s="117" t="str">
        <f>IF(ISBLANK(INDEX('register map'!B:B,C448)),IF(ISBLANK(INDEX('register map'!B:B,C448-1)),IF(ISBLANK(INDEX('register map'!B:B,C448-2)),IF(ISBLANK(INDEX('register map'!B:B,C448-3)),IF(ISBLANK(INDEX('register map'!B:B,C448-4)),IF(ISBLANK(INDEX('register map'!B:B,C448-5)),IF(ISBLANK(INDEX('register map'!B:B,C448-6)),IF(ISBLANK(INDEX('register map'!B:B,C448-7)),IF(ISBLANK(INDEX('register map'!B:B,C448-8)),"ERROR",INDEX('register map'!B:B,C448-8)),INDEX('register map'!B:B,C448-7)),INDEX('register map'!B:B,C448-6)),INDEX('register map'!B:B,C448-5)),INDEX('register map'!B:B,C448-4)),INDEX('register map'!B:B,C448-3)),INDEX('register map'!B:B,C448-2)),INDEX('register map'!B:B,C448-1)),INDEX('register map'!B:B,C448))</f>
        <v>0x1F</v>
      </c>
      <c r="G448" s="117" t="str">
        <f>CONCATENATE(IF(ISNUMBER(INDEX('register map'!D:D,C448)),7,""),IF(ISNUMBER(INDEX('register map'!E:E,C448)),6,""),IF(ISNUMBER(INDEX('register map'!F:F,C448)),5,""),IF(ISNUMBER(INDEX('register map'!G:G,C448)),4,""),IF(ISNUMBER(INDEX('register map'!H:H,C448)),3,""),IF(ISNUMBER(INDEX('register map'!I:I,C448)),2,""),IF(ISNUMBER(INDEX('register map'!J:J,C448)),1,""),IF(ISNUMBER(INDEX('register map'!K:K,C448)),0,""))</f>
        <v>4</v>
      </c>
      <c r="H448" s="117" t="str">
        <f>RIGHT(INDEX('register map'!V:V,MATCH('Logical Group Generator'!B448,'register map'!L:L,0)),LEN(G448))</f>
        <v>1</v>
      </c>
      <c r="I448" s="117" t="str">
        <f>CONCATENATE(IF(ISNUMBER(INDEX('register map'!K:K,C448)),0,""),IF(ISNUMBER(INDEX('register map'!J:J,C448)),1,""),IF(ISNUMBER(INDEX('register map'!I:I,C448)),2,""),IF(ISNUMBER(INDEX('register map'!H:H,C448)),3,""),IF(ISNUMBER(INDEX('register map'!G:G,C448)),4,""),IF(ISNUMBER(INDEX('register map'!F:F,C448)),5,""),IF(ISNUMBER(INDEX('register map'!E:E,C448)),6,""),IF(ISNUMBER(INDEX('register map'!D:D,C448)),7,""))</f>
        <v>4</v>
      </c>
      <c r="J448" s="117" t="str">
        <f t="shared" si="73"/>
        <v>1</v>
      </c>
      <c r="K448" s="117" t="str">
        <f t="shared" si="66"/>
        <v/>
      </c>
      <c r="L448" s="117" t="str">
        <f t="shared" si="74"/>
        <v/>
      </c>
      <c r="M448" s="117" t="str">
        <f t="shared" si="76"/>
        <v/>
      </c>
      <c r="N448" s="117" t="str">
        <f>IF(ISBLANK(INDEX('register map'!M:M,'Logical Group Generator'!C448)),"No","Yes")</f>
        <v>No</v>
      </c>
      <c r="O448" s="117" t="str">
        <f>IF(NOT(ISBLANK(INDEX('register map'!N:N,'Logical Group Generator'!C448))),"Yes","")</f>
        <v/>
      </c>
      <c r="P448" s="117" t="str">
        <f t="shared" si="67"/>
        <v/>
      </c>
      <c r="Q448" s="117" t="str">
        <f t="shared" si="68"/>
        <v/>
      </c>
      <c r="R448" s="117" t="str">
        <f t="shared" si="69"/>
        <v/>
      </c>
      <c r="S448" s="117" t="str">
        <f t="shared" si="70"/>
        <v>No</v>
      </c>
      <c r="T448" s="117" t="str">
        <f t="shared" si="71"/>
        <v/>
      </c>
      <c r="U448" s="117" t="b">
        <f t="shared" si="75"/>
        <v>0</v>
      </c>
      <c r="V448" s="157" t="b">
        <f>INDEX('register map'!P:P,C448)="yes"</f>
        <v>1</v>
      </c>
      <c r="W448" s="157" t="str">
        <f t="shared" si="72"/>
        <v>FALSE</v>
      </c>
    </row>
    <row r="449" spans="2:23">
      <c r="B449" s="157" t="str">
        <f t="array" ref="B449">IF(ROWS($3:449)&lt;=COUNTA('register map'!$L$5:$L$902),INDEX('register map'!$L$5:$L$902,SMALL(IF('register map'!$L$5:$L$902&lt;&gt;"",ROW('register map'!$L$5:$L$902)-MIN(ROW('register map'!$L$5:$L$902))+1),ROWS($3:449))),"")</f>
        <v>OTP_RSVD_38_1F_5</v>
      </c>
      <c r="C449" s="157">
        <f>IF(B449="PART_NUMBER",IF(COUNTIF($B$1:B448,"PART_NUMBER")=0,6,8),MATCH(B449,'register map'!L:L,0))</f>
        <v>553</v>
      </c>
      <c r="D449" s="117" t="str">
        <f>IF(ISBLANK(INDEX('register map'!C:C,'Logical Group Generator'!C449)),"No","Yes")</f>
        <v>No</v>
      </c>
      <c r="E449" s="117" t="str">
        <f>IF(ISBLANK(INDEX('register map'!A:A,C449)),IF(ISBLANK(INDEX('register map'!A:A,C449-1)),IF(ISBLANK(INDEX('register map'!A:A,C449-2)),IF(ISBLANK(INDEX('register map'!A:A,C449-3)),IF(ISBLANK(INDEX('register map'!A:A,C449-4)),IF(ISBLANK(INDEX('register map'!A:A,C449-5)),IF(ISBLANK(INDEX('register map'!A:A,C449-6)),IF(ISBLANK(INDEX('register map'!A:A,C449-7)),IF(ISBLANK(INDEX('register map'!A:A,C449-8)),"ERROR",INDEX('register map'!A:A,C449-8)),INDEX('register map'!A:A,C449-7)),INDEX('register map'!A:A,C449-6)),INDEX('register map'!A:A,C449-5)),INDEX('register map'!A:A,C449-4)),INDEX('register map'!A:A,C449-3)),INDEX('register map'!A:A,C449-2)),INDEX('register map'!A:A,C449-1)),INDEX('register map'!A:A,C449))</f>
        <v>0x38</v>
      </c>
      <c r="F449" s="117" t="str">
        <f>IF(ISBLANK(INDEX('register map'!B:B,C449)),IF(ISBLANK(INDEX('register map'!B:B,C449-1)),IF(ISBLANK(INDEX('register map'!B:B,C449-2)),IF(ISBLANK(INDEX('register map'!B:B,C449-3)),IF(ISBLANK(INDEX('register map'!B:B,C449-4)),IF(ISBLANK(INDEX('register map'!B:B,C449-5)),IF(ISBLANK(INDEX('register map'!B:B,C449-6)),IF(ISBLANK(INDEX('register map'!B:B,C449-7)),IF(ISBLANK(INDEX('register map'!B:B,C449-8)),"ERROR",INDEX('register map'!B:B,C449-8)),INDEX('register map'!B:B,C449-7)),INDEX('register map'!B:B,C449-6)),INDEX('register map'!B:B,C449-5)),INDEX('register map'!B:B,C449-4)),INDEX('register map'!B:B,C449-3)),INDEX('register map'!B:B,C449-2)),INDEX('register map'!B:B,C449-1)),INDEX('register map'!B:B,C449))</f>
        <v>0x1F</v>
      </c>
      <c r="G449" s="117" t="str">
        <f>CONCATENATE(IF(ISNUMBER(INDEX('register map'!D:D,C449)),7,""),IF(ISNUMBER(INDEX('register map'!E:E,C449)),6,""),IF(ISNUMBER(INDEX('register map'!F:F,C449)),5,""),IF(ISNUMBER(INDEX('register map'!G:G,C449)),4,""),IF(ISNUMBER(INDEX('register map'!H:H,C449)),3,""),IF(ISNUMBER(INDEX('register map'!I:I,C449)),2,""),IF(ISNUMBER(INDEX('register map'!J:J,C449)),1,""),IF(ISNUMBER(INDEX('register map'!K:K,C449)),0,""))</f>
        <v>5</v>
      </c>
      <c r="H449" s="117" t="str">
        <f>RIGHT(INDEX('register map'!V:V,MATCH('Logical Group Generator'!B449,'register map'!L:L,0)),LEN(G449))</f>
        <v>1</v>
      </c>
      <c r="I449" s="117" t="str">
        <f>CONCATENATE(IF(ISNUMBER(INDEX('register map'!K:K,C449)),0,""),IF(ISNUMBER(INDEX('register map'!J:J,C449)),1,""),IF(ISNUMBER(INDEX('register map'!I:I,C449)),2,""),IF(ISNUMBER(INDEX('register map'!H:H,C449)),3,""),IF(ISNUMBER(INDEX('register map'!G:G,C449)),4,""),IF(ISNUMBER(INDEX('register map'!F:F,C449)),5,""),IF(ISNUMBER(INDEX('register map'!E:E,C449)),6,""),IF(ISNUMBER(INDEX('register map'!D:D,C449)),7,""))</f>
        <v>5</v>
      </c>
      <c r="J449" s="117" t="str">
        <f t="shared" si="73"/>
        <v>1</v>
      </c>
      <c r="K449" s="117" t="str">
        <f t="shared" si="66"/>
        <v/>
      </c>
      <c r="L449" s="117" t="str">
        <f t="shared" si="74"/>
        <v/>
      </c>
      <c r="M449" s="117" t="str">
        <f t="shared" si="76"/>
        <v/>
      </c>
      <c r="N449" s="117" t="str">
        <f>IF(ISBLANK(INDEX('register map'!M:M,'Logical Group Generator'!C449)),"No","Yes")</f>
        <v>No</v>
      </c>
      <c r="O449" s="117" t="str">
        <f>IF(NOT(ISBLANK(INDEX('register map'!N:N,'Logical Group Generator'!C449))),"Yes","")</f>
        <v/>
      </c>
      <c r="P449" s="117" t="str">
        <f t="shared" si="67"/>
        <v/>
      </c>
      <c r="Q449" s="117" t="str">
        <f t="shared" si="68"/>
        <v/>
      </c>
      <c r="R449" s="117" t="str">
        <f t="shared" si="69"/>
        <v/>
      </c>
      <c r="S449" s="117" t="str">
        <f t="shared" si="70"/>
        <v>No</v>
      </c>
      <c r="T449" s="117" t="str">
        <f t="shared" si="71"/>
        <v/>
      </c>
      <c r="U449" s="117" t="b">
        <f t="shared" si="75"/>
        <v>0</v>
      </c>
      <c r="V449" s="157" t="b">
        <f>INDEX('register map'!P:P,C449)="yes"</f>
        <v>1</v>
      </c>
      <c r="W449" s="157" t="str">
        <f t="shared" si="72"/>
        <v>FALSE</v>
      </c>
    </row>
    <row r="450" spans="2:23">
      <c r="B450" s="157" t="str">
        <f t="array" ref="B450">IF(ROWS($3:450)&lt;=COUNTA('register map'!$L$5:$L$902),INDEX('register map'!$L$5:$L$902,SMALL(IF('register map'!$L$5:$L$902&lt;&gt;"",ROW('register map'!$L$5:$L$902)-MIN(ROW('register map'!$L$5:$L$902))+1),ROWS($3:450))),"")</f>
        <v>OTP_RSVD_38_1F_6</v>
      </c>
      <c r="C450" s="157">
        <f>IF(B450="PART_NUMBER",IF(COUNTIF($B$1:B449,"PART_NUMBER")=0,6,8),MATCH(B450,'register map'!L:L,0))</f>
        <v>554</v>
      </c>
      <c r="D450" s="117" t="str">
        <f>IF(ISBLANK(INDEX('register map'!C:C,'Logical Group Generator'!C450)),"No","Yes")</f>
        <v>No</v>
      </c>
      <c r="E450" s="117" t="str">
        <f>IF(ISBLANK(INDEX('register map'!A:A,C450)),IF(ISBLANK(INDEX('register map'!A:A,C450-1)),IF(ISBLANK(INDEX('register map'!A:A,C450-2)),IF(ISBLANK(INDEX('register map'!A:A,C450-3)),IF(ISBLANK(INDEX('register map'!A:A,C450-4)),IF(ISBLANK(INDEX('register map'!A:A,C450-5)),IF(ISBLANK(INDEX('register map'!A:A,C450-6)),IF(ISBLANK(INDEX('register map'!A:A,C450-7)),IF(ISBLANK(INDEX('register map'!A:A,C450-8)),"ERROR",INDEX('register map'!A:A,C450-8)),INDEX('register map'!A:A,C450-7)),INDEX('register map'!A:A,C450-6)),INDEX('register map'!A:A,C450-5)),INDEX('register map'!A:A,C450-4)),INDEX('register map'!A:A,C450-3)),INDEX('register map'!A:A,C450-2)),INDEX('register map'!A:A,C450-1)),INDEX('register map'!A:A,C450))</f>
        <v>0x38</v>
      </c>
      <c r="F450" s="117" t="str">
        <f>IF(ISBLANK(INDEX('register map'!B:B,C450)),IF(ISBLANK(INDEX('register map'!B:B,C450-1)),IF(ISBLANK(INDEX('register map'!B:B,C450-2)),IF(ISBLANK(INDEX('register map'!B:B,C450-3)),IF(ISBLANK(INDEX('register map'!B:B,C450-4)),IF(ISBLANK(INDEX('register map'!B:B,C450-5)),IF(ISBLANK(INDEX('register map'!B:B,C450-6)),IF(ISBLANK(INDEX('register map'!B:B,C450-7)),IF(ISBLANK(INDEX('register map'!B:B,C450-8)),"ERROR",INDEX('register map'!B:B,C450-8)),INDEX('register map'!B:B,C450-7)),INDEX('register map'!B:B,C450-6)),INDEX('register map'!B:B,C450-5)),INDEX('register map'!B:B,C450-4)),INDEX('register map'!B:B,C450-3)),INDEX('register map'!B:B,C450-2)),INDEX('register map'!B:B,C450-1)),INDEX('register map'!B:B,C450))</f>
        <v>0x1F</v>
      </c>
      <c r="G450" s="117" t="str">
        <f>CONCATENATE(IF(ISNUMBER(INDEX('register map'!D:D,C450)),7,""),IF(ISNUMBER(INDEX('register map'!E:E,C450)),6,""),IF(ISNUMBER(INDEX('register map'!F:F,C450)),5,""),IF(ISNUMBER(INDEX('register map'!G:G,C450)),4,""),IF(ISNUMBER(INDEX('register map'!H:H,C450)),3,""),IF(ISNUMBER(INDEX('register map'!I:I,C450)),2,""),IF(ISNUMBER(INDEX('register map'!J:J,C450)),1,""),IF(ISNUMBER(INDEX('register map'!K:K,C450)),0,""))</f>
        <v>6</v>
      </c>
      <c r="H450" s="117" t="str">
        <f>RIGHT(INDEX('register map'!V:V,MATCH('Logical Group Generator'!B450,'register map'!L:L,0)),LEN(G450))</f>
        <v>1</v>
      </c>
      <c r="I450" s="117" t="str">
        <f>CONCATENATE(IF(ISNUMBER(INDEX('register map'!K:K,C450)),0,""),IF(ISNUMBER(INDEX('register map'!J:J,C450)),1,""),IF(ISNUMBER(INDEX('register map'!I:I,C450)),2,""),IF(ISNUMBER(INDEX('register map'!H:H,C450)),3,""),IF(ISNUMBER(INDEX('register map'!G:G,C450)),4,""),IF(ISNUMBER(INDEX('register map'!F:F,C450)),5,""),IF(ISNUMBER(INDEX('register map'!E:E,C450)),6,""),IF(ISNUMBER(INDEX('register map'!D:D,C450)),7,""))</f>
        <v>6</v>
      </c>
      <c r="J450" s="117" t="str">
        <f t="shared" si="73"/>
        <v>1</v>
      </c>
      <c r="K450" s="117" t="str">
        <f t="shared" si="66"/>
        <v/>
      </c>
      <c r="L450" s="117" t="str">
        <f t="shared" si="74"/>
        <v/>
      </c>
      <c r="M450" s="117" t="str">
        <f t="shared" si="76"/>
        <v/>
      </c>
      <c r="N450" s="117" t="str">
        <f>IF(ISBLANK(INDEX('register map'!M:M,'Logical Group Generator'!C450)),"No","Yes")</f>
        <v>No</v>
      </c>
      <c r="O450" s="117" t="str">
        <f>IF(NOT(ISBLANK(INDEX('register map'!N:N,'Logical Group Generator'!C450))),"Yes","")</f>
        <v/>
      </c>
      <c r="P450" s="117" t="str">
        <f t="shared" si="67"/>
        <v/>
      </c>
      <c r="Q450" s="117" t="str">
        <f t="shared" si="68"/>
        <v/>
      </c>
      <c r="R450" s="117" t="str">
        <f t="shared" si="69"/>
        <v/>
      </c>
      <c r="S450" s="117" t="str">
        <f t="shared" si="70"/>
        <v>No</v>
      </c>
      <c r="T450" s="117" t="str">
        <f t="shared" si="71"/>
        <v/>
      </c>
      <c r="U450" s="117" t="b">
        <f t="shared" si="75"/>
        <v>0</v>
      </c>
      <c r="V450" s="157" t="b">
        <f>INDEX('register map'!P:P,C450)="yes"</f>
        <v>1</v>
      </c>
      <c r="W450" s="157" t="str">
        <f t="shared" si="72"/>
        <v>FALSE</v>
      </c>
    </row>
    <row r="451" spans="2:23">
      <c r="B451" s="157" t="str">
        <f t="array" ref="B451">IF(ROWS($3:451)&lt;=COUNTA('register map'!$L$5:$L$902),INDEX('register map'!$L$5:$L$902,SMALL(IF('register map'!$L$5:$L$902&lt;&gt;"",ROW('register map'!$L$5:$L$902)-MIN(ROW('register map'!$L$5:$L$902))+1),ROWS($3:451))),"")</f>
        <v>OTP_RSVD_38_1F_7</v>
      </c>
      <c r="C451" s="157">
        <f>IF(B451="PART_NUMBER",IF(COUNTIF($B$1:B450,"PART_NUMBER")=0,6,8),MATCH(B451,'register map'!L:L,0))</f>
        <v>555</v>
      </c>
      <c r="D451" s="117" t="str">
        <f>IF(ISBLANK(INDEX('register map'!C:C,'Logical Group Generator'!C451)),"No","Yes")</f>
        <v>No</v>
      </c>
      <c r="E451" s="117" t="str">
        <f>IF(ISBLANK(INDEX('register map'!A:A,C451)),IF(ISBLANK(INDEX('register map'!A:A,C451-1)),IF(ISBLANK(INDEX('register map'!A:A,C451-2)),IF(ISBLANK(INDEX('register map'!A:A,C451-3)),IF(ISBLANK(INDEX('register map'!A:A,C451-4)),IF(ISBLANK(INDEX('register map'!A:A,C451-5)),IF(ISBLANK(INDEX('register map'!A:A,C451-6)),IF(ISBLANK(INDEX('register map'!A:A,C451-7)),IF(ISBLANK(INDEX('register map'!A:A,C451-8)),"ERROR",INDEX('register map'!A:A,C451-8)),INDEX('register map'!A:A,C451-7)),INDEX('register map'!A:A,C451-6)),INDEX('register map'!A:A,C451-5)),INDEX('register map'!A:A,C451-4)),INDEX('register map'!A:A,C451-3)),INDEX('register map'!A:A,C451-2)),INDEX('register map'!A:A,C451-1)),INDEX('register map'!A:A,C451))</f>
        <v>0x38</v>
      </c>
      <c r="F451" s="117" t="str">
        <f>IF(ISBLANK(INDEX('register map'!B:B,C451)),IF(ISBLANK(INDEX('register map'!B:B,C451-1)),IF(ISBLANK(INDEX('register map'!B:B,C451-2)),IF(ISBLANK(INDEX('register map'!B:B,C451-3)),IF(ISBLANK(INDEX('register map'!B:B,C451-4)),IF(ISBLANK(INDEX('register map'!B:B,C451-5)),IF(ISBLANK(INDEX('register map'!B:B,C451-6)),IF(ISBLANK(INDEX('register map'!B:B,C451-7)),IF(ISBLANK(INDEX('register map'!B:B,C451-8)),"ERROR",INDEX('register map'!B:B,C451-8)),INDEX('register map'!B:B,C451-7)),INDEX('register map'!B:B,C451-6)),INDEX('register map'!B:B,C451-5)),INDEX('register map'!B:B,C451-4)),INDEX('register map'!B:B,C451-3)),INDEX('register map'!B:B,C451-2)),INDEX('register map'!B:B,C451-1)),INDEX('register map'!B:B,C451))</f>
        <v>0x1F</v>
      </c>
      <c r="G451" s="117" t="str">
        <f>CONCATENATE(IF(ISNUMBER(INDEX('register map'!D:D,C451)),7,""),IF(ISNUMBER(INDEX('register map'!E:E,C451)),6,""),IF(ISNUMBER(INDEX('register map'!F:F,C451)),5,""),IF(ISNUMBER(INDEX('register map'!G:G,C451)),4,""),IF(ISNUMBER(INDEX('register map'!H:H,C451)),3,""),IF(ISNUMBER(INDEX('register map'!I:I,C451)),2,""),IF(ISNUMBER(INDEX('register map'!J:J,C451)),1,""),IF(ISNUMBER(INDEX('register map'!K:K,C451)),0,""))</f>
        <v>7</v>
      </c>
      <c r="H451" s="117" t="str">
        <f>RIGHT(INDEX('register map'!V:V,MATCH('Logical Group Generator'!B451,'register map'!L:L,0)),LEN(G451))</f>
        <v>1</v>
      </c>
      <c r="I451" s="117" t="str">
        <f>CONCATENATE(IF(ISNUMBER(INDEX('register map'!K:K,C451)),0,""),IF(ISNUMBER(INDEX('register map'!J:J,C451)),1,""),IF(ISNUMBER(INDEX('register map'!I:I,C451)),2,""),IF(ISNUMBER(INDEX('register map'!H:H,C451)),3,""),IF(ISNUMBER(INDEX('register map'!G:G,C451)),4,""),IF(ISNUMBER(INDEX('register map'!F:F,C451)),5,""),IF(ISNUMBER(INDEX('register map'!E:E,C451)),6,""),IF(ISNUMBER(INDEX('register map'!D:D,C451)),7,""))</f>
        <v>7</v>
      </c>
      <c r="J451" s="117" t="str">
        <f t="shared" si="73"/>
        <v>1</v>
      </c>
      <c r="K451" s="117" t="str">
        <f t="shared" ref="K451:K514" si="77">IF(D451="Yes",CONCATENATE(IF(F452=F451,J452,""),IF(F453=F451,J453,""),IF(F454=F451,J454,""),IF(F455=F451,J455,""),IF(F456=F451,J456,""),IF(F457=F451,J457,""),IF(F458=F451,J458,""),IF(F459=F451,J459,"")),"")</f>
        <v/>
      </c>
      <c r="L451" s="117" t="str">
        <f t="shared" si="74"/>
        <v/>
      </c>
      <c r="M451" s="117" t="str">
        <f t="shared" si="76"/>
        <v/>
      </c>
      <c r="N451" s="117" t="str">
        <f>IF(ISBLANK(INDEX('register map'!M:M,'Logical Group Generator'!C451)),"No","Yes")</f>
        <v>No</v>
      </c>
      <c r="O451" s="117" t="str">
        <f>IF(NOT(ISBLANK(INDEX('register map'!N:N,'Logical Group Generator'!C451))),"Yes","")</f>
        <v/>
      </c>
      <c r="P451" s="117" t="str">
        <f t="shared" ref="P451:P514" si="78">IF(D451="Yes",IF(OR(AND(F452=F451,N452="Yes"),AND(F453=F451,N453="Yes"),AND(F454=F451,N454="Yes"),AND(F455=F451,N455="Yes"),AND(F456=F451,N456="Yes"),AND(F457=F451,N457="Yes"),AND(F458=F451,N458="Yes"),AND(F459=F451,N459="Yes")),"Yes","No"),"")</f>
        <v/>
      </c>
      <c r="Q451" s="117" t="str">
        <f t="shared" ref="Q451:Q514" si="79">IF(D451="Yes",IF(AND(IF(F452=F451,OR(N452="Yes",O452="Yes"),TRUE),IF(F453=F451,OR(N453="Yes",O453="Yes"),TRUE),IF(F454=F451,OR(N454="Yes",O454="Yes"),TRUE),IF(F455=F451,OR(N455="Yes",O455="Yes"),TRUE),IF(F456=F451,OR(N456="Yes",O456="Yes"),TRUE),IF(F457=F451,OR(N457="Yes",O457="Yes"),TRUE),IF(F458=F451,OR(N458="Yes",O458="Yes"),TRUE),IF(F459=F451,OR(N459="Yes",O459="Yes"),TRUE)),"Yes","No"),"")</f>
        <v/>
      </c>
      <c r="R451" s="117" t="str">
        <f t="shared" ref="R451:R514" si="80">IF(D451="Yes",IF(AND(P451="Yes",Q451="No"),"Yes","No"),"")</f>
        <v/>
      </c>
      <c r="S451" s="117" t="str">
        <f t="shared" ref="S451:S514" si="81">IF(D451="No",IF(AND(N451="No",NOT(O451="Yes"),INDEX(R:R,MATCH(F451,F:F,0))="Yes"),"Yes","No"),"")</f>
        <v>No</v>
      </c>
      <c r="T451" s="117" t="str">
        <f t="shared" ref="T451:T514" si="82">IF(D451="Yes",LEN(L451)=8,"")</f>
        <v/>
      </c>
      <c r="U451" s="117" t="b">
        <f t="shared" si="75"/>
        <v>0</v>
      </c>
      <c r="V451" s="157" t="b">
        <f>INDEX('register map'!P:P,C451)="yes"</f>
        <v>1</v>
      </c>
      <c r="W451" s="157" t="str">
        <f t="shared" ref="W451:W514" si="83">IF(AND(D451="Yes",P451="No",Q451="No",V451),"REGISTER",IF(AND(D451="No",S451="Yes",V451),"BIT","FALSE"))</f>
        <v>FALSE</v>
      </c>
    </row>
    <row r="452" spans="2:23">
      <c r="B452" s="157" t="str">
        <f t="array" ref="B452">IF(ROWS($3:452)&lt;=COUNTA('register map'!$L$5:$L$902),INDEX('register map'!$L$5:$L$902,SMALL(IF('register map'!$L$5:$L$902&lt;&gt;"",ROW('register map'!$L$5:$L$902)-MIN(ROW('register map'!$L$5:$L$902))+1),ROWS($3:452))),"")</f>
        <v>LDOA3_CTRL_EN2</v>
      </c>
      <c r="C452" s="157">
        <f>IF(B452="PART_NUMBER",IF(COUNTIF($B$1:B451,"PART_NUMBER")=0,6,8),MATCH(B452,'register map'!L:L,0))</f>
        <v>556</v>
      </c>
      <c r="D452" s="117" t="str">
        <f>IF(ISBLANK(INDEX('register map'!C:C,'Logical Group Generator'!C452)),"No","Yes")</f>
        <v>Yes</v>
      </c>
      <c r="E452" s="117" t="str">
        <f>IF(ISBLANK(INDEX('register map'!A:A,C452)),IF(ISBLANK(INDEX('register map'!A:A,C452-1)),IF(ISBLANK(INDEX('register map'!A:A,C452-2)),IF(ISBLANK(INDEX('register map'!A:A,C452-3)),IF(ISBLANK(INDEX('register map'!A:A,C452-4)),IF(ISBLANK(INDEX('register map'!A:A,C452-5)),IF(ISBLANK(INDEX('register map'!A:A,C452-6)),IF(ISBLANK(INDEX('register map'!A:A,C452-7)),IF(ISBLANK(INDEX('register map'!A:A,C452-8)),"ERROR",INDEX('register map'!A:A,C452-8)),INDEX('register map'!A:A,C452-7)),INDEX('register map'!A:A,C452-6)),INDEX('register map'!A:A,C452-5)),INDEX('register map'!A:A,C452-4)),INDEX('register map'!A:A,C452-3)),INDEX('register map'!A:A,C452-2)),INDEX('register map'!A:A,C452-1)),INDEX('register map'!A:A,C452))</f>
        <v>0x38</v>
      </c>
      <c r="F452" s="117" t="str">
        <f>IF(ISBLANK(INDEX('register map'!B:B,C452)),IF(ISBLANK(INDEX('register map'!B:B,C452-1)),IF(ISBLANK(INDEX('register map'!B:B,C452-2)),IF(ISBLANK(INDEX('register map'!B:B,C452-3)),IF(ISBLANK(INDEX('register map'!B:B,C452-4)),IF(ISBLANK(INDEX('register map'!B:B,C452-5)),IF(ISBLANK(INDEX('register map'!B:B,C452-6)),IF(ISBLANK(INDEX('register map'!B:B,C452-7)),IF(ISBLANK(INDEX('register map'!B:B,C452-8)),"ERROR",INDEX('register map'!B:B,C452-8)),INDEX('register map'!B:B,C452-7)),INDEX('register map'!B:B,C452-6)),INDEX('register map'!B:B,C452-5)),INDEX('register map'!B:B,C452-4)),INDEX('register map'!B:B,C452-3)),INDEX('register map'!B:B,C452-2)),INDEX('register map'!B:B,C452-1)),INDEX('register map'!B:B,C452))</f>
        <v>0x20</v>
      </c>
      <c r="G452" s="117" t="str">
        <f>CONCATENATE(IF(ISNUMBER(INDEX('register map'!D:D,C452)),7,""),IF(ISNUMBER(INDEX('register map'!E:E,C452)),6,""),IF(ISNUMBER(INDEX('register map'!F:F,C452)),5,""),IF(ISNUMBER(INDEX('register map'!G:G,C452)),4,""),IF(ISNUMBER(INDEX('register map'!H:H,C452)),3,""),IF(ISNUMBER(INDEX('register map'!I:I,C452)),2,""),IF(ISNUMBER(INDEX('register map'!J:J,C452)),1,""),IF(ISNUMBER(INDEX('register map'!K:K,C452)),0,""))</f>
        <v/>
      </c>
      <c r="H452" s="117" t="str">
        <f>RIGHT(INDEX('register map'!V:V,MATCH('Logical Group Generator'!B452,'register map'!L:L,0)),LEN(G452))</f>
        <v/>
      </c>
      <c r="I452" s="117" t="str">
        <f>CONCATENATE(IF(ISNUMBER(INDEX('register map'!K:K,C452)),0,""),IF(ISNUMBER(INDEX('register map'!J:J,C452)),1,""),IF(ISNUMBER(INDEX('register map'!I:I,C452)),2,""),IF(ISNUMBER(INDEX('register map'!H:H,C452)),3,""),IF(ISNUMBER(INDEX('register map'!G:G,C452)),4,""),IF(ISNUMBER(INDEX('register map'!F:F,C452)),5,""),IF(ISNUMBER(INDEX('register map'!E:E,C452)),6,""),IF(ISNUMBER(INDEX('register map'!D:D,C452)),7,""))</f>
        <v/>
      </c>
      <c r="J452" s="117" t="str">
        <f t="shared" ref="J452:J515" si="84">MID(H452,20,1) &amp; MID(H452,19,1) &amp; MID(H452,18,1) &amp; MID(H452,17,1) &amp; MID(H452,16,1) &amp; MID(H452,15,1) &amp; MID(H452,14,1) &amp; MID(H452,13,1) &amp; MID(H452,12,1) &amp; MID(H452,11,1) &amp; MID(H452,10,1) &amp; MID(H452,9,1) &amp; MID(H452,8,1) &amp; MID(H452,7,1) &amp; MID(H452,6,1) &amp; MID(H452,5,1) &amp; MID(H452,4,1) &amp; MID(H452,3,1) &amp; MID(H452,2,1) &amp; MID(H452,1,1)</f>
        <v/>
      </c>
      <c r="K452" s="117" t="str">
        <f t="shared" si="77"/>
        <v>11000000</v>
      </c>
      <c r="L452" s="117" t="str">
        <f t="shared" ref="L452:L515" si="85">MID(K452,20,1) &amp; MID(K452,19,1) &amp; MID(K452,18,1) &amp; MID(K452,17,1) &amp; MID(K452,16,1) &amp; MID(K452,15,1) &amp; MID(K452,14,1) &amp; MID(K452,13,1) &amp; MID(K452,12,1) &amp; MID(K452,11,1) &amp; MID(K452,10,1) &amp; MID(K452,9,1) &amp; MID(K452,8,1) &amp; MID(K452,7,1) &amp; MID(K452,6,1) &amp; MID(K452,5,1) &amp; MID(K452,4,1) &amp; MID(K452,3,1) &amp; MID(K452,2,1) &amp; MID(K452,1,1)</f>
        <v>00000011</v>
      </c>
      <c r="M452" s="117" t="str">
        <f t="shared" si="76"/>
        <v>03</v>
      </c>
      <c r="N452" s="117" t="str">
        <f>IF(ISBLANK(INDEX('register map'!M:M,'Logical Group Generator'!C452)),"No","Yes")</f>
        <v>No</v>
      </c>
      <c r="O452" s="117" t="str">
        <f>IF(NOT(ISBLANK(INDEX('register map'!N:N,'Logical Group Generator'!C452))),"Yes","")</f>
        <v/>
      </c>
      <c r="P452" s="117" t="str">
        <f t="shared" si="78"/>
        <v>No</v>
      </c>
      <c r="Q452" s="117" t="str">
        <f t="shared" si="79"/>
        <v>No</v>
      </c>
      <c r="R452" s="117" t="str">
        <f t="shared" si="80"/>
        <v>No</v>
      </c>
      <c r="S452" s="117" t="str">
        <f t="shared" si="81"/>
        <v/>
      </c>
      <c r="T452" s="117" t="b">
        <f t="shared" si="82"/>
        <v>1</v>
      </c>
      <c r="U452" s="117" t="b">
        <f t="shared" ref="U452:U515" si="86">OR(P452="No",S452="Yes")</f>
        <v>1</v>
      </c>
      <c r="V452" s="157" t="b">
        <f>INDEX('register map'!P:P,C452)="yes"</f>
        <v>1</v>
      </c>
      <c r="W452" s="157" t="str">
        <f t="shared" si="83"/>
        <v>REGISTER</v>
      </c>
    </row>
    <row r="453" spans="2:23">
      <c r="B453" s="157" t="str">
        <f t="array" ref="B453">IF(ROWS($3:453)&lt;=COUNTA('register map'!$L$5:$L$902),INDEX('register map'!$L$5:$L$902,SMALL(IF('register map'!$L$5:$L$902&lt;&gt;"",ROW('register map'!$L$5:$L$902)-MIN(ROW('register map'!$L$5:$L$902))+1),ROWS($3:453))),"")</f>
        <v>OTP_RSVD_38_20_0</v>
      </c>
      <c r="C453" s="157">
        <f>IF(B453="PART_NUMBER",IF(COUNTIF($B$1:B452,"PART_NUMBER")=0,6,8),MATCH(B453,'register map'!L:L,0))</f>
        <v>557</v>
      </c>
      <c r="D453" s="117" t="str">
        <f>IF(ISBLANK(INDEX('register map'!C:C,'Logical Group Generator'!C453)),"No","Yes")</f>
        <v>No</v>
      </c>
      <c r="E453" s="117" t="str">
        <f>IF(ISBLANK(INDEX('register map'!A:A,C453)),IF(ISBLANK(INDEX('register map'!A:A,C453-1)),IF(ISBLANK(INDEX('register map'!A:A,C453-2)),IF(ISBLANK(INDEX('register map'!A:A,C453-3)),IF(ISBLANK(INDEX('register map'!A:A,C453-4)),IF(ISBLANK(INDEX('register map'!A:A,C453-5)),IF(ISBLANK(INDEX('register map'!A:A,C453-6)),IF(ISBLANK(INDEX('register map'!A:A,C453-7)),IF(ISBLANK(INDEX('register map'!A:A,C453-8)),"ERROR",INDEX('register map'!A:A,C453-8)),INDEX('register map'!A:A,C453-7)),INDEX('register map'!A:A,C453-6)),INDEX('register map'!A:A,C453-5)),INDEX('register map'!A:A,C453-4)),INDEX('register map'!A:A,C453-3)),INDEX('register map'!A:A,C453-2)),INDEX('register map'!A:A,C453-1)),INDEX('register map'!A:A,C453))</f>
        <v>0x38</v>
      </c>
      <c r="F453" s="117" t="str">
        <f>IF(ISBLANK(INDEX('register map'!B:B,C453)),IF(ISBLANK(INDEX('register map'!B:B,C453-1)),IF(ISBLANK(INDEX('register map'!B:B,C453-2)),IF(ISBLANK(INDEX('register map'!B:B,C453-3)),IF(ISBLANK(INDEX('register map'!B:B,C453-4)),IF(ISBLANK(INDEX('register map'!B:B,C453-5)),IF(ISBLANK(INDEX('register map'!B:B,C453-6)),IF(ISBLANK(INDEX('register map'!B:B,C453-7)),IF(ISBLANK(INDEX('register map'!B:B,C453-8)),"ERROR",INDEX('register map'!B:B,C453-8)),INDEX('register map'!B:B,C453-7)),INDEX('register map'!B:B,C453-6)),INDEX('register map'!B:B,C453-5)),INDEX('register map'!B:B,C453-4)),INDEX('register map'!B:B,C453-3)),INDEX('register map'!B:B,C453-2)),INDEX('register map'!B:B,C453-1)),INDEX('register map'!B:B,C453))</f>
        <v>0x20</v>
      </c>
      <c r="G453" s="117" t="str">
        <f>CONCATENATE(IF(ISNUMBER(INDEX('register map'!D:D,C453)),7,""),IF(ISNUMBER(INDEX('register map'!E:E,C453)),6,""),IF(ISNUMBER(INDEX('register map'!F:F,C453)),5,""),IF(ISNUMBER(INDEX('register map'!G:G,C453)),4,""),IF(ISNUMBER(INDEX('register map'!H:H,C453)),3,""),IF(ISNUMBER(INDEX('register map'!I:I,C453)),2,""),IF(ISNUMBER(INDEX('register map'!J:J,C453)),1,""),IF(ISNUMBER(INDEX('register map'!K:K,C453)),0,""))</f>
        <v>0</v>
      </c>
      <c r="H453" s="117" t="str">
        <f>RIGHT(INDEX('register map'!V:V,MATCH('Logical Group Generator'!B453,'register map'!L:L,0)),LEN(G453))</f>
        <v>1</v>
      </c>
      <c r="I453" s="117" t="str">
        <f>CONCATENATE(IF(ISNUMBER(INDEX('register map'!K:K,C453)),0,""),IF(ISNUMBER(INDEX('register map'!J:J,C453)),1,""),IF(ISNUMBER(INDEX('register map'!I:I,C453)),2,""),IF(ISNUMBER(INDEX('register map'!H:H,C453)),3,""),IF(ISNUMBER(INDEX('register map'!G:G,C453)),4,""),IF(ISNUMBER(INDEX('register map'!F:F,C453)),5,""),IF(ISNUMBER(INDEX('register map'!E:E,C453)),6,""),IF(ISNUMBER(INDEX('register map'!D:D,C453)),7,""))</f>
        <v>0</v>
      </c>
      <c r="J453" s="117" t="str">
        <f t="shared" si="84"/>
        <v>1</v>
      </c>
      <c r="K453" s="117" t="str">
        <f t="shared" si="77"/>
        <v/>
      </c>
      <c r="L453" s="117" t="str">
        <f t="shared" si="85"/>
        <v/>
      </c>
      <c r="M453" s="117" t="str">
        <f t="shared" ref="M453:M516" si="87">IF(L453="","",BIN2HEX(L453,2))</f>
        <v/>
      </c>
      <c r="N453" s="117" t="str">
        <f>IF(ISBLANK(INDEX('register map'!M:M,'Logical Group Generator'!C453)),"No","Yes")</f>
        <v>No</v>
      </c>
      <c r="O453" s="117" t="str">
        <f>IF(NOT(ISBLANK(INDEX('register map'!N:N,'Logical Group Generator'!C453))),"Yes","")</f>
        <v/>
      </c>
      <c r="P453" s="117" t="str">
        <f t="shared" si="78"/>
        <v/>
      </c>
      <c r="Q453" s="117" t="str">
        <f t="shared" si="79"/>
        <v/>
      </c>
      <c r="R453" s="117" t="str">
        <f t="shared" si="80"/>
        <v/>
      </c>
      <c r="S453" s="117" t="str">
        <f t="shared" si="81"/>
        <v>No</v>
      </c>
      <c r="T453" s="117" t="str">
        <f t="shared" si="82"/>
        <v/>
      </c>
      <c r="U453" s="117" t="b">
        <f t="shared" si="86"/>
        <v>0</v>
      </c>
      <c r="V453" s="157" t="b">
        <f>INDEX('register map'!P:P,C453)="yes"</f>
        <v>1</v>
      </c>
      <c r="W453" s="157" t="str">
        <f t="shared" si="83"/>
        <v>FALSE</v>
      </c>
    </row>
    <row r="454" spans="2:23">
      <c r="B454" s="157" t="str">
        <f t="array" ref="B454">IF(ROWS($3:454)&lt;=COUNTA('register map'!$L$5:$L$902),INDEX('register map'!$L$5:$L$902,SMALL(IF('register map'!$L$5:$L$902&lt;&gt;"",ROW('register map'!$L$5:$L$902)-MIN(ROW('register map'!$L$5:$L$902))+1),ROWS($3:454))),"")</f>
        <v>OTP_RSVD_38_20_1</v>
      </c>
      <c r="C454" s="157">
        <f>IF(B454="PART_NUMBER",IF(COUNTIF($B$1:B453,"PART_NUMBER")=0,6,8),MATCH(B454,'register map'!L:L,0))</f>
        <v>558</v>
      </c>
      <c r="D454" s="117" t="str">
        <f>IF(ISBLANK(INDEX('register map'!C:C,'Logical Group Generator'!C454)),"No","Yes")</f>
        <v>No</v>
      </c>
      <c r="E454" s="117" t="str">
        <f>IF(ISBLANK(INDEX('register map'!A:A,C454)),IF(ISBLANK(INDEX('register map'!A:A,C454-1)),IF(ISBLANK(INDEX('register map'!A:A,C454-2)),IF(ISBLANK(INDEX('register map'!A:A,C454-3)),IF(ISBLANK(INDEX('register map'!A:A,C454-4)),IF(ISBLANK(INDEX('register map'!A:A,C454-5)),IF(ISBLANK(INDEX('register map'!A:A,C454-6)),IF(ISBLANK(INDEX('register map'!A:A,C454-7)),IF(ISBLANK(INDEX('register map'!A:A,C454-8)),"ERROR",INDEX('register map'!A:A,C454-8)),INDEX('register map'!A:A,C454-7)),INDEX('register map'!A:A,C454-6)),INDEX('register map'!A:A,C454-5)),INDEX('register map'!A:A,C454-4)),INDEX('register map'!A:A,C454-3)),INDEX('register map'!A:A,C454-2)),INDEX('register map'!A:A,C454-1)),INDEX('register map'!A:A,C454))</f>
        <v>0x38</v>
      </c>
      <c r="F454" s="117" t="str">
        <f>IF(ISBLANK(INDEX('register map'!B:B,C454)),IF(ISBLANK(INDEX('register map'!B:B,C454-1)),IF(ISBLANK(INDEX('register map'!B:B,C454-2)),IF(ISBLANK(INDEX('register map'!B:B,C454-3)),IF(ISBLANK(INDEX('register map'!B:B,C454-4)),IF(ISBLANK(INDEX('register map'!B:B,C454-5)),IF(ISBLANK(INDEX('register map'!B:B,C454-6)),IF(ISBLANK(INDEX('register map'!B:B,C454-7)),IF(ISBLANK(INDEX('register map'!B:B,C454-8)),"ERROR",INDEX('register map'!B:B,C454-8)),INDEX('register map'!B:B,C454-7)),INDEX('register map'!B:B,C454-6)),INDEX('register map'!B:B,C454-5)),INDEX('register map'!B:B,C454-4)),INDEX('register map'!B:B,C454-3)),INDEX('register map'!B:B,C454-2)),INDEX('register map'!B:B,C454-1)),INDEX('register map'!B:B,C454))</f>
        <v>0x20</v>
      </c>
      <c r="G454" s="117" t="str">
        <f>CONCATENATE(IF(ISNUMBER(INDEX('register map'!D:D,C454)),7,""),IF(ISNUMBER(INDEX('register map'!E:E,C454)),6,""),IF(ISNUMBER(INDEX('register map'!F:F,C454)),5,""),IF(ISNUMBER(INDEX('register map'!G:G,C454)),4,""),IF(ISNUMBER(INDEX('register map'!H:H,C454)),3,""),IF(ISNUMBER(INDEX('register map'!I:I,C454)),2,""),IF(ISNUMBER(INDEX('register map'!J:J,C454)),1,""),IF(ISNUMBER(INDEX('register map'!K:K,C454)),0,""))</f>
        <v>1</v>
      </c>
      <c r="H454" s="117" t="str">
        <f>RIGHT(INDEX('register map'!V:V,MATCH('Logical Group Generator'!B454,'register map'!L:L,0)),LEN(G454))</f>
        <v>1</v>
      </c>
      <c r="I454" s="117" t="str">
        <f>CONCATENATE(IF(ISNUMBER(INDEX('register map'!K:K,C454)),0,""),IF(ISNUMBER(INDEX('register map'!J:J,C454)),1,""),IF(ISNUMBER(INDEX('register map'!I:I,C454)),2,""),IF(ISNUMBER(INDEX('register map'!H:H,C454)),3,""),IF(ISNUMBER(INDEX('register map'!G:G,C454)),4,""),IF(ISNUMBER(INDEX('register map'!F:F,C454)),5,""),IF(ISNUMBER(INDEX('register map'!E:E,C454)),6,""),IF(ISNUMBER(INDEX('register map'!D:D,C454)),7,""))</f>
        <v>1</v>
      </c>
      <c r="J454" s="117" t="str">
        <f t="shared" si="84"/>
        <v>1</v>
      </c>
      <c r="K454" s="117" t="str">
        <f t="shared" si="77"/>
        <v/>
      </c>
      <c r="L454" s="117" t="str">
        <f t="shared" si="85"/>
        <v/>
      </c>
      <c r="M454" s="117" t="str">
        <f t="shared" si="87"/>
        <v/>
      </c>
      <c r="N454" s="117" t="str">
        <f>IF(ISBLANK(INDEX('register map'!M:M,'Logical Group Generator'!C454)),"No","Yes")</f>
        <v>No</v>
      </c>
      <c r="O454" s="117" t="str">
        <f>IF(NOT(ISBLANK(INDEX('register map'!N:N,'Logical Group Generator'!C454))),"Yes","")</f>
        <v/>
      </c>
      <c r="P454" s="117" t="str">
        <f t="shared" si="78"/>
        <v/>
      </c>
      <c r="Q454" s="117" t="str">
        <f t="shared" si="79"/>
        <v/>
      </c>
      <c r="R454" s="117" t="str">
        <f t="shared" si="80"/>
        <v/>
      </c>
      <c r="S454" s="117" t="str">
        <f t="shared" si="81"/>
        <v>No</v>
      </c>
      <c r="T454" s="117" t="str">
        <f t="shared" si="82"/>
        <v/>
      </c>
      <c r="U454" s="117" t="b">
        <f t="shared" si="86"/>
        <v>0</v>
      </c>
      <c r="V454" s="157" t="b">
        <f>INDEX('register map'!P:P,C454)="yes"</f>
        <v>1</v>
      </c>
      <c r="W454" s="157" t="str">
        <f t="shared" si="83"/>
        <v>FALSE</v>
      </c>
    </row>
    <row r="455" spans="2:23">
      <c r="B455" s="157" t="str">
        <f t="array" ref="B455">IF(ROWS($3:455)&lt;=COUNTA('register map'!$L$5:$L$902),INDEX('register map'!$L$5:$L$902,SMALL(IF('register map'!$L$5:$L$902&lt;&gt;"",ROW('register map'!$L$5:$L$902)-MIN(ROW('register map'!$L$5:$L$902))+1),ROWS($3:455))),"")</f>
        <v>OTP_RSVD_38_20_432</v>
      </c>
      <c r="C455" s="157">
        <f>IF(B455="PART_NUMBER",IF(COUNTIF($B$1:B454,"PART_NUMBER")=0,6,8),MATCH(B455,'register map'!L:L,0))</f>
        <v>559</v>
      </c>
      <c r="D455" s="117" t="str">
        <f>IF(ISBLANK(INDEX('register map'!C:C,'Logical Group Generator'!C455)),"No","Yes")</f>
        <v>No</v>
      </c>
      <c r="E455" s="117" t="str">
        <f>IF(ISBLANK(INDEX('register map'!A:A,C455)),IF(ISBLANK(INDEX('register map'!A:A,C455-1)),IF(ISBLANK(INDEX('register map'!A:A,C455-2)),IF(ISBLANK(INDEX('register map'!A:A,C455-3)),IF(ISBLANK(INDEX('register map'!A:A,C455-4)),IF(ISBLANK(INDEX('register map'!A:A,C455-5)),IF(ISBLANK(INDEX('register map'!A:A,C455-6)),IF(ISBLANK(INDEX('register map'!A:A,C455-7)),IF(ISBLANK(INDEX('register map'!A:A,C455-8)),"ERROR",INDEX('register map'!A:A,C455-8)),INDEX('register map'!A:A,C455-7)),INDEX('register map'!A:A,C455-6)),INDEX('register map'!A:A,C455-5)),INDEX('register map'!A:A,C455-4)),INDEX('register map'!A:A,C455-3)),INDEX('register map'!A:A,C455-2)),INDEX('register map'!A:A,C455-1)),INDEX('register map'!A:A,C455))</f>
        <v>0x38</v>
      </c>
      <c r="F455" s="117" t="str">
        <f>IF(ISBLANK(INDEX('register map'!B:B,C455)),IF(ISBLANK(INDEX('register map'!B:B,C455-1)),IF(ISBLANK(INDEX('register map'!B:B,C455-2)),IF(ISBLANK(INDEX('register map'!B:B,C455-3)),IF(ISBLANK(INDEX('register map'!B:B,C455-4)),IF(ISBLANK(INDEX('register map'!B:B,C455-5)),IF(ISBLANK(INDEX('register map'!B:B,C455-6)),IF(ISBLANK(INDEX('register map'!B:B,C455-7)),IF(ISBLANK(INDEX('register map'!B:B,C455-8)),"ERROR",INDEX('register map'!B:B,C455-8)),INDEX('register map'!B:B,C455-7)),INDEX('register map'!B:B,C455-6)),INDEX('register map'!B:B,C455-5)),INDEX('register map'!B:B,C455-4)),INDEX('register map'!B:B,C455-3)),INDEX('register map'!B:B,C455-2)),INDEX('register map'!B:B,C455-1)),INDEX('register map'!B:B,C455))</f>
        <v>0x20</v>
      </c>
      <c r="G455" s="117" t="str">
        <f>CONCATENATE(IF(ISNUMBER(INDEX('register map'!D:D,C455)),7,""),IF(ISNUMBER(INDEX('register map'!E:E,C455)),6,""),IF(ISNUMBER(INDEX('register map'!F:F,C455)),5,""),IF(ISNUMBER(INDEX('register map'!G:G,C455)),4,""),IF(ISNUMBER(INDEX('register map'!H:H,C455)),3,""),IF(ISNUMBER(INDEX('register map'!I:I,C455)),2,""),IF(ISNUMBER(INDEX('register map'!J:J,C455)),1,""),IF(ISNUMBER(INDEX('register map'!K:K,C455)),0,""))</f>
        <v>432</v>
      </c>
      <c r="H455" s="117" t="str">
        <f>RIGHT(INDEX('register map'!V:V,MATCH('Logical Group Generator'!B455,'register map'!L:L,0)),LEN(G455))</f>
        <v>000</v>
      </c>
      <c r="I455" s="117" t="str">
        <f>CONCATENATE(IF(ISNUMBER(INDEX('register map'!K:K,C455)),0,""),IF(ISNUMBER(INDEX('register map'!J:J,C455)),1,""),IF(ISNUMBER(INDEX('register map'!I:I,C455)),2,""),IF(ISNUMBER(INDEX('register map'!H:H,C455)),3,""),IF(ISNUMBER(INDEX('register map'!G:G,C455)),4,""),IF(ISNUMBER(INDEX('register map'!F:F,C455)),5,""),IF(ISNUMBER(INDEX('register map'!E:E,C455)),6,""),IF(ISNUMBER(INDEX('register map'!D:D,C455)),7,""))</f>
        <v>234</v>
      </c>
      <c r="J455" s="117" t="str">
        <f t="shared" si="84"/>
        <v>000</v>
      </c>
      <c r="K455" s="117" t="str">
        <f t="shared" si="77"/>
        <v/>
      </c>
      <c r="L455" s="117" t="str">
        <f t="shared" si="85"/>
        <v/>
      </c>
      <c r="M455" s="117" t="str">
        <f t="shared" si="87"/>
        <v/>
      </c>
      <c r="N455" s="117" t="str">
        <f>IF(ISBLANK(INDEX('register map'!M:M,'Logical Group Generator'!C455)),"No","Yes")</f>
        <v>No</v>
      </c>
      <c r="O455" s="117" t="str">
        <f>IF(NOT(ISBLANK(INDEX('register map'!N:N,'Logical Group Generator'!C455))),"Yes","")</f>
        <v/>
      </c>
      <c r="P455" s="117" t="str">
        <f t="shared" si="78"/>
        <v/>
      </c>
      <c r="Q455" s="117" t="str">
        <f t="shared" si="79"/>
        <v/>
      </c>
      <c r="R455" s="117" t="str">
        <f t="shared" si="80"/>
        <v/>
      </c>
      <c r="S455" s="117" t="str">
        <f t="shared" si="81"/>
        <v>No</v>
      </c>
      <c r="T455" s="117" t="str">
        <f t="shared" si="82"/>
        <v/>
      </c>
      <c r="U455" s="117" t="b">
        <f t="shared" si="86"/>
        <v>0</v>
      </c>
      <c r="V455" s="157" t="b">
        <f>INDEX('register map'!P:P,C455)="yes"</f>
        <v>1</v>
      </c>
      <c r="W455" s="157" t="str">
        <f t="shared" si="83"/>
        <v>FALSE</v>
      </c>
    </row>
    <row r="456" spans="2:23">
      <c r="B456" s="157" t="str">
        <f t="array" ref="B456">IF(ROWS($3:456)&lt;=COUNTA('register map'!$L$5:$L$902),INDEX('register map'!$L$5:$L$902,SMALL(IF('register map'!$L$5:$L$902&lt;&gt;"",ROW('register map'!$L$5:$L$902)-MIN(ROW('register map'!$L$5:$L$902))+1),ROWS($3:456))),"")</f>
        <v>OTP_RSVD_38_20_5</v>
      </c>
      <c r="C456" s="157">
        <f>IF(B456="PART_NUMBER",IF(COUNTIF($B$1:B455,"PART_NUMBER")=0,6,8),MATCH(B456,'register map'!L:L,0))</f>
        <v>560</v>
      </c>
      <c r="D456" s="117" t="str">
        <f>IF(ISBLANK(INDEX('register map'!C:C,'Logical Group Generator'!C456)),"No","Yes")</f>
        <v>No</v>
      </c>
      <c r="E456" s="117" t="str">
        <f>IF(ISBLANK(INDEX('register map'!A:A,C456)),IF(ISBLANK(INDEX('register map'!A:A,C456-1)),IF(ISBLANK(INDEX('register map'!A:A,C456-2)),IF(ISBLANK(INDEX('register map'!A:A,C456-3)),IF(ISBLANK(INDEX('register map'!A:A,C456-4)),IF(ISBLANK(INDEX('register map'!A:A,C456-5)),IF(ISBLANK(INDEX('register map'!A:A,C456-6)),IF(ISBLANK(INDEX('register map'!A:A,C456-7)),IF(ISBLANK(INDEX('register map'!A:A,C456-8)),"ERROR",INDEX('register map'!A:A,C456-8)),INDEX('register map'!A:A,C456-7)),INDEX('register map'!A:A,C456-6)),INDEX('register map'!A:A,C456-5)),INDEX('register map'!A:A,C456-4)),INDEX('register map'!A:A,C456-3)),INDEX('register map'!A:A,C456-2)),INDEX('register map'!A:A,C456-1)),INDEX('register map'!A:A,C456))</f>
        <v>0x38</v>
      </c>
      <c r="F456" s="117" t="str">
        <f>IF(ISBLANK(INDEX('register map'!B:B,C456)),IF(ISBLANK(INDEX('register map'!B:B,C456-1)),IF(ISBLANK(INDEX('register map'!B:B,C456-2)),IF(ISBLANK(INDEX('register map'!B:B,C456-3)),IF(ISBLANK(INDEX('register map'!B:B,C456-4)),IF(ISBLANK(INDEX('register map'!B:B,C456-5)),IF(ISBLANK(INDEX('register map'!B:B,C456-6)),IF(ISBLANK(INDEX('register map'!B:B,C456-7)),IF(ISBLANK(INDEX('register map'!B:B,C456-8)),"ERROR",INDEX('register map'!B:B,C456-8)),INDEX('register map'!B:B,C456-7)),INDEX('register map'!B:B,C456-6)),INDEX('register map'!B:B,C456-5)),INDEX('register map'!B:B,C456-4)),INDEX('register map'!B:B,C456-3)),INDEX('register map'!B:B,C456-2)),INDEX('register map'!B:B,C456-1)),INDEX('register map'!B:B,C456))</f>
        <v>0x20</v>
      </c>
      <c r="G456" s="117" t="str">
        <f>CONCATENATE(IF(ISNUMBER(INDEX('register map'!D:D,C456)),7,""),IF(ISNUMBER(INDEX('register map'!E:E,C456)),6,""),IF(ISNUMBER(INDEX('register map'!F:F,C456)),5,""),IF(ISNUMBER(INDEX('register map'!G:G,C456)),4,""),IF(ISNUMBER(INDEX('register map'!H:H,C456)),3,""),IF(ISNUMBER(INDEX('register map'!I:I,C456)),2,""),IF(ISNUMBER(INDEX('register map'!J:J,C456)),1,""),IF(ISNUMBER(INDEX('register map'!K:K,C456)),0,""))</f>
        <v>5</v>
      </c>
      <c r="H456" s="117" t="str">
        <f>RIGHT(INDEX('register map'!V:V,MATCH('Logical Group Generator'!B456,'register map'!L:L,0)),LEN(G456))</f>
        <v>0</v>
      </c>
      <c r="I456" s="117" t="str">
        <f>CONCATENATE(IF(ISNUMBER(INDEX('register map'!K:K,C456)),0,""),IF(ISNUMBER(INDEX('register map'!J:J,C456)),1,""),IF(ISNUMBER(INDEX('register map'!I:I,C456)),2,""),IF(ISNUMBER(INDEX('register map'!H:H,C456)),3,""),IF(ISNUMBER(INDEX('register map'!G:G,C456)),4,""),IF(ISNUMBER(INDEX('register map'!F:F,C456)),5,""),IF(ISNUMBER(INDEX('register map'!E:E,C456)),6,""),IF(ISNUMBER(INDEX('register map'!D:D,C456)),7,""))</f>
        <v>5</v>
      </c>
      <c r="J456" s="117" t="str">
        <f t="shared" si="84"/>
        <v>0</v>
      </c>
      <c r="K456" s="117" t="str">
        <f t="shared" si="77"/>
        <v/>
      </c>
      <c r="L456" s="117" t="str">
        <f t="shared" si="85"/>
        <v/>
      </c>
      <c r="M456" s="117" t="str">
        <f t="shared" si="87"/>
        <v/>
      </c>
      <c r="N456" s="117" t="str">
        <f>IF(ISBLANK(INDEX('register map'!M:M,'Logical Group Generator'!C456)),"No","Yes")</f>
        <v>No</v>
      </c>
      <c r="O456" s="117" t="str">
        <f>IF(NOT(ISBLANK(INDEX('register map'!N:N,'Logical Group Generator'!C456))),"Yes","")</f>
        <v/>
      </c>
      <c r="P456" s="117" t="str">
        <f t="shared" si="78"/>
        <v/>
      </c>
      <c r="Q456" s="117" t="str">
        <f t="shared" si="79"/>
        <v/>
      </c>
      <c r="R456" s="117" t="str">
        <f t="shared" si="80"/>
        <v/>
      </c>
      <c r="S456" s="117" t="str">
        <f t="shared" si="81"/>
        <v>No</v>
      </c>
      <c r="T456" s="117" t="str">
        <f t="shared" si="82"/>
        <v/>
      </c>
      <c r="U456" s="117" t="b">
        <f t="shared" si="86"/>
        <v>0</v>
      </c>
      <c r="V456" s="157" t="b">
        <f>INDEX('register map'!P:P,C456)="yes"</f>
        <v>1</v>
      </c>
      <c r="W456" s="157" t="str">
        <f t="shared" si="83"/>
        <v>FALSE</v>
      </c>
    </row>
    <row r="457" spans="2:23">
      <c r="B457" s="157" t="str">
        <f t="array" ref="B457">IF(ROWS($3:457)&lt;=COUNTA('register map'!$L$5:$L$902),INDEX('register map'!$L$5:$L$902,SMALL(IF('register map'!$L$5:$L$902&lt;&gt;"",ROW('register map'!$L$5:$L$902)-MIN(ROW('register map'!$L$5:$L$902))+1),ROWS($3:457))),"")</f>
        <v>OTP_RSVD_38_20_6</v>
      </c>
      <c r="C457" s="157">
        <f>IF(B457="PART_NUMBER",IF(COUNTIF($B$1:B456,"PART_NUMBER")=0,6,8),MATCH(B457,'register map'!L:L,0))</f>
        <v>561</v>
      </c>
      <c r="D457" s="117" t="str">
        <f>IF(ISBLANK(INDEX('register map'!C:C,'Logical Group Generator'!C457)),"No","Yes")</f>
        <v>No</v>
      </c>
      <c r="E457" s="117" t="str">
        <f>IF(ISBLANK(INDEX('register map'!A:A,C457)),IF(ISBLANK(INDEX('register map'!A:A,C457-1)),IF(ISBLANK(INDEX('register map'!A:A,C457-2)),IF(ISBLANK(INDEX('register map'!A:A,C457-3)),IF(ISBLANK(INDEX('register map'!A:A,C457-4)),IF(ISBLANK(INDEX('register map'!A:A,C457-5)),IF(ISBLANK(INDEX('register map'!A:A,C457-6)),IF(ISBLANK(INDEX('register map'!A:A,C457-7)),IF(ISBLANK(INDEX('register map'!A:A,C457-8)),"ERROR",INDEX('register map'!A:A,C457-8)),INDEX('register map'!A:A,C457-7)),INDEX('register map'!A:A,C457-6)),INDEX('register map'!A:A,C457-5)),INDEX('register map'!A:A,C457-4)),INDEX('register map'!A:A,C457-3)),INDEX('register map'!A:A,C457-2)),INDEX('register map'!A:A,C457-1)),INDEX('register map'!A:A,C457))</f>
        <v>0x38</v>
      </c>
      <c r="F457" s="117" t="str">
        <f>IF(ISBLANK(INDEX('register map'!B:B,C457)),IF(ISBLANK(INDEX('register map'!B:B,C457-1)),IF(ISBLANK(INDEX('register map'!B:B,C457-2)),IF(ISBLANK(INDEX('register map'!B:B,C457-3)),IF(ISBLANK(INDEX('register map'!B:B,C457-4)),IF(ISBLANK(INDEX('register map'!B:B,C457-5)),IF(ISBLANK(INDEX('register map'!B:B,C457-6)),IF(ISBLANK(INDEX('register map'!B:B,C457-7)),IF(ISBLANK(INDEX('register map'!B:B,C457-8)),"ERROR",INDEX('register map'!B:B,C457-8)),INDEX('register map'!B:B,C457-7)),INDEX('register map'!B:B,C457-6)),INDEX('register map'!B:B,C457-5)),INDEX('register map'!B:B,C457-4)),INDEX('register map'!B:B,C457-3)),INDEX('register map'!B:B,C457-2)),INDEX('register map'!B:B,C457-1)),INDEX('register map'!B:B,C457))</f>
        <v>0x20</v>
      </c>
      <c r="G457" s="117" t="str">
        <f>CONCATENATE(IF(ISNUMBER(INDEX('register map'!D:D,C457)),7,""),IF(ISNUMBER(INDEX('register map'!E:E,C457)),6,""),IF(ISNUMBER(INDEX('register map'!F:F,C457)),5,""),IF(ISNUMBER(INDEX('register map'!G:G,C457)),4,""),IF(ISNUMBER(INDEX('register map'!H:H,C457)),3,""),IF(ISNUMBER(INDEX('register map'!I:I,C457)),2,""),IF(ISNUMBER(INDEX('register map'!J:J,C457)),1,""),IF(ISNUMBER(INDEX('register map'!K:K,C457)),0,""))</f>
        <v>6</v>
      </c>
      <c r="H457" s="117" t="str">
        <f>RIGHT(INDEX('register map'!V:V,MATCH('Logical Group Generator'!B457,'register map'!L:L,0)),LEN(G457))</f>
        <v>0</v>
      </c>
      <c r="I457" s="117" t="str">
        <f>CONCATENATE(IF(ISNUMBER(INDEX('register map'!K:K,C457)),0,""),IF(ISNUMBER(INDEX('register map'!J:J,C457)),1,""),IF(ISNUMBER(INDEX('register map'!I:I,C457)),2,""),IF(ISNUMBER(INDEX('register map'!H:H,C457)),3,""),IF(ISNUMBER(INDEX('register map'!G:G,C457)),4,""),IF(ISNUMBER(INDEX('register map'!F:F,C457)),5,""),IF(ISNUMBER(INDEX('register map'!E:E,C457)),6,""),IF(ISNUMBER(INDEX('register map'!D:D,C457)),7,""))</f>
        <v>6</v>
      </c>
      <c r="J457" s="117" t="str">
        <f t="shared" si="84"/>
        <v>0</v>
      </c>
      <c r="K457" s="117" t="str">
        <f t="shared" si="77"/>
        <v/>
      </c>
      <c r="L457" s="117" t="str">
        <f t="shared" si="85"/>
        <v/>
      </c>
      <c r="M457" s="117" t="str">
        <f t="shared" si="87"/>
        <v/>
      </c>
      <c r="N457" s="117" t="str">
        <f>IF(ISBLANK(INDEX('register map'!M:M,'Logical Group Generator'!C457)),"No","Yes")</f>
        <v>No</v>
      </c>
      <c r="O457" s="117" t="str">
        <f>IF(NOT(ISBLANK(INDEX('register map'!N:N,'Logical Group Generator'!C457))),"Yes","")</f>
        <v/>
      </c>
      <c r="P457" s="117" t="str">
        <f t="shared" si="78"/>
        <v/>
      </c>
      <c r="Q457" s="117" t="str">
        <f t="shared" si="79"/>
        <v/>
      </c>
      <c r="R457" s="117" t="str">
        <f t="shared" si="80"/>
        <v/>
      </c>
      <c r="S457" s="117" t="str">
        <f t="shared" si="81"/>
        <v>No</v>
      </c>
      <c r="T457" s="117" t="str">
        <f t="shared" si="82"/>
        <v/>
      </c>
      <c r="U457" s="117" t="b">
        <f t="shared" si="86"/>
        <v>0</v>
      </c>
      <c r="V457" s="157" t="b">
        <f>INDEX('register map'!P:P,C457)="yes"</f>
        <v>1</v>
      </c>
      <c r="W457" s="157" t="str">
        <f t="shared" si="83"/>
        <v>FALSE</v>
      </c>
    </row>
    <row r="458" spans="2:23">
      <c r="B458" s="157" t="str">
        <f t="array" ref="B458">IF(ROWS($3:458)&lt;=COUNTA('register map'!$L$5:$L$902),INDEX('register map'!$L$5:$L$902,SMALL(IF('register map'!$L$5:$L$902&lt;&gt;"",ROW('register map'!$L$5:$L$902)-MIN(ROW('register map'!$L$5:$L$902))+1),ROWS($3:458))),"")</f>
        <v>OTP_RSVD_38_20_7</v>
      </c>
      <c r="C458" s="157">
        <f>IF(B458="PART_NUMBER",IF(COUNTIF($B$1:B457,"PART_NUMBER")=0,6,8),MATCH(B458,'register map'!L:L,0))</f>
        <v>562</v>
      </c>
      <c r="D458" s="117" t="str">
        <f>IF(ISBLANK(INDEX('register map'!C:C,'Logical Group Generator'!C458)),"No","Yes")</f>
        <v>No</v>
      </c>
      <c r="E458" s="117" t="str">
        <f>IF(ISBLANK(INDEX('register map'!A:A,C458)),IF(ISBLANK(INDEX('register map'!A:A,C458-1)),IF(ISBLANK(INDEX('register map'!A:A,C458-2)),IF(ISBLANK(INDEX('register map'!A:A,C458-3)),IF(ISBLANK(INDEX('register map'!A:A,C458-4)),IF(ISBLANK(INDEX('register map'!A:A,C458-5)),IF(ISBLANK(INDEX('register map'!A:A,C458-6)),IF(ISBLANK(INDEX('register map'!A:A,C458-7)),IF(ISBLANK(INDEX('register map'!A:A,C458-8)),"ERROR",INDEX('register map'!A:A,C458-8)),INDEX('register map'!A:A,C458-7)),INDEX('register map'!A:A,C458-6)),INDEX('register map'!A:A,C458-5)),INDEX('register map'!A:A,C458-4)),INDEX('register map'!A:A,C458-3)),INDEX('register map'!A:A,C458-2)),INDEX('register map'!A:A,C458-1)),INDEX('register map'!A:A,C458))</f>
        <v>0x38</v>
      </c>
      <c r="F458" s="117" t="str">
        <f>IF(ISBLANK(INDEX('register map'!B:B,C458)),IF(ISBLANK(INDEX('register map'!B:B,C458-1)),IF(ISBLANK(INDEX('register map'!B:B,C458-2)),IF(ISBLANK(INDEX('register map'!B:B,C458-3)),IF(ISBLANK(INDEX('register map'!B:B,C458-4)),IF(ISBLANK(INDEX('register map'!B:B,C458-5)),IF(ISBLANK(INDEX('register map'!B:B,C458-6)),IF(ISBLANK(INDEX('register map'!B:B,C458-7)),IF(ISBLANK(INDEX('register map'!B:B,C458-8)),"ERROR",INDEX('register map'!B:B,C458-8)),INDEX('register map'!B:B,C458-7)),INDEX('register map'!B:B,C458-6)),INDEX('register map'!B:B,C458-5)),INDEX('register map'!B:B,C458-4)),INDEX('register map'!B:B,C458-3)),INDEX('register map'!B:B,C458-2)),INDEX('register map'!B:B,C458-1)),INDEX('register map'!B:B,C458))</f>
        <v>0x20</v>
      </c>
      <c r="G458" s="117" t="str">
        <f>CONCATENATE(IF(ISNUMBER(INDEX('register map'!D:D,C458)),7,""),IF(ISNUMBER(INDEX('register map'!E:E,C458)),6,""),IF(ISNUMBER(INDEX('register map'!F:F,C458)),5,""),IF(ISNUMBER(INDEX('register map'!G:G,C458)),4,""),IF(ISNUMBER(INDEX('register map'!H:H,C458)),3,""),IF(ISNUMBER(INDEX('register map'!I:I,C458)),2,""),IF(ISNUMBER(INDEX('register map'!J:J,C458)),1,""),IF(ISNUMBER(INDEX('register map'!K:K,C458)),0,""))</f>
        <v>7</v>
      </c>
      <c r="H458" s="117" t="str">
        <f>RIGHT(INDEX('register map'!V:V,MATCH('Logical Group Generator'!B458,'register map'!L:L,0)),LEN(G458))</f>
        <v>0</v>
      </c>
      <c r="I458" s="117" t="str">
        <f>CONCATENATE(IF(ISNUMBER(INDEX('register map'!K:K,C458)),0,""),IF(ISNUMBER(INDEX('register map'!J:J,C458)),1,""),IF(ISNUMBER(INDEX('register map'!I:I,C458)),2,""),IF(ISNUMBER(INDEX('register map'!H:H,C458)),3,""),IF(ISNUMBER(INDEX('register map'!G:G,C458)),4,""),IF(ISNUMBER(INDEX('register map'!F:F,C458)),5,""),IF(ISNUMBER(INDEX('register map'!E:E,C458)),6,""),IF(ISNUMBER(INDEX('register map'!D:D,C458)),7,""))</f>
        <v>7</v>
      </c>
      <c r="J458" s="117" t="str">
        <f t="shared" si="84"/>
        <v>0</v>
      </c>
      <c r="K458" s="117" t="str">
        <f t="shared" si="77"/>
        <v/>
      </c>
      <c r="L458" s="117" t="str">
        <f t="shared" si="85"/>
        <v/>
      </c>
      <c r="M458" s="117" t="str">
        <f t="shared" si="87"/>
        <v/>
      </c>
      <c r="N458" s="117" t="str">
        <f>IF(ISBLANK(INDEX('register map'!M:M,'Logical Group Generator'!C458)),"No","Yes")</f>
        <v>No</v>
      </c>
      <c r="O458" s="117" t="str">
        <f>IF(NOT(ISBLANK(INDEX('register map'!N:N,'Logical Group Generator'!C458))),"Yes","")</f>
        <v/>
      </c>
      <c r="P458" s="117" t="str">
        <f t="shared" si="78"/>
        <v/>
      </c>
      <c r="Q458" s="117" t="str">
        <f t="shared" si="79"/>
        <v/>
      </c>
      <c r="R458" s="117" t="str">
        <f t="shared" si="80"/>
        <v/>
      </c>
      <c r="S458" s="117" t="str">
        <f t="shared" si="81"/>
        <v>No</v>
      </c>
      <c r="T458" s="117" t="str">
        <f t="shared" si="82"/>
        <v/>
      </c>
      <c r="U458" s="117" t="b">
        <f t="shared" si="86"/>
        <v>0</v>
      </c>
      <c r="V458" s="157" t="b">
        <f>INDEX('register map'!P:P,C458)="yes"</f>
        <v>1</v>
      </c>
      <c r="W458" s="157" t="str">
        <f t="shared" si="83"/>
        <v>FALSE</v>
      </c>
    </row>
    <row r="459" spans="2:23">
      <c r="B459" s="157" t="str">
        <f t="array" ref="B459">IF(ROWS($3:459)&lt;=COUNTA('register map'!$L$5:$L$902),INDEX('register map'!$L$5:$L$902,SMALL(IF('register map'!$L$5:$L$902&lt;&gt;"",ROW('register map'!$L$5:$L$902)-MIN(ROW('register map'!$L$5:$L$902))+1),ROWS($3:459))),"")</f>
        <v>LDOA3_CTRL_EN3</v>
      </c>
      <c r="C459" s="157">
        <f>IF(B459="PART_NUMBER",IF(COUNTIF($B$1:B458,"PART_NUMBER")=0,6,8),MATCH(B459,'register map'!L:L,0))</f>
        <v>563</v>
      </c>
      <c r="D459" s="117" t="str">
        <f>IF(ISBLANK(INDEX('register map'!C:C,'Logical Group Generator'!C459)),"No","Yes")</f>
        <v>Yes</v>
      </c>
      <c r="E459" s="117" t="str">
        <f>IF(ISBLANK(INDEX('register map'!A:A,C459)),IF(ISBLANK(INDEX('register map'!A:A,C459-1)),IF(ISBLANK(INDEX('register map'!A:A,C459-2)),IF(ISBLANK(INDEX('register map'!A:A,C459-3)),IF(ISBLANK(INDEX('register map'!A:A,C459-4)),IF(ISBLANK(INDEX('register map'!A:A,C459-5)),IF(ISBLANK(INDEX('register map'!A:A,C459-6)),IF(ISBLANK(INDEX('register map'!A:A,C459-7)),IF(ISBLANK(INDEX('register map'!A:A,C459-8)),"ERROR",INDEX('register map'!A:A,C459-8)),INDEX('register map'!A:A,C459-7)),INDEX('register map'!A:A,C459-6)),INDEX('register map'!A:A,C459-5)),INDEX('register map'!A:A,C459-4)),INDEX('register map'!A:A,C459-3)),INDEX('register map'!A:A,C459-2)),INDEX('register map'!A:A,C459-1)),INDEX('register map'!A:A,C459))</f>
        <v>0x38</v>
      </c>
      <c r="F459" s="117" t="str">
        <f>IF(ISBLANK(INDEX('register map'!B:B,C459)),IF(ISBLANK(INDEX('register map'!B:B,C459-1)),IF(ISBLANK(INDEX('register map'!B:B,C459-2)),IF(ISBLANK(INDEX('register map'!B:B,C459-3)),IF(ISBLANK(INDEX('register map'!B:B,C459-4)),IF(ISBLANK(INDEX('register map'!B:B,C459-5)),IF(ISBLANK(INDEX('register map'!B:B,C459-6)),IF(ISBLANK(INDEX('register map'!B:B,C459-7)),IF(ISBLANK(INDEX('register map'!B:B,C459-8)),"ERROR",INDEX('register map'!B:B,C459-8)),INDEX('register map'!B:B,C459-7)),INDEX('register map'!B:B,C459-6)),INDEX('register map'!B:B,C459-5)),INDEX('register map'!B:B,C459-4)),INDEX('register map'!B:B,C459-3)),INDEX('register map'!B:B,C459-2)),INDEX('register map'!B:B,C459-1)),INDEX('register map'!B:B,C459))</f>
        <v>0x21</v>
      </c>
      <c r="G459" s="117" t="str">
        <f>CONCATENATE(IF(ISNUMBER(INDEX('register map'!D:D,C459)),7,""),IF(ISNUMBER(INDEX('register map'!E:E,C459)),6,""),IF(ISNUMBER(INDEX('register map'!F:F,C459)),5,""),IF(ISNUMBER(INDEX('register map'!G:G,C459)),4,""),IF(ISNUMBER(INDEX('register map'!H:H,C459)),3,""),IF(ISNUMBER(INDEX('register map'!I:I,C459)),2,""),IF(ISNUMBER(INDEX('register map'!J:J,C459)),1,""),IF(ISNUMBER(INDEX('register map'!K:K,C459)),0,""))</f>
        <v/>
      </c>
      <c r="H459" s="117" t="str">
        <f>RIGHT(INDEX('register map'!V:V,MATCH('Logical Group Generator'!B459,'register map'!L:L,0)),LEN(G459))</f>
        <v/>
      </c>
      <c r="I459" s="117" t="str">
        <f>CONCATENATE(IF(ISNUMBER(INDEX('register map'!K:K,C459)),0,""),IF(ISNUMBER(INDEX('register map'!J:J,C459)),1,""),IF(ISNUMBER(INDEX('register map'!I:I,C459)),2,""),IF(ISNUMBER(INDEX('register map'!H:H,C459)),3,""),IF(ISNUMBER(INDEX('register map'!G:G,C459)),4,""),IF(ISNUMBER(INDEX('register map'!F:F,C459)),5,""),IF(ISNUMBER(INDEX('register map'!E:E,C459)),6,""),IF(ISNUMBER(INDEX('register map'!D:D,C459)),7,""))</f>
        <v/>
      </c>
      <c r="J459" s="117" t="str">
        <f t="shared" si="84"/>
        <v/>
      </c>
      <c r="K459" s="117" t="str">
        <f t="shared" si="77"/>
        <v>00100110</v>
      </c>
      <c r="L459" s="117" t="str">
        <f t="shared" si="85"/>
        <v>01100100</v>
      </c>
      <c r="M459" s="117" t="str">
        <f t="shared" si="87"/>
        <v>64</v>
      </c>
      <c r="N459" s="117" t="str">
        <f>IF(ISBLANK(INDEX('register map'!M:M,'Logical Group Generator'!C459)),"No","Yes")</f>
        <v>No</v>
      </c>
      <c r="O459" s="117" t="str">
        <f>IF(NOT(ISBLANK(INDEX('register map'!N:N,'Logical Group Generator'!C459))),"Yes","")</f>
        <v/>
      </c>
      <c r="P459" s="117" t="str">
        <f t="shared" si="78"/>
        <v>No</v>
      </c>
      <c r="Q459" s="117" t="str">
        <f t="shared" si="79"/>
        <v>No</v>
      </c>
      <c r="R459" s="117" t="str">
        <f t="shared" si="80"/>
        <v>No</v>
      </c>
      <c r="S459" s="117" t="str">
        <f t="shared" si="81"/>
        <v/>
      </c>
      <c r="T459" s="117" t="b">
        <f t="shared" si="82"/>
        <v>1</v>
      </c>
      <c r="U459" s="117" t="b">
        <f t="shared" si="86"/>
        <v>1</v>
      </c>
      <c r="V459" s="157" t="b">
        <f>INDEX('register map'!P:P,C459)="yes"</f>
        <v>1</v>
      </c>
      <c r="W459" s="157" t="str">
        <f t="shared" si="83"/>
        <v>REGISTER</v>
      </c>
    </row>
    <row r="460" spans="2:23">
      <c r="B460" s="157" t="str">
        <f t="array" ref="B460">IF(ROWS($3:460)&lt;=COUNTA('register map'!$L$5:$L$902),INDEX('register map'!$L$5:$L$902,SMALL(IF('register map'!$L$5:$L$902&lt;&gt;"",ROW('register map'!$L$5:$L$902)-MIN(ROW('register map'!$L$5:$L$902))+1),ROWS($3:460))),"")</f>
        <v>OTP_RSVD_38_21_210</v>
      </c>
      <c r="C460" s="157">
        <f>IF(B460="PART_NUMBER",IF(COUNTIF($B$1:B459,"PART_NUMBER")=0,6,8),MATCH(B460,'register map'!L:L,0))</f>
        <v>564</v>
      </c>
      <c r="D460" s="117" t="str">
        <f>IF(ISBLANK(INDEX('register map'!C:C,'Logical Group Generator'!C460)),"No","Yes")</f>
        <v>No</v>
      </c>
      <c r="E460" s="117" t="str">
        <f>IF(ISBLANK(INDEX('register map'!A:A,C460)),IF(ISBLANK(INDEX('register map'!A:A,C460-1)),IF(ISBLANK(INDEX('register map'!A:A,C460-2)),IF(ISBLANK(INDEX('register map'!A:A,C460-3)),IF(ISBLANK(INDEX('register map'!A:A,C460-4)),IF(ISBLANK(INDEX('register map'!A:A,C460-5)),IF(ISBLANK(INDEX('register map'!A:A,C460-6)),IF(ISBLANK(INDEX('register map'!A:A,C460-7)),IF(ISBLANK(INDEX('register map'!A:A,C460-8)),"ERROR",INDEX('register map'!A:A,C460-8)),INDEX('register map'!A:A,C460-7)),INDEX('register map'!A:A,C460-6)),INDEX('register map'!A:A,C460-5)),INDEX('register map'!A:A,C460-4)),INDEX('register map'!A:A,C460-3)),INDEX('register map'!A:A,C460-2)),INDEX('register map'!A:A,C460-1)),INDEX('register map'!A:A,C460))</f>
        <v>0x38</v>
      </c>
      <c r="F460" s="117" t="str">
        <f>IF(ISBLANK(INDEX('register map'!B:B,C460)),IF(ISBLANK(INDEX('register map'!B:B,C460-1)),IF(ISBLANK(INDEX('register map'!B:B,C460-2)),IF(ISBLANK(INDEX('register map'!B:B,C460-3)),IF(ISBLANK(INDEX('register map'!B:B,C460-4)),IF(ISBLANK(INDEX('register map'!B:B,C460-5)),IF(ISBLANK(INDEX('register map'!B:B,C460-6)),IF(ISBLANK(INDEX('register map'!B:B,C460-7)),IF(ISBLANK(INDEX('register map'!B:B,C460-8)),"ERROR",INDEX('register map'!B:B,C460-8)),INDEX('register map'!B:B,C460-7)),INDEX('register map'!B:B,C460-6)),INDEX('register map'!B:B,C460-5)),INDEX('register map'!B:B,C460-4)),INDEX('register map'!B:B,C460-3)),INDEX('register map'!B:B,C460-2)),INDEX('register map'!B:B,C460-1)),INDEX('register map'!B:B,C460))</f>
        <v>0x21</v>
      </c>
      <c r="G460" s="117" t="str">
        <f>CONCATENATE(IF(ISNUMBER(INDEX('register map'!D:D,C460)),7,""),IF(ISNUMBER(INDEX('register map'!E:E,C460)),6,""),IF(ISNUMBER(INDEX('register map'!F:F,C460)),5,""),IF(ISNUMBER(INDEX('register map'!G:G,C460)),4,""),IF(ISNUMBER(INDEX('register map'!H:H,C460)),3,""),IF(ISNUMBER(INDEX('register map'!I:I,C460)),2,""),IF(ISNUMBER(INDEX('register map'!J:J,C460)),1,""),IF(ISNUMBER(INDEX('register map'!K:K,C460)),0,""))</f>
        <v>210</v>
      </c>
      <c r="H460" s="117" t="str">
        <f>RIGHT(INDEX('register map'!V:V,MATCH('Logical Group Generator'!B460,'register map'!L:L,0)),LEN(G460))</f>
        <v>100</v>
      </c>
      <c r="I460" s="117" t="str">
        <f>CONCATENATE(IF(ISNUMBER(INDEX('register map'!K:K,C460)),0,""),IF(ISNUMBER(INDEX('register map'!J:J,C460)),1,""),IF(ISNUMBER(INDEX('register map'!I:I,C460)),2,""),IF(ISNUMBER(INDEX('register map'!H:H,C460)),3,""),IF(ISNUMBER(INDEX('register map'!G:G,C460)),4,""),IF(ISNUMBER(INDEX('register map'!F:F,C460)),5,""),IF(ISNUMBER(INDEX('register map'!E:E,C460)),6,""),IF(ISNUMBER(INDEX('register map'!D:D,C460)),7,""))</f>
        <v>012</v>
      </c>
      <c r="J460" s="117" t="str">
        <f t="shared" si="84"/>
        <v>001</v>
      </c>
      <c r="K460" s="117" t="str">
        <f t="shared" si="77"/>
        <v/>
      </c>
      <c r="L460" s="117" t="str">
        <f t="shared" si="85"/>
        <v/>
      </c>
      <c r="M460" s="117" t="str">
        <f t="shared" si="87"/>
        <v/>
      </c>
      <c r="N460" s="117" t="str">
        <f>IF(ISBLANK(INDEX('register map'!M:M,'Logical Group Generator'!C460)),"No","Yes")</f>
        <v>No</v>
      </c>
      <c r="O460" s="117" t="str">
        <f>IF(NOT(ISBLANK(INDEX('register map'!N:N,'Logical Group Generator'!C460))),"Yes","")</f>
        <v/>
      </c>
      <c r="P460" s="117" t="str">
        <f t="shared" si="78"/>
        <v/>
      </c>
      <c r="Q460" s="117" t="str">
        <f t="shared" si="79"/>
        <v/>
      </c>
      <c r="R460" s="117" t="str">
        <f t="shared" si="80"/>
        <v/>
      </c>
      <c r="S460" s="117" t="str">
        <f t="shared" si="81"/>
        <v>No</v>
      </c>
      <c r="T460" s="117" t="str">
        <f t="shared" si="82"/>
        <v/>
      </c>
      <c r="U460" s="117" t="b">
        <f t="shared" si="86"/>
        <v>0</v>
      </c>
      <c r="V460" s="157" t="b">
        <f>INDEX('register map'!P:P,C460)="yes"</f>
        <v>1</v>
      </c>
      <c r="W460" s="157" t="str">
        <f t="shared" si="83"/>
        <v>FALSE</v>
      </c>
    </row>
    <row r="461" spans="2:23">
      <c r="B461" s="157" t="str">
        <f t="array" ref="B461">IF(ROWS($3:461)&lt;=COUNTA('register map'!$L$5:$L$902),INDEX('register map'!$L$5:$L$902,SMALL(IF('register map'!$L$5:$L$902&lt;&gt;"",ROW('register map'!$L$5:$L$902)-MIN(ROW('register map'!$L$5:$L$902))+1),ROWS($3:461))),"")</f>
        <v>OTP_RSVD_38_21_543</v>
      </c>
      <c r="C461" s="157">
        <f>IF(B461="PART_NUMBER",IF(COUNTIF($B$1:B460,"PART_NUMBER")=0,6,8),MATCH(B461,'register map'!L:L,0))</f>
        <v>565</v>
      </c>
      <c r="D461" s="117" t="str">
        <f>IF(ISBLANK(INDEX('register map'!C:C,'Logical Group Generator'!C461)),"No","Yes")</f>
        <v>No</v>
      </c>
      <c r="E461" s="117" t="str">
        <f>IF(ISBLANK(INDEX('register map'!A:A,C461)),IF(ISBLANK(INDEX('register map'!A:A,C461-1)),IF(ISBLANK(INDEX('register map'!A:A,C461-2)),IF(ISBLANK(INDEX('register map'!A:A,C461-3)),IF(ISBLANK(INDEX('register map'!A:A,C461-4)),IF(ISBLANK(INDEX('register map'!A:A,C461-5)),IF(ISBLANK(INDEX('register map'!A:A,C461-6)),IF(ISBLANK(INDEX('register map'!A:A,C461-7)),IF(ISBLANK(INDEX('register map'!A:A,C461-8)),"ERROR",INDEX('register map'!A:A,C461-8)),INDEX('register map'!A:A,C461-7)),INDEX('register map'!A:A,C461-6)),INDEX('register map'!A:A,C461-5)),INDEX('register map'!A:A,C461-4)),INDEX('register map'!A:A,C461-3)),INDEX('register map'!A:A,C461-2)),INDEX('register map'!A:A,C461-1)),INDEX('register map'!A:A,C461))</f>
        <v>0x38</v>
      </c>
      <c r="F461" s="117" t="str">
        <f>IF(ISBLANK(INDEX('register map'!B:B,C461)),IF(ISBLANK(INDEX('register map'!B:B,C461-1)),IF(ISBLANK(INDEX('register map'!B:B,C461-2)),IF(ISBLANK(INDEX('register map'!B:B,C461-3)),IF(ISBLANK(INDEX('register map'!B:B,C461-4)),IF(ISBLANK(INDEX('register map'!B:B,C461-5)),IF(ISBLANK(INDEX('register map'!B:B,C461-6)),IF(ISBLANK(INDEX('register map'!B:B,C461-7)),IF(ISBLANK(INDEX('register map'!B:B,C461-8)),"ERROR",INDEX('register map'!B:B,C461-8)),INDEX('register map'!B:B,C461-7)),INDEX('register map'!B:B,C461-6)),INDEX('register map'!B:B,C461-5)),INDEX('register map'!B:B,C461-4)),INDEX('register map'!B:B,C461-3)),INDEX('register map'!B:B,C461-2)),INDEX('register map'!B:B,C461-1)),INDEX('register map'!B:B,C461))</f>
        <v>0x21</v>
      </c>
      <c r="G461" s="117" t="str">
        <f>CONCATENATE(IF(ISNUMBER(INDEX('register map'!D:D,C461)),7,""),IF(ISNUMBER(INDEX('register map'!E:E,C461)),6,""),IF(ISNUMBER(INDEX('register map'!F:F,C461)),5,""),IF(ISNUMBER(INDEX('register map'!G:G,C461)),4,""),IF(ISNUMBER(INDEX('register map'!H:H,C461)),3,""),IF(ISNUMBER(INDEX('register map'!I:I,C461)),2,""),IF(ISNUMBER(INDEX('register map'!J:J,C461)),1,""),IF(ISNUMBER(INDEX('register map'!K:K,C461)),0,""))</f>
        <v>543</v>
      </c>
      <c r="H461" s="117" t="str">
        <f>RIGHT(INDEX('register map'!V:V,MATCH('Logical Group Generator'!B461,'register map'!L:L,0)),LEN(G461))</f>
        <v>100</v>
      </c>
      <c r="I461" s="117" t="str">
        <f>CONCATENATE(IF(ISNUMBER(INDEX('register map'!K:K,C461)),0,""),IF(ISNUMBER(INDEX('register map'!J:J,C461)),1,""),IF(ISNUMBER(INDEX('register map'!I:I,C461)),2,""),IF(ISNUMBER(INDEX('register map'!H:H,C461)),3,""),IF(ISNUMBER(INDEX('register map'!G:G,C461)),4,""),IF(ISNUMBER(INDEX('register map'!F:F,C461)),5,""),IF(ISNUMBER(INDEX('register map'!E:E,C461)),6,""),IF(ISNUMBER(INDEX('register map'!D:D,C461)),7,""))</f>
        <v>345</v>
      </c>
      <c r="J461" s="117" t="str">
        <f t="shared" si="84"/>
        <v>001</v>
      </c>
      <c r="K461" s="117" t="str">
        <f t="shared" si="77"/>
        <v/>
      </c>
      <c r="L461" s="117" t="str">
        <f t="shared" si="85"/>
        <v/>
      </c>
      <c r="M461" s="117" t="str">
        <f t="shared" si="87"/>
        <v/>
      </c>
      <c r="N461" s="117" t="str">
        <f>IF(ISBLANK(INDEX('register map'!M:M,'Logical Group Generator'!C461)),"No","Yes")</f>
        <v>No</v>
      </c>
      <c r="O461" s="117" t="str">
        <f>IF(NOT(ISBLANK(INDEX('register map'!N:N,'Logical Group Generator'!C461))),"Yes","")</f>
        <v/>
      </c>
      <c r="P461" s="117" t="str">
        <f t="shared" si="78"/>
        <v/>
      </c>
      <c r="Q461" s="117" t="str">
        <f t="shared" si="79"/>
        <v/>
      </c>
      <c r="R461" s="117" t="str">
        <f t="shared" si="80"/>
        <v/>
      </c>
      <c r="S461" s="117" t="str">
        <f t="shared" si="81"/>
        <v>No</v>
      </c>
      <c r="T461" s="117" t="str">
        <f t="shared" si="82"/>
        <v/>
      </c>
      <c r="U461" s="117" t="b">
        <f t="shared" si="86"/>
        <v>0</v>
      </c>
      <c r="V461" s="157" t="b">
        <f>INDEX('register map'!P:P,C461)="yes"</f>
        <v>1</v>
      </c>
      <c r="W461" s="157" t="str">
        <f t="shared" si="83"/>
        <v>FALSE</v>
      </c>
    </row>
    <row r="462" spans="2:23">
      <c r="B462" s="157" t="str">
        <f t="array" ref="B462">IF(ROWS($3:462)&lt;=COUNTA('register map'!$L$5:$L$902),INDEX('register map'!$L$5:$L$902,SMALL(IF('register map'!$L$5:$L$902&lt;&gt;"",ROW('register map'!$L$5:$L$902)-MIN(ROW('register map'!$L$5:$L$902))+1),ROWS($3:462))),"")</f>
        <v>OTP_RSVD_38_21_6</v>
      </c>
      <c r="C462" s="157">
        <f>IF(B462="PART_NUMBER",IF(COUNTIF($B$1:B461,"PART_NUMBER")=0,6,8),MATCH(B462,'register map'!L:L,0))</f>
        <v>566</v>
      </c>
      <c r="D462" s="117" t="str">
        <f>IF(ISBLANK(INDEX('register map'!C:C,'Logical Group Generator'!C462)),"No","Yes")</f>
        <v>No</v>
      </c>
      <c r="E462" s="117" t="str">
        <f>IF(ISBLANK(INDEX('register map'!A:A,C462)),IF(ISBLANK(INDEX('register map'!A:A,C462-1)),IF(ISBLANK(INDEX('register map'!A:A,C462-2)),IF(ISBLANK(INDEX('register map'!A:A,C462-3)),IF(ISBLANK(INDEX('register map'!A:A,C462-4)),IF(ISBLANK(INDEX('register map'!A:A,C462-5)),IF(ISBLANK(INDEX('register map'!A:A,C462-6)),IF(ISBLANK(INDEX('register map'!A:A,C462-7)),IF(ISBLANK(INDEX('register map'!A:A,C462-8)),"ERROR",INDEX('register map'!A:A,C462-8)),INDEX('register map'!A:A,C462-7)),INDEX('register map'!A:A,C462-6)),INDEX('register map'!A:A,C462-5)),INDEX('register map'!A:A,C462-4)),INDEX('register map'!A:A,C462-3)),INDEX('register map'!A:A,C462-2)),INDEX('register map'!A:A,C462-1)),INDEX('register map'!A:A,C462))</f>
        <v>0x38</v>
      </c>
      <c r="F462" s="117" t="str">
        <f>IF(ISBLANK(INDEX('register map'!B:B,C462)),IF(ISBLANK(INDEX('register map'!B:B,C462-1)),IF(ISBLANK(INDEX('register map'!B:B,C462-2)),IF(ISBLANK(INDEX('register map'!B:B,C462-3)),IF(ISBLANK(INDEX('register map'!B:B,C462-4)),IF(ISBLANK(INDEX('register map'!B:B,C462-5)),IF(ISBLANK(INDEX('register map'!B:B,C462-6)),IF(ISBLANK(INDEX('register map'!B:B,C462-7)),IF(ISBLANK(INDEX('register map'!B:B,C462-8)),"ERROR",INDEX('register map'!B:B,C462-8)),INDEX('register map'!B:B,C462-7)),INDEX('register map'!B:B,C462-6)),INDEX('register map'!B:B,C462-5)),INDEX('register map'!B:B,C462-4)),INDEX('register map'!B:B,C462-3)),INDEX('register map'!B:B,C462-2)),INDEX('register map'!B:B,C462-1)),INDEX('register map'!B:B,C462))</f>
        <v>0x21</v>
      </c>
      <c r="G462" s="117" t="str">
        <f>CONCATENATE(IF(ISNUMBER(INDEX('register map'!D:D,C462)),7,""),IF(ISNUMBER(INDEX('register map'!E:E,C462)),6,""),IF(ISNUMBER(INDEX('register map'!F:F,C462)),5,""),IF(ISNUMBER(INDEX('register map'!G:G,C462)),4,""),IF(ISNUMBER(INDEX('register map'!H:H,C462)),3,""),IF(ISNUMBER(INDEX('register map'!I:I,C462)),2,""),IF(ISNUMBER(INDEX('register map'!J:J,C462)),1,""),IF(ISNUMBER(INDEX('register map'!K:K,C462)),0,""))</f>
        <v>6</v>
      </c>
      <c r="H462" s="117" t="str">
        <f>RIGHT(INDEX('register map'!V:V,MATCH('Logical Group Generator'!B462,'register map'!L:L,0)),LEN(G462))</f>
        <v>1</v>
      </c>
      <c r="I462" s="117" t="str">
        <f>CONCATENATE(IF(ISNUMBER(INDEX('register map'!K:K,C462)),0,""),IF(ISNUMBER(INDEX('register map'!J:J,C462)),1,""),IF(ISNUMBER(INDEX('register map'!I:I,C462)),2,""),IF(ISNUMBER(INDEX('register map'!H:H,C462)),3,""),IF(ISNUMBER(INDEX('register map'!G:G,C462)),4,""),IF(ISNUMBER(INDEX('register map'!F:F,C462)),5,""),IF(ISNUMBER(INDEX('register map'!E:E,C462)),6,""),IF(ISNUMBER(INDEX('register map'!D:D,C462)),7,""))</f>
        <v>6</v>
      </c>
      <c r="J462" s="117" t="str">
        <f t="shared" si="84"/>
        <v>1</v>
      </c>
      <c r="K462" s="117" t="str">
        <f t="shared" si="77"/>
        <v/>
      </c>
      <c r="L462" s="117" t="str">
        <f t="shared" si="85"/>
        <v/>
      </c>
      <c r="M462" s="117" t="str">
        <f t="shared" si="87"/>
        <v/>
      </c>
      <c r="N462" s="117" t="str">
        <f>IF(ISBLANK(INDEX('register map'!M:M,'Logical Group Generator'!C462)),"No","Yes")</f>
        <v>No</v>
      </c>
      <c r="O462" s="117" t="str">
        <f>IF(NOT(ISBLANK(INDEX('register map'!N:N,'Logical Group Generator'!C462))),"Yes","")</f>
        <v/>
      </c>
      <c r="P462" s="117" t="str">
        <f t="shared" si="78"/>
        <v/>
      </c>
      <c r="Q462" s="117" t="str">
        <f t="shared" si="79"/>
        <v/>
      </c>
      <c r="R462" s="117" t="str">
        <f t="shared" si="80"/>
        <v/>
      </c>
      <c r="S462" s="117" t="str">
        <f t="shared" si="81"/>
        <v>No</v>
      </c>
      <c r="T462" s="117" t="str">
        <f t="shared" si="82"/>
        <v/>
      </c>
      <c r="U462" s="117" t="b">
        <f t="shared" si="86"/>
        <v>0</v>
      </c>
      <c r="V462" s="157" t="b">
        <f>INDEX('register map'!P:P,C462)="yes"</f>
        <v>1</v>
      </c>
      <c r="W462" s="157" t="str">
        <f t="shared" si="83"/>
        <v>FALSE</v>
      </c>
    </row>
    <row r="463" spans="2:23">
      <c r="B463" s="157" t="str">
        <f t="array" ref="B463">IF(ROWS($3:463)&lt;=COUNTA('register map'!$L$5:$L$902),INDEX('register map'!$L$5:$L$902,SMALL(IF('register map'!$L$5:$L$902&lt;&gt;"",ROW('register map'!$L$5:$L$902)-MIN(ROW('register map'!$L$5:$L$902))+1),ROWS($3:463))),"")</f>
        <v>OTP_RSVD_38_21_7</v>
      </c>
      <c r="C463" s="157">
        <f>IF(B463="PART_NUMBER",IF(COUNTIF($B$1:B462,"PART_NUMBER")=0,6,8),MATCH(B463,'register map'!L:L,0))</f>
        <v>567</v>
      </c>
      <c r="D463" s="117" t="str">
        <f>IF(ISBLANK(INDEX('register map'!C:C,'Logical Group Generator'!C463)),"No","Yes")</f>
        <v>No</v>
      </c>
      <c r="E463" s="117" t="str">
        <f>IF(ISBLANK(INDEX('register map'!A:A,C463)),IF(ISBLANK(INDEX('register map'!A:A,C463-1)),IF(ISBLANK(INDEX('register map'!A:A,C463-2)),IF(ISBLANK(INDEX('register map'!A:A,C463-3)),IF(ISBLANK(INDEX('register map'!A:A,C463-4)),IF(ISBLANK(INDEX('register map'!A:A,C463-5)),IF(ISBLANK(INDEX('register map'!A:A,C463-6)),IF(ISBLANK(INDEX('register map'!A:A,C463-7)),IF(ISBLANK(INDEX('register map'!A:A,C463-8)),"ERROR",INDEX('register map'!A:A,C463-8)),INDEX('register map'!A:A,C463-7)),INDEX('register map'!A:A,C463-6)),INDEX('register map'!A:A,C463-5)),INDEX('register map'!A:A,C463-4)),INDEX('register map'!A:A,C463-3)),INDEX('register map'!A:A,C463-2)),INDEX('register map'!A:A,C463-1)),INDEX('register map'!A:A,C463))</f>
        <v>0x38</v>
      </c>
      <c r="F463" s="117" t="str">
        <f>IF(ISBLANK(INDEX('register map'!B:B,C463)),IF(ISBLANK(INDEX('register map'!B:B,C463-1)),IF(ISBLANK(INDEX('register map'!B:B,C463-2)),IF(ISBLANK(INDEX('register map'!B:B,C463-3)),IF(ISBLANK(INDEX('register map'!B:B,C463-4)),IF(ISBLANK(INDEX('register map'!B:B,C463-5)),IF(ISBLANK(INDEX('register map'!B:B,C463-6)),IF(ISBLANK(INDEX('register map'!B:B,C463-7)),IF(ISBLANK(INDEX('register map'!B:B,C463-8)),"ERROR",INDEX('register map'!B:B,C463-8)),INDEX('register map'!B:B,C463-7)),INDEX('register map'!B:B,C463-6)),INDEX('register map'!B:B,C463-5)),INDEX('register map'!B:B,C463-4)),INDEX('register map'!B:B,C463-3)),INDEX('register map'!B:B,C463-2)),INDEX('register map'!B:B,C463-1)),INDEX('register map'!B:B,C463))</f>
        <v>0x21</v>
      </c>
      <c r="G463" s="117" t="str">
        <f>CONCATENATE(IF(ISNUMBER(INDEX('register map'!D:D,C463)),7,""),IF(ISNUMBER(INDEX('register map'!E:E,C463)),6,""),IF(ISNUMBER(INDEX('register map'!F:F,C463)),5,""),IF(ISNUMBER(INDEX('register map'!G:G,C463)),4,""),IF(ISNUMBER(INDEX('register map'!H:H,C463)),3,""),IF(ISNUMBER(INDEX('register map'!I:I,C463)),2,""),IF(ISNUMBER(INDEX('register map'!J:J,C463)),1,""),IF(ISNUMBER(INDEX('register map'!K:K,C463)),0,""))</f>
        <v>7</v>
      </c>
      <c r="H463" s="117" t="str">
        <f>RIGHT(INDEX('register map'!V:V,MATCH('Logical Group Generator'!B463,'register map'!L:L,0)),LEN(G463))</f>
        <v>0</v>
      </c>
      <c r="I463" s="117" t="str">
        <f>CONCATENATE(IF(ISNUMBER(INDEX('register map'!K:K,C463)),0,""),IF(ISNUMBER(INDEX('register map'!J:J,C463)),1,""),IF(ISNUMBER(INDEX('register map'!I:I,C463)),2,""),IF(ISNUMBER(INDEX('register map'!H:H,C463)),3,""),IF(ISNUMBER(INDEX('register map'!G:G,C463)),4,""),IF(ISNUMBER(INDEX('register map'!F:F,C463)),5,""),IF(ISNUMBER(INDEX('register map'!E:E,C463)),6,""),IF(ISNUMBER(INDEX('register map'!D:D,C463)),7,""))</f>
        <v>7</v>
      </c>
      <c r="J463" s="117" t="str">
        <f t="shared" si="84"/>
        <v>0</v>
      </c>
      <c r="K463" s="117" t="str">
        <f t="shared" si="77"/>
        <v/>
      </c>
      <c r="L463" s="117" t="str">
        <f t="shared" si="85"/>
        <v/>
      </c>
      <c r="M463" s="117" t="str">
        <f t="shared" si="87"/>
        <v/>
      </c>
      <c r="N463" s="117" t="str">
        <f>IF(ISBLANK(INDEX('register map'!M:M,'Logical Group Generator'!C463)),"No","Yes")</f>
        <v>No</v>
      </c>
      <c r="O463" s="117" t="str">
        <f>IF(NOT(ISBLANK(INDEX('register map'!N:N,'Logical Group Generator'!C463))),"Yes","")</f>
        <v/>
      </c>
      <c r="P463" s="117" t="str">
        <f t="shared" si="78"/>
        <v/>
      </c>
      <c r="Q463" s="117" t="str">
        <f t="shared" si="79"/>
        <v/>
      </c>
      <c r="R463" s="117" t="str">
        <f t="shared" si="80"/>
        <v/>
      </c>
      <c r="S463" s="117" t="str">
        <f t="shared" si="81"/>
        <v>No</v>
      </c>
      <c r="T463" s="117" t="str">
        <f t="shared" si="82"/>
        <v/>
      </c>
      <c r="U463" s="117" t="b">
        <f t="shared" si="86"/>
        <v>0</v>
      </c>
      <c r="V463" s="157" t="b">
        <f>INDEX('register map'!P:P,C463)="yes"</f>
        <v>1</v>
      </c>
      <c r="W463" s="157" t="str">
        <f t="shared" si="83"/>
        <v>FALSE</v>
      </c>
    </row>
    <row r="464" spans="2:23">
      <c r="B464" s="157" t="str">
        <f t="array" ref="B464">IF(ROWS($3:464)&lt;=COUNTA('register map'!$L$5:$L$902),INDEX('register map'!$L$5:$L$902,SMALL(IF('register map'!$L$5:$L$902&lt;&gt;"",ROW('register map'!$L$5:$L$902)-MIN(ROW('register map'!$L$5:$L$902))+1),ROWS($3:464))),"")</f>
        <v>SWB1_CTRL_EN1</v>
      </c>
      <c r="C464" s="157">
        <f>IF(B464="PART_NUMBER",IF(COUNTIF($B$1:B463,"PART_NUMBER")=0,6,8),MATCH(B464,'register map'!L:L,0))</f>
        <v>568</v>
      </c>
      <c r="D464" s="117" t="str">
        <f>IF(ISBLANK(INDEX('register map'!C:C,'Logical Group Generator'!C464)),"No","Yes")</f>
        <v>Yes</v>
      </c>
      <c r="E464" s="117" t="str">
        <f>IF(ISBLANK(INDEX('register map'!A:A,C464)),IF(ISBLANK(INDEX('register map'!A:A,C464-1)),IF(ISBLANK(INDEX('register map'!A:A,C464-2)),IF(ISBLANK(INDEX('register map'!A:A,C464-3)),IF(ISBLANK(INDEX('register map'!A:A,C464-4)),IF(ISBLANK(INDEX('register map'!A:A,C464-5)),IF(ISBLANK(INDEX('register map'!A:A,C464-6)),IF(ISBLANK(INDEX('register map'!A:A,C464-7)),IF(ISBLANK(INDEX('register map'!A:A,C464-8)),"ERROR",INDEX('register map'!A:A,C464-8)),INDEX('register map'!A:A,C464-7)),INDEX('register map'!A:A,C464-6)),INDEX('register map'!A:A,C464-5)),INDEX('register map'!A:A,C464-4)),INDEX('register map'!A:A,C464-3)),INDEX('register map'!A:A,C464-2)),INDEX('register map'!A:A,C464-1)),INDEX('register map'!A:A,C464))</f>
        <v>0x38</v>
      </c>
      <c r="F464" s="117" t="str">
        <f>IF(ISBLANK(INDEX('register map'!B:B,C464)),IF(ISBLANK(INDEX('register map'!B:B,C464-1)),IF(ISBLANK(INDEX('register map'!B:B,C464-2)),IF(ISBLANK(INDEX('register map'!B:B,C464-3)),IF(ISBLANK(INDEX('register map'!B:B,C464-4)),IF(ISBLANK(INDEX('register map'!B:B,C464-5)),IF(ISBLANK(INDEX('register map'!B:B,C464-6)),IF(ISBLANK(INDEX('register map'!B:B,C464-7)),IF(ISBLANK(INDEX('register map'!B:B,C464-8)),"ERROR",INDEX('register map'!B:B,C464-8)),INDEX('register map'!B:B,C464-7)),INDEX('register map'!B:B,C464-6)),INDEX('register map'!B:B,C464-5)),INDEX('register map'!B:B,C464-4)),INDEX('register map'!B:B,C464-3)),INDEX('register map'!B:B,C464-2)),INDEX('register map'!B:B,C464-1)),INDEX('register map'!B:B,C464))</f>
        <v>0x22</v>
      </c>
      <c r="G464" s="117" t="str">
        <f>CONCATENATE(IF(ISNUMBER(INDEX('register map'!D:D,C464)),7,""),IF(ISNUMBER(INDEX('register map'!E:E,C464)),6,""),IF(ISNUMBER(INDEX('register map'!F:F,C464)),5,""),IF(ISNUMBER(INDEX('register map'!G:G,C464)),4,""),IF(ISNUMBER(INDEX('register map'!H:H,C464)),3,""),IF(ISNUMBER(INDEX('register map'!I:I,C464)),2,""),IF(ISNUMBER(INDEX('register map'!J:J,C464)),1,""),IF(ISNUMBER(INDEX('register map'!K:K,C464)),0,""))</f>
        <v/>
      </c>
      <c r="H464" s="117" t="str">
        <f>RIGHT(INDEX('register map'!V:V,MATCH('Logical Group Generator'!B464,'register map'!L:L,0)),LEN(G464))</f>
        <v/>
      </c>
      <c r="I464" s="117" t="str">
        <f>CONCATENATE(IF(ISNUMBER(INDEX('register map'!K:K,C464)),0,""),IF(ISNUMBER(INDEX('register map'!J:J,C464)),1,""),IF(ISNUMBER(INDEX('register map'!I:I,C464)),2,""),IF(ISNUMBER(INDEX('register map'!H:H,C464)),3,""),IF(ISNUMBER(INDEX('register map'!G:G,C464)),4,""),IF(ISNUMBER(INDEX('register map'!F:F,C464)),5,""),IF(ISNUMBER(INDEX('register map'!E:E,C464)),6,""),IF(ISNUMBER(INDEX('register map'!D:D,C464)),7,""))</f>
        <v/>
      </c>
      <c r="J464" s="117" t="str">
        <f t="shared" si="84"/>
        <v/>
      </c>
      <c r="K464" s="117" t="str">
        <f t="shared" si="77"/>
        <v>11111111</v>
      </c>
      <c r="L464" s="117" t="str">
        <f t="shared" si="85"/>
        <v>11111111</v>
      </c>
      <c r="M464" s="117" t="str">
        <f t="shared" si="87"/>
        <v>FF</v>
      </c>
      <c r="N464" s="117" t="str">
        <f>IF(ISBLANK(INDEX('register map'!M:M,'Logical Group Generator'!C464)),"No","Yes")</f>
        <v>No</v>
      </c>
      <c r="O464" s="117" t="str">
        <f>IF(NOT(ISBLANK(INDEX('register map'!N:N,'Logical Group Generator'!C464))),"Yes","")</f>
        <v/>
      </c>
      <c r="P464" s="117" t="str">
        <f t="shared" si="78"/>
        <v>No</v>
      </c>
      <c r="Q464" s="117" t="str">
        <f t="shared" si="79"/>
        <v>No</v>
      </c>
      <c r="R464" s="117" t="str">
        <f t="shared" si="80"/>
        <v>No</v>
      </c>
      <c r="S464" s="117" t="str">
        <f t="shared" si="81"/>
        <v/>
      </c>
      <c r="T464" s="117" t="b">
        <f t="shared" si="82"/>
        <v>1</v>
      </c>
      <c r="U464" s="117" t="b">
        <f t="shared" si="86"/>
        <v>1</v>
      </c>
      <c r="V464" s="157" t="b">
        <f>INDEX('register map'!P:P,C464)="yes"</f>
        <v>1</v>
      </c>
      <c r="W464" s="157" t="str">
        <f t="shared" si="83"/>
        <v>REGISTER</v>
      </c>
    </row>
    <row r="465" spans="2:23">
      <c r="B465" s="157" t="str">
        <f t="array" ref="B465">IF(ROWS($3:465)&lt;=COUNTA('register map'!$L$5:$L$902),INDEX('register map'!$L$5:$L$902,SMALL(IF('register map'!$L$5:$L$902&lt;&gt;"",ROW('register map'!$L$5:$L$902)-MIN(ROW('register map'!$L$5:$L$902))+1),ROWS($3:465))),"")</f>
        <v>OTP_RSVD_38_22_0</v>
      </c>
      <c r="C465" s="157">
        <f>IF(B465="PART_NUMBER",IF(COUNTIF($B$1:B464,"PART_NUMBER")=0,6,8),MATCH(B465,'register map'!L:L,0))</f>
        <v>569</v>
      </c>
      <c r="D465" s="117" t="str">
        <f>IF(ISBLANK(INDEX('register map'!C:C,'Logical Group Generator'!C465)),"No","Yes")</f>
        <v>No</v>
      </c>
      <c r="E465" s="117" t="str">
        <f>IF(ISBLANK(INDEX('register map'!A:A,C465)),IF(ISBLANK(INDEX('register map'!A:A,C465-1)),IF(ISBLANK(INDEX('register map'!A:A,C465-2)),IF(ISBLANK(INDEX('register map'!A:A,C465-3)),IF(ISBLANK(INDEX('register map'!A:A,C465-4)),IF(ISBLANK(INDEX('register map'!A:A,C465-5)),IF(ISBLANK(INDEX('register map'!A:A,C465-6)),IF(ISBLANK(INDEX('register map'!A:A,C465-7)),IF(ISBLANK(INDEX('register map'!A:A,C465-8)),"ERROR",INDEX('register map'!A:A,C465-8)),INDEX('register map'!A:A,C465-7)),INDEX('register map'!A:A,C465-6)),INDEX('register map'!A:A,C465-5)),INDEX('register map'!A:A,C465-4)),INDEX('register map'!A:A,C465-3)),INDEX('register map'!A:A,C465-2)),INDEX('register map'!A:A,C465-1)),INDEX('register map'!A:A,C465))</f>
        <v>0x38</v>
      </c>
      <c r="F465" s="117" t="str">
        <f>IF(ISBLANK(INDEX('register map'!B:B,C465)),IF(ISBLANK(INDEX('register map'!B:B,C465-1)),IF(ISBLANK(INDEX('register map'!B:B,C465-2)),IF(ISBLANK(INDEX('register map'!B:B,C465-3)),IF(ISBLANK(INDEX('register map'!B:B,C465-4)),IF(ISBLANK(INDEX('register map'!B:B,C465-5)),IF(ISBLANK(INDEX('register map'!B:B,C465-6)),IF(ISBLANK(INDEX('register map'!B:B,C465-7)),IF(ISBLANK(INDEX('register map'!B:B,C465-8)),"ERROR",INDEX('register map'!B:B,C465-8)),INDEX('register map'!B:B,C465-7)),INDEX('register map'!B:B,C465-6)),INDEX('register map'!B:B,C465-5)),INDEX('register map'!B:B,C465-4)),INDEX('register map'!B:B,C465-3)),INDEX('register map'!B:B,C465-2)),INDEX('register map'!B:B,C465-1)),INDEX('register map'!B:B,C465))</f>
        <v>0x22</v>
      </c>
      <c r="G465" s="117" t="str">
        <f>CONCATENATE(IF(ISNUMBER(INDEX('register map'!D:D,C465)),7,""),IF(ISNUMBER(INDEX('register map'!E:E,C465)),6,""),IF(ISNUMBER(INDEX('register map'!F:F,C465)),5,""),IF(ISNUMBER(INDEX('register map'!G:G,C465)),4,""),IF(ISNUMBER(INDEX('register map'!H:H,C465)),3,""),IF(ISNUMBER(INDEX('register map'!I:I,C465)),2,""),IF(ISNUMBER(INDEX('register map'!J:J,C465)),1,""),IF(ISNUMBER(INDEX('register map'!K:K,C465)),0,""))</f>
        <v>0</v>
      </c>
      <c r="H465" s="117" t="str">
        <f>RIGHT(INDEX('register map'!V:V,MATCH('Logical Group Generator'!B465,'register map'!L:L,0)),LEN(G465))</f>
        <v>1</v>
      </c>
      <c r="I465" s="117" t="str">
        <f>CONCATENATE(IF(ISNUMBER(INDEX('register map'!K:K,C465)),0,""),IF(ISNUMBER(INDEX('register map'!J:J,C465)),1,""),IF(ISNUMBER(INDEX('register map'!I:I,C465)),2,""),IF(ISNUMBER(INDEX('register map'!H:H,C465)),3,""),IF(ISNUMBER(INDEX('register map'!G:G,C465)),4,""),IF(ISNUMBER(INDEX('register map'!F:F,C465)),5,""),IF(ISNUMBER(INDEX('register map'!E:E,C465)),6,""),IF(ISNUMBER(INDEX('register map'!D:D,C465)),7,""))</f>
        <v>0</v>
      </c>
      <c r="J465" s="117" t="str">
        <f t="shared" si="84"/>
        <v>1</v>
      </c>
      <c r="K465" s="117" t="str">
        <f t="shared" si="77"/>
        <v/>
      </c>
      <c r="L465" s="117" t="str">
        <f t="shared" si="85"/>
        <v/>
      </c>
      <c r="M465" s="117" t="str">
        <f t="shared" si="87"/>
        <v/>
      </c>
      <c r="N465" s="117" t="str">
        <f>IF(ISBLANK(INDEX('register map'!M:M,'Logical Group Generator'!C465)),"No","Yes")</f>
        <v>No</v>
      </c>
      <c r="O465" s="117" t="str">
        <f>IF(NOT(ISBLANK(INDEX('register map'!N:N,'Logical Group Generator'!C465))),"Yes","")</f>
        <v/>
      </c>
      <c r="P465" s="117" t="str">
        <f t="shared" si="78"/>
        <v/>
      </c>
      <c r="Q465" s="117" t="str">
        <f t="shared" si="79"/>
        <v/>
      </c>
      <c r="R465" s="117" t="str">
        <f t="shared" si="80"/>
        <v/>
      </c>
      <c r="S465" s="117" t="str">
        <f t="shared" si="81"/>
        <v>No</v>
      </c>
      <c r="T465" s="117" t="str">
        <f t="shared" si="82"/>
        <v/>
      </c>
      <c r="U465" s="117" t="b">
        <f t="shared" si="86"/>
        <v>0</v>
      </c>
      <c r="V465" s="157" t="b">
        <f>INDEX('register map'!P:P,C465)="yes"</f>
        <v>1</v>
      </c>
      <c r="W465" s="157" t="str">
        <f t="shared" si="83"/>
        <v>FALSE</v>
      </c>
    </row>
    <row r="466" spans="2:23">
      <c r="B466" s="157" t="str">
        <f t="array" ref="B466">IF(ROWS($3:466)&lt;=COUNTA('register map'!$L$5:$L$902),INDEX('register map'!$L$5:$L$902,SMALL(IF('register map'!$L$5:$L$902&lt;&gt;"",ROW('register map'!$L$5:$L$902)-MIN(ROW('register map'!$L$5:$L$902))+1),ROWS($3:466))),"")</f>
        <v>OTP_RSVD_38_22_1</v>
      </c>
      <c r="C466" s="157">
        <f>IF(B466="PART_NUMBER",IF(COUNTIF($B$1:B465,"PART_NUMBER")=0,6,8),MATCH(B466,'register map'!L:L,0))</f>
        <v>570</v>
      </c>
      <c r="D466" s="117" t="str">
        <f>IF(ISBLANK(INDEX('register map'!C:C,'Logical Group Generator'!C466)),"No","Yes")</f>
        <v>No</v>
      </c>
      <c r="E466" s="117" t="str">
        <f>IF(ISBLANK(INDEX('register map'!A:A,C466)),IF(ISBLANK(INDEX('register map'!A:A,C466-1)),IF(ISBLANK(INDEX('register map'!A:A,C466-2)),IF(ISBLANK(INDEX('register map'!A:A,C466-3)),IF(ISBLANK(INDEX('register map'!A:A,C466-4)),IF(ISBLANK(INDEX('register map'!A:A,C466-5)),IF(ISBLANK(INDEX('register map'!A:A,C466-6)),IF(ISBLANK(INDEX('register map'!A:A,C466-7)),IF(ISBLANK(INDEX('register map'!A:A,C466-8)),"ERROR",INDEX('register map'!A:A,C466-8)),INDEX('register map'!A:A,C466-7)),INDEX('register map'!A:A,C466-6)),INDEX('register map'!A:A,C466-5)),INDEX('register map'!A:A,C466-4)),INDEX('register map'!A:A,C466-3)),INDEX('register map'!A:A,C466-2)),INDEX('register map'!A:A,C466-1)),INDEX('register map'!A:A,C466))</f>
        <v>0x38</v>
      </c>
      <c r="F466" s="117" t="str">
        <f>IF(ISBLANK(INDEX('register map'!B:B,C466)),IF(ISBLANK(INDEX('register map'!B:B,C466-1)),IF(ISBLANK(INDEX('register map'!B:B,C466-2)),IF(ISBLANK(INDEX('register map'!B:B,C466-3)),IF(ISBLANK(INDEX('register map'!B:B,C466-4)),IF(ISBLANK(INDEX('register map'!B:B,C466-5)),IF(ISBLANK(INDEX('register map'!B:B,C466-6)),IF(ISBLANK(INDEX('register map'!B:B,C466-7)),IF(ISBLANK(INDEX('register map'!B:B,C466-8)),"ERROR",INDEX('register map'!B:B,C466-8)),INDEX('register map'!B:B,C466-7)),INDEX('register map'!B:B,C466-6)),INDEX('register map'!B:B,C466-5)),INDEX('register map'!B:B,C466-4)),INDEX('register map'!B:B,C466-3)),INDEX('register map'!B:B,C466-2)),INDEX('register map'!B:B,C466-1)),INDEX('register map'!B:B,C466))</f>
        <v>0x22</v>
      </c>
      <c r="G466" s="117" t="str">
        <f>CONCATENATE(IF(ISNUMBER(INDEX('register map'!D:D,C466)),7,""),IF(ISNUMBER(INDEX('register map'!E:E,C466)),6,""),IF(ISNUMBER(INDEX('register map'!F:F,C466)),5,""),IF(ISNUMBER(INDEX('register map'!G:G,C466)),4,""),IF(ISNUMBER(INDEX('register map'!H:H,C466)),3,""),IF(ISNUMBER(INDEX('register map'!I:I,C466)),2,""),IF(ISNUMBER(INDEX('register map'!J:J,C466)),1,""),IF(ISNUMBER(INDEX('register map'!K:K,C466)),0,""))</f>
        <v>1</v>
      </c>
      <c r="H466" s="117" t="str">
        <f>RIGHT(INDEX('register map'!V:V,MATCH('Logical Group Generator'!B466,'register map'!L:L,0)),LEN(G466))</f>
        <v>1</v>
      </c>
      <c r="I466" s="117" t="str">
        <f>CONCATENATE(IF(ISNUMBER(INDEX('register map'!K:K,C466)),0,""),IF(ISNUMBER(INDEX('register map'!J:J,C466)),1,""),IF(ISNUMBER(INDEX('register map'!I:I,C466)),2,""),IF(ISNUMBER(INDEX('register map'!H:H,C466)),3,""),IF(ISNUMBER(INDEX('register map'!G:G,C466)),4,""),IF(ISNUMBER(INDEX('register map'!F:F,C466)),5,""),IF(ISNUMBER(INDEX('register map'!E:E,C466)),6,""),IF(ISNUMBER(INDEX('register map'!D:D,C466)),7,""))</f>
        <v>1</v>
      </c>
      <c r="J466" s="117" t="str">
        <f t="shared" si="84"/>
        <v>1</v>
      </c>
      <c r="K466" s="117" t="str">
        <f t="shared" si="77"/>
        <v/>
      </c>
      <c r="L466" s="117" t="str">
        <f t="shared" si="85"/>
        <v/>
      </c>
      <c r="M466" s="117" t="str">
        <f t="shared" si="87"/>
        <v/>
      </c>
      <c r="N466" s="117" t="str">
        <f>IF(ISBLANK(INDEX('register map'!M:M,'Logical Group Generator'!C466)),"No","Yes")</f>
        <v>No</v>
      </c>
      <c r="O466" s="117" t="str">
        <f>IF(NOT(ISBLANK(INDEX('register map'!N:N,'Logical Group Generator'!C466))),"Yes","")</f>
        <v/>
      </c>
      <c r="P466" s="117" t="str">
        <f t="shared" si="78"/>
        <v/>
      </c>
      <c r="Q466" s="117" t="str">
        <f t="shared" si="79"/>
        <v/>
      </c>
      <c r="R466" s="117" t="str">
        <f t="shared" si="80"/>
        <v/>
      </c>
      <c r="S466" s="117" t="str">
        <f t="shared" si="81"/>
        <v>No</v>
      </c>
      <c r="T466" s="117" t="str">
        <f t="shared" si="82"/>
        <v/>
      </c>
      <c r="U466" s="117" t="b">
        <f t="shared" si="86"/>
        <v>0</v>
      </c>
      <c r="V466" s="157" t="b">
        <f>INDEX('register map'!P:P,C466)="yes"</f>
        <v>1</v>
      </c>
      <c r="W466" s="157" t="str">
        <f t="shared" si="83"/>
        <v>FALSE</v>
      </c>
    </row>
    <row r="467" spans="2:23">
      <c r="B467" s="157" t="str">
        <f t="array" ref="B467">IF(ROWS($3:467)&lt;=COUNTA('register map'!$L$5:$L$902),INDEX('register map'!$L$5:$L$902,SMALL(IF('register map'!$L$5:$L$902&lt;&gt;"",ROW('register map'!$L$5:$L$902)-MIN(ROW('register map'!$L$5:$L$902))+1),ROWS($3:467))),"")</f>
        <v>OTP_RSVD_38_22_2</v>
      </c>
      <c r="C467" s="157">
        <f>IF(B467="PART_NUMBER",IF(COUNTIF($B$1:B466,"PART_NUMBER")=0,6,8),MATCH(B467,'register map'!L:L,0))</f>
        <v>571</v>
      </c>
      <c r="D467" s="117" t="str">
        <f>IF(ISBLANK(INDEX('register map'!C:C,'Logical Group Generator'!C467)),"No","Yes")</f>
        <v>No</v>
      </c>
      <c r="E467" s="117" t="str">
        <f>IF(ISBLANK(INDEX('register map'!A:A,C467)),IF(ISBLANK(INDEX('register map'!A:A,C467-1)),IF(ISBLANK(INDEX('register map'!A:A,C467-2)),IF(ISBLANK(INDEX('register map'!A:A,C467-3)),IF(ISBLANK(INDEX('register map'!A:A,C467-4)),IF(ISBLANK(INDEX('register map'!A:A,C467-5)),IF(ISBLANK(INDEX('register map'!A:A,C467-6)),IF(ISBLANK(INDEX('register map'!A:A,C467-7)),IF(ISBLANK(INDEX('register map'!A:A,C467-8)),"ERROR",INDEX('register map'!A:A,C467-8)),INDEX('register map'!A:A,C467-7)),INDEX('register map'!A:A,C467-6)),INDEX('register map'!A:A,C467-5)),INDEX('register map'!A:A,C467-4)),INDEX('register map'!A:A,C467-3)),INDEX('register map'!A:A,C467-2)),INDEX('register map'!A:A,C467-1)),INDEX('register map'!A:A,C467))</f>
        <v>0x38</v>
      </c>
      <c r="F467" s="117" t="str">
        <f>IF(ISBLANK(INDEX('register map'!B:B,C467)),IF(ISBLANK(INDEX('register map'!B:B,C467-1)),IF(ISBLANK(INDEX('register map'!B:B,C467-2)),IF(ISBLANK(INDEX('register map'!B:B,C467-3)),IF(ISBLANK(INDEX('register map'!B:B,C467-4)),IF(ISBLANK(INDEX('register map'!B:B,C467-5)),IF(ISBLANK(INDEX('register map'!B:B,C467-6)),IF(ISBLANK(INDEX('register map'!B:B,C467-7)),IF(ISBLANK(INDEX('register map'!B:B,C467-8)),"ERROR",INDEX('register map'!B:B,C467-8)),INDEX('register map'!B:B,C467-7)),INDEX('register map'!B:B,C467-6)),INDEX('register map'!B:B,C467-5)),INDEX('register map'!B:B,C467-4)),INDEX('register map'!B:B,C467-3)),INDEX('register map'!B:B,C467-2)),INDEX('register map'!B:B,C467-1)),INDEX('register map'!B:B,C467))</f>
        <v>0x22</v>
      </c>
      <c r="G467" s="117" t="str">
        <f>CONCATENATE(IF(ISNUMBER(INDEX('register map'!D:D,C467)),7,""),IF(ISNUMBER(INDEX('register map'!E:E,C467)),6,""),IF(ISNUMBER(INDEX('register map'!F:F,C467)),5,""),IF(ISNUMBER(INDEX('register map'!G:G,C467)),4,""),IF(ISNUMBER(INDEX('register map'!H:H,C467)),3,""),IF(ISNUMBER(INDEX('register map'!I:I,C467)),2,""),IF(ISNUMBER(INDEX('register map'!J:J,C467)),1,""),IF(ISNUMBER(INDEX('register map'!K:K,C467)),0,""))</f>
        <v>2</v>
      </c>
      <c r="H467" s="117" t="str">
        <f>RIGHT(INDEX('register map'!V:V,MATCH('Logical Group Generator'!B467,'register map'!L:L,0)),LEN(G467))</f>
        <v>1</v>
      </c>
      <c r="I467" s="117" t="str">
        <f>CONCATENATE(IF(ISNUMBER(INDEX('register map'!K:K,C467)),0,""),IF(ISNUMBER(INDEX('register map'!J:J,C467)),1,""),IF(ISNUMBER(INDEX('register map'!I:I,C467)),2,""),IF(ISNUMBER(INDEX('register map'!H:H,C467)),3,""),IF(ISNUMBER(INDEX('register map'!G:G,C467)),4,""),IF(ISNUMBER(INDEX('register map'!F:F,C467)),5,""),IF(ISNUMBER(INDEX('register map'!E:E,C467)),6,""),IF(ISNUMBER(INDEX('register map'!D:D,C467)),7,""))</f>
        <v>2</v>
      </c>
      <c r="J467" s="117" t="str">
        <f t="shared" si="84"/>
        <v>1</v>
      </c>
      <c r="K467" s="117" t="str">
        <f t="shared" si="77"/>
        <v/>
      </c>
      <c r="L467" s="117" t="str">
        <f t="shared" si="85"/>
        <v/>
      </c>
      <c r="M467" s="117" t="str">
        <f t="shared" si="87"/>
        <v/>
      </c>
      <c r="N467" s="117" t="str">
        <f>IF(ISBLANK(INDEX('register map'!M:M,'Logical Group Generator'!C467)),"No","Yes")</f>
        <v>No</v>
      </c>
      <c r="O467" s="117" t="str">
        <f>IF(NOT(ISBLANK(INDEX('register map'!N:N,'Logical Group Generator'!C467))),"Yes","")</f>
        <v/>
      </c>
      <c r="P467" s="117" t="str">
        <f t="shared" si="78"/>
        <v/>
      </c>
      <c r="Q467" s="117" t="str">
        <f t="shared" si="79"/>
        <v/>
      </c>
      <c r="R467" s="117" t="str">
        <f t="shared" si="80"/>
        <v/>
      </c>
      <c r="S467" s="117" t="str">
        <f t="shared" si="81"/>
        <v>No</v>
      </c>
      <c r="T467" s="117" t="str">
        <f t="shared" si="82"/>
        <v/>
      </c>
      <c r="U467" s="117" t="b">
        <f t="shared" si="86"/>
        <v>0</v>
      </c>
      <c r="V467" s="157" t="b">
        <f>INDEX('register map'!P:P,C467)="yes"</f>
        <v>1</v>
      </c>
      <c r="W467" s="157" t="str">
        <f t="shared" si="83"/>
        <v>FALSE</v>
      </c>
    </row>
    <row r="468" spans="2:23">
      <c r="B468" s="157" t="str">
        <f t="array" ref="B468">IF(ROWS($3:468)&lt;=COUNTA('register map'!$L$5:$L$902),INDEX('register map'!$L$5:$L$902,SMALL(IF('register map'!$L$5:$L$902&lt;&gt;"",ROW('register map'!$L$5:$L$902)-MIN(ROW('register map'!$L$5:$L$902))+1),ROWS($3:468))),"")</f>
        <v>OTP_RSVD_38_22_3</v>
      </c>
      <c r="C468" s="157">
        <f>IF(B468="PART_NUMBER",IF(COUNTIF($B$1:B467,"PART_NUMBER")=0,6,8),MATCH(B468,'register map'!L:L,0))</f>
        <v>572</v>
      </c>
      <c r="D468" s="117" t="str">
        <f>IF(ISBLANK(INDEX('register map'!C:C,'Logical Group Generator'!C468)),"No","Yes")</f>
        <v>No</v>
      </c>
      <c r="E468" s="117" t="str">
        <f>IF(ISBLANK(INDEX('register map'!A:A,C468)),IF(ISBLANK(INDEX('register map'!A:A,C468-1)),IF(ISBLANK(INDEX('register map'!A:A,C468-2)),IF(ISBLANK(INDEX('register map'!A:A,C468-3)),IF(ISBLANK(INDEX('register map'!A:A,C468-4)),IF(ISBLANK(INDEX('register map'!A:A,C468-5)),IF(ISBLANK(INDEX('register map'!A:A,C468-6)),IF(ISBLANK(INDEX('register map'!A:A,C468-7)),IF(ISBLANK(INDEX('register map'!A:A,C468-8)),"ERROR",INDEX('register map'!A:A,C468-8)),INDEX('register map'!A:A,C468-7)),INDEX('register map'!A:A,C468-6)),INDEX('register map'!A:A,C468-5)),INDEX('register map'!A:A,C468-4)),INDEX('register map'!A:A,C468-3)),INDEX('register map'!A:A,C468-2)),INDEX('register map'!A:A,C468-1)),INDEX('register map'!A:A,C468))</f>
        <v>0x38</v>
      </c>
      <c r="F468" s="117" t="str">
        <f>IF(ISBLANK(INDEX('register map'!B:B,C468)),IF(ISBLANK(INDEX('register map'!B:B,C468-1)),IF(ISBLANK(INDEX('register map'!B:B,C468-2)),IF(ISBLANK(INDEX('register map'!B:B,C468-3)),IF(ISBLANK(INDEX('register map'!B:B,C468-4)),IF(ISBLANK(INDEX('register map'!B:B,C468-5)),IF(ISBLANK(INDEX('register map'!B:B,C468-6)),IF(ISBLANK(INDEX('register map'!B:B,C468-7)),IF(ISBLANK(INDEX('register map'!B:B,C468-8)),"ERROR",INDEX('register map'!B:B,C468-8)),INDEX('register map'!B:B,C468-7)),INDEX('register map'!B:B,C468-6)),INDEX('register map'!B:B,C468-5)),INDEX('register map'!B:B,C468-4)),INDEX('register map'!B:B,C468-3)),INDEX('register map'!B:B,C468-2)),INDEX('register map'!B:B,C468-1)),INDEX('register map'!B:B,C468))</f>
        <v>0x22</v>
      </c>
      <c r="G468" s="117" t="str">
        <f>CONCATENATE(IF(ISNUMBER(INDEX('register map'!D:D,C468)),7,""),IF(ISNUMBER(INDEX('register map'!E:E,C468)),6,""),IF(ISNUMBER(INDEX('register map'!F:F,C468)),5,""),IF(ISNUMBER(INDEX('register map'!G:G,C468)),4,""),IF(ISNUMBER(INDEX('register map'!H:H,C468)),3,""),IF(ISNUMBER(INDEX('register map'!I:I,C468)),2,""),IF(ISNUMBER(INDEX('register map'!J:J,C468)),1,""),IF(ISNUMBER(INDEX('register map'!K:K,C468)),0,""))</f>
        <v>3</v>
      </c>
      <c r="H468" s="117" t="str">
        <f>RIGHT(INDEX('register map'!V:V,MATCH('Logical Group Generator'!B468,'register map'!L:L,0)),LEN(G468))</f>
        <v>1</v>
      </c>
      <c r="I468" s="117" t="str">
        <f>CONCATENATE(IF(ISNUMBER(INDEX('register map'!K:K,C468)),0,""),IF(ISNUMBER(INDEX('register map'!J:J,C468)),1,""),IF(ISNUMBER(INDEX('register map'!I:I,C468)),2,""),IF(ISNUMBER(INDEX('register map'!H:H,C468)),3,""),IF(ISNUMBER(INDEX('register map'!G:G,C468)),4,""),IF(ISNUMBER(INDEX('register map'!F:F,C468)),5,""),IF(ISNUMBER(INDEX('register map'!E:E,C468)),6,""),IF(ISNUMBER(INDEX('register map'!D:D,C468)),7,""))</f>
        <v>3</v>
      </c>
      <c r="J468" s="117" t="str">
        <f t="shared" si="84"/>
        <v>1</v>
      </c>
      <c r="K468" s="117" t="str">
        <f t="shared" si="77"/>
        <v/>
      </c>
      <c r="L468" s="117" t="str">
        <f t="shared" si="85"/>
        <v/>
      </c>
      <c r="M468" s="117" t="str">
        <f t="shared" si="87"/>
        <v/>
      </c>
      <c r="N468" s="117" t="str">
        <f>IF(ISBLANK(INDEX('register map'!M:M,'Logical Group Generator'!C468)),"No","Yes")</f>
        <v>No</v>
      </c>
      <c r="O468" s="117" t="str">
        <f>IF(NOT(ISBLANK(INDEX('register map'!N:N,'Logical Group Generator'!C468))),"Yes","")</f>
        <v/>
      </c>
      <c r="P468" s="117" t="str">
        <f t="shared" si="78"/>
        <v/>
      </c>
      <c r="Q468" s="117" t="str">
        <f t="shared" si="79"/>
        <v/>
      </c>
      <c r="R468" s="117" t="str">
        <f t="shared" si="80"/>
        <v/>
      </c>
      <c r="S468" s="117" t="str">
        <f t="shared" si="81"/>
        <v>No</v>
      </c>
      <c r="T468" s="117" t="str">
        <f t="shared" si="82"/>
        <v/>
      </c>
      <c r="U468" s="117" t="b">
        <f t="shared" si="86"/>
        <v>0</v>
      </c>
      <c r="V468" s="157" t="b">
        <f>INDEX('register map'!P:P,C468)="yes"</f>
        <v>1</v>
      </c>
      <c r="W468" s="157" t="str">
        <f t="shared" si="83"/>
        <v>FALSE</v>
      </c>
    </row>
    <row r="469" spans="2:23">
      <c r="B469" s="157" t="str">
        <f t="array" ref="B469">IF(ROWS($3:469)&lt;=COUNTA('register map'!$L$5:$L$902),INDEX('register map'!$L$5:$L$902,SMALL(IF('register map'!$L$5:$L$902&lt;&gt;"",ROW('register map'!$L$5:$L$902)-MIN(ROW('register map'!$L$5:$L$902))+1),ROWS($3:469))),"")</f>
        <v>OTP_RSVD_38_22_4</v>
      </c>
      <c r="C469" s="157">
        <f>IF(B469="PART_NUMBER",IF(COUNTIF($B$1:B468,"PART_NUMBER")=0,6,8),MATCH(B469,'register map'!L:L,0))</f>
        <v>573</v>
      </c>
      <c r="D469" s="117" t="str">
        <f>IF(ISBLANK(INDEX('register map'!C:C,'Logical Group Generator'!C469)),"No","Yes")</f>
        <v>No</v>
      </c>
      <c r="E469" s="117" t="str">
        <f>IF(ISBLANK(INDEX('register map'!A:A,C469)),IF(ISBLANK(INDEX('register map'!A:A,C469-1)),IF(ISBLANK(INDEX('register map'!A:A,C469-2)),IF(ISBLANK(INDEX('register map'!A:A,C469-3)),IF(ISBLANK(INDEX('register map'!A:A,C469-4)),IF(ISBLANK(INDEX('register map'!A:A,C469-5)),IF(ISBLANK(INDEX('register map'!A:A,C469-6)),IF(ISBLANK(INDEX('register map'!A:A,C469-7)),IF(ISBLANK(INDEX('register map'!A:A,C469-8)),"ERROR",INDEX('register map'!A:A,C469-8)),INDEX('register map'!A:A,C469-7)),INDEX('register map'!A:A,C469-6)),INDEX('register map'!A:A,C469-5)),INDEX('register map'!A:A,C469-4)),INDEX('register map'!A:A,C469-3)),INDEX('register map'!A:A,C469-2)),INDEX('register map'!A:A,C469-1)),INDEX('register map'!A:A,C469))</f>
        <v>0x38</v>
      </c>
      <c r="F469" s="117" t="str">
        <f>IF(ISBLANK(INDEX('register map'!B:B,C469)),IF(ISBLANK(INDEX('register map'!B:B,C469-1)),IF(ISBLANK(INDEX('register map'!B:B,C469-2)),IF(ISBLANK(INDEX('register map'!B:B,C469-3)),IF(ISBLANK(INDEX('register map'!B:B,C469-4)),IF(ISBLANK(INDEX('register map'!B:B,C469-5)),IF(ISBLANK(INDEX('register map'!B:B,C469-6)),IF(ISBLANK(INDEX('register map'!B:B,C469-7)),IF(ISBLANK(INDEX('register map'!B:B,C469-8)),"ERROR",INDEX('register map'!B:B,C469-8)),INDEX('register map'!B:B,C469-7)),INDEX('register map'!B:B,C469-6)),INDEX('register map'!B:B,C469-5)),INDEX('register map'!B:B,C469-4)),INDEX('register map'!B:B,C469-3)),INDEX('register map'!B:B,C469-2)),INDEX('register map'!B:B,C469-1)),INDEX('register map'!B:B,C469))</f>
        <v>0x22</v>
      </c>
      <c r="G469" s="117" t="str">
        <f>CONCATENATE(IF(ISNUMBER(INDEX('register map'!D:D,C469)),7,""),IF(ISNUMBER(INDEX('register map'!E:E,C469)),6,""),IF(ISNUMBER(INDEX('register map'!F:F,C469)),5,""),IF(ISNUMBER(INDEX('register map'!G:G,C469)),4,""),IF(ISNUMBER(INDEX('register map'!H:H,C469)),3,""),IF(ISNUMBER(INDEX('register map'!I:I,C469)),2,""),IF(ISNUMBER(INDEX('register map'!J:J,C469)),1,""),IF(ISNUMBER(INDEX('register map'!K:K,C469)),0,""))</f>
        <v>4</v>
      </c>
      <c r="H469" s="117" t="str">
        <f>RIGHT(INDEX('register map'!V:V,MATCH('Logical Group Generator'!B469,'register map'!L:L,0)),LEN(G469))</f>
        <v>1</v>
      </c>
      <c r="I469" s="117" t="str">
        <f>CONCATENATE(IF(ISNUMBER(INDEX('register map'!K:K,C469)),0,""),IF(ISNUMBER(INDEX('register map'!J:J,C469)),1,""),IF(ISNUMBER(INDEX('register map'!I:I,C469)),2,""),IF(ISNUMBER(INDEX('register map'!H:H,C469)),3,""),IF(ISNUMBER(INDEX('register map'!G:G,C469)),4,""),IF(ISNUMBER(INDEX('register map'!F:F,C469)),5,""),IF(ISNUMBER(INDEX('register map'!E:E,C469)),6,""),IF(ISNUMBER(INDEX('register map'!D:D,C469)),7,""))</f>
        <v>4</v>
      </c>
      <c r="J469" s="117" t="str">
        <f t="shared" si="84"/>
        <v>1</v>
      </c>
      <c r="K469" s="117" t="str">
        <f t="shared" si="77"/>
        <v/>
      </c>
      <c r="L469" s="117" t="str">
        <f t="shared" si="85"/>
        <v/>
      </c>
      <c r="M469" s="117" t="str">
        <f t="shared" si="87"/>
        <v/>
      </c>
      <c r="N469" s="117" t="str">
        <f>IF(ISBLANK(INDEX('register map'!M:M,'Logical Group Generator'!C469)),"No","Yes")</f>
        <v>No</v>
      </c>
      <c r="O469" s="117" t="str">
        <f>IF(NOT(ISBLANK(INDEX('register map'!N:N,'Logical Group Generator'!C469))),"Yes","")</f>
        <v/>
      </c>
      <c r="P469" s="117" t="str">
        <f t="shared" si="78"/>
        <v/>
      </c>
      <c r="Q469" s="117" t="str">
        <f t="shared" si="79"/>
        <v/>
      </c>
      <c r="R469" s="117" t="str">
        <f t="shared" si="80"/>
        <v/>
      </c>
      <c r="S469" s="117" t="str">
        <f t="shared" si="81"/>
        <v>No</v>
      </c>
      <c r="T469" s="117" t="str">
        <f t="shared" si="82"/>
        <v/>
      </c>
      <c r="U469" s="117" t="b">
        <f t="shared" si="86"/>
        <v>0</v>
      </c>
      <c r="V469" s="157" t="b">
        <f>INDEX('register map'!P:P,C469)="yes"</f>
        <v>1</v>
      </c>
      <c r="W469" s="157" t="str">
        <f t="shared" si="83"/>
        <v>FALSE</v>
      </c>
    </row>
    <row r="470" spans="2:23">
      <c r="B470" s="157" t="str">
        <f t="array" ref="B470">IF(ROWS($3:470)&lt;=COUNTA('register map'!$L$5:$L$902),INDEX('register map'!$L$5:$L$902,SMALL(IF('register map'!$L$5:$L$902&lt;&gt;"",ROW('register map'!$L$5:$L$902)-MIN(ROW('register map'!$L$5:$L$902))+1),ROWS($3:470))),"")</f>
        <v>OTP_RSVD_38_22_5</v>
      </c>
      <c r="C470" s="157">
        <f>IF(B470="PART_NUMBER",IF(COUNTIF($B$1:B469,"PART_NUMBER")=0,6,8),MATCH(B470,'register map'!L:L,0))</f>
        <v>574</v>
      </c>
      <c r="D470" s="117" t="str">
        <f>IF(ISBLANK(INDEX('register map'!C:C,'Logical Group Generator'!C470)),"No","Yes")</f>
        <v>No</v>
      </c>
      <c r="E470" s="117" t="str">
        <f>IF(ISBLANK(INDEX('register map'!A:A,C470)),IF(ISBLANK(INDEX('register map'!A:A,C470-1)),IF(ISBLANK(INDEX('register map'!A:A,C470-2)),IF(ISBLANK(INDEX('register map'!A:A,C470-3)),IF(ISBLANK(INDEX('register map'!A:A,C470-4)),IF(ISBLANK(INDEX('register map'!A:A,C470-5)),IF(ISBLANK(INDEX('register map'!A:A,C470-6)),IF(ISBLANK(INDEX('register map'!A:A,C470-7)),IF(ISBLANK(INDEX('register map'!A:A,C470-8)),"ERROR",INDEX('register map'!A:A,C470-8)),INDEX('register map'!A:A,C470-7)),INDEX('register map'!A:A,C470-6)),INDEX('register map'!A:A,C470-5)),INDEX('register map'!A:A,C470-4)),INDEX('register map'!A:A,C470-3)),INDEX('register map'!A:A,C470-2)),INDEX('register map'!A:A,C470-1)),INDEX('register map'!A:A,C470))</f>
        <v>0x38</v>
      </c>
      <c r="F470" s="117" t="str">
        <f>IF(ISBLANK(INDEX('register map'!B:B,C470)),IF(ISBLANK(INDEX('register map'!B:B,C470-1)),IF(ISBLANK(INDEX('register map'!B:B,C470-2)),IF(ISBLANK(INDEX('register map'!B:B,C470-3)),IF(ISBLANK(INDEX('register map'!B:B,C470-4)),IF(ISBLANK(INDEX('register map'!B:B,C470-5)),IF(ISBLANK(INDEX('register map'!B:B,C470-6)),IF(ISBLANK(INDEX('register map'!B:B,C470-7)),IF(ISBLANK(INDEX('register map'!B:B,C470-8)),"ERROR",INDEX('register map'!B:B,C470-8)),INDEX('register map'!B:B,C470-7)),INDEX('register map'!B:B,C470-6)),INDEX('register map'!B:B,C470-5)),INDEX('register map'!B:B,C470-4)),INDEX('register map'!B:B,C470-3)),INDEX('register map'!B:B,C470-2)),INDEX('register map'!B:B,C470-1)),INDEX('register map'!B:B,C470))</f>
        <v>0x22</v>
      </c>
      <c r="G470" s="117" t="str">
        <f>CONCATENATE(IF(ISNUMBER(INDEX('register map'!D:D,C470)),7,""),IF(ISNUMBER(INDEX('register map'!E:E,C470)),6,""),IF(ISNUMBER(INDEX('register map'!F:F,C470)),5,""),IF(ISNUMBER(INDEX('register map'!G:G,C470)),4,""),IF(ISNUMBER(INDEX('register map'!H:H,C470)),3,""),IF(ISNUMBER(INDEX('register map'!I:I,C470)),2,""),IF(ISNUMBER(INDEX('register map'!J:J,C470)),1,""),IF(ISNUMBER(INDEX('register map'!K:K,C470)),0,""))</f>
        <v>5</v>
      </c>
      <c r="H470" s="117" t="str">
        <f>RIGHT(INDEX('register map'!V:V,MATCH('Logical Group Generator'!B470,'register map'!L:L,0)),LEN(G470))</f>
        <v>1</v>
      </c>
      <c r="I470" s="117" t="str">
        <f>CONCATENATE(IF(ISNUMBER(INDEX('register map'!K:K,C470)),0,""),IF(ISNUMBER(INDEX('register map'!J:J,C470)),1,""),IF(ISNUMBER(INDEX('register map'!I:I,C470)),2,""),IF(ISNUMBER(INDEX('register map'!H:H,C470)),3,""),IF(ISNUMBER(INDEX('register map'!G:G,C470)),4,""),IF(ISNUMBER(INDEX('register map'!F:F,C470)),5,""),IF(ISNUMBER(INDEX('register map'!E:E,C470)),6,""),IF(ISNUMBER(INDEX('register map'!D:D,C470)),7,""))</f>
        <v>5</v>
      </c>
      <c r="J470" s="117" t="str">
        <f t="shared" si="84"/>
        <v>1</v>
      </c>
      <c r="K470" s="117" t="str">
        <f t="shared" si="77"/>
        <v/>
      </c>
      <c r="L470" s="117" t="str">
        <f t="shared" si="85"/>
        <v/>
      </c>
      <c r="M470" s="117" t="str">
        <f t="shared" si="87"/>
        <v/>
      </c>
      <c r="N470" s="117" t="str">
        <f>IF(ISBLANK(INDEX('register map'!M:M,'Logical Group Generator'!C470)),"No","Yes")</f>
        <v>No</v>
      </c>
      <c r="O470" s="117" t="str">
        <f>IF(NOT(ISBLANK(INDEX('register map'!N:N,'Logical Group Generator'!C470))),"Yes","")</f>
        <v/>
      </c>
      <c r="P470" s="117" t="str">
        <f t="shared" si="78"/>
        <v/>
      </c>
      <c r="Q470" s="117" t="str">
        <f t="shared" si="79"/>
        <v/>
      </c>
      <c r="R470" s="117" t="str">
        <f t="shared" si="80"/>
        <v/>
      </c>
      <c r="S470" s="117" t="str">
        <f t="shared" si="81"/>
        <v>No</v>
      </c>
      <c r="T470" s="117" t="str">
        <f t="shared" si="82"/>
        <v/>
      </c>
      <c r="U470" s="117" t="b">
        <f t="shared" si="86"/>
        <v>0</v>
      </c>
      <c r="V470" s="157" t="b">
        <f>INDEX('register map'!P:P,C470)="yes"</f>
        <v>1</v>
      </c>
      <c r="W470" s="157" t="str">
        <f t="shared" si="83"/>
        <v>FALSE</v>
      </c>
    </row>
    <row r="471" spans="2:23">
      <c r="B471" s="157" t="str">
        <f t="array" ref="B471">IF(ROWS($3:471)&lt;=COUNTA('register map'!$L$5:$L$902),INDEX('register map'!$L$5:$L$902,SMALL(IF('register map'!$L$5:$L$902&lt;&gt;"",ROW('register map'!$L$5:$L$902)-MIN(ROW('register map'!$L$5:$L$902))+1),ROWS($3:471))),"")</f>
        <v>OTP_RSVD_38_22_6</v>
      </c>
      <c r="C471" s="157">
        <f>IF(B471="PART_NUMBER",IF(COUNTIF($B$1:B470,"PART_NUMBER")=0,6,8),MATCH(B471,'register map'!L:L,0))</f>
        <v>575</v>
      </c>
      <c r="D471" s="117" t="str">
        <f>IF(ISBLANK(INDEX('register map'!C:C,'Logical Group Generator'!C471)),"No","Yes")</f>
        <v>No</v>
      </c>
      <c r="E471" s="117" t="str">
        <f>IF(ISBLANK(INDEX('register map'!A:A,C471)),IF(ISBLANK(INDEX('register map'!A:A,C471-1)),IF(ISBLANK(INDEX('register map'!A:A,C471-2)),IF(ISBLANK(INDEX('register map'!A:A,C471-3)),IF(ISBLANK(INDEX('register map'!A:A,C471-4)),IF(ISBLANK(INDEX('register map'!A:A,C471-5)),IF(ISBLANK(INDEX('register map'!A:A,C471-6)),IF(ISBLANK(INDEX('register map'!A:A,C471-7)),IF(ISBLANK(INDEX('register map'!A:A,C471-8)),"ERROR",INDEX('register map'!A:A,C471-8)),INDEX('register map'!A:A,C471-7)),INDEX('register map'!A:A,C471-6)),INDEX('register map'!A:A,C471-5)),INDEX('register map'!A:A,C471-4)),INDEX('register map'!A:A,C471-3)),INDEX('register map'!A:A,C471-2)),INDEX('register map'!A:A,C471-1)),INDEX('register map'!A:A,C471))</f>
        <v>0x38</v>
      </c>
      <c r="F471" s="117" t="str">
        <f>IF(ISBLANK(INDEX('register map'!B:B,C471)),IF(ISBLANK(INDEX('register map'!B:B,C471-1)),IF(ISBLANK(INDEX('register map'!B:B,C471-2)),IF(ISBLANK(INDEX('register map'!B:B,C471-3)),IF(ISBLANK(INDEX('register map'!B:B,C471-4)),IF(ISBLANK(INDEX('register map'!B:B,C471-5)),IF(ISBLANK(INDEX('register map'!B:B,C471-6)),IF(ISBLANK(INDEX('register map'!B:B,C471-7)),IF(ISBLANK(INDEX('register map'!B:B,C471-8)),"ERROR",INDEX('register map'!B:B,C471-8)),INDEX('register map'!B:B,C471-7)),INDEX('register map'!B:B,C471-6)),INDEX('register map'!B:B,C471-5)),INDEX('register map'!B:B,C471-4)),INDEX('register map'!B:B,C471-3)),INDEX('register map'!B:B,C471-2)),INDEX('register map'!B:B,C471-1)),INDEX('register map'!B:B,C471))</f>
        <v>0x22</v>
      </c>
      <c r="G471" s="117" t="str">
        <f>CONCATENATE(IF(ISNUMBER(INDEX('register map'!D:D,C471)),7,""),IF(ISNUMBER(INDEX('register map'!E:E,C471)),6,""),IF(ISNUMBER(INDEX('register map'!F:F,C471)),5,""),IF(ISNUMBER(INDEX('register map'!G:G,C471)),4,""),IF(ISNUMBER(INDEX('register map'!H:H,C471)),3,""),IF(ISNUMBER(INDEX('register map'!I:I,C471)),2,""),IF(ISNUMBER(INDEX('register map'!J:J,C471)),1,""),IF(ISNUMBER(INDEX('register map'!K:K,C471)),0,""))</f>
        <v>6</v>
      </c>
      <c r="H471" s="117" t="str">
        <f>RIGHT(INDEX('register map'!V:V,MATCH('Logical Group Generator'!B471,'register map'!L:L,0)),LEN(G471))</f>
        <v>1</v>
      </c>
      <c r="I471" s="117" t="str">
        <f>CONCATENATE(IF(ISNUMBER(INDEX('register map'!K:K,C471)),0,""),IF(ISNUMBER(INDEX('register map'!J:J,C471)),1,""),IF(ISNUMBER(INDEX('register map'!I:I,C471)),2,""),IF(ISNUMBER(INDEX('register map'!H:H,C471)),3,""),IF(ISNUMBER(INDEX('register map'!G:G,C471)),4,""),IF(ISNUMBER(INDEX('register map'!F:F,C471)),5,""),IF(ISNUMBER(INDEX('register map'!E:E,C471)),6,""),IF(ISNUMBER(INDEX('register map'!D:D,C471)),7,""))</f>
        <v>6</v>
      </c>
      <c r="J471" s="117" t="str">
        <f t="shared" si="84"/>
        <v>1</v>
      </c>
      <c r="K471" s="117" t="str">
        <f t="shared" si="77"/>
        <v/>
      </c>
      <c r="L471" s="117" t="str">
        <f t="shared" si="85"/>
        <v/>
      </c>
      <c r="M471" s="117" t="str">
        <f t="shared" si="87"/>
        <v/>
      </c>
      <c r="N471" s="117" t="str">
        <f>IF(ISBLANK(INDEX('register map'!M:M,'Logical Group Generator'!C471)),"No","Yes")</f>
        <v>No</v>
      </c>
      <c r="O471" s="117" t="str">
        <f>IF(NOT(ISBLANK(INDEX('register map'!N:N,'Logical Group Generator'!C471))),"Yes","")</f>
        <v/>
      </c>
      <c r="P471" s="117" t="str">
        <f t="shared" si="78"/>
        <v/>
      </c>
      <c r="Q471" s="117" t="str">
        <f t="shared" si="79"/>
        <v/>
      </c>
      <c r="R471" s="117" t="str">
        <f t="shared" si="80"/>
        <v/>
      </c>
      <c r="S471" s="117" t="str">
        <f t="shared" si="81"/>
        <v>No</v>
      </c>
      <c r="T471" s="117" t="str">
        <f t="shared" si="82"/>
        <v/>
      </c>
      <c r="U471" s="117" t="b">
        <f t="shared" si="86"/>
        <v>0</v>
      </c>
      <c r="V471" s="157" t="b">
        <f>INDEX('register map'!P:P,C471)="yes"</f>
        <v>1</v>
      </c>
      <c r="W471" s="157" t="str">
        <f t="shared" si="83"/>
        <v>FALSE</v>
      </c>
    </row>
    <row r="472" spans="2:23">
      <c r="B472" s="157" t="str">
        <f t="array" ref="B472">IF(ROWS($3:472)&lt;=COUNTA('register map'!$L$5:$L$902),INDEX('register map'!$L$5:$L$902,SMALL(IF('register map'!$L$5:$L$902&lt;&gt;"",ROW('register map'!$L$5:$L$902)-MIN(ROW('register map'!$L$5:$L$902))+1),ROWS($3:472))),"")</f>
        <v>OTP_RSVD_38_22_7</v>
      </c>
      <c r="C472" s="157">
        <f>IF(B472="PART_NUMBER",IF(COUNTIF($B$1:B471,"PART_NUMBER")=0,6,8),MATCH(B472,'register map'!L:L,0))</f>
        <v>576</v>
      </c>
      <c r="D472" s="117" t="str">
        <f>IF(ISBLANK(INDEX('register map'!C:C,'Logical Group Generator'!C472)),"No","Yes")</f>
        <v>No</v>
      </c>
      <c r="E472" s="117" t="str">
        <f>IF(ISBLANK(INDEX('register map'!A:A,C472)),IF(ISBLANK(INDEX('register map'!A:A,C472-1)),IF(ISBLANK(INDEX('register map'!A:A,C472-2)),IF(ISBLANK(INDEX('register map'!A:A,C472-3)),IF(ISBLANK(INDEX('register map'!A:A,C472-4)),IF(ISBLANK(INDEX('register map'!A:A,C472-5)),IF(ISBLANK(INDEX('register map'!A:A,C472-6)),IF(ISBLANK(INDEX('register map'!A:A,C472-7)),IF(ISBLANK(INDEX('register map'!A:A,C472-8)),"ERROR",INDEX('register map'!A:A,C472-8)),INDEX('register map'!A:A,C472-7)),INDEX('register map'!A:A,C472-6)),INDEX('register map'!A:A,C472-5)),INDEX('register map'!A:A,C472-4)),INDEX('register map'!A:A,C472-3)),INDEX('register map'!A:A,C472-2)),INDEX('register map'!A:A,C472-1)),INDEX('register map'!A:A,C472))</f>
        <v>0x38</v>
      </c>
      <c r="F472" s="117" t="str">
        <f>IF(ISBLANK(INDEX('register map'!B:B,C472)),IF(ISBLANK(INDEX('register map'!B:B,C472-1)),IF(ISBLANK(INDEX('register map'!B:B,C472-2)),IF(ISBLANK(INDEX('register map'!B:B,C472-3)),IF(ISBLANK(INDEX('register map'!B:B,C472-4)),IF(ISBLANK(INDEX('register map'!B:B,C472-5)),IF(ISBLANK(INDEX('register map'!B:B,C472-6)),IF(ISBLANK(INDEX('register map'!B:B,C472-7)),IF(ISBLANK(INDEX('register map'!B:B,C472-8)),"ERROR",INDEX('register map'!B:B,C472-8)),INDEX('register map'!B:B,C472-7)),INDEX('register map'!B:B,C472-6)),INDEX('register map'!B:B,C472-5)),INDEX('register map'!B:B,C472-4)),INDEX('register map'!B:B,C472-3)),INDEX('register map'!B:B,C472-2)),INDEX('register map'!B:B,C472-1)),INDEX('register map'!B:B,C472))</f>
        <v>0x22</v>
      </c>
      <c r="G472" s="117" t="str">
        <f>CONCATENATE(IF(ISNUMBER(INDEX('register map'!D:D,C472)),7,""),IF(ISNUMBER(INDEX('register map'!E:E,C472)),6,""),IF(ISNUMBER(INDEX('register map'!F:F,C472)),5,""),IF(ISNUMBER(INDEX('register map'!G:G,C472)),4,""),IF(ISNUMBER(INDEX('register map'!H:H,C472)),3,""),IF(ISNUMBER(INDEX('register map'!I:I,C472)),2,""),IF(ISNUMBER(INDEX('register map'!J:J,C472)),1,""),IF(ISNUMBER(INDEX('register map'!K:K,C472)),0,""))</f>
        <v>7</v>
      </c>
      <c r="H472" s="117" t="str">
        <f>RIGHT(INDEX('register map'!V:V,MATCH('Logical Group Generator'!B472,'register map'!L:L,0)),LEN(G472))</f>
        <v>1</v>
      </c>
      <c r="I472" s="117" t="str">
        <f>CONCATENATE(IF(ISNUMBER(INDEX('register map'!K:K,C472)),0,""),IF(ISNUMBER(INDEX('register map'!J:J,C472)),1,""),IF(ISNUMBER(INDEX('register map'!I:I,C472)),2,""),IF(ISNUMBER(INDEX('register map'!H:H,C472)),3,""),IF(ISNUMBER(INDEX('register map'!G:G,C472)),4,""),IF(ISNUMBER(INDEX('register map'!F:F,C472)),5,""),IF(ISNUMBER(INDEX('register map'!E:E,C472)),6,""),IF(ISNUMBER(INDEX('register map'!D:D,C472)),7,""))</f>
        <v>7</v>
      </c>
      <c r="J472" s="117" t="str">
        <f t="shared" si="84"/>
        <v>1</v>
      </c>
      <c r="K472" s="117" t="str">
        <f t="shared" si="77"/>
        <v/>
      </c>
      <c r="L472" s="117" t="str">
        <f t="shared" si="85"/>
        <v/>
      </c>
      <c r="M472" s="117" t="str">
        <f t="shared" si="87"/>
        <v/>
      </c>
      <c r="N472" s="117" t="str">
        <f>IF(ISBLANK(INDEX('register map'!M:M,'Logical Group Generator'!C472)),"No","Yes")</f>
        <v>No</v>
      </c>
      <c r="O472" s="117" t="str">
        <f>IF(NOT(ISBLANK(INDEX('register map'!N:N,'Logical Group Generator'!C472))),"Yes","")</f>
        <v/>
      </c>
      <c r="P472" s="117" t="str">
        <f t="shared" si="78"/>
        <v/>
      </c>
      <c r="Q472" s="117" t="str">
        <f t="shared" si="79"/>
        <v/>
      </c>
      <c r="R472" s="117" t="str">
        <f t="shared" si="80"/>
        <v/>
      </c>
      <c r="S472" s="117" t="str">
        <f t="shared" si="81"/>
        <v>No</v>
      </c>
      <c r="T472" s="117" t="str">
        <f t="shared" si="82"/>
        <v/>
      </c>
      <c r="U472" s="117" t="b">
        <f t="shared" si="86"/>
        <v>0</v>
      </c>
      <c r="V472" s="157" t="b">
        <f>INDEX('register map'!P:P,C472)="yes"</f>
        <v>1</v>
      </c>
      <c r="W472" s="157" t="str">
        <f t="shared" si="83"/>
        <v>FALSE</v>
      </c>
    </row>
    <row r="473" spans="2:23">
      <c r="B473" s="157" t="str">
        <f t="array" ref="B473">IF(ROWS($3:473)&lt;=COUNTA('register map'!$L$5:$L$902),INDEX('register map'!$L$5:$L$902,SMALL(IF('register map'!$L$5:$L$902&lt;&gt;"",ROW('register map'!$L$5:$L$902)-MIN(ROW('register map'!$L$5:$L$902))+1),ROWS($3:473))),"")</f>
        <v>SWB1_CTRL_EN2</v>
      </c>
      <c r="C473" s="157">
        <f>IF(B473="PART_NUMBER",IF(COUNTIF($B$1:B472,"PART_NUMBER")=0,6,8),MATCH(B473,'register map'!L:L,0))</f>
        <v>577</v>
      </c>
      <c r="D473" s="117" t="str">
        <f>IF(ISBLANK(INDEX('register map'!C:C,'Logical Group Generator'!C473)),"No","Yes")</f>
        <v>Yes</v>
      </c>
      <c r="E473" s="117" t="str">
        <f>IF(ISBLANK(INDEX('register map'!A:A,C473)),IF(ISBLANK(INDEX('register map'!A:A,C473-1)),IF(ISBLANK(INDEX('register map'!A:A,C473-2)),IF(ISBLANK(INDEX('register map'!A:A,C473-3)),IF(ISBLANK(INDEX('register map'!A:A,C473-4)),IF(ISBLANK(INDEX('register map'!A:A,C473-5)),IF(ISBLANK(INDEX('register map'!A:A,C473-6)),IF(ISBLANK(INDEX('register map'!A:A,C473-7)),IF(ISBLANK(INDEX('register map'!A:A,C473-8)),"ERROR",INDEX('register map'!A:A,C473-8)),INDEX('register map'!A:A,C473-7)),INDEX('register map'!A:A,C473-6)),INDEX('register map'!A:A,C473-5)),INDEX('register map'!A:A,C473-4)),INDEX('register map'!A:A,C473-3)),INDEX('register map'!A:A,C473-2)),INDEX('register map'!A:A,C473-1)),INDEX('register map'!A:A,C473))</f>
        <v>0x38</v>
      </c>
      <c r="F473" s="117" t="str">
        <f>IF(ISBLANK(INDEX('register map'!B:B,C473)),IF(ISBLANK(INDEX('register map'!B:B,C473-1)),IF(ISBLANK(INDEX('register map'!B:B,C473-2)),IF(ISBLANK(INDEX('register map'!B:B,C473-3)),IF(ISBLANK(INDEX('register map'!B:B,C473-4)),IF(ISBLANK(INDEX('register map'!B:B,C473-5)),IF(ISBLANK(INDEX('register map'!B:B,C473-6)),IF(ISBLANK(INDEX('register map'!B:B,C473-7)),IF(ISBLANK(INDEX('register map'!B:B,C473-8)),"ERROR",INDEX('register map'!B:B,C473-8)),INDEX('register map'!B:B,C473-7)),INDEX('register map'!B:B,C473-6)),INDEX('register map'!B:B,C473-5)),INDEX('register map'!B:B,C473-4)),INDEX('register map'!B:B,C473-3)),INDEX('register map'!B:B,C473-2)),INDEX('register map'!B:B,C473-1)),INDEX('register map'!B:B,C473))</f>
        <v>0x23</v>
      </c>
      <c r="G473" s="117" t="str">
        <f>CONCATENATE(IF(ISNUMBER(INDEX('register map'!D:D,C473)),7,""),IF(ISNUMBER(INDEX('register map'!E:E,C473)),6,""),IF(ISNUMBER(INDEX('register map'!F:F,C473)),5,""),IF(ISNUMBER(INDEX('register map'!G:G,C473)),4,""),IF(ISNUMBER(INDEX('register map'!H:H,C473)),3,""),IF(ISNUMBER(INDEX('register map'!I:I,C473)),2,""),IF(ISNUMBER(INDEX('register map'!J:J,C473)),1,""),IF(ISNUMBER(INDEX('register map'!K:K,C473)),0,""))</f>
        <v/>
      </c>
      <c r="H473" s="117" t="str">
        <f>RIGHT(INDEX('register map'!V:V,MATCH('Logical Group Generator'!B473,'register map'!L:L,0)),LEN(G473))</f>
        <v/>
      </c>
      <c r="I473" s="117" t="str">
        <f>CONCATENATE(IF(ISNUMBER(INDEX('register map'!K:K,C473)),0,""),IF(ISNUMBER(INDEX('register map'!J:J,C473)),1,""),IF(ISNUMBER(INDEX('register map'!I:I,C473)),2,""),IF(ISNUMBER(INDEX('register map'!H:H,C473)),3,""),IF(ISNUMBER(INDEX('register map'!G:G,C473)),4,""),IF(ISNUMBER(INDEX('register map'!F:F,C473)),5,""),IF(ISNUMBER(INDEX('register map'!E:E,C473)),6,""),IF(ISNUMBER(INDEX('register map'!D:D,C473)),7,""))</f>
        <v/>
      </c>
      <c r="J473" s="117" t="str">
        <f t="shared" si="84"/>
        <v/>
      </c>
      <c r="K473" s="117" t="str">
        <f t="shared" si="77"/>
        <v>11000101</v>
      </c>
      <c r="L473" s="117" t="str">
        <f t="shared" si="85"/>
        <v>10100011</v>
      </c>
      <c r="M473" s="117" t="str">
        <f t="shared" si="87"/>
        <v>A3</v>
      </c>
      <c r="N473" s="117" t="str">
        <f>IF(ISBLANK(INDEX('register map'!M:M,'Logical Group Generator'!C473)),"No","Yes")</f>
        <v>No</v>
      </c>
      <c r="O473" s="117" t="str">
        <f>IF(NOT(ISBLANK(INDEX('register map'!N:N,'Logical Group Generator'!C473))),"Yes","")</f>
        <v/>
      </c>
      <c r="P473" s="117" t="str">
        <f t="shared" si="78"/>
        <v>No</v>
      </c>
      <c r="Q473" s="117" t="str">
        <f t="shared" si="79"/>
        <v>No</v>
      </c>
      <c r="R473" s="117" t="str">
        <f t="shared" si="80"/>
        <v>No</v>
      </c>
      <c r="S473" s="117" t="str">
        <f t="shared" si="81"/>
        <v/>
      </c>
      <c r="T473" s="117" t="b">
        <f t="shared" si="82"/>
        <v>1</v>
      </c>
      <c r="U473" s="117" t="b">
        <f t="shared" si="86"/>
        <v>1</v>
      </c>
      <c r="V473" s="157" t="b">
        <f>INDEX('register map'!P:P,C473)="yes"</f>
        <v>1</v>
      </c>
      <c r="W473" s="157" t="str">
        <f t="shared" si="83"/>
        <v>REGISTER</v>
      </c>
    </row>
    <row r="474" spans="2:23">
      <c r="B474" s="157" t="str">
        <f t="array" ref="B474">IF(ROWS($3:474)&lt;=COUNTA('register map'!$L$5:$L$902),INDEX('register map'!$L$5:$L$902,SMALL(IF('register map'!$L$5:$L$902&lt;&gt;"",ROW('register map'!$L$5:$L$902)-MIN(ROW('register map'!$L$5:$L$902))+1),ROWS($3:474))),"")</f>
        <v>OTP_RSVD_38_23_0</v>
      </c>
      <c r="C474" s="157">
        <f>IF(B474="PART_NUMBER",IF(COUNTIF($B$1:B473,"PART_NUMBER")=0,6,8),MATCH(B474,'register map'!L:L,0))</f>
        <v>578</v>
      </c>
      <c r="D474" s="117" t="str">
        <f>IF(ISBLANK(INDEX('register map'!C:C,'Logical Group Generator'!C474)),"No","Yes")</f>
        <v>No</v>
      </c>
      <c r="E474" s="117" t="str">
        <f>IF(ISBLANK(INDEX('register map'!A:A,C474)),IF(ISBLANK(INDEX('register map'!A:A,C474-1)),IF(ISBLANK(INDEX('register map'!A:A,C474-2)),IF(ISBLANK(INDEX('register map'!A:A,C474-3)),IF(ISBLANK(INDEX('register map'!A:A,C474-4)),IF(ISBLANK(INDEX('register map'!A:A,C474-5)),IF(ISBLANK(INDEX('register map'!A:A,C474-6)),IF(ISBLANK(INDEX('register map'!A:A,C474-7)),IF(ISBLANK(INDEX('register map'!A:A,C474-8)),"ERROR",INDEX('register map'!A:A,C474-8)),INDEX('register map'!A:A,C474-7)),INDEX('register map'!A:A,C474-6)),INDEX('register map'!A:A,C474-5)),INDEX('register map'!A:A,C474-4)),INDEX('register map'!A:A,C474-3)),INDEX('register map'!A:A,C474-2)),INDEX('register map'!A:A,C474-1)),INDEX('register map'!A:A,C474))</f>
        <v>0x38</v>
      </c>
      <c r="F474" s="117" t="str">
        <f>IF(ISBLANK(INDEX('register map'!B:B,C474)),IF(ISBLANK(INDEX('register map'!B:B,C474-1)),IF(ISBLANK(INDEX('register map'!B:B,C474-2)),IF(ISBLANK(INDEX('register map'!B:B,C474-3)),IF(ISBLANK(INDEX('register map'!B:B,C474-4)),IF(ISBLANK(INDEX('register map'!B:B,C474-5)),IF(ISBLANK(INDEX('register map'!B:B,C474-6)),IF(ISBLANK(INDEX('register map'!B:B,C474-7)),IF(ISBLANK(INDEX('register map'!B:B,C474-8)),"ERROR",INDEX('register map'!B:B,C474-8)),INDEX('register map'!B:B,C474-7)),INDEX('register map'!B:B,C474-6)),INDEX('register map'!B:B,C474-5)),INDEX('register map'!B:B,C474-4)),INDEX('register map'!B:B,C474-3)),INDEX('register map'!B:B,C474-2)),INDEX('register map'!B:B,C474-1)),INDEX('register map'!B:B,C474))</f>
        <v>0x23</v>
      </c>
      <c r="G474" s="117" t="str">
        <f>CONCATENATE(IF(ISNUMBER(INDEX('register map'!D:D,C474)),7,""),IF(ISNUMBER(INDEX('register map'!E:E,C474)),6,""),IF(ISNUMBER(INDEX('register map'!F:F,C474)),5,""),IF(ISNUMBER(INDEX('register map'!G:G,C474)),4,""),IF(ISNUMBER(INDEX('register map'!H:H,C474)),3,""),IF(ISNUMBER(INDEX('register map'!I:I,C474)),2,""),IF(ISNUMBER(INDEX('register map'!J:J,C474)),1,""),IF(ISNUMBER(INDEX('register map'!K:K,C474)),0,""))</f>
        <v>0</v>
      </c>
      <c r="H474" s="117" t="str">
        <f>RIGHT(INDEX('register map'!V:V,MATCH('Logical Group Generator'!B474,'register map'!L:L,0)),LEN(G474))</f>
        <v>1</v>
      </c>
      <c r="I474" s="117" t="str">
        <f>CONCATENATE(IF(ISNUMBER(INDEX('register map'!K:K,C474)),0,""),IF(ISNUMBER(INDEX('register map'!J:J,C474)),1,""),IF(ISNUMBER(INDEX('register map'!I:I,C474)),2,""),IF(ISNUMBER(INDEX('register map'!H:H,C474)),3,""),IF(ISNUMBER(INDEX('register map'!G:G,C474)),4,""),IF(ISNUMBER(INDEX('register map'!F:F,C474)),5,""),IF(ISNUMBER(INDEX('register map'!E:E,C474)),6,""),IF(ISNUMBER(INDEX('register map'!D:D,C474)),7,""))</f>
        <v>0</v>
      </c>
      <c r="J474" s="117" t="str">
        <f t="shared" si="84"/>
        <v>1</v>
      </c>
      <c r="K474" s="117" t="str">
        <f t="shared" si="77"/>
        <v/>
      </c>
      <c r="L474" s="117" t="str">
        <f t="shared" si="85"/>
        <v/>
      </c>
      <c r="M474" s="117" t="str">
        <f t="shared" si="87"/>
        <v/>
      </c>
      <c r="N474" s="117" t="str">
        <f>IF(ISBLANK(INDEX('register map'!M:M,'Logical Group Generator'!C474)),"No","Yes")</f>
        <v>No</v>
      </c>
      <c r="O474" s="117" t="str">
        <f>IF(NOT(ISBLANK(INDEX('register map'!N:N,'Logical Group Generator'!C474))),"Yes","")</f>
        <v/>
      </c>
      <c r="P474" s="117" t="str">
        <f t="shared" si="78"/>
        <v/>
      </c>
      <c r="Q474" s="117" t="str">
        <f t="shared" si="79"/>
        <v/>
      </c>
      <c r="R474" s="117" t="str">
        <f t="shared" si="80"/>
        <v/>
      </c>
      <c r="S474" s="117" t="str">
        <f t="shared" si="81"/>
        <v>No</v>
      </c>
      <c r="T474" s="117" t="str">
        <f t="shared" si="82"/>
        <v/>
      </c>
      <c r="U474" s="117" t="b">
        <f t="shared" si="86"/>
        <v>0</v>
      </c>
      <c r="V474" s="157" t="b">
        <f>INDEX('register map'!P:P,C474)="yes"</f>
        <v>1</v>
      </c>
      <c r="W474" s="157" t="str">
        <f t="shared" si="83"/>
        <v>FALSE</v>
      </c>
    </row>
    <row r="475" spans="2:23">
      <c r="B475" s="157" t="str">
        <f t="array" ref="B475">IF(ROWS($3:475)&lt;=COUNTA('register map'!$L$5:$L$902),INDEX('register map'!$L$5:$L$902,SMALL(IF('register map'!$L$5:$L$902&lt;&gt;"",ROW('register map'!$L$5:$L$902)-MIN(ROW('register map'!$L$5:$L$902))+1),ROWS($3:475))),"")</f>
        <v>OTP_RSVD_38_23_1</v>
      </c>
      <c r="C475" s="157">
        <f>IF(B475="PART_NUMBER",IF(COUNTIF($B$1:B474,"PART_NUMBER")=0,6,8),MATCH(B475,'register map'!L:L,0))</f>
        <v>579</v>
      </c>
      <c r="D475" s="117" t="str">
        <f>IF(ISBLANK(INDEX('register map'!C:C,'Logical Group Generator'!C475)),"No","Yes")</f>
        <v>No</v>
      </c>
      <c r="E475" s="117" t="str">
        <f>IF(ISBLANK(INDEX('register map'!A:A,C475)),IF(ISBLANK(INDEX('register map'!A:A,C475-1)),IF(ISBLANK(INDEX('register map'!A:A,C475-2)),IF(ISBLANK(INDEX('register map'!A:A,C475-3)),IF(ISBLANK(INDEX('register map'!A:A,C475-4)),IF(ISBLANK(INDEX('register map'!A:A,C475-5)),IF(ISBLANK(INDEX('register map'!A:A,C475-6)),IF(ISBLANK(INDEX('register map'!A:A,C475-7)),IF(ISBLANK(INDEX('register map'!A:A,C475-8)),"ERROR",INDEX('register map'!A:A,C475-8)),INDEX('register map'!A:A,C475-7)),INDEX('register map'!A:A,C475-6)),INDEX('register map'!A:A,C475-5)),INDEX('register map'!A:A,C475-4)),INDEX('register map'!A:A,C475-3)),INDEX('register map'!A:A,C475-2)),INDEX('register map'!A:A,C475-1)),INDEX('register map'!A:A,C475))</f>
        <v>0x38</v>
      </c>
      <c r="F475" s="117" t="str">
        <f>IF(ISBLANK(INDEX('register map'!B:B,C475)),IF(ISBLANK(INDEX('register map'!B:B,C475-1)),IF(ISBLANK(INDEX('register map'!B:B,C475-2)),IF(ISBLANK(INDEX('register map'!B:B,C475-3)),IF(ISBLANK(INDEX('register map'!B:B,C475-4)),IF(ISBLANK(INDEX('register map'!B:B,C475-5)),IF(ISBLANK(INDEX('register map'!B:B,C475-6)),IF(ISBLANK(INDEX('register map'!B:B,C475-7)),IF(ISBLANK(INDEX('register map'!B:B,C475-8)),"ERROR",INDEX('register map'!B:B,C475-8)),INDEX('register map'!B:B,C475-7)),INDEX('register map'!B:B,C475-6)),INDEX('register map'!B:B,C475-5)),INDEX('register map'!B:B,C475-4)),INDEX('register map'!B:B,C475-3)),INDEX('register map'!B:B,C475-2)),INDEX('register map'!B:B,C475-1)),INDEX('register map'!B:B,C475))</f>
        <v>0x23</v>
      </c>
      <c r="G475" s="117" t="str">
        <f>CONCATENATE(IF(ISNUMBER(INDEX('register map'!D:D,C475)),7,""),IF(ISNUMBER(INDEX('register map'!E:E,C475)),6,""),IF(ISNUMBER(INDEX('register map'!F:F,C475)),5,""),IF(ISNUMBER(INDEX('register map'!G:G,C475)),4,""),IF(ISNUMBER(INDEX('register map'!H:H,C475)),3,""),IF(ISNUMBER(INDEX('register map'!I:I,C475)),2,""),IF(ISNUMBER(INDEX('register map'!J:J,C475)),1,""),IF(ISNUMBER(INDEX('register map'!K:K,C475)),0,""))</f>
        <v>1</v>
      </c>
      <c r="H475" s="117" t="str">
        <f>RIGHT(INDEX('register map'!V:V,MATCH('Logical Group Generator'!B475,'register map'!L:L,0)),LEN(G475))</f>
        <v>1</v>
      </c>
      <c r="I475" s="117" t="str">
        <f>CONCATENATE(IF(ISNUMBER(INDEX('register map'!K:K,C475)),0,""),IF(ISNUMBER(INDEX('register map'!J:J,C475)),1,""),IF(ISNUMBER(INDEX('register map'!I:I,C475)),2,""),IF(ISNUMBER(INDEX('register map'!H:H,C475)),3,""),IF(ISNUMBER(INDEX('register map'!G:G,C475)),4,""),IF(ISNUMBER(INDEX('register map'!F:F,C475)),5,""),IF(ISNUMBER(INDEX('register map'!E:E,C475)),6,""),IF(ISNUMBER(INDEX('register map'!D:D,C475)),7,""))</f>
        <v>1</v>
      </c>
      <c r="J475" s="117" t="str">
        <f t="shared" si="84"/>
        <v>1</v>
      </c>
      <c r="K475" s="117" t="str">
        <f t="shared" si="77"/>
        <v/>
      </c>
      <c r="L475" s="117" t="str">
        <f t="shared" si="85"/>
        <v/>
      </c>
      <c r="M475" s="117" t="str">
        <f t="shared" si="87"/>
        <v/>
      </c>
      <c r="N475" s="117" t="str">
        <f>IF(ISBLANK(INDEX('register map'!M:M,'Logical Group Generator'!C475)),"No","Yes")</f>
        <v>No</v>
      </c>
      <c r="O475" s="117" t="str">
        <f>IF(NOT(ISBLANK(INDEX('register map'!N:N,'Logical Group Generator'!C475))),"Yes","")</f>
        <v/>
      </c>
      <c r="P475" s="117" t="str">
        <f t="shared" si="78"/>
        <v/>
      </c>
      <c r="Q475" s="117" t="str">
        <f t="shared" si="79"/>
        <v/>
      </c>
      <c r="R475" s="117" t="str">
        <f t="shared" si="80"/>
        <v/>
      </c>
      <c r="S475" s="117" t="str">
        <f t="shared" si="81"/>
        <v>No</v>
      </c>
      <c r="T475" s="117" t="str">
        <f t="shared" si="82"/>
        <v/>
      </c>
      <c r="U475" s="117" t="b">
        <f t="shared" si="86"/>
        <v>0</v>
      </c>
      <c r="V475" s="157" t="b">
        <f>INDEX('register map'!P:P,C475)="yes"</f>
        <v>1</v>
      </c>
      <c r="W475" s="157" t="str">
        <f t="shared" si="83"/>
        <v>FALSE</v>
      </c>
    </row>
    <row r="476" spans="2:23">
      <c r="B476" s="157" t="str">
        <f t="array" ref="B476">IF(ROWS($3:476)&lt;=COUNTA('register map'!$L$5:$L$902),INDEX('register map'!$L$5:$L$902,SMALL(IF('register map'!$L$5:$L$902&lt;&gt;"",ROW('register map'!$L$5:$L$902)-MIN(ROW('register map'!$L$5:$L$902))+1),ROWS($3:476))),"")</f>
        <v>OTP_RSVD_38_23_432</v>
      </c>
      <c r="C476" s="157">
        <f>IF(B476="PART_NUMBER",IF(COUNTIF($B$1:B475,"PART_NUMBER")=0,6,8),MATCH(B476,'register map'!L:L,0))</f>
        <v>580</v>
      </c>
      <c r="D476" s="117" t="str">
        <f>IF(ISBLANK(INDEX('register map'!C:C,'Logical Group Generator'!C476)),"No","Yes")</f>
        <v>No</v>
      </c>
      <c r="E476" s="117" t="str">
        <f>IF(ISBLANK(INDEX('register map'!A:A,C476)),IF(ISBLANK(INDEX('register map'!A:A,C476-1)),IF(ISBLANK(INDEX('register map'!A:A,C476-2)),IF(ISBLANK(INDEX('register map'!A:A,C476-3)),IF(ISBLANK(INDEX('register map'!A:A,C476-4)),IF(ISBLANK(INDEX('register map'!A:A,C476-5)),IF(ISBLANK(INDEX('register map'!A:A,C476-6)),IF(ISBLANK(INDEX('register map'!A:A,C476-7)),IF(ISBLANK(INDEX('register map'!A:A,C476-8)),"ERROR",INDEX('register map'!A:A,C476-8)),INDEX('register map'!A:A,C476-7)),INDEX('register map'!A:A,C476-6)),INDEX('register map'!A:A,C476-5)),INDEX('register map'!A:A,C476-4)),INDEX('register map'!A:A,C476-3)),INDEX('register map'!A:A,C476-2)),INDEX('register map'!A:A,C476-1)),INDEX('register map'!A:A,C476))</f>
        <v>0x38</v>
      </c>
      <c r="F476" s="117" t="str">
        <f>IF(ISBLANK(INDEX('register map'!B:B,C476)),IF(ISBLANK(INDEX('register map'!B:B,C476-1)),IF(ISBLANK(INDEX('register map'!B:B,C476-2)),IF(ISBLANK(INDEX('register map'!B:B,C476-3)),IF(ISBLANK(INDEX('register map'!B:B,C476-4)),IF(ISBLANK(INDEX('register map'!B:B,C476-5)),IF(ISBLANK(INDEX('register map'!B:B,C476-6)),IF(ISBLANK(INDEX('register map'!B:B,C476-7)),IF(ISBLANK(INDEX('register map'!B:B,C476-8)),"ERROR",INDEX('register map'!B:B,C476-8)),INDEX('register map'!B:B,C476-7)),INDEX('register map'!B:B,C476-6)),INDEX('register map'!B:B,C476-5)),INDEX('register map'!B:B,C476-4)),INDEX('register map'!B:B,C476-3)),INDEX('register map'!B:B,C476-2)),INDEX('register map'!B:B,C476-1)),INDEX('register map'!B:B,C476))</f>
        <v>0x23</v>
      </c>
      <c r="G476" s="117" t="str">
        <f>CONCATENATE(IF(ISNUMBER(INDEX('register map'!D:D,C476)),7,""),IF(ISNUMBER(INDEX('register map'!E:E,C476)),6,""),IF(ISNUMBER(INDEX('register map'!F:F,C476)),5,""),IF(ISNUMBER(INDEX('register map'!G:G,C476)),4,""),IF(ISNUMBER(INDEX('register map'!H:H,C476)),3,""),IF(ISNUMBER(INDEX('register map'!I:I,C476)),2,""),IF(ISNUMBER(INDEX('register map'!J:J,C476)),1,""),IF(ISNUMBER(INDEX('register map'!K:K,C476)),0,""))</f>
        <v>432</v>
      </c>
      <c r="H476" s="117" t="str">
        <f>RIGHT(INDEX('register map'!V:V,MATCH('Logical Group Generator'!B476,'register map'!L:L,0)),LEN(G476))</f>
        <v>000</v>
      </c>
      <c r="I476" s="117" t="str">
        <f>CONCATENATE(IF(ISNUMBER(INDEX('register map'!K:K,C476)),0,""),IF(ISNUMBER(INDEX('register map'!J:J,C476)),1,""),IF(ISNUMBER(INDEX('register map'!I:I,C476)),2,""),IF(ISNUMBER(INDEX('register map'!H:H,C476)),3,""),IF(ISNUMBER(INDEX('register map'!G:G,C476)),4,""),IF(ISNUMBER(INDEX('register map'!F:F,C476)),5,""),IF(ISNUMBER(INDEX('register map'!E:E,C476)),6,""),IF(ISNUMBER(INDEX('register map'!D:D,C476)),7,""))</f>
        <v>234</v>
      </c>
      <c r="J476" s="117" t="str">
        <f t="shared" si="84"/>
        <v>000</v>
      </c>
      <c r="K476" s="117" t="str">
        <f t="shared" si="77"/>
        <v/>
      </c>
      <c r="L476" s="117" t="str">
        <f t="shared" si="85"/>
        <v/>
      </c>
      <c r="M476" s="117" t="str">
        <f t="shared" si="87"/>
        <v/>
      </c>
      <c r="N476" s="117" t="str">
        <f>IF(ISBLANK(INDEX('register map'!M:M,'Logical Group Generator'!C476)),"No","Yes")</f>
        <v>No</v>
      </c>
      <c r="O476" s="117" t="str">
        <f>IF(NOT(ISBLANK(INDEX('register map'!N:N,'Logical Group Generator'!C476))),"Yes","")</f>
        <v/>
      </c>
      <c r="P476" s="117" t="str">
        <f t="shared" si="78"/>
        <v/>
      </c>
      <c r="Q476" s="117" t="str">
        <f t="shared" si="79"/>
        <v/>
      </c>
      <c r="R476" s="117" t="str">
        <f t="shared" si="80"/>
        <v/>
      </c>
      <c r="S476" s="117" t="str">
        <f t="shared" si="81"/>
        <v>No</v>
      </c>
      <c r="T476" s="117" t="str">
        <f t="shared" si="82"/>
        <v/>
      </c>
      <c r="U476" s="117" t="b">
        <f t="shared" si="86"/>
        <v>0</v>
      </c>
      <c r="V476" s="157" t="b">
        <f>INDEX('register map'!P:P,C476)="yes"</f>
        <v>1</v>
      </c>
      <c r="W476" s="157" t="str">
        <f t="shared" si="83"/>
        <v>FALSE</v>
      </c>
    </row>
    <row r="477" spans="2:23">
      <c r="B477" s="157" t="str">
        <f t="array" ref="B477">IF(ROWS($3:477)&lt;=COUNTA('register map'!$L$5:$L$902),INDEX('register map'!$L$5:$L$902,SMALL(IF('register map'!$L$5:$L$902&lt;&gt;"",ROW('register map'!$L$5:$L$902)-MIN(ROW('register map'!$L$5:$L$902))+1),ROWS($3:477))),"")</f>
        <v>OTP_RSVD_38_23_65</v>
      </c>
      <c r="C477" s="157">
        <f>IF(B477="PART_NUMBER",IF(COUNTIF($B$1:B476,"PART_NUMBER")=0,6,8),MATCH(B477,'register map'!L:L,0))</f>
        <v>581</v>
      </c>
      <c r="D477" s="117" t="str">
        <f>IF(ISBLANK(INDEX('register map'!C:C,'Logical Group Generator'!C477)),"No","Yes")</f>
        <v>No</v>
      </c>
      <c r="E477" s="117" t="str">
        <f>IF(ISBLANK(INDEX('register map'!A:A,C477)),IF(ISBLANK(INDEX('register map'!A:A,C477-1)),IF(ISBLANK(INDEX('register map'!A:A,C477-2)),IF(ISBLANK(INDEX('register map'!A:A,C477-3)),IF(ISBLANK(INDEX('register map'!A:A,C477-4)),IF(ISBLANK(INDEX('register map'!A:A,C477-5)),IF(ISBLANK(INDEX('register map'!A:A,C477-6)),IF(ISBLANK(INDEX('register map'!A:A,C477-7)),IF(ISBLANK(INDEX('register map'!A:A,C477-8)),"ERROR",INDEX('register map'!A:A,C477-8)),INDEX('register map'!A:A,C477-7)),INDEX('register map'!A:A,C477-6)),INDEX('register map'!A:A,C477-5)),INDEX('register map'!A:A,C477-4)),INDEX('register map'!A:A,C477-3)),INDEX('register map'!A:A,C477-2)),INDEX('register map'!A:A,C477-1)),INDEX('register map'!A:A,C477))</f>
        <v>0x38</v>
      </c>
      <c r="F477" s="117" t="str">
        <f>IF(ISBLANK(INDEX('register map'!B:B,C477)),IF(ISBLANK(INDEX('register map'!B:B,C477-1)),IF(ISBLANK(INDEX('register map'!B:B,C477-2)),IF(ISBLANK(INDEX('register map'!B:B,C477-3)),IF(ISBLANK(INDEX('register map'!B:B,C477-4)),IF(ISBLANK(INDEX('register map'!B:B,C477-5)),IF(ISBLANK(INDEX('register map'!B:B,C477-6)),IF(ISBLANK(INDEX('register map'!B:B,C477-7)),IF(ISBLANK(INDEX('register map'!B:B,C477-8)),"ERROR",INDEX('register map'!B:B,C477-8)),INDEX('register map'!B:B,C477-7)),INDEX('register map'!B:B,C477-6)),INDEX('register map'!B:B,C477-5)),INDEX('register map'!B:B,C477-4)),INDEX('register map'!B:B,C477-3)),INDEX('register map'!B:B,C477-2)),INDEX('register map'!B:B,C477-1)),INDEX('register map'!B:B,C477))</f>
        <v>0x23</v>
      </c>
      <c r="G477" s="117" t="str">
        <f>CONCATENATE(IF(ISNUMBER(INDEX('register map'!D:D,C477)),7,""),IF(ISNUMBER(INDEX('register map'!E:E,C477)),6,""),IF(ISNUMBER(INDEX('register map'!F:F,C477)),5,""),IF(ISNUMBER(INDEX('register map'!G:G,C477)),4,""),IF(ISNUMBER(INDEX('register map'!H:H,C477)),3,""),IF(ISNUMBER(INDEX('register map'!I:I,C477)),2,""),IF(ISNUMBER(INDEX('register map'!J:J,C477)),1,""),IF(ISNUMBER(INDEX('register map'!K:K,C477)),0,""))</f>
        <v>65</v>
      </c>
      <c r="H477" s="117" t="str">
        <f>RIGHT(INDEX('register map'!V:V,MATCH('Logical Group Generator'!B477,'register map'!L:L,0)),LEN(G477))</f>
        <v>01</v>
      </c>
      <c r="I477" s="117" t="str">
        <f>CONCATENATE(IF(ISNUMBER(INDEX('register map'!K:K,C477)),0,""),IF(ISNUMBER(INDEX('register map'!J:J,C477)),1,""),IF(ISNUMBER(INDEX('register map'!I:I,C477)),2,""),IF(ISNUMBER(INDEX('register map'!H:H,C477)),3,""),IF(ISNUMBER(INDEX('register map'!G:G,C477)),4,""),IF(ISNUMBER(INDEX('register map'!F:F,C477)),5,""),IF(ISNUMBER(INDEX('register map'!E:E,C477)),6,""),IF(ISNUMBER(INDEX('register map'!D:D,C477)),7,""))</f>
        <v>56</v>
      </c>
      <c r="J477" s="117" t="str">
        <f t="shared" si="84"/>
        <v>10</v>
      </c>
      <c r="K477" s="117" t="str">
        <f t="shared" si="77"/>
        <v/>
      </c>
      <c r="L477" s="117" t="str">
        <f t="shared" si="85"/>
        <v/>
      </c>
      <c r="M477" s="117" t="str">
        <f t="shared" si="87"/>
        <v/>
      </c>
      <c r="N477" s="117" t="str">
        <f>IF(ISBLANK(INDEX('register map'!M:M,'Logical Group Generator'!C477)),"No","Yes")</f>
        <v>No</v>
      </c>
      <c r="O477" s="117" t="str">
        <f>IF(NOT(ISBLANK(INDEX('register map'!N:N,'Logical Group Generator'!C477))),"Yes","")</f>
        <v/>
      </c>
      <c r="P477" s="117" t="str">
        <f t="shared" si="78"/>
        <v/>
      </c>
      <c r="Q477" s="117" t="str">
        <f t="shared" si="79"/>
        <v/>
      </c>
      <c r="R477" s="117" t="str">
        <f t="shared" si="80"/>
        <v/>
      </c>
      <c r="S477" s="117" t="str">
        <f t="shared" si="81"/>
        <v>No</v>
      </c>
      <c r="T477" s="117" t="str">
        <f t="shared" si="82"/>
        <v/>
      </c>
      <c r="U477" s="117" t="b">
        <f t="shared" si="86"/>
        <v>0</v>
      </c>
      <c r="V477" s="157" t="b">
        <f>INDEX('register map'!P:P,C477)="yes"</f>
        <v>1</v>
      </c>
      <c r="W477" s="157" t="str">
        <f t="shared" si="83"/>
        <v>FALSE</v>
      </c>
    </row>
    <row r="478" spans="2:23">
      <c r="B478" s="157" t="str">
        <f t="array" ref="B478">IF(ROWS($3:478)&lt;=COUNTA('register map'!$L$5:$L$902),INDEX('register map'!$L$5:$L$902,SMALL(IF('register map'!$L$5:$L$902&lt;&gt;"",ROW('register map'!$L$5:$L$902)-MIN(ROW('register map'!$L$5:$L$902))+1),ROWS($3:478))),"")</f>
        <v>OTP_RSVD_38_23_7</v>
      </c>
      <c r="C478" s="157">
        <f>IF(B478="PART_NUMBER",IF(COUNTIF($B$1:B477,"PART_NUMBER")=0,6,8),MATCH(B478,'register map'!L:L,0))</f>
        <v>582</v>
      </c>
      <c r="D478" s="117" t="str">
        <f>IF(ISBLANK(INDEX('register map'!C:C,'Logical Group Generator'!C478)),"No","Yes")</f>
        <v>No</v>
      </c>
      <c r="E478" s="117" t="str">
        <f>IF(ISBLANK(INDEX('register map'!A:A,C478)),IF(ISBLANK(INDEX('register map'!A:A,C478-1)),IF(ISBLANK(INDEX('register map'!A:A,C478-2)),IF(ISBLANK(INDEX('register map'!A:A,C478-3)),IF(ISBLANK(INDEX('register map'!A:A,C478-4)),IF(ISBLANK(INDEX('register map'!A:A,C478-5)),IF(ISBLANK(INDEX('register map'!A:A,C478-6)),IF(ISBLANK(INDEX('register map'!A:A,C478-7)),IF(ISBLANK(INDEX('register map'!A:A,C478-8)),"ERROR",INDEX('register map'!A:A,C478-8)),INDEX('register map'!A:A,C478-7)),INDEX('register map'!A:A,C478-6)),INDEX('register map'!A:A,C478-5)),INDEX('register map'!A:A,C478-4)),INDEX('register map'!A:A,C478-3)),INDEX('register map'!A:A,C478-2)),INDEX('register map'!A:A,C478-1)),INDEX('register map'!A:A,C478))</f>
        <v>0x38</v>
      </c>
      <c r="F478" s="117" t="str">
        <f>IF(ISBLANK(INDEX('register map'!B:B,C478)),IF(ISBLANK(INDEX('register map'!B:B,C478-1)),IF(ISBLANK(INDEX('register map'!B:B,C478-2)),IF(ISBLANK(INDEX('register map'!B:B,C478-3)),IF(ISBLANK(INDEX('register map'!B:B,C478-4)),IF(ISBLANK(INDEX('register map'!B:B,C478-5)),IF(ISBLANK(INDEX('register map'!B:B,C478-6)),IF(ISBLANK(INDEX('register map'!B:B,C478-7)),IF(ISBLANK(INDEX('register map'!B:B,C478-8)),"ERROR",INDEX('register map'!B:B,C478-8)),INDEX('register map'!B:B,C478-7)),INDEX('register map'!B:B,C478-6)),INDEX('register map'!B:B,C478-5)),INDEX('register map'!B:B,C478-4)),INDEX('register map'!B:B,C478-3)),INDEX('register map'!B:B,C478-2)),INDEX('register map'!B:B,C478-1)),INDEX('register map'!B:B,C478))</f>
        <v>0x23</v>
      </c>
      <c r="G478" s="117" t="str">
        <f>CONCATENATE(IF(ISNUMBER(INDEX('register map'!D:D,C478)),7,""),IF(ISNUMBER(INDEX('register map'!E:E,C478)),6,""),IF(ISNUMBER(INDEX('register map'!F:F,C478)),5,""),IF(ISNUMBER(INDEX('register map'!G:G,C478)),4,""),IF(ISNUMBER(INDEX('register map'!H:H,C478)),3,""),IF(ISNUMBER(INDEX('register map'!I:I,C478)),2,""),IF(ISNUMBER(INDEX('register map'!J:J,C478)),1,""),IF(ISNUMBER(INDEX('register map'!K:K,C478)),0,""))</f>
        <v>7</v>
      </c>
      <c r="H478" s="117" t="str">
        <f>RIGHT(INDEX('register map'!V:V,MATCH('Logical Group Generator'!B478,'register map'!L:L,0)),LEN(G478))</f>
        <v>1</v>
      </c>
      <c r="I478" s="117" t="str">
        <f>CONCATENATE(IF(ISNUMBER(INDEX('register map'!K:K,C478)),0,""),IF(ISNUMBER(INDEX('register map'!J:J,C478)),1,""),IF(ISNUMBER(INDEX('register map'!I:I,C478)),2,""),IF(ISNUMBER(INDEX('register map'!H:H,C478)),3,""),IF(ISNUMBER(INDEX('register map'!G:G,C478)),4,""),IF(ISNUMBER(INDEX('register map'!F:F,C478)),5,""),IF(ISNUMBER(INDEX('register map'!E:E,C478)),6,""),IF(ISNUMBER(INDEX('register map'!D:D,C478)),7,""))</f>
        <v>7</v>
      </c>
      <c r="J478" s="117" t="str">
        <f t="shared" si="84"/>
        <v>1</v>
      </c>
      <c r="K478" s="117" t="str">
        <f t="shared" si="77"/>
        <v/>
      </c>
      <c r="L478" s="117" t="str">
        <f t="shared" si="85"/>
        <v/>
      </c>
      <c r="M478" s="117" t="str">
        <f t="shared" si="87"/>
        <v/>
      </c>
      <c r="N478" s="117" t="str">
        <f>IF(ISBLANK(INDEX('register map'!M:M,'Logical Group Generator'!C478)),"No","Yes")</f>
        <v>No</v>
      </c>
      <c r="O478" s="117" t="str">
        <f>IF(NOT(ISBLANK(INDEX('register map'!N:N,'Logical Group Generator'!C478))),"Yes","")</f>
        <v/>
      </c>
      <c r="P478" s="117" t="str">
        <f t="shared" si="78"/>
        <v/>
      </c>
      <c r="Q478" s="117" t="str">
        <f t="shared" si="79"/>
        <v/>
      </c>
      <c r="R478" s="117" t="str">
        <f t="shared" si="80"/>
        <v/>
      </c>
      <c r="S478" s="117" t="str">
        <f t="shared" si="81"/>
        <v>No</v>
      </c>
      <c r="T478" s="117" t="str">
        <f t="shared" si="82"/>
        <v/>
      </c>
      <c r="U478" s="117" t="b">
        <f t="shared" si="86"/>
        <v>0</v>
      </c>
      <c r="V478" s="157" t="b">
        <f>INDEX('register map'!P:P,C478)="yes"</f>
        <v>1</v>
      </c>
      <c r="W478" s="157" t="str">
        <f t="shared" si="83"/>
        <v>FALSE</v>
      </c>
    </row>
    <row r="479" spans="2:23">
      <c r="B479" s="157" t="str">
        <f t="array" ref="B479">IF(ROWS($3:479)&lt;=COUNTA('register map'!$L$5:$L$902),INDEX('register map'!$L$5:$L$902,SMALL(IF('register map'!$L$5:$L$902&lt;&gt;"",ROW('register map'!$L$5:$L$902)-MIN(ROW('register map'!$L$5:$L$902))+1),ROWS($3:479))),"")</f>
        <v>SWB1_CTRL_EN3</v>
      </c>
      <c r="C479" s="157">
        <f>IF(B479="PART_NUMBER",IF(COUNTIF($B$1:B478,"PART_NUMBER")=0,6,8),MATCH(B479,'register map'!L:L,0))</f>
        <v>583</v>
      </c>
      <c r="D479" s="117" t="str">
        <f>IF(ISBLANK(INDEX('register map'!C:C,'Logical Group Generator'!C479)),"No","Yes")</f>
        <v>Yes</v>
      </c>
      <c r="E479" s="117" t="str">
        <f>IF(ISBLANK(INDEX('register map'!A:A,C479)),IF(ISBLANK(INDEX('register map'!A:A,C479-1)),IF(ISBLANK(INDEX('register map'!A:A,C479-2)),IF(ISBLANK(INDEX('register map'!A:A,C479-3)),IF(ISBLANK(INDEX('register map'!A:A,C479-4)),IF(ISBLANK(INDEX('register map'!A:A,C479-5)),IF(ISBLANK(INDEX('register map'!A:A,C479-6)),IF(ISBLANK(INDEX('register map'!A:A,C479-7)),IF(ISBLANK(INDEX('register map'!A:A,C479-8)),"ERROR",INDEX('register map'!A:A,C479-8)),INDEX('register map'!A:A,C479-7)),INDEX('register map'!A:A,C479-6)),INDEX('register map'!A:A,C479-5)),INDEX('register map'!A:A,C479-4)),INDEX('register map'!A:A,C479-3)),INDEX('register map'!A:A,C479-2)),INDEX('register map'!A:A,C479-1)),INDEX('register map'!A:A,C479))</f>
        <v>0x38</v>
      </c>
      <c r="F479" s="117" t="str">
        <f>IF(ISBLANK(INDEX('register map'!B:B,C479)),IF(ISBLANK(INDEX('register map'!B:B,C479-1)),IF(ISBLANK(INDEX('register map'!B:B,C479-2)),IF(ISBLANK(INDEX('register map'!B:B,C479-3)),IF(ISBLANK(INDEX('register map'!B:B,C479-4)),IF(ISBLANK(INDEX('register map'!B:B,C479-5)),IF(ISBLANK(INDEX('register map'!B:B,C479-6)),IF(ISBLANK(INDEX('register map'!B:B,C479-7)),IF(ISBLANK(INDEX('register map'!B:B,C479-8)),"ERROR",INDEX('register map'!B:B,C479-8)),INDEX('register map'!B:B,C479-7)),INDEX('register map'!B:B,C479-6)),INDEX('register map'!B:B,C479-5)),INDEX('register map'!B:B,C479-4)),INDEX('register map'!B:B,C479-3)),INDEX('register map'!B:B,C479-2)),INDEX('register map'!B:B,C479-1)),INDEX('register map'!B:B,C479))</f>
        <v>0x24</v>
      </c>
      <c r="G479" s="117" t="str">
        <f>CONCATENATE(IF(ISNUMBER(INDEX('register map'!D:D,C479)),7,""),IF(ISNUMBER(INDEX('register map'!E:E,C479)),6,""),IF(ISNUMBER(INDEX('register map'!F:F,C479)),5,""),IF(ISNUMBER(INDEX('register map'!G:G,C479)),4,""),IF(ISNUMBER(INDEX('register map'!H:H,C479)),3,""),IF(ISNUMBER(INDEX('register map'!I:I,C479)),2,""),IF(ISNUMBER(INDEX('register map'!J:J,C479)),1,""),IF(ISNUMBER(INDEX('register map'!K:K,C479)),0,""))</f>
        <v/>
      </c>
      <c r="H479" s="117" t="str">
        <f>RIGHT(INDEX('register map'!V:V,MATCH('Logical Group Generator'!B479,'register map'!L:L,0)),LEN(G479))</f>
        <v/>
      </c>
      <c r="I479" s="117" t="str">
        <f>CONCATENATE(IF(ISNUMBER(INDEX('register map'!K:K,C479)),0,""),IF(ISNUMBER(INDEX('register map'!J:J,C479)),1,""),IF(ISNUMBER(INDEX('register map'!I:I,C479)),2,""),IF(ISNUMBER(INDEX('register map'!H:H,C479)),3,""),IF(ISNUMBER(INDEX('register map'!G:G,C479)),4,""),IF(ISNUMBER(INDEX('register map'!F:F,C479)),5,""),IF(ISNUMBER(INDEX('register map'!E:E,C479)),6,""),IF(ISNUMBER(INDEX('register map'!D:D,C479)),7,""))</f>
        <v/>
      </c>
      <c r="J479" s="117" t="str">
        <f t="shared" si="84"/>
        <v/>
      </c>
      <c r="K479" s="117" t="str">
        <f t="shared" si="77"/>
        <v>00000000</v>
      </c>
      <c r="L479" s="117" t="str">
        <f t="shared" si="85"/>
        <v>00000000</v>
      </c>
      <c r="M479" s="117" t="str">
        <f t="shared" si="87"/>
        <v>00</v>
      </c>
      <c r="N479" s="117" t="str">
        <f>IF(ISBLANK(INDEX('register map'!M:M,'Logical Group Generator'!C479)),"No","Yes")</f>
        <v>No</v>
      </c>
      <c r="O479" s="117" t="str">
        <f>IF(NOT(ISBLANK(INDEX('register map'!N:N,'Logical Group Generator'!C479))),"Yes","")</f>
        <v/>
      </c>
      <c r="P479" s="117" t="str">
        <f t="shared" si="78"/>
        <v>No</v>
      </c>
      <c r="Q479" s="117" t="str">
        <f t="shared" si="79"/>
        <v>No</v>
      </c>
      <c r="R479" s="117" t="str">
        <f t="shared" si="80"/>
        <v>No</v>
      </c>
      <c r="S479" s="117" t="str">
        <f t="shared" si="81"/>
        <v/>
      </c>
      <c r="T479" s="117" t="b">
        <f t="shared" si="82"/>
        <v>1</v>
      </c>
      <c r="U479" s="117" t="b">
        <f t="shared" si="86"/>
        <v>1</v>
      </c>
      <c r="V479" s="157" t="b">
        <f>INDEX('register map'!P:P,C479)="yes"</f>
        <v>1</v>
      </c>
      <c r="W479" s="157" t="str">
        <f t="shared" si="83"/>
        <v>REGISTER</v>
      </c>
    </row>
    <row r="480" spans="2:23">
      <c r="B480" s="157" t="str">
        <f t="array" ref="B480">IF(ROWS($3:480)&lt;=COUNTA('register map'!$L$5:$L$902),INDEX('register map'!$L$5:$L$902,SMALL(IF('register map'!$L$5:$L$902&lt;&gt;"",ROW('register map'!$L$5:$L$902)-MIN(ROW('register map'!$L$5:$L$902))+1),ROWS($3:480))),"")</f>
        <v>OTP_RSVD_38_24_210</v>
      </c>
      <c r="C480" s="157">
        <f>IF(B480="PART_NUMBER",IF(COUNTIF($B$1:B479,"PART_NUMBER")=0,6,8),MATCH(B480,'register map'!L:L,0))</f>
        <v>584</v>
      </c>
      <c r="D480" s="117" t="str">
        <f>IF(ISBLANK(INDEX('register map'!C:C,'Logical Group Generator'!C480)),"No","Yes")</f>
        <v>No</v>
      </c>
      <c r="E480" s="117" t="str">
        <f>IF(ISBLANK(INDEX('register map'!A:A,C480)),IF(ISBLANK(INDEX('register map'!A:A,C480-1)),IF(ISBLANK(INDEX('register map'!A:A,C480-2)),IF(ISBLANK(INDEX('register map'!A:A,C480-3)),IF(ISBLANK(INDEX('register map'!A:A,C480-4)),IF(ISBLANK(INDEX('register map'!A:A,C480-5)),IF(ISBLANK(INDEX('register map'!A:A,C480-6)),IF(ISBLANK(INDEX('register map'!A:A,C480-7)),IF(ISBLANK(INDEX('register map'!A:A,C480-8)),"ERROR",INDEX('register map'!A:A,C480-8)),INDEX('register map'!A:A,C480-7)),INDEX('register map'!A:A,C480-6)),INDEX('register map'!A:A,C480-5)),INDEX('register map'!A:A,C480-4)),INDEX('register map'!A:A,C480-3)),INDEX('register map'!A:A,C480-2)),INDEX('register map'!A:A,C480-1)),INDEX('register map'!A:A,C480))</f>
        <v>0x38</v>
      </c>
      <c r="F480" s="117" t="str">
        <f>IF(ISBLANK(INDEX('register map'!B:B,C480)),IF(ISBLANK(INDEX('register map'!B:B,C480-1)),IF(ISBLANK(INDEX('register map'!B:B,C480-2)),IF(ISBLANK(INDEX('register map'!B:B,C480-3)),IF(ISBLANK(INDEX('register map'!B:B,C480-4)),IF(ISBLANK(INDEX('register map'!B:B,C480-5)),IF(ISBLANK(INDEX('register map'!B:B,C480-6)),IF(ISBLANK(INDEX('register map'!B:B,C480-7)),IF(ISBLANK(INDEX('register map'!B:B,C480-8)),"ERROR",INDEX('register map'!B:B,C480-8)),INDEX('register map'!B:B,C480-7)),INDEX('register map'!B:B,C480-6)),INDEX('register map'!B:B,C480-5)),INDEX('register map'!B:B,C480-4)),INDEX('register map'!B:B,C480-3)),INDEX('register map'!B:B,C480-2)),INDEX('register map'!B:B,C480-1)),INDEX('register map'!B:B,C480))</f>
        <v>0x24</v>
      </c>
      <c r="G480" s="117" t="str">
        <f>CONCATENATE(IF(ISNUMBER(INDEX('register map'!D:D,C480)),7,""),IF(ISNUMBER(INDEX('register map'!E:E,C480)),6,""),IF(ISNUMBER(INDEX('register map'!F:F,C480)),5,""),IF(ISNUMBER(INDEX('register map'!G:G,C480)),4,""),IF(ISNUMBER(INDEX('register map'!H:H,C480)),3,""),IF(ISNUMBER(INDEX('register map'!I:I,C480)),2,""),IF(ISNUMBER(INDEX('register map'!J:J,C480)),1,""),IF(ISNUMBER(INDEX('register map'!K:K,C480)),0,""))</f>
        <v>210</v>
      </c>
      <c r="H480" s="117" t="str">
        <f>RIGHT(INDEX('register map'!V:V,MATCH('Logical Group Generator'!B480,'register map'!L:L,0)),LEN(G480))</f>
        <v>000</v>
      </c>
      <c r="I480" s="117" t="str">
        <f>CONCATENATE(IF(ISNUMBER(INDEX('register map'!K:K,C480)),0,""),IF(ISNUMBER(INDEX('register map'!J:J,C480)),1,""),IF(ISNUMBER(INDEX('register map'!I:I,C480)),2,""),IF(ISNUMBER(INDEX('register map'!H:H,C480)),3,""),IF(ISNUMBER(INDEX('register map'!G:G,C480)),4,""),IF(ISNUMBER(INDEX('register map'!F:F,C480)),5,""),IF(ISNUMBER(INDEX('register map'!E:E,C480)),6,""),IF(ISNUMBER(INDEX('register map'!D:D,C480)),7,""))</f>
        <v>012</v>
      </c>
      <c r="J480" s="117" t="str">
        <f t="shared" si="84"/>
        <v>000</v>
      </c>
      <c r="K480" s="117" t="str">
        <f t="shared" si="77"/>
        <v/>
      </c>
      <c r="L480" s="117" t="str">
        <f t="shared" si="85"/>
        <v/>
      </c>
      <c r="M480" s="117" t="str">
        <f t="shared" si="87"/>
        <v/>
      </c>
      <c r="N480" s="117" t="str">
        <f>IF(ISBLANK(INDEX('register map'!M:M,'Logical Group Generator'!C480)),"No","Yes")</f>
        <v>No</v>
      </c>
      <c r="O480" s="117" t="str">
        <f>IF(NOT(ISBLANK(INDEX('register map'!N:N,'Logical Group Generator'!C480))),"Yes","")</f>
        <v/>
      </c>
      <c r="P480" s="117" t="str">
        <f t="shared" si="78"/>
        <v/>
      </c>
      <c r="Q480" s="117" t="str">
        <f t="shared" si="79"/>
        <v/>
      </c>
      <c r="R480" s="117" t="str">
        <f t="shared" si="80"/>
        <v/>
      </c>
      <c r="S480" s="117" t="str">
        <f t="shared" si="81"/>
        <v>No</v>
      </c>
      <c r="T480" s="117" t="str">
        <f t="shared" si="82"/>
        <v/>
      </c>
      <c r="U480" s="117" t="b">
        <f t="shared" si="86"/>
        <v>0</v>
      </c>
      <c r="V480" s="157" t="b">
        <f>INDEX('register map'!P:P,C480)="yes"</f>
        <v>1</v>
      </c>
      <c r="W480" s="157" t="str">
        <f t="shared" si="83"/>
        <v>FALSE</v>
      </c>
    </row>
    <row r="481" spans="2:23">
      <c r="B481" s="157" t="str">
        <f t="array" ref="B481">IF(ROWS($3:481)&lt;=COUNTA('register map'!$L$5:$L$902),INDEX('register map'!$L$5:$L$902,SMALL(IF('register map'!$L$5:$L$902&lt;&gt;"",ROW('register map'!$L$5:$L$902)-MIN(ROW('register map'!$L$5:$L$902))+1),ROWS($3:481))),"")</f>
        <v>OTP_RSVD_38_24_543</v>
      </c>
      <c r="C481" s="157">
        <f>IF(B481="PART_NUMBER",IF(COUNTIF($B$1:B480,"PART_NUMBER")=0,6,8),MATCH(B481,'register map'!L:L,0))</f>
        <v>585</v>
      </c>
      <c r="D481" s="117" t="str">
        <f>IF(ISBLANK(INDEX('register map'!C:C,'Logical Group Generator'!C481)),"No","Yes")</f>
        <v>No</v>
      </c>
      <c r="E481" s="117" t="str">
        <f>IF(ISBLANK(INDEX('register map'!A:A,C481)),IF(ISBLANK(INDEX('register map'!A:A,C481-1)),IF(ISBLANK(INDEX('register map'!A:A,C481-2)),IF(ISBLANK(INDEX('register map'!A:A,C481-3)),IF(ISBLANK(INDEX('register map'!A:A,C481-4)),IF(ISBLANK(INDEX('register map'!A:A,C481-5)),IF(ISBLANK(INDEX('register map'!A:A,C481-6)),IF(ISBLANK(INDEX('register map'!A:A,C481-7)),IF(ISBLANK(INDEX('register map'!A:A,C481-8)),"ERROR",INDEX('register map'!A:A,C481-8)),INDEX('register map'!A:A,C481-7)),INDEX('register map'!A:A,C481-6)),INDEX('register map'!A:A,C481-5)),INDEX('register map'!A:A,C481-4)),INDEX('register map'!A:A,C481-3)),INDEX('register map'!A:A,C481-2)),INDEX('register map'!A:A,C481-1)),INDEX('register map'!A:A,C481))</f>
        <v>0x38</v>
      </c>
      <c r="F481" s="117" t="str">
        <f>IF(ISBLANK(INDEX('register map'!B:B,C481)),IF(ISBLANK(INDEX('register map'!B:B,C481-1)),IF(ISBLANK(INDEX('register map'!B:B,C481-2)),IF(ISBLANK(INDEX('register map'!B:B,C481-3)),IF(ISBLANK(INDEX('register map'!B:B,C481-4)),IF(ISBLANK(INDEX('register map'!B:B,C481-5)),IF(ISBLANK(INDEX('register map'!B:B,C481-6)),IF(ISBLANK(INDEX('register map'!B:B,C481-7)),IF(ISBLANK(INDEX('register map'!B:B,C481-8)),"ERROR",INDEX('register map'!B:B,C481-8)),INDEX('register map'!B:B,C481-7)),INDEX('register map'!B:B,C481-6)),INDEX('register map'!B:B,C481-5)),INDEX('register map'!B:B,C481-4)),INDEX('register map'!B:B,C481-3)),INDEX('register map'!B:B,C481-2)),INDEX('register map'!B:B,C481-1)),INDEX('register map'!B:B,C481))</f>
        <v>0x24</v>
      </c>
      <c r="G481" s="117" t="str">
        <f>CONCATENATE(IF(ISNUMBER(INDEX('register map'!D:D,C481)),7,""),IF(ISNUMBER(INDEX('register map'!E:E,C481)),6,""),IF(ISNUMBER(INDEX('register map'!F:F,C481)),5,""),IF(ISNUMBER(INDEX('register map'!G:G,C481)),4,""),IF(ISNUMBER(INDEX('register map'!H:H,C481)),3,""),IF(ISNUMBER(INDEX('register map'!I:I,C481)),2,""),IF(ISNUMBER(INDEX('register map'!J:J,C481)),1,""),IF(ISNUMBER(INDEX('register map'!K:K,C481)),0,""))</f>
        <v>543</v>
      </c>
      <c r="H481" s="117" t="str">
        <f>RIGHT(INDEX('register map'!V:V,MATCH('Logical Group Generator'!B481,'register map'!L:L,0)),LEN(G481))</f>
        <v>000</v>
      </c>
      <c r="I481" s="117" t="str">
        <f>CONCATENATE(IF(ISNUMBER(INDEX('register map'!K:K,C481)),0,""),IF(ISNUMBER(INDEX('register map'!J:J,C481)),1,""),IF(ISNUMBER(INDEX('register map'!I:I,C481)),2,""),IF(ISNUMBER(INDEX('register map'!H:H,C481)),3,""),IF(ISNUMBER(INDEX('register map'!G:G,C481)),4,""),IF(ISNUMBER(INDEX('register map'!F:F,C481)),5,""),IF(ISNUMBER(INDEX('register map'!E:E,C481)),6,""),IF(ISNUMBER(INDEX('register map'!D:D,C481)),7,""))</f>
        <v>345</v>
      </c>
      <c r="J481" s="117" t="str">
        <f t="shared" si="84"/>
        <v>000</v>
      </c>
      <c r="K481" s="117" t="str">
        <f t="shared" si="77"/>
        <v/>
      </c>
      <c r="L481" s="117" t="str">
        <f t="shared" si="85"/>
        <v/>
      </c>
      <c r="M481" s="117" t="str">
        <f t="shared" si="87"/>
        <v/>
      </c>
      <c r="N481" s="117" t="str">
        <f>IF(ISBLANK(INDEX('register map'!M:M,'Logical Group Generator'!C481)),"No","Yes")</f>
        <v>No</v>
      </c>
      <c r="O481" s="117" t="str">
        <f>IF(NOT(ISBLANK(INDEX('register map'!N:N,'Logical Group Generator'!C481))),"Yes","")</f>
        <v/>
      </c>
      <c r="P481" s="117" t="str">
        <f t="shared" si="78"/>
        <v/>
      </c>
      <c r="Q481" s="117" t="str">
        <f t="shared" si="79"/>
        <v/>
      </c>
      <c r="R481" s="117" t="str">
        <f t="shared" si="80"/>
        <v/>
      </c>
      <c r="S481" s="117" t="str">
        <f t="shared" si="81"/>
        <v>No</v>
      </c>
      <c r="T481" s="117" t="str">
        <f t="shared" si="82"/>
        <v/>
      </c>
      <c r="U481" s="117" t="b">
        <f t="shared" si="86"/>
        <v>0</v>
      </c>
      <c r="V481" s="157" t="b">
        <f>INDEX('register map'!P:P,C481)="yes"</f>
        <v>1</v>
      </c>
      <c r="W481" s="157" t="str">
        <f t="shared" si="83"/>
        <v>FALSE</v>
      </c>
    </row>
    <row r="482" spans="2:23">
      <c r="B482" s="157" t="str">
        <f t="array" ref="B482">IF(ROWS($3:482)&lt;=COUNTA('register map'!$L$5:$L$902),INDEX('register map'!$L$5:$L$902,SMALL(IF('register map'!$L$5:$L$902&lt;&gt;"",ROW('register map'!$L$5:$L$902)-MIN(ROW('register map'!$L$5:$L$902))+1),ROWS($3:482))),"")</f>
        <v>OTP_RSVD_38_24_76</v>
      </c>
      <c r="C482" s="157">
        <f>IF(B482="PART_NUMBER",IF(COUNTIF($B$1:B481,"PART_NUMBER")=0,6,8),MATCH(B482,'register map'!L:L,0))</f>
        <v>586</v>
      </c>
      <c r="D482" s="117" t="str">
        <f>IF(ISBLANK(INDEX('register map'!C:C,'Logical Group Generator'!C482)),"No","Yes")</f>
        <v>No</v>
      </c>
      <c r="E482" s="117" t="str">
        <f>IF(ISBLANK(INDEX('register map'!A:A,C482)),IF(ISBLANK(INDEX('register map'!A:A,C482-1)),IF(ISBLANK(INDEX('register map'!A:A,C482-2)),IF(ISBLANK(INDEX('register map'!A:A,C482-3)),IF(ISBLANK(INDEX('register map'!A:A,C482-4)),IF(ISBLANK(INDEX('register map'!A:A,C482-5)),IF(ISBLANK(INDEX('register map'!A:A,C482-6)),IF(ISBLANK(INDEX('register map'!A:A,C482-7)),IF(ISBLANK(INDEX('register map'!A:A,C482-8)),"ERROR",INDEX('register map'!A:A,C482-8)),INDEX('register map'!A:A,C482-7)),INDEX('register map'!A:A,C482-6)),INDEX('register map'!A:A,C482-5)),INDEX('register map'!A:A,C482-4)),INDEX('register map'!A:A,C482-3)),INDEX('register map'!A:A,C482-2)),INDEX('register map'!A:A,C482-1)),INDEX('register map'!A:A,C482))</f>
        <v>0x38</v>
      </c>
      <c r="F482" s="117" t="str">
        <f>IF(ISBLANK(INDEX('register map'!B:B,C482)),IF(ISBLANK(INDEX('register map'!B:B,C482-1)),IF(ISBLANK(INDEX('register map'!B:B,C482-2)),IF(ISBLANK(INDEX('register map'!B:B,C482-3)),IF(ISBLANK(INDEX('register map'!B:B,C482-4)),IF(ISBLANK(INDEX('register map'!B:B,C482-5)),IF(ISBLANK(INDEX('register map'!B:B,C482-6)),IF(ISBLANK(INDEX('register map'!B:B,C482-7)),IF(ISBLANK(INDEX('register map'!B:B,C482-8)),"ERROR",INDEX('register map'!B:B,C482-8)),INDEX('register map'!B:B,C482-7)),INDEX('register map'!B:B,C482-6)),INDEX('register map'!B:B,C482-5)),INDEX('register map'!B:B,C482-4)),INDEX('register map'!B:B,C482-3)),INDEX('register map'!B:B,C482-2)),INDEX('register map'!B:B,C482-1)),INDEX('register map'!B:B,C482))</f>
        <v>0x24</v>
      </c>
      <c r="G482" s="117" t="str">
        <f>CONCATENATE(IF(ISNUMBER(INDEX('register map'!D:D,C482)),7,""),IF(ISNUMBER(INDEX('register map'!E:E,C482)),6,""),IF(ISNUMBER(INDEX('register map'!F:F,C482)),5,""),IF(ISNUMBER(INDEX('register map'!G:G,C482)),4,""),IF(ISNUMBER(INDEX('register map'!H:H,C482)),3,""),IF(ISNUMBER(INDEX('register map'!I:I,C482)),2,""),IF(ISNUMBER(INDEX('register map'!J:J,C482)),1,""),IF(ISNUMBER(INDEX('register map'!K:K,C482)),0,""))</f>
        <v>76</v>
      </c>
      <c r="H482" s="117" t="str">
        <f>RIGHT(INDEX('register map'!V:V,MATCH('Logical Group Generator'!B482,'register map'!L:L,0)),LEN(G482))</f>
        <v>00</v>
      </c>
      <c r="I482" s="117" t="str">
        <f>CONCATENATE(IF(ISNUMBER(INDEX('register map'!K:K,C482)),0,""),IF(ISNUMBER(INDEX('register map'!J:J,C482)),1,""),IF(ISNUMBER(INDEX('register map'!I:I,C482)),2,""),IF(ISNUMBER(INDEX('register map'!H:H,C482)),3,""),IF(ISNUMBER(INDEX('register map'!G:G,C482)),4,""),IF(ISNUMBER(INDEX('register map'!F:F,C482)),5,""),IF(ISNUMBER(INDEX('register map'!E:E,C482)),6,""),IF(ISNUMBER(INDEX('register map'!D:D,C482)),7,""))</f>
        <v>67</v>
      </c>
      <c r="J482" s="117" t="str">
        <f t="shared" si="84"/>
        <v>00</v>
      </c>
      <c r="K482" s="117" t="str">
        <f t="shared" si="77"/>
        <v/>
      </c>
      <c r="L482" s="117" t="str">
        <f t="shared" si="85"/>
        <v/>
      </c>
      <c r="M482" s="117" t="str">
        <f t="shared" si="87"/>
        <v/>
      </c>
      <c r="N482" s="117" t="str">
        <f>IF(ISBLANK(INDEX('register map'!M:M,'Logical Group Generator'!C482)),"No","Yes")</f>
        <v>No</v>
      </c>
      <c r="O482" s="117" t="str">
        <f>IF(NOT(ISBLANK(INDEX('register map'!N:N,'Logical Group Generator'!C482))),"Yes","")</f>
        <v/>
      </c>
      <c r="P482" s="117" t="str">
        <f t="shared" si="78"/>
        <v/>
      </c>
      <c r="Q482" s="117" t="str">
        <f t="shared" si="79"/>
        <v/>
      </c>
      <c r="R482" s="117" t="str">
        <f t="shared" si="80"/>
        <v/>
      </c>
      <c r="S482" s="117" t="str">
        <f t="shared" si="81"/>
        <v>No</v>
      </c>
      <c r="T482" s="117" t="str">
        <f t="shared" si="82"/>
        <v/>
      </c>
      <c r="U482" s="117" t="b">
        <f t="shared" si="86"/>
        <v>0</v>
      </c>
      <c r="V482" s="157" t="b">
        <f>INDEX('register map'!P:P,C482)="yes"</f>
        <v>1</v>
      </c>
      <c r="W482" s="157" t="str">
        <f t="shared" si="83"/>
        <v>FALSE</v>
      </c>
    </row>
    <row r="483" spans="2:23">
      <c r="B483" s="157" t="str">
        <f t="array" ref="B483">IF(ROWS($3:483)&lt;=COUNTA('register map'!$L$5:$L$902),INDEX('register map'!$L$5:$L$902,SMALL(IF('register map'!$L$5:$L$902&lt;&gt;"",ROW('register map'!$L$5:$L$902)-MIN(ROW('register map'!$L$5:$L$902))+1),ROWS($3:483))),"")</f>
        <v>SWB2_LDOA1_CTRL_EN1</v>
      </c>
      <c r="C483" s="157">
        <f>IF(B483="PART_NUMBER",IF(COUNTIF($B$1:B482,"PART_NUMBER")=0,6,8),MATCH(B483,'register map'!L:L,0))</f>
        <v>587</v>
      </c>
      <c r="D483" s="117" t="str">
        <f>IF(ISBLANK(INDEX('register map'!C:C,'Logical Group Generator'!C483)),"No","Yes")</f>
        <v>Yes</v>
      </c>
      <c r="E483" s="117" t="str">
        <f>IF(ISBLANK(INDEX('register map'!A:A,C483)),IF(ISBLANK(INDEX('register map'!A:A,C483-1)),IF(ISBLANK(INDEX('register map'!A:A,C483-2)),IF(ISBLANK(INDEX('register map'!A:A,C483-3)),IF(ISBLANK(INDEX('register map'!A:A,C483-4)),IF(ISBLANK(INDEX('register map'!A:A,C483-5)),IF(ISBLANK(INDEX('register map'!A:A,C483-6)),IF(ISBLANK(INDEX('register map'!A:A,C483-7)),IF(ISBLANK(INDEX('register map'!A:A,C483-8)),"ERROR",INDEX('register map'!A:A,C483-8)),INDEX('register map'!A:A,C483-7)),INDEX('register map'!A:A,C483-6)),INDEX('register map'!A:A,C483-5)),INDEX('register map'!A:A,C483-4)),INDEX('register map'!A:A,C483-3)),INDEX('register map'!A:A,C483-2)),INDEX('register map'!A:A,C483-1)),INDEX('register map'!A:A,C483))</f>
        <v>0x38</v>
      </c>
      <c r="F483" s="117" t="str">
        <f>IF(ISBLANK(INDEX('register map'!B:B,C483)),IF(ISBLANK(INDEX('register map'!B:B,C483-1)),IF(ISBLANK(INDEX('register map'!B:B,C483-2)),IF(ISBLANK(INDEX('register map'!B:B,C483-3)),IF(ISBLANK(INDEX('register map'!B:B,C483-4)),IF(ISBLANK(INDEX('register map'!B:B,C483-5)),IF(ISBLANK(INDEX('register map'!B:B,C483-6)),IF(ISBLANK(INDEX('register map'!B:B,C483-7)),IF(ISBLANK(INDEX('register map'!B:B,C483-8)),"ERROR",INDEX('register map'!B:B,C483-8)),INDEX('register map'!B:B,C483-7)),INDEX('register map'!B:B,C483-6)),INDEX('register map'!B:B,C483-5)),INDEX('register map'!B:B,C483-4)),INDEX('register map'!B:B,C483-3)),INDEX('register map'!B:B,C483-2)),INDEX('register map'!B:B,C483-1)),INDEX('register map'!B:B,C483))</f>
        <v>0x25</v>
      </c>
      <c r="G483" s="117" t="str">
        <f>CONCATENATE(IF(ISNUMBER(INDEX('register map'!D:D,C483)),7,""),IF(ISNUMBER(INDEX('register map'!E:E,C483)),6,""),IF(ISNUMBER(INDEX('register map'!F:F,C483)),5,""),IF(ISNUMBER(INDEX('register map'!G:G,C483)),4,""),IF(ISNUMBER(INDEX('register map'!H:H,C483)),3,""),IF(ISNUMBER(INDEX('register map'!I:I,C483)),2,""),IF(ISNUMBER(INDEX('register map'!J:J,C483)),1,""),IF(ISNUMBER(INDEX('register map'!K:K,C483)),0,""))</f>
        <v/>
      </c>
      <c r="H483" s="117" t="str">
        <f>RIGHT(INDEX('register map'!V:V,MATCH('Logical Group Generator'!B483,'register map'!L:L,0)),LEN(G483))</f>
        <v/>
      </c>
      <c r="I483" s="117" t="str">
        <f>CONCATENATE(IF(ISNUMBER(INDEX('register map'!K:K,C483)),0,""),IF(ISNUMBER(INDEX('register map'!J:J,C483)),1,""),IF(ISNUMBER(INDEX('register map'!I:I,C483)),2,""),IF(ISNUMBER(INDEX('register map'!H:H,C483)),3,""),IF(ISNUMBER(INDEX('register map'!G:G,C483)),4,""),IF(ISNUMBER(INDEX('register map'!F:F,C483)),5,""),IF(ISNUMBER(INDEX('register map'!E:E,C483)),6,""),IF(ISNUMBER(INDEX('register map'!D:D,C483)),7,""))</f>
        <v/>
      </c>
      <c r="J483" s="117" t="str">
        <f t="shared" si="84"/>
        <v/>
      </c>
      <c r="K483" s="117" t="str">
        <f t="shared" si="77"/>
        <v>11111111</v>
      </c>
      <c r="L483" s="117" t="str">
        <f t="shared" si="85"/>
        <v>11111111</v>
      </c>
      <c r="M483" s="117" t="str">
        <f t="shared" si="87"/>
        <v>FF</v>
      </c>
      <c r="N483" s="117" t="str">
        <f>IF(ISBLANK(INDEX('register map'!M:M,'Logical Group Generator'!C483)),"No","Yes")</f>
        <v>No</v>
      </c>
      <c r="O483" s="117" t="str">
        <f>IF(NOT(ISBLANK(INDEX('register map'!N:N,'Logical Group Generator'!C483))),"Yes","")</f>
        <v/>
      </c>
      <c r="P483" s="117" t="str">
        <f t="shared" si="78"/>
        <v>No</v>
      </c>
      <c r="Q483" s="117" t="str">
        <f t="shared" si="79"/>
        <v>No</v>
      </c>
      <c r="R483" s="117" t="str">
        <f t="shared" si="80"/>
        <v>No</v>
      </c>
      <c r="S483" s="117" t="str">
        <f t="shared" si="81"/>
        <v/>
      </c>
      <c r="T483" s="117" t="b">
        <f t="shared" si="82"/>
        <v>1</v>
      </c>
      <c r="U483" s="117" t="b">
        <f t="shared" si="86"/>
        <v>1</v>
      </c>
      <c r="V483" s="157" t="b">
        <f>INDEX('register map'!P:P,C483)="yes"</f>
        <v>1</v>
      </c>
      <c r="W483" s="157" t="str">
        <f t="shared" si="83"/>
        <v>REGISTER</v>
      </c>
    </row>
    <row r="484" spans="2:23">
      <c r="B484" s="157" t="str">
        <f t="array" ref="B484">IF(ROWS($3:484)&lt;=COUNTA('register map'!$L$5:$L$902),INDEX('register map'!$L$5:$L$902,SMALL(IF('register map'!$L$5:$L$902&lt;&gt;"",ROW('register map'!$L$5:$L$902)-MIN(ROW('register map'!$L$5:$L$902))+1),ROWS($3:484))),"")</f>
        <v>OTP_RSVD_38_25_0</v>
      </c>
      <c r="C484" s="157">
        <f>IF(B484="PART_NUMBER",IF(COUNTIF($B$1:B483,"PART_NUMBER")=0,6,8),MATCH(B484,'register map'!L:L,0))</f>
        <v>588</v>
      </c>
      <c r="D484" s="117" t="str">
        <f>IF(ISBLANK(INDEX('register map'!C:C,'Logical Group Generator'!C484)),"No","Yes")</f>
        <v>No</v>
      </c>
      <c r="E484" s="117" t="str">
        <f>IF(ISBLANK(INDEX('register map'!A:A,C484)),IF(ISBLANK(INDEX('register map'!A:A,C484-1)),IF(ISBLANK(INDEX('register map'!A:A,C484-2)),IF(ISBLANK(INDEX('register map'!A:A,C484-3)),IF(ISBLANK(INDEX('register map'!A:A,C484-4)),IF(ISBLANK(INDEX('register map'!A:A,C484-5)),IF(ISBLANK(INDEX('register map'!A:A,C484-6)),IF(ISBLANK(INDEX('register map'!A:A,C484-7)),IF(ISBLANK(INDEX('register map'!A:A,C484-8)),"ERROR",INDEX('register map'!A:A,C484-8)),INDEX('register map'!A:A,C484-7)),INDEX('register map'!A:A,C484-6)),INDEX('register map'!A:A,C484-5)),INDEX('register map'!A:A,C484-4)),INDEX('register map'!A:A,C484-3)),INDEX('register map'!A:A,C484-2)),INDEX('register map'!A:A,C484-1)),INDEX('register map'!A:A,C484))</f>
        <v>0x38</v>
      </c>
      <c r="F484" s="117" t="str">
        <f>IF(ISBLANK(INDEX('register map'!B:B,C484)),IF(ISBLANK(INDEX('register map'!B:B,C484-1)),IF(ISBLANK(INDEX('register map'!B:B,C484-2)),IF(ISBLANK(INDEX('register map'!B:B,C484-3)),IF(ISBLANK(INDEX('register map'!B:B,C484-4)),IF(ISBLANK(INDEX('register map'!B:B,C484-5)),IF(ISBLANK(INDEX('register map'!B:B,C484-6)),IF(ISBLANK(INDEX('register map'!B:B,C484-7)),IF(ISBLANK(INDEX('register map'!B:B,C484-8)),"ERROR",INDEX('register map'!B:B,C484-8)),INDEX('register map'!B:B,C484-7)),INDEX('register map'!B:B,C484-6)),INDEX('register map'!B:B,C484-5)),INDEX('register map'!B:B,C484-4)),INDEX('register map'!B:B,C484-3)),INDEX('register map'!B:B,C484-2)),INDEX('register map'!B:B,C484-1)),INDEX('register map'!B:B,C484))</f>
        <v>0x25</v>
      </c>
      <c r="G484" s="117" t="str">
        <f>CONCATENATE(IF(ISNUMBER(INDEX('register map'!D:D,C484)),7,""),IF(ISNUMBER(INDEX('register map'!E:E,C484)),6,""),IF(ISNUMBER(INDEX('register map'!F:F,C484)),5,""),IF(ISNUMBER(INDEX('register map'!G:G,C484)),4,""),IF(ISNUMBER(INDEX('register map'!H:H,C484)),3,""),IF(ISNUMBER(INDEX('register map'!I:I,C484)),2,""),IF(ISNUMBER(INDEX('register map'!J:J,C484)),1,""),IF(ISNUMBER(INDEX('register map'!K:K,C484)),0,""))</f>
        <v>0</v>
      </c>
      <c r="H484" s="117" t="str">
        <f>RIGHT(INDEX('register map'!V:V,MATCH('Logical Group Generator'!B484,'register map'!L:L,0)),LEN(G484))</f>
        <v>1</v>
      </c>
      <c r="I484" s="117" t="str">
        <f>CONCATENATE(IF(ISNUMBER(INDEX('register map'!K:K,C484)),0,""),IF(ISNUMBER(INDEX('register map'!J:J,C484)),1,""),IF(ISNUMBER(INDEX('register map'!I:I,C484)),2,""),IF(ISNUMBER(INDEX('register map'!H:H,C484)),3,""),IF(ISNUMBER(INDEX('register map'!G:G,C484)),4,""),IF(ISNUMBER(INDEX('register map'!F:F,C484)),5,""),IF(ISNUMBER(INDEX('register map'!E:E,C484)),6,""),IF(ISNUMBER(INDEX('register map'!D:D,C484)),7,""))</f>
        <v>0</v>
      </c>
      <c r="J484" s="117" t="str">
        <f t="shared" si="84"/>
        <v>1</v>
      </c>
      <c r="K484" s="117" t="str">
        <f t="shared" si="77"/>
        <v/>
      </c>
      <c r="L484" s="117" t="str">
        <f t="shared" si="85"/>
        <v/>
      </c>
      <c r="M484" s="117" t="str">
        <f t="shared" si="87"/>
        <v/>
      </c>
      <c r="N484" s="117" t="str">
        <f>IF(ISBLANK(INDEX('register map'!M:M,'Logical Group Generator'!C484)),"No","Yes")</f>
        <v>No</v>
      </c>
      <c r="O484" s="117" t="str">
        <f>IF(NOT(ISBLANK(INDEX('register map'!N:N,'Logical Group Generator'!C484))),"Yes","")</f>
        <v/>
      </c>
      <c r="P484" s="117" t="str">
        <f t="shared" si="78"/>
        <v/>
      </c>
      <c r="Q484" s="117" t="str">
        <f t="shared" si="79"/>
        <v/>
      </c>
      <c r="R484" s="117" t="str">
        <f t="shared" si="80"/>
        <v/>
      </c>
      <c r="S484" s="117" t="str">
        <f t="shared" si="81"/>
        <v>No</v>
      </c>
      <c r="T484" s="117" t="str">
        <f t="shared" si="82"/>
        <v/>
      </c>
      <c r="U484" s="117" t="b">
        <f t="shared" si="86"/>
        <v>0</v>
      </c>
      <c r="V484" s="157" t="b">
        <f>INDEX('register map'!P:P,C484)="yes"</f>
        <v>1</v>
      </c>
      <c r="W484" s="157" t="str">
        <f t="shared" si="83"/>
        <v>FALSE</v>
      </c>
    </row>
    <row r="485" spans="2:23">
      <c r="B485" s="157" t="str">
        <f t="array" ref="B485">IF(ROWS($3:485)&lt;=COUNTA('register map'!$L$5:$L$902),INDEX('register map'!$L$5:$L$902,SMALL(IF('register map'!$L$5:$L$902&lt;&gt;"",ROW('register map'!$L$5:$L$902)-MIN(ROW('register map'!$L$5:$L$902))+1),ROWS($3:485))),"")</f>
        <v>OTP_RSVD_38_25_1</v>
      </c>
      <c r="C485" s="157">
        <f>IF(B485="PART_NUMBER",IF(COUNTIF($B$1:B484,"PART_NUMBER")=0,6,8),MATCH(B485,'register map'!L:L,0))</f>
        <v>589</v>
      </c>
      <c r="D485" s="117" t="str">
        <f>IF(ISBLANK(INDEX('register map'!C:C,'Logical Group Generator'!C485)),"No","Yes")</f>
        <v>No</v>
      </c>
      <c r="E485" s="117" t="str">
        <f>IF(ISBLANK(INDEX('register map'!A:A,C485)),IF(ISBLANK(INDEX('register map'!A:A,C485-1)),IF(ISBLANK(INDEX('register map'!A:A,C485-2)),IF(ISBLANK(INDEX('register map'!A:A,C485-3)),IF(ISBLANK(INDEX('register map'!A:A,C485-4)),IF(ISBLANK(INDEX('register map'!A:A,C485-5)),IF(ISBLANK(INDEX('register map'!A:A,C485-6)),IF(ISBLANK(INDEX('register map'!A:A,C485-7)),IF(ISBLANK(INDEX('register map'!A:A,C485-8)),"ERROR",INDEX('register map'!A:A,C485-8)),INDEX('register map'!A:A,C485-7)),INDEX('register map'!A:A,C485-6)),INDEX('register map'!A:A,C485-5)),INDEX('register map'!A:A,C485-4)),INDEX('register map'!A:A,C485-3)),INDEX('register map'!A:A,C485-2)),INDEX('register map'!A:A,C485-1)),INDEX('register map'!A:A,C485))</f>
        <v>0x38</v>
      </c>
      <c r="F485" s="117" t="str">
        <f>IF(ISBLANK(INDEX('register map'!B:B,C485)),IF(ISBLANK(INDEX('register map'!B:B,C485-1)),IF(ISBLANK(INDEX('register map'!B:B,C485-2)),IF(ISBLANK(INDEX('register map'!B:B,C485-3)),IF(ISBLANK(INDEX('register map'!B:B,C485-4)),IF(ISBLANK(INDEX('register map'!B:B,C485-5)),IF(ISBLANK(INDEX('register map'!B:B,C485-6)),IF(ISBLANK(INDEX('register map'!B:B,C485-7)),IF(ISBLANK(INDEX('register map'!B:B,C485-8)),"ERROR",INDEX('register map'!B:B,C485-8)),INDEX('register map'!B:B,C485-7)),INDEX('register map'!B:B,C485-6)),INDEX('register map'!B:B,C485-5)),INDEX('register map'!B:B,C485-4)),INDEX('register map'!B:B,C485-3)),INDEX('register map'!B:B,C485-2)),INDEX('register map'!B:B,C485-1)),INDEX('register map'!B:B,C485))</f>
        <v>0x25</v>
      </c>
      <c r="G485" s="117" t="str">
        <f>CONCATENATE(IF(ISNUMBER(INDEX('register map'!D:D,C485)),7,""),IF(ISNUMBER(INDEX('register map'!E:E,C485)),6,""),IF(ISNUMBER(INDEX('register map'!F:F,C485)),5,""),IF(ISNUMBER(INDEX('register map'!G:G,C485)),4,""),IF(ISNUMBER(INDEX('register map'!H:H,C485)),3,""),IF(ISNUMBER(INDEX('register map'!I:I,C485)),2,""),IF(ISNUMBER(INDEX('register map'!J:J,C485)),1,""),IF(ISNUMBER(INDEX('register map'!K:K,C485)),0,""))</f>
        <v>1</v>
      </c>
      <c r="H485" s="117" t="str">
        <f>RIGHT(INDEX('register map'!V:V,MATCH('Logical Group Generator'!B485,'register map'!L:L,0)),LEN(G485))</f>
        <v>1</v>
      </c>
      <c r="I485" s="117" t="str">
        <f>CONCATENATE(IF(ISNUMBER(INDEX('register map'!K:K,C485)),0,""),IF(ISNUMBER(INDEX('register map'!J:J,C485)),1,""),IF(ISNUMBER(INDEX('register map'!I:I,C485)),2,""),IF(ISNUMBER(INDEX('register map'!H:H,C485)),3,""),IF(ISNUMBER(INDEX('register map'!G:G,C485)),4,""),IF(ISNUMBER(INDEX('register map'!F:F,C485)),5,""),IF(ISNUMBER(INDEX('register map'!E:E,C485)),6,""),IF(ISNUMBER(INDEX('register map'!D:D,C485)),7,""))</f>
        <v>1</v>
      </c>
      <c r="J485" s="117" t="str">
        <f t="shared" si="84"/>
        <v>1</v>
      </c>
      <c r="K485" s="117" t="str">
        <f t="shared" si="77"/>
        <v/>
      </c>
      <c r="L485" s="117" t="str">
        <f t="shared" si="85"/>
        <v/>
      </c>
      <c r="M485" s="117" t="str">
        <f t="shared" si="87"/>
        <v/>
      </c>
      <c r="N485" s="117" t="str">
        <f>IF(ISBLANK(INDEX('register map'!M:M,'Logical Group Generator'!C485)),"No","Yes")</f>
        <v>No</v>
      </c>
      <c r="O485" s="117" t="str">
        <f>IF(NOT(ISBLANK(INDEX('register map'!N:N,'Logical Group Generator'!C485))),"Yes","")</f>
        <v/>
      </c>
      <c r="P485" s="117" t="str">
        <f t="shared" si="78"/>
        <v/>
      </c>
      <c r="Q485" s="117" t="str">
        <f t="shared" si="79"/>
        <v/>
      </c>
      <c r="R485" s="117" t="str">
        <f t="shared" si="80"/>
        <v/>
      </c>
      <c r="S485" s="117" t="str">
        <f t="shared" si="81"/>
        <v>No</v>
      </c>
      <c r="T485" s="117" t="str">
        <f t="shared" si="82"/>
        <v/>
      </c>
      <c r="U485" s="117" t="b">
        <f t="shared" si="86"/>
        <v>0</v>
      </c>
      <c r="V485" s="157" t="b">
        <f>INDEX('register map'!P:P,C485)="yes"</f>
        <v>1</v>
      </c>
      <c r="W485" s="157" t="str">
        <f t="shared" si="83"/>
        <v>FALSE</v>
      </c>
    </row>
    <row r="486" spans="2:23">
      <c r="B486" s="157" t="str">
        <f t="array" ref="B486">IF(ROWS($3:486)&lt;=COUNTA('register map'!$L$5:$L$902),INDEX('register map'!$L$5:$L$902,SMALL(IF('register map'!$L$5:$L$902&lt;&gt;"",ROW('register map'!$L$5:$L$902)-MIN(ROW('register map'!$L$5:$L$902))+1),ROWS($3:486))),"")</f>
        <v>OTP_RSVD_38_25_2</v>
      </c>
      <c r="C486" s="157">
        <f>IF(B486="PART_NUMBER",IF(COUNTIF($B$1:B485,"PART_NUMBER")=0,6,8),MATCH(B486,'register map'!L:L,0))</f>
        <v>590</v>
      </c>
      <c r="D486" s="117" t="str">
        <f>IF(ISBLANK(INDEX('register map'!C:C,'Logical Group Generator'!C486)),"No","Yes")</f>
        <v>No</v>
      </c>
      <c r="E486" s="117" t="str">
        <f>IF(ISBLANK(INDEX('register map'!A:A,C486)),IF(ISBLANK(INDEX('register map'!A:A,C486-1)),IF(ISBLANK(INDEX('register map'!A:A,C486-2)),IF(ISBLANK(INDEX('register map'!A:A,C486-3)),IF(ISBLANK(INDEX('register map'!A:A,C486-4)),IF(ISBLANK(INDEX('register map'!A:A,C486-5)),IF(ISBLANK(INDEX('register map'!A:A,C486-6)),IF(ISBLANK(INDEX('register map'!A:A,C486-7)),IF(ISBLANK(INDEX('register map'!A:A,C486-8)),"ERROR",INDEX('register map'!A:A,C486-8)),INDEX('register map'!A:A,C486-7)),INDEX('register map'!A:A,C486-6)),INDEX('register map'!A:A,C486-5)),INDEX('register map'!A:A,C486-4)),INDEX('register map'!A:A,C486-3)),INDEX('register map'!A:A,C486-2)),INDEX('register map'!A:A,C486-1)),INDEX('register map'!A:A,C486))</f>
        <v>0x38</v>
      </c>
      <c r="F486" s="117" t="str">
        <f>IF(ISBLANK(INDEX('register map'!B:B,C486)),IF(ISBLANK(INDEX('register map'!B:B,C486-1)),IF(ISBLANK(INDEX('register map'!B:B,C486-2)),IF(ISBLANK(INDEX('register map'!B:B,C486-3)),IF(ISBLANK(INDEX('register map'!B:B,C486-4)),IF(ISBLANK(INDEX('register map'!B:B,C486-5)),IF(ISBLANK(INDEX('register map'!B:B,C486-6)),IF(ISBLANK(INDEX('register map'!B:B,C486-7)),IF(ISBLANK(INDEX('register map'!B:B,C486-8)),"ERROR",INDEX('register map'!B:B,C486-8)),INDEX('register map'!B:B,C486-7)),INDEX('register map'!B:B,C486-6)),INDEX('register map'!B:B,C486-5)),INDEX('register map'!B:B,C486-4)),INDEX('register map'!B:B,C486-3)),INDEX('register map'!B:B,C486-2)),INDEX('register map'!B:B,C486-1)),INDEX('register map'!B:B,C486))</f>
        <v>0x25</v>
      </c>
      <c r="G486" s="117" t="str">
        <f>CONCATENATE(IF(ISNUMBER(INDEX('register map'!D:D,C486)),7,""),IF(ISNUMBER(INDEX('register map'!E:E,C486)),6,""),IF(ISNUMBER(INDEX('register map'!F:F,C486)),5,""),IF(ISNUMBER(INDEX('register map'!G:G,C486)),4,""),IF(ISNUMBER(INDEX('register map'!H:H,C486)),3,""),IF(ISNUMBER(INDEX('register map'!I:I,C486)),2,""),IF(ISNUMBER(INDEX('register map'!J:J,C486)),1,""),IF(ISNUMBER(INDEX('register map'!K:K,C486)),0,""))</f>
        <v>2</v>
      </c>
      <c r="H486" s="117" t="str">
        <f>RIGHT(INDEX('register map'!V:V,MATCH('Logical Group Generator'!B486,'register map'!L:L,0)),LEN(G486))</f>
        <v>1</v>
      </c>
      <c r="I486" s="117" t="str">
        <f>CONCATENATE(IF(ISNUMBER(INDEX('register map'!K:K,C486)),0,""),IF(ISNUMBER(INDEX('register map'!J:J,C486)),1,""),IF(ISNUMBER(INDEX('register map'!I:I,C486)),2,""),IF(ISNUMBER(INDEX('register map'!H:H,C486)),3,""),IF(ISNUMBER(INDEX('register map'!G:G,C486)),4,""),IF(ISNUMBER(INDEX('register map'!F:F,C486)),5,""),IF(ISNUMBER(INDEX('register map'!E:E,C486)),6,""),IF(ISNUMBER(INDEX('register map'!D:D,C486)),7,""))</f>
        <v>2</v>
      </c>
      <c r="J486" s="117" t="str">
        <f t="shared" si="84"/>
        <v>1</v>
      </c>
      <c r="K486" s="117" t="str">
        <f t="shared" si="77"/>
        <v/>
      </c>
      <c r="L486" s="117" t="str">
        <f t="shared" si="85"/>
        <v/>
      </c>
      <c r="M486" s="117" t="str">
        <f t="shared" si="87"/>
        <v/>
      </c>
      <c r="N486" s="117" t="str">
        <f>IF(ISBLANK(INDEX('register map'!M:M,'Logical Group Generator'!C486)),"No","Yes")</f>
        <v>No</v>
      </c>
      <c r="O486" s="117" t="str">
        <f>IF(NOT(ISBLANK(INDEX('register map'!N:N,'Logical Group Generator'!C486))),"Yes","")</f>
        <v/>
      </c>
      <c r="P486" s="117" t="str">
        <f t="shared" si="78"/>
        <v/>
      </c>
      <c r="Q486" s="117" t="str">
        <f t="shared" si="79"/>
        <v/>
      </c>
      <c r="R486" s="117" t="str">
        <f t="shared" si="80"/>
        <v/>
      </c>
      <c r="S486" s="117" t="str">
        <f t="shared" si="81"/>
        <v>No</v>
      </c>
      <c r="T486" s="117" t="str">
        <f t="shared" si="82"/>
        <v/>
      </c>
      <c r="U486" s="117" t="b">
        <f t="shared" si="86"/>
        <v>0</v>
      </c>
      <c r="V486" s="157" t="b">
        <f>INDEX('register map'!P:P,C486)="yes"</f>
        <v>1</v>
      </c>
      <c r="W486" s="157" t="str">
        <f t="shared" si="83"/>
        <v>FALSE</v>
      </c>
    </row>
    <row r="487" spans="2:23">
      <c r="B487" s="157" t="str">
        <f t="array" ref="B487">IF(ROWS($3:487)&lt;=COUNTA('register map'!$L$5:$L$902),INDEX('register map'!$L$5:$L$902,SMALL(IF('register map'!$L$5:$L$902&lt;&gt;"",ROW('register map'!$L$5:$L$902)-MIN(ROW('register map'!$L$5:$L$902))+1),ROWS($3:487))),"")</f>
        <v>OTP_RSVD_38_25_3</v>
      </c>
      <c r="C487" s="157">
        <f>IF(B487="PART_NUMBER",IF(COUNTIF($B$1:B486,"PART_NUMBER")=0,6,8),MATCH(B487,'register map'!L:L,0))</f>
        <v>591</v>
      </c>
      <c r="D487" s="117" t="str">
        <f>IF(ISBLANK(INDEX('register map'!C:C,'Logical Group Generator'!C487)),"No","Yes")</f>
        <v>No</v>
      </c>
      <c r="E487" s="117" t="str">
        <f>IF(ISBLANK(INDEX('register map'!A:A,C487)),IF(ISBLANK(INDEX('register map'!A:A,C487-1)),IF(ISBLANK(INDEX('register map'!A:A,C487-2)),IF(ISBLANK(INDEX('register map'!A:A,C487-3)),IF(ISBLANK(INDEX('register map'!A:A,C487-4)),IF(ISBLANK(INDEX('register map'!A:A,C487-5)),IF(ISBLANK(INDEX('register map'!A:A,C487-6)),IF(ISBLANK(INDEX('register map'!A:A,C487-7)),IF(ISBLANK(INDEX('register map'!A:A,C487-8)),"ERROR",INDEX('register map'!A:A,C487-8)),INDEX('register map'!A:A,C487-7)),INDEX('register map'!A:A,C487-6)),INDEX('register map'!A:A,C487-5)),INDEX('register map'!A:A,C487-4)),INDEX('register map'!A:A,C487-3)),INDEX('register map'!A:A,C487-2)),INDEX('register map'!A:A,C487-1)),INDEX('register map'!A:A,C487))</f>
        <v>0x38</v>
      </c>
      <c r="F487" s="117" t="str">
        <f>IF(ISBLANK(INDEX('register map'!B:B,C487)),IF(ISBLANK(INDEX('register map'!B:B,C487-1)),IF(ISBLANK(INDEX('register map'!B:B,C487-2)),IF(ISBLANK(INDEX('register map'!B:B,C487-3)),IF(ISBLANK(INDEX('register map'!B:B,C487-4)),IF(ISBLANK(INDEX('register map'!B:B,C487-5)),IF(ISBLANK(INDEX('register map'!B:B,C487-6)),IF(ISBLANK(INDEX('register map'!B:B,C487-7)),IF(ISBLANK(INDEX('register map'!B:B,C487-8)),"ERROR",INDEX('register map'!B:B,C487-8)),INDEX('register map'!B:B,C487-7)),INDEX('register map'!B:B,C487-6)),INDEX('register map'!B:B,C487-5)),INDEX('register map'!B:B,C487-4)),INDEX('register map'!B:B,C487-3)),INDEX('register map'!B:B,C487-2)),INDEX('register map'!B:B,C487-1)),INDEX('register map'!B:B,C487))</f>
        <v>0x25</v>
      </c>
      <c r="G487" s="117" t="str">
        <f>CONCATENATE(IF(ISNUMBER(INDEX('register map'!D:D,C487)),7,""),IF(ISNUMBER(INDEX('register map'!E:E,C487)),6,""),IF(ISNUMBER(INDEX('register map'!F:F,C487)),5,""),IF(ISNUMBER(INDEX('register map'!G:G,C487)),4,""),IF(ISNUMBER(INDEX('register map'!H:H,C487)),3,""),IF(ISNUMBER(INDEX('register map'!I:I,C487)),2,""),IF(ISNUMBER(INDEX('register map'!J:J,C487)),1,""),IF(ISNUMBER(INDEX('register map'!K:K,C487)),0,""))</f>
        <v>3</v>
      </c>
      <c r="H487" s="117" t="str">
        <f>RIGHT(INDEX('register map'!V:V,MATCH('Logical Group Generator'!B487,'register map'!L:L,0)),LEN(G487))</f>
        <v>1</v>
      </c>
      <c r="I487" s="117" t="str">
        <f>CONCATENATE(IF(ISNUMBER(INDEX('register map'!K:K,C487)),0,""),IF(ISNUMBER(INDEX('register map'!J:J,C487)),1,""),IF(ISNUMBER(INDEX('register map'!I:I,C487)),2,""),IF(ISNUMBER(INDEX('register map'!H:H,C487)),3,""),IF(ISNUMBER(INDEX('register map'!G:G,C487)),4,""),IF(ISNUMBER(INDEX('register map'!F:F,C487)),5,""),IF(ISNUMBER(INDEX('register map'!E:E,C487)),6,""),IF(ISNUMBER(INDEX('register map'!D:D,C487)),7,""))</f>
        <v>3</v>
      </c>
      <c r="J487" s="117" t="str">
        <f t="shared" si="84"/>
        <v>1</v>
      </c>
      <c r="K487" s="117" t="str">
        <f t="shared" si="77"/>
        <v/>
      </c>
      <c r="L487" s="117" t="str">
        <f t="shared" si="85"/>
        <v/>
      </c>
      <c r="M487" s="117" t="str">
        <f t="shared" si="87"/>
        <v/>
      </c>
      <c r="N487" s="117" t="str">
        <f>IF(ISBLANK(INDEX('register map'!M:M,'Logical Group Generator'!C487)),"No","Yes")</f>
        <v>No</v>
      </c>
      <c r="O487" s="117" t="str">
        <f>IF(NOT(ISBLANK(INDEX('register map'!N:N,'Logical Group Generator'!C487))),"Yes","")</f>
        <v/>
      </c>
      <c r="P487" s="117" t="str">
        <f t="shared" si="78"/>
        <v/>
      </c>
      <c r="Q487" s="117" t="str">
        <f t="shared" si="79"/>
        <v/>
      </c>
      <c r="R487" s="117" t="str">
        <f t="shared" si="80"/>
        <v/>
      </c>
      <c r="S487" s="117" t="str">
        <f t="shared" si="81"/>
        <v>No</v>
      </c>
      <c r="T487" s="117" t="str">
        <f t="shared" si="82"/>
        <v/>
      </c>
      <c r="U487" s="117" t="b">
        <f t="shared" si="86"/>
        <v>0</v>
      </c>
      <c r="V487" s="157" t="b">
        <f>INDEX('register map'!P:P,C487)="yes"</f>
        <v>1</v>
      </c>
      <c r="W487" s="157" t="str">
        <f t="shared" si="83"/>
        <v>FALSE</v>
      </c>
    </row>
    <row r="488" spans="2:23">
      <c r="B488" s="157" t="str">
        <f t="array" ref="B488">IF(ROWS($3:488)&lt;=COUNTA('register map'!$L$5:$L$902),INDEX('register map'!$L$5:$L$902,SMALL(IF('register map'!$L$5:$L$902&lt;&gt;"",ROW('register map'!$L$5:$L$902)-MIN(ROW('register map'!$L$5:$L$902))+1),ROWS($3:488))),"")</f>
        <v>OTP_RSVD_38_25_4</v>
      </c>
      <c r="C488" s="157">
        <f>IF(B488="PART_NUMBER",IF(COUNTIF($B$1:B487,"PART_NUMBER")=0,6,8),MATCH(B488,'register map'!L:L,0))</f>
        <v>592</v>
      </c>
      <c r="D488" s="117" t="str">
        <f>IF(ISBLANK(INDEX('register map'!C:C,'Logical Group Generator'!C488)),"No","Yes")</f>
        <v>No</v>
      </c>
      <c r="E488" s="117" t="str">
        <f>IF(ISBLANK(INDEX('register map'!A:A,C488)),IF(ISBLANK(INDEX('register map'!A:A,C488-1)),IF(ISBLANK(INDEX('register map'!A:A,C488-2)),IF(ISBLANK(INDEX('register map'!A:A,C488-3)),IF(ISBLANK(INDEX('register map'!A:A,C488-4)),IF(ISBLANK(INDEX('register map'!A:A,C488-5)),IF(ISBLANK(INDEX('register map'!A:A,C488-6)),IF(ISBLANK(INDEX('register map'!A:A,C488-7)),IF(ISBLANK(INDEX('register map'!A:A,C488-8)),"ERROR",INDEX('register map'!A:A,C488-8)),INDEX('register map'!A:A,C488-7)),INDEX('register map'!A:A,C488-6)),INDEX('register map'!A:A,C488-5)),INDEX('register map'!A:A,C488-4)),INDEX('register map'!A:A,C488-3)),INDEX('register map'!A:A,C488-2)),INDEX('register map'!A:A,C488-1)),INDEX('register map'!A:A,C488))</f>
        <v>0x38</v>
      </c>
      <c r="F488" s="117" t="str">
        <f>IF(ISBLANK(INDEX('register map'!B:B,C488)),IF(ISBLANK(INDEX('register map'!B:B,C488-1)),IF(ISBLANK(INDEX('register map'!B:B,C488-2)),IF(ISBLANK(INDEX('register map'!B:B,C488-3)),IF(ISBLANK(INDEX('register map'!B:B,C488-4)),IF(ISBLANK(INDEX('register map'!B:B,C488-5)),IF(ISBLANK(INDEX('register map'!B:B,C488-6)),IF(ISBLANK(INDEX('register map'!B:B,C488-7)),IF(ISBLANK(INDEX('register map'!B:B,C488-8)),"ERROR",INDEX('register map'!B:B,C488-8)),INDEX('register map'!B:B,C488-7)),INDEX('register map'!B:B,C488-6)),INDEX('register map'!B:B,C488-5)),INDEX('register map'!B:B,C488-4)),INDEX('register map'!B:B,C488-3)),INDEX('register map'!B:B,C488-2)),INDEX('register map'!B:B,C488-1)),INDEX('register map'!B:B,C488))</f>
        <v>0x25</v>
      </c>
      <c r="G488" s="117" t="str">
        <f>CONCATENATE(IF(ISNUMBER(INDEX('register map'!D:D,C488)),7,""),IF(ISNUMBER(INDEX('register map'!E:E,C488)),6,""),IF(ISNUMBER(INDEX('register map'!F:F,C488)),5,""),IF(ISNUMBER(INDEX('register map'!G:G,C488)),4,""),IF(ISNUMBER(INDEX('register map'!H:H,C488)),3,""),IF(ISNUMBER(INDEX('register map'!I:I,C488)),2,""),IF(ISNUMBER(INDEX('register map'!J:J,C488)),1,""),IF(ISNUMBER(INDEX('register map'!K:K,C488)),0,""))</f>
        <v>4</v>
      </c>
      <c r="H488" s="117" t="str">
        <f>RIGHT(INDEX('register map'!V:V,MATCH('Logical Group Generator'!B488,'register map'!L:L,0)),LEN(G488))</f>
        <v>1</v>
      </c>
      <c r="I488" s="117" t="str">
        <f>CONCATENATE(IF(ISNUMBER(INDEX('register map'!K:K,C488)),0,""),IF(ISNUMBER(INDEX('register map'!J:J,C488)),1,""),IF(ISNUMBER(INDEX('register map'!I:I,C488)),2,""),IF(ISNUMBER(INDEX('register map'!H:H,C488)),3,""),IF(ISNUMBER(INDEX('register map'!G:G,C488)),4,""),IF(ISNUMBER(INDEX('register map'!F:F,C488)),5,""),IF(ISNUMBER(INDEX('register map'!E:E,C488)),6,""),IF(ISNUMBER(INDEX('register map'!D:D,C488)),7,""))</f>
        <v>4</v>
      </c>
      <c r="J488" s="117" t="str">
        <f t="shared" si="84"/>
        <v>1</v>
      </c>
      <c r="K488" s="117" t="str">
        <f t="shared" si="77"/>
        <v/>
      </c>
      <c r="L488" s="117" t="str">
        <f t="shared" si="85"/>
        <v/>
      </c>
      <c r="M488" s="117" t="str">
        <f t="shared" si="87"/>
        <v/>
      </c>
      <c r="N488" s="117" t="str">
        <f>IF(ISBLANK(INDEX('register map'!M:M,'Logical Group Generator'!C488)),"No","Yes")</f>
        <v>No</v>
      </c>
      <c r="O488" s="117" t="str">
        <f>IF(NOT(ISBLANK(INDEX('register map'!N:N,'Logical Group Generator'!C488))),"Yes","")</f>
        <v/>
      </c>
      <c r="P488" s="117" t="str">
        <f t="shared" si="78"/>
        <v/>
      </c>
      <c r="Q488" s="117" t="str">
        <f t="shared" si="79"/>
        <v/>
      </c>
      <c r="R488" s="117" t="str">
        <f t="shared" si="80"/>
        <v/>
      </c>
      <c r="S488" s="117" t="str">
        <f t="shared" si="81"/>
        <v>No</v>
      </c>
      <c r="T488" s="117" t="str">
        <f t="shared" si="82"/>
        <v/>
      </c>
      <c r="U488" s="117" t="b">
        <f t="shared" si="86"/>
        <v>0</v>
      </c>
      <c r="V488" s="157" t="b">
        <f>INDEX('register map'!P:P,C488)="yes"</f>
        <v>1</v>
      </c>
      <c r="W488" s="157" t="str">
        <f t="shared" si="83"/>
        <v>FALSE</v>
      </c>
    </row>
    <row r="489" spans="2:23">
      <c r="B489" s="157" t="str">
        <f t="array" ref="B489">IF(ROWS($3:489)&lt;=COUNTA('register map'!$L$5:$L$902),INDEX('register map'!$L$5:$L$902,SMALL(IF('register map'!$L$5:$L$902&lt;&gt;"",ROW('register map'!$L$5:$L$902)-MIN(ROW('register map'!$L$5:$L$902))+1),ROWS($3:489))),"")</f>
        <v>OTP_RSVD_38_25_5</v>
      </c>
      <c r="C489" s="157">
        <f>IF(B489="PART_NUMBER",IF(COUNTIF($B$1:B488,"PART_NUMBER")=0,6,8),MATCH(B489,'register map'!L:L,0))</f>
        <v>593</v>
      </c>
      <c r="D489" s="117" t="str">
        <f>IF(ISBLANK(INDEX('register map'!C:C,'Logical Group Generator'!C489)),"No","Yes")</f>
        <v>No</v>
      </c>
      <c r="E489" s="117" t="str">
        <f>IF(ISBLANK(INDEX('register map'!A:A,C489)),IF(ISBLANK(INDEX('register map'!A:A,C489-1)),IF(ISBLANK(INDEX('register map'!A:A,C489-2)),IF(ISBLANK(INDEX('register map'!A:A,C489-3)),IF(ISBLANK(INDEX('register map'!A:A,C489-4)),IF(ISBLANK(INDEX('register map'!A:A,C489-5)),IF(ISBLANK(INDEX('register map'!A:A,C489-6)),IF(ISBLANK(INDEX('register map'!A:A,C489-7)),IF(ISBLANK(INDEX('register map'!A:A,C489-8)),"ERROR",INDEX('register map'!A:A,C489-8)),INDEX('register map'!A:A,C489-7)),INDEX('register map'!A:A,C489-6)),INDEX('register map'!A:A,C489-5)),INDEX('register map'!A:A,C489-4)),INDEX('register map'!A:A,C489-3)),INDEX('register map'!A:A,C489-2)),INDEX('register map'!A:A,C489-1)),INDEX('register map'!A:A,C489))</f>
        <v>0x38</v>
      </c>
      <c r="F489" s="117" t="str">
        <f>IF(ISBLANK(INDEX('register map'!B:B,C489)),IF(ISBLANK(INDEX('register map'!B:B,C489-1)),IF(ISBLANK(INDEX('register map'!B:B,C489-2)),IF(ISBLANK(INDEX('register map'!B:B,C489-3)),IF(ISBLANK(INDEX('register map'!B:B,C489-4)),IF(ISBLANK(INDEX('register map'!B:B,C489-5)),IF(ISBLANK(INDEX('register map'!B:B,C489-6)),IF(ISBLANK(INDEX('register map'!B:B,C489-7)),IF(ISBLANK(INDEX('register map'!B:B,C489-8)),"ERROR",INDEX('register map'!B:B,C489-8)),INDEX('register map'!B:B,C489-7)),INDEX('register map'!B:B,C489-6)),INDEX('register map'!B:B,C489-5)),INDEX('register map'!B:B,C489-4)),INDEX('register map'!B:B,C489-3)),INDEX('register map'!B:B,C489-2)),INDEX('register map'!B:B,C489-1)),INDEX('register map'!B:B,C489))</f>
        <v>0x25</v>
      </c>
      <c r="G489" s="117" t="str">
        <f>CONCATENATE(IF(ISNUMBER(INDEX('register map'!D:D,C489)),7,""),IF(ISNUMBER(INDEX('register map'!E:E,C489)),6,""),IF(ISNUMBER(INDEX('register map'!F:F,C489)),5,""),IF(ISNUMBER(INDEX('register map'!G:G,C489)),4,""),IF(ISNUMBER(INDEX('register map'!H:H,C489)),3,""),IF(ISNUMBER(INDEX('register map'!I:I,C489)),2,""),IF(ISNUMBER(INDEX('register map'!J:J,C489)),1,""),IF(ISNUMBER(INDEX('register map'!K:K,C489)),0,""))</f>
        <v>5</v>
      </c>
      <c r="H489" s="117" t="str">
        <f>RIGHT(INDEX('register map'!V:V,MATCH('Logical Group Generator'!B489,'register map'!L:L,0)),LEN(G489))</f>
        <v>1</v>
      </c>
      <c r="I489" s="117" t="str">
        <f>CONCATENATE(IF(ISNUMBER(INDEX('register map'!K:K,C489)),0,""),IF(ISNUMBER(INDEX('register map'!J:J,C489)),1,""),IF(ISNUMBER(INDEX('register map'!I:I,C489)),2,""),IF(ISNUMBER(INDEX('register map'!H:H,C489)),3,""),IF(ISNUMBER(INDEX('register map'!G:G,C489)),4,""),IF(ISNUMBER(INDEX('register map'!F:F,C489)),5,""),IF(ISNUMBER(INDEX('register map'!E:E,C489)),6,""),IF(ISNUMBER(INDEX('register map'!D:D,C489)),7,""))</f>
        <v>5</v>
      </c>
      <c r="J489" s="117" t="str">
        <f t="shared" si="84"/>
        <v>1</v>
      </c>
      <c r="K489" s="117" t="str">
        <f t="shared" si="77"/>
        <v/>
      </c>
      <c r="L489" s="117" t="str">
        <f t="shared" si="85"/>
        <v/>
      </c>
      <c r="M489" s="117" t="str">
        <f t="shared" si="87"/>
        <v/>
      </c>
      <c r="N489" s="117" t="str">
        <f>IF(ISBLANK(INDEX('register map'!M:M,'Logical Group Generator'!C489)),"No","Yes")</f>
        <v>No</v>
      </c>
      <c r="O489" s="117" t="str">
        <f>IF(NOT(ISBLANK(INDEX('register map'!N:N,'Logical Group Generator'!C489))),"Yes","")</f>
        <v/>
      </c>
      <c r="P489" s="117" t="str">
        <f t="shared" si="78"/>
        <v/>
      </c>
      <c r="Q489" s="117" t="str">
        <f t="shared" si="79"/>
        <v/>
      </c>
      <c r="R489" s="117" t="str">
        <f t="shared" si="80"/>
        <v/>
      </c>
      <c r="S489" s="117" t="str">
        <f t="shared" si="81"/>
        <v>No</v>
      </c>
      <c r="T489" s="117" t="str">
        <f t="shared" si="82"/>
        <v/>
      </c>
      <c r="U489" s="117" t="b">
        <f t="shared" si="86"/>
        <v>0</v>
      </c>
      <c r="V489" s="157" t="b">
        <f>INDEX('register map'!P:P,C489)="yes"</f>
        <v>1</v>
      </c>
      <c r="W489" s="157" t="str">
        <f t="shared" si="83"/>
        <v>FALSE</v>
      </c>
    </row>
    <row r="490" spans="2:23">
      <c r="B490" s="157" t="str">
        <f t="array" ref="B490">IF(ROWS($3:490)&lt;=COUNTA('register map'!$L$5:$L$902),INDEX('register map'!$L$5:$L$902,SMALL(IF('register map'!$L$5:$L$902&lt;&gt;"",ROW('register map'!$L$5:$L$902)-MIN(ROW('register map'!$L$5:$L$902))+1),ROWS($3:490))),"")</f>
        <v>OTP_RSVD_38_25_6</v>
      </c>
      <c r="C490" s="157">
        <f>IF(B490="PART_NUMBER",IF(COUNTIF($B$1:B489,"PART_NUMBER")=0,6,8),MATCH(B490,'register map'!L:L,0))</f>
        <v>594</v>
      </c>
      <c r="D490" s="117" t="str">
        <f>IF(ISBLANK(INDEX('register map'!C:C,'Logical Group Generator'!C490)),"No","Yes")</f>
        <v>No</v>
      </c>
      <c r="E490" s="117" t="str">
        <f>IF(ISBLANK(INDEX('register map'!A:A,C490)),IF(ISBLANK(INDEX('register map'!A:A,C490-1)),IF(ISBLANK(INDEX('register map'!A:A,C490-2)),IF(ISBLANK(INDEX('register map'!A:A,C490-3)),IF(ISBLANK(INDEX('register map'!A:A,C490-4)),IF(ISBLANK(INDEX('register map'!A:A,C490-5)),IF(ISBLANK(INDEX('register map'!A:A,C490-6)),IF(ISBLANK(INDEX('register map'!A:A,C490-7)),IF(ISBLANK(INDEX('register map'!A:A,C490-8)),"ERROR",INDEX('register map'!A:A,C490-8)),INDEX('register map'!A:A,C490-7)),INDEX('register map'!A:A,C490-6)),INDEX('register map'!A:A,C490-5)),INDEX('register map'!A:A,C490-4)),INDEX('register map'!A:A,C490-3)),INDEX('register map'!A:A,C490-2)),INDEX('register map'!A:A,C490-1)),INDEX('register map'!A:A,C490))</f>
        <v>0x38</v>
      </c>
      <c r="F490" s="117" t="str">
        <f>IF(ISBLANK(INDEX('register map'!B:B,C490)),IF(ISBLANK(INDEX('register map'!B:B,C490-1)),IF(ISBLANK(INDEX('register map'!B:B,C490-2)),IF(ISBLANK(INDEX('register map'!B:B,C490-3)),IF(ISBLANK(INDEX('register map'!B:B,C490-4)),IF(ISBLANK(INDEX('register map'!B:B,C490-5)),IF(ISBLANK(INDEX('register map'!B:B,C490-6)),IF(ISBLANK(INDEX('register map'!B:B,C490-7)),IF(ISBLANK(INDEX('register map'!B:B,C490-8)),"ERROR",INDEX('register map'!B:B,C490-8)),INDEX('register map'!B:B,C490-7)),INDEX('register map'!B:B,C490-6)),INDEX('register map'!B:B,C490-5)),INDEX('register map'!B:B,C490-4)),INDEX('register map'!B:B,C490-3)),INDEX('register map'!B:B,C490-2)),INDEX('register map'!B:B,C490-1)),INDEX('register map'!B:B,C490))</f>
        <v>0x25</v>
      </c>
      <c r="G490" s="117" t="str">
        <f>CONCATENATE(IF(ISNUMBER(INDEX('register map'!D:D,C490)),7,""),IF(ISNUMBER(INDEX('register map'!E:E,C490)),6,""),IF(ISNUMBER(INDEX('register map'!F:F,C490)),5,""),IF(ISNUMBER(INDEX('register map'!G:G,C490)),4,""),IF(ISNUMBER(INDEX('register map'!H:H,C490)),3,""),IF(ISNUMBER(INDEX('register map'!I:I,C490)),2,""),IF(ISNUMBER(INDEX('register map'!J:J,C490)),1,""),IF(ISNUMBER(INDEX('register map'!K:K,C490)),0,""))</f>
        <v>6</v>
      </c>
      <c r="H490" s="117" t="str">
        <f>RIGHT(INDEX('register map'!V:V,MATCH('Logical Group Generator'!B490,'register map'!L:L,0)),LEN(G490))</f>
        <v>1</v>
      </c>
      <c r="I490" s="117" t="str">
        <f>CONCATENATE(IF(ISNUMBER(INDEX('register map'!K:K,C490)),0,""),IF(ISNUMBER(INDEX('register map'!J:J,C490)),1,""),IF(ISNUMBER(INDEX('register map'!I:I,C490)),2,""),IF(ISNUMBER(INDEX('register map'!H:H,C490)),3,""),IF(ISNUMBER(INDEX('register map'!G:G,C490)),4,""),IF(ISNUMBER(INDEX('register map'!F:F,C490)),5,""),IF(ISNUMBER(INDEX('register map'!E:E,C490)),6,""),IF(ISNUMBER(INDEX('register map'!D:D,C490)),7,""))</f>
        <v>6</v>
      </c>
      <c r="J490" s="117" t="str">
        <f t="shared" si="84"/>
        <v>1</v>
      </c>
      <c r="K490" s="117" t="str">
        <f t="shared" si="77"/>
        <v/>
      </c>
      <c r="L490" s="117" t="str">
        <f t="shared" si="85"/>
        <v/>
      </c>
      <c r="M490" s="117" t="str">
        <f t="shared" si="87"/>
        <v/>
      </c>
      <c r="N490" s="117" t="str">
        <f>IF(ISBLANK(INDEX('register map'!M:M,'Logical Group Generator'!C490)),"No","Yes")</f>
        <v>No</v>
      </c>
      <c r="O490" s="117" t="str">
        <f>IF(NOT(ISBLANK(INDEX('register map'!N:N,'Logical Group Generator'!C490))),"Yes","")</f>
        <v/>
      </c>
      <c r="P490" s="117" t="str">
        <f t="shared" si="78"/>
        <v/>
      </c>
      <c r="Q490" s="117" t="str">
        <f t="shared" si="79"/>
        <v/>
      </c>
      <c r="R490" s="117" t="str">
        <f t="shared" si="80"/>
        <v/>
      </c>
      <c r="S490" s="117" t="str">
        <f t="shared" si="81"/>
        <v>No</v>
      </c>
      <c r="T490" s="117" t="str">
        <f t="shared" si="82"/>
        <v/>
      </c>
      <c r="U490" s="117" t="b">
        <f t="shared" si="86"/>
        <v>0</v>
      </c>
      <c r="V490" s="157" t="b">
        <f>INDEX('register map'!P:P,C490)="yes"</f>
        <v>1</v>
      </c>
      <c r="W490" s="157" t="str">
        <f t="shared" si="83"/>
        <v>FALSE</v>
      </c>
    </row>
    <row r="491" spans="2:23">
      <c r="B491" s="157" t="str">
        <f t="array" ref="B491">IF(ROWS($3:491)&lt;=COUNTA('register map'!$L$5:$L$902),INDEX('register map'!$L$5:$L$902,SMALL(IF('register map'!$L$5:$L$902&lt;&gt;"",ROW('register map'!$L$5:$L$902)-MIN(ROW('register map'!$L$5:$L$902))+1),ROWS($3:491))),"")</f>
        <v>OTP_RSVD_38_25_7</v>
      </c>
      <c r="C491" s="157">
        <f>IF(B491="PART_NUMBER",IF(COUNTIF($B$1:B490,"PART_NUMBER")=0,6,8),MATCH(B491,'register map'!L:L,0))</f>
        <v>595</v>
      </c>
      <c r="D491" s="117" t="str">
        <f>IF(ISBLANK(INDEX('register map'!C:C,'Logical Group Generator'!C491)),"No","Yes")</f>
        <v>No</v>
      </c>
      <c r="E491" s="117" t="str">
        <f>IF(ISBLANK(INDEX('register map'!A:A,C491)),IF(ISBLANK(INDEX('register map'!A:A,C491-1)),IF(ISBLANK(INDEX('register map'!A:A,C491-2)),IF(ISBLANK(INDEX('register map'!A:A,C491-3)),IF(ISBLANK(INDEX('register map'!A:A,C491-4)),IF(ISBLANK(INDEX('register map'!A:A,C491-5)),IF(ISBLANK(INDEX('register map'!A:A,C491-6)),IF(ISBLANK(INDEX('register map'!A:A,C491-7)),IF(ISBLANK(INDEX('register map'!A:A,C491-8)),"ERROR",INDEX('register map'!A:A,C491-8)),INDEX('register map'!A:A,C491-7)),INDEX('register map'!A:A,C491-6)),INDEX('register map'!A:A,C491-5)),INDEX('register map'!A:A,C491-4)),INDEX('register map'!A:A,C491-3)),INDEX('register map'!A:A,C491-2)),INDEX('register map'!A:A,C491-1)),INDEX('register map'!A:A,C491))</f>
        <v>0x38</v>
      </c>
      <c r="F491" s="117" t="str">
        <f>IF(ISBLANK(INDEX('register map'!B:B,C491)),IF(ISBLANK(INDEX('register map'!B:B,C491-1)),IF(ISBLANK(INDEX('register map'!B:B,C491-2)),IF(ISBLANK(INDEX('register map'!B:B,C491-3)),IF(ISBLANK(INDEX('register map'!B:B,C491-4)),IF(ISBLANK(INDEX('register map'!B:B,C491-5)),IF(ISBLANK(INDEX('register map'!B:B,C491-6)),IF(ISBLANK(INDEX('register map'!B:B,C491-7)),IF(ISBLANK(INDEX('register map'!B:B,C491-8)),"ERROR",INDEX('register map'!B:B,C491-8)),INDEX('register map'!B:B,C491-7)),INDEX('register map'!B:B,C491-6)),INDEX('register map'!B:B,C491-5)),INDEX('register map'!B:B,C491-4)),INDEX('register map'!B:B,C491-3)),INDEX('register map'!B:B,C491-2)),INDEX('register map'!B:B,C491-1)),INDEX('register map'!B:B,C491))</f>
        <v>0x25</v>
      </c>
      <c r="G491" s="117" t="str">
        <f>CONCATENATE(IF(ISNUMBER(INDEX('register map'!D:D,C491)),7,""),IF(ISNUMBER(INDEX('register map'!E:E,C491)),6,""),IF(ISNUMBER(INDEX('register map'!F:F,C491)),5,""),IF(ISNUMBER(INDEX('register map'!G:G,C491)),4,""),IF(ISNUMBER(INDEX('register map'!H:H,C491)),3,""),IF(ISNUMBER(INDEX('register map'!I:I,C491)),2,""),IF(ISNUMBER(INDEX('register map'!J:J,C491)),1,""),IF(ISNUMBER(INDEX('register map'!K:K,C491)),0,""))</f>
        <v>7</v>
      </c>
      <c r="H491" s="117" t="str">
        <f>RIGHT(INDEX('register map'!V:V,MATCH('Logical Group Generator'!B491,'register map'!L:L,0)),LEN(G491))</f>
        <v>1</v>
      </c>
      <c r="I491" s="117" t="str">
        <f>CONCATENATE(IF(ISNUMBER(INDEX('register map'!K:K,C491)),0,""),IF(ISNUMBER(INDEX('register map'!J:J,C491)),1,""),IF(ISNUMBER(INDEX('register map'!I:I,C491)),2,""),IF(ISNUMBER(INDEX('register map'!H:H,C491)),3,""),IF(ISNUMBER(INDEX('register map'!G:G,C491)),4,""),IF(ISNUMBER(INDEX('register map'!F:F,C491)),5,""),IF(ISNUMBER(INDEX('register map'!E:E,C491)),6,""),IF(ISNUMBER(INDEX('register map'!D:D,C491)),7,""))</f>
        <v>7</v>
      </c>
      <c r="J491" s="117" t="str">
        <f t="shared" si="84"/>
        <v>1</v>
      </c>
      <c r="K491" s="117" t="str">
        <f t="shared" si="77"/>
        <v/>
      </c>
      <c r="L491" s="117" t="str">
        <f t="shared" si="85"/>
        <v/>
      </c>
      <c r="M491" s="117" t="str">
        <f t="shared" si="87"/>
        <v/>
      </c>
      <c r="N491" s="117" t="str">
        <f>IF(ISBLANK(INDEX('register map'!M:M,'Logical Group Generator'!C491)),"No","Yes")</f>
        <v>No</v>
      </c>
      <c r="O491" s="117" t="str">
        <f>IF(NOT(ISBLANK(INDEX('register map'!N:N,'Logical Group Generator'!C491))),"Yes","")</f>
        <v/>
      </c>
      <c r="P491" s="117" t="str">
        <f t="shared" si="78"/>
        <v/>
      </c>
      <c r="Q491" s="117" t="str">
        <f t="shared" si="79"/>
        <v/>
      </c>
      <c r="R491" s="117" t="str">
        <f t="shared" si="80"/>
        <v/>
      </c>
      <c r="S491" s="117" t="str">
        <f t="shared" si="81"/>
        <v>No</v>
      </c>
      <c r="T491" s="117" t="str">
        <f t="shared" si="82"/>
        <v/>
      </c>
      <c r="U491" s="117" t="b">
        <f t="shared" si="86"/>
        <v>0</v>
      </c>
      <c r="V491" s="157" t="b">
        <f>INDEX('register map'!P:P,C491)="yes"</f>
        <v>1</v>
      </c>
      <c r="W491" s="157" t="str">
        <f t="shared" si="83"/>
        <v>FALSE</v>
      </c>
    </row>
    <row r="492" spans="2:23">
      <c r="B492" s="157" t="str">
        <f t="array" ref="B492">IF(ROWS($3:492)&lt;=COUNTA('register map'!$L$5:$L$902),INDEX('register map'!$L$5:$L$902,SMALL(IF('register map'!$L$5:$L$902&lt;&gt;"",ROW('register map'!$L$5:$L$902)-MIN(ROW('register map'!$L$5:$L$902))+1),ROWS($3:492))),"")</f>
        <v>SWB2_LDOA1_CTRL_EN2</v>
      </c>
      <c r="C492" s="157">
        <f>IF(B492="PART_NUMBER",IF(COUNTIF($B$1:B491,"PART_NUMBER")=0,6,8),MATCH(B492,'register map'!L:L,0))</f>
        <v>596</v>
      </c>
      <c r="D492" s="117" t="str">
        <f>IF(ISBLANK(INDEX('register map'!C:C,'Logical Group Generator'!C492)),"No","Yes")</f>
        <v>Yes</v>
      </c>
      <c r="E492" s="117" t="str">
        <f>IF(ISBLANK(INDEX('register map'!A:A,C492)),IF(ISBLANK(INDEX('register map'!A:A,C492-1)),IF(ISBLANK(INDEX('register map'!A:A,C492-2)),IF(ISBLANK(INDEX('register map'!A:A,C492-3)),IF(ISBLANK(INDEX('register map'!A:A,C492-4)),IF(ISBLANK(INDEX('register map'!A:A,C492-5)),IF(ISBLANK(INDEX('register map'!A:A,C492-6)),IF(ISBLANK(INDEX('register map'!A:A,C492-7)),IF(ISBLANK(INDEX('register map'!A:A,C492-8)),"ERROR",INDEX('register map'!A:A,C492-8)),INDEX('register map'!A:A,C492-7)),INDEX('register map'!A:A,C492-6)),INDEX('register map'!A:A,C492-5)),INDEX('register map'!A:A,C492-4)),INDEX('register map'!A:A,C492-3)),INDEX('register map'!A:A,C492-2)),INDEX('register map'!A:A,C492-1)),INDEX('register map'!A:A,C492))</f>
        <v>0x38</v>
      </c>
      <c r="F492" s="117" t="str">
        <f>IF(ISBLANK(INDEX('register map'!B:B,C492)),IF(ISBLANK(INDEX('register map'!B:B,C492-1)),IF(ISBLANK(INDEX('register map'!B:B,C492-2)),IF(ISBLANK(INDEX('register map'!B:B,C492-3)),IF(ISBLANK(INDEX('register map'!B:B,C492-4)),IF(ISBLANK(INDEX('register map'!B:B,C492-5)),IF(ISBLANK(INDEX('register map'!B:B,C492-6)),IF(ISBLANK(INDEX('register map'!B:B,C492-7)),IF(ISBLANK(INDEX('register map'!B:B,C492-8)),"ERROR",INDEX('register map'!B:B,C492-8)),INDEX('register map'!B:B,C492-7)),INDEX('register map'!B:B,C492-6)),INDEX('register map'!B:B,C492-5)),INDEX('register map'!B:B,C492-4)),INDEX('register map'!B:B,C492-3)),INDEX('register map'!B:B,C492-2)),INDEX('register map'!B:B,C492-1)),INDEX('register map'!B:B,C492))</f>
        <v>0x26</v>
      </c>
      <c r="G492" s="117" t="str">
        <f>CONCATENATE(IF(ISNUMBER(INDEX('register map'!D:D,C492)),7,""),IF(ISNUMBER(INDEX('register map'!E:E,C492)),6,""),IF(ISNUMBER(INDEX('register map'!F:F,C492)),5,""),IF(ISNUMBER(INDEX('register map'!G:G,C492)),4,""),IF(ISNUMBER(INDEX('register map'!H:H,C492)),3,""),IF(ISNUMBER(INDEX('register map'!I:I,C492)),2,""),IF(ISNUMBER(INDEX('register map'!J:J,C492)),1,""),IF(ISNUMBER(INDEX('register map'!K:K,C492)),0,""))</f>
        <v/>
      </c>
      <c r="H492" s="117" t="str">
        <f>RIGHT(INDEX('register map'!V:V,MATCH('Logical Group Generator'!B492,'register map'!L:L,0)),LEN(G492))</f>
        <v/>
      </c>
      <c r="I492" s="117" t="str">
        <f>CONCATENATE(IF(ISNUMBER(INDEX('register map'!K:K,C492)),0,""),IF(ISNUMBER(INDEX('register map'!J:J,C492)),1,""),IF(ISNUMBER(INDEX('register map'!I:I,C492)),2,""),IF(ISNUMBER(INDEX('register map'!H:H,C492)),3,""),IF(ISNUMBER(INDEX('register map'!G:G,C492)),4,""),IF(ISNUMBER(INDEX('register map'!F:F,C492)),5,""),IF(ISNUMBER(INDEX('register map'!E:E,C492)),6,""),IF(ISNUMBER(INDEX('register map'!D:D,C492)),7,""))</f>
        <v/>
      </c>
      <c r="J492" s="117" t="str">
        <f t="shared" si="84"/>
        <v/>
      </c>
      <c r="K492" s="117" t="str">
        <f t="shared" si="77"/>
        <v>11000101</v>
      </c>
      <c r="L492" s="117" t="str">
        <f t="shared" si="85"/>
        <v>10100011</v>
      </c>
      <c r="M492" s="117" t="str">
        <f t="shared" si="87"/>
        <v>A3</v>
      </c>
      <c r="N492" s="117" t="str">
        <f>IF(ISBLANK(INDEX('register map'!M:M,'Logical Group Generator'!C492)),"No","Yes")</f>
        <v>No</v>
      </c>
      <c r="O492" s="117" t="str">
        <f>IF(NOT(ISBLANK(INDEX('register map'!N:N,'Logical Group Generator'!C492))),"Yes","")</f>
        <v/>
      </c>
      <c r="P492" s="117" t="str">
        <f t="shared" si="78"/>
        <v>No</v>
      </c>
      <c r="Q492" s="117" t="str">
        <f t="shared" si="79"/>
        <v>No</v>
      </c>
      <c r="R492" s="117" t="str">
        <f t="shared" si="80"/>
        <v>No</v>
      </c>
      <c r="S492" s="117" t="str">
        <f t="shared" si="81"/>
        <v/>
      </c>
      <c r="T492" s="117" t="b">
        <f t="shared" si="82"/>
        <v>1</v>
      </c>
      <c r="U492" s="117" t="b">
        <f t="shared" si="86"/>
        <v>1</v>
      </c>
      <c r="V492" s="157" t="b">
        <f>INDEX('register map'!P:P,C492)="yes"</f>
        <v>1</v>
      </c>
      <c r="W492" s="157" t="str">
        <f t="shared" si="83"/>
        <v>REGISTER</v>
      </c>
    </row>
    <row r="493" spans="2:23">
      <c r="B493" s="157" t="str">
        <f t="array" ref="B493">IF(ROWS($3:493)&lt;=COUNTA('register map'!$L$5:$L$902),INDEX('register map'!$L$5:$L$902,SMALL(IF('register map'!$L$5:$L$902&lt;&gt;"",ROW('register map'!$L$5:$L$902)-MIN(ROW('register map'!$L$5:$L$902))+1),ROWS($3:493))),"")</f>
        <v>OTP_RSVD_38_26_0</v>
      </c>
      <c r="C493" s="157">
        <f>IF(B493="PART_NUMBER",IF(COUNTIF($B$1:B492,"PART_NUMBER")=0,6,8),MATCH(B493,'register map'!L:L,0))</f>
        <v>597</v>
      </c>
      <c r="D493" s="117" t="str">
        <f>IF(ISBLANK(INDEX('register map'!C:C,'Logical Group Generator'!C493)),"No","Yes")</f>
        <v>No</v>
      </c>
      <c r="E493" s="117" t="str">
        <f>IF(ISBLANK(INDEX('register map'!A:A,C493)),IF(ISBLANK(INDEX('register map'!A:A,C493-1)),IF(ISBLANK(INDEX('register map'!A:A,C493-2)),IF(ISBLANK(INDEX('register map'!A:A,C493-3)),IF(ISBLANK(INDEX('register map'!A:A,C493-4)),IF(ISBLANK(INDEX('register map'!A:A,C493-5)),IF(ISBLANK(INDEX('register map'!A:A,C493-6)),IF(ISBLANK(INDEX('register map'!A:A,C493-7)),IF(ISBLANK(INDEX('register map'!A:A,C493-8)),"ERROR",INDEX('register map'!A:A,C493-8)),INDEX('register map'!A:A,C493-7)),INDEX('register map'!A:A,C493-6)),INDEX('register map'!A:A,C493-5)),INDEX('register map'!A:A,C493-4)),INDEX('register map'!A:A,C493-3)),INDEX('register map'!A:A,C493-2)),INDEX('register map'!A:A,C493-1)),INDEX('register map'!A:A,C493))</f>
        <v>0x38</v>
      </c>
      <c r="F493" s="117" t="str">
        <f>IF(ISBLANK(INDEX('register map'!B:B,C493)),IF(ISBLANK(INDEX('register map'!B:B,C493-1)),IF(ISBLANK(INDEX('register map'!B:B,C493-2)),IF(ISBLANK(INDEX('register map'!B:B,C493-3)),IF(ISBLANK(INDEX('register map'!B:B,C493-4)),IF(ISBLANK(INDEX('register map'!B:B,C493-5)),IF(ISBLANK(INDEX('register map'!B:B,C493-6)),IF(ISBLANK(INDEX('register map'!B:B,C493-7)),IF(ISBLANK(INDEX('register map'!B:B,C493-8)),"ERROR",INDEX('register map'!B:B,C493-8)),INDEX('register map'!B:B,C493-7)),INDEX('register map'!B:B,C493-6)),INDEX('register map'!B:B,C493-5)),INDEX('register map'!B:B,C493-4)),INDEX('register map'!B:B,C493-3)),INDEX('register map'!B:B,C493-2)),INDEX('register map'!B:B,C493-1)),INDEX('register map'!B:B,C493))</f>
        <v>0x26</v>
      </c>
      <c r="G493" s="117" t="str">
        <f>CONCATENATE(IF(ISNUMBER(INDEX('register map'!D:D,C493)),7,""),IF(ISNUMBER(INDEX('register map'!E:E,C493)),6,""),IF(ISNUMBER(INDEX('register map'!F:F,C493)),5,""),IF(ISNUMBER(INDEX('register map'!G:G,C493)),4,""),IF(ISNUMBER(INDEX('register map'!H:H,C493)),3,""),IF(ISNUMBER(INDEX('register map'!I:I,C493)),2,""),IF(ISNUMBER(INDEX('register map'!J:J,C493)),1,""),IF(ISNUMBER(INDEX('register map'!K:K,C493)),0,""))</f>
        <v>0</v>
      </c>
      <c r="H493" s="117" t="str">
        <f>RIGHT(INDEX('register map'!V:V,MATCH('Logical Group Generator'!B493,'register map'!L:L,0)),LEN(G493))</f>
        <v>1</v>
      </c>
      <c r="I493" s="117" t="str">
        <f>CONCATENATE(IF(ISNUMBER(INDEX('register map'!K:K,C493)),0,""),IF(ISNUMBER(INDEX('register map'!J:J,C493)),1,""),IF(ISNUMBER(INDEX('register map'!I:I,C493)),2,""),IF(ISNUMBER(INDEX('register map'!H:H,C493)),3,""),IF(ISNUMBER(INDEX('register map'!G:G,C493)),4,""),IF(ISNUMBER(INDEX('register map'!F:F,C493)),5,""),IF(ISNUMBER(INDEX('register map'!E:E,C493)),6,""),IF(ISNUMBER(INDEX('register map'!D:D,C493)),7,""))</f>
        <v>0</v>
      </c>
      <c r="J493" s="117" t="str">
        <f t="shared" si="84"/>
        <v>1</v>
      </c>
      <c r="K493" s="117" t="str">
        <f t="shared" si="77"/>
        <v/>
      </c>
      <c r="L493" s="117" t="str">
        <f t="shared" si="85"/>
        <v/>
      </c>
      <c r="M493" s="117" t="str">
        <f t="shared" si="87"/>
        <v/>
      </c>
      <c r="N493" s="117" t="str">
        <f>IF(ISBLANK(INDEX('register map'!M:M,'Logical Group Generator'!C493)),"No","Yes")</f>
        <v>No</v>
      </c>
      <c r="O493" s="117" t="str">
        <f>IF(NOT(ISBLANK(INDEX('register map'!N:N,'Logical Group Generator'!C493))),"Yes","")</f>
        <v/>
      </c>
      <c r="P493" s="117" t="str">
        <f t="shared" si="78"/>
        <v/>
      </c>
      <c r="Q493" s="117" t="str">
        <f t="shared" si="79"/>
        <v/>
      </c>
      <c r="R493" s="117" t="str">
        <f t="shared" si="80"/>
        <v/>
      </c>
      <c r="S493" s="117" t="str">
        <f t="shared" si="81"/>
        <v>No</v>
      </c>
      <c r="T493" s="117" t="str">
        <f t="shared" si="82"/>
        <v/>
      </c>
      <c r="U493" s="117" t="b">
        <f t="shared" si="86"/>
        <v>0</v>
      </c>
      <c r="V493" s="157" t="b">
        <f>INDEX('register map'!P:P,C493)="yes"</f>
        <v>1</v>
      </c>
      <c r="W493" s="157" t="str">
        <f t="shared" si="83"/>
        <v>FALSE</v>
      </c>
    </row>
    <row r="494" spans="2:23">
      <c r="B494" s="157" t="str">
        <f t="array" ref="B494">IF(ROWS($3:494)&lt;=COUNTA('register map'!$L$5:$L$902),INDEX('register map'!$L$5:$L$902,SMALL(IF('register map'!$L$5:$L$902&lt;&gt;"",ROW('register map'!$L$5:$L$902)-MIN(ROW('register map'!$L$5:$L$902))+1),ROWS($3:494))),"")</f>
        <v>OTP_RSVD_38_26_1</v>
      </c>
      <c r="C494" s="157">
        <f>IF(B494="PART_NUMBER",IF(COUNTIF($B$1:B493,"PART_NUMBER")=0,6,8),MATCH(B494,'register map'!L:L,0))</f>
        <v>598</v>
      </c>
      <c r="D494" s="117" t="str">
        <f>IF(ISBLANK(INDEX('register map'!C:C,'Logical Group Generator'!C494)),"No","Yes")</f>
        <v>No</v>
      </c>
      <c r="E494" s="117" t="str">
        <f>IF(ISBLANK(INDEX('register map'!A:A,C494)),IF(ISBLANK(INDEX('register map'!A:A,C494-1)),IF(ISBLANK(INDEX('register map'!A:A,C494-2)),IF(ISBLANK(INDEX('register map'!A:A,C494-3)),IF(ISBLANK(INDEX('register map'!A:A,C494-4)),IF(ISBLANK(INDEX('register map'!A:A,C494-5)),IF(ISBLANK(INDEX('register map'!A:A,C494-6)),IF(ISBLANK(INDEX('register map'!A:A,C494-7)),IF(ISBLANK(INDEX('register map'!A:A,C494-8)),"ERROR",INDEX('register map'!A:A,C494-8)),INDEX('register map'!A:A,C494-7)),INDEX('register map'!A:A,C494-6)),INDEX('register map'!A:A,C494-5)),INDEX('register map'!A:A,C494-4)),INDEX('register map'!A:A,C494-3)),INDEX('register map'!A:A,C494-2)),INDEX('register map'!A:A,C494-1)),INDEX('register map'!A:A,C494))</f>
        <v>0x38</v>
      </c>
      <c r="F494" s="117" t="str">
        <f>IF(ISBLANK(INDEX('register map'!B:B,C494)),IF(ISBLANK(INDEX('register map'!B:B,C494-1)),IF(ISBLANK(INDEX('register map'!B:B,C494-2)),IF(ISBLANK(INDEX('register map'!B:B,C494-3)),IF(ISBLANK(INDEX('register map'!B:B,C494-4)),IF(ISBLANK(INDEX('register map'!B:B,C494-5)),IF(ISBLANK(INDEX('register map'!B:B,C494-6)),IF(ISBLANK(INDEX('register map'!B:B,C494-7)),IF(ISBLANK(INDEX('register map'!B:B,C494-8)),"ERROR",INDEX('register map'!B:B,C494-8)),INDEX('register map'!B:B,C494-7)),INDEX('register map'!B:B,C494-6)),INDEX('register map'!B:B,C494-5)),INDEX('register map'!B:B,C494-4)),INDEX('register map'!B:B,C494-3)),INDEX('register map'!B:B,C494-2)),INDEX('register map'!B:B,C494-1)),INDEX('register map'!B:B,C494))</f>
        <v>0x26</v>
      </c>
      <c r="G494" s="117" t="str">
        <f>CONCATENATE(IF(ISNUMBER(INDEX('register map'!D:D,C494)),7,""),IF(ISNUMBER(INDEX('register map'!E:E,C494)),6,""),IF(ISNUMBER(INDEX('register map'!F:F,C494)),5,""),IF(ISNUMBER(INDEX('register map'!G:G,C494)),4,""),IF(ISNUMBER(INDEX('register map'!H:H,C494)),3,""),IF(ISNUMBER(INDEX('register map'!I:I,C494)),2,""),IF(ISNUMBER(INDEX('register map'!J:J,C494)),1,""),IF(ISNUMBER(INDEX('register map'!K:K,C494)),0,""))</f>
        <v>1</v>
      </c>
      <c r="H494" s="117" t="str">
        <f>RIGHT(INDEX('register map'!V:V,MATCH('Logical Group Generator'!B494,'register map'!L:L,0)),LEN(G494))</f>
        <v>1</v>
      </c>
      <c r="I494" s="117" t="str">
        <f>CONCATENATE(IF(ISNUMBER(INDEX('register map'!K:K,C494)),0,""),IF(ISNUMBER(INDEX('register map'!J:J,C494)),1,""),IF(ISNUMBER(INDEX('register map'!I:I,C494)),2,""),IF(ISNUMBER(INDEX('register map'!H:H,C494)),3,""),IF(ISNUMBER(INDEX('register map'!G:G,C494)),4,""),IF(ISNUMBER(INDEX('register map'!F:F,C494)),5,""),IF(ISNUMBER(INDEX('register map'!E:E,C494)),6,""),IF(ISNUMBER(INDEX('register map'!D:D,C494)),7,""))</f>
        <v>1</v>
      </c>
      <c r="J494" s="117" t="str">
        <f t="shared" si="84"/>
        <v>1</v>
      </c>
      <c r="K494" s="117" t="str">
        <f t="shared" si="77"/>
        <v/>
      </c>
      <c r="L494" s="117" t="str">
        <f t="shared" si="85"/>
        <v/>
      </c>
      <c r="M494" s="117" t="str">
        <f t="shared" si="87"/>
        <v/>
      </c>
      <c r="N494" s="117" t="str">
        <f>IF(ISBLANK(INDEX('register map'!M:M,'Logical Group Generator'!C494)),"No","Yes")</f>
        <v>No</v>
      </c>
      <c r="O494" s="117" t="str">
        <f>IF(NOT(ISBLANK(INDEX('register map'!N:N,'Logical Group Generator'!C494))),"Yes","")</f>
        <v/>
      </c>
      <c r="P494" s="117" t="str">
        <f t="shared" si="78"/>
        <v/>
      </c>
      <c r="Q494" s="117" t="str">
        <f t="shared" si="79"/>
        <v/>
      </c>
      <c r="R494" s="117" t="str">
        <f t="shared" si="80"/>
        <v/>
      </c>
      <c r="S494" s="117" t="str">
        <f t="shared" si="81"/>
        <v>No</v>
      </c>
      <c r="T494" s="117" t="str">
        <f t="shared" si="82"/>
        <v/>
      </c>
      <c r="U494" s="117" t="b">
        <f t="shared" si="86"/>
        <v>0</v>
      </c>
      <c r="V494" s="157" t="b">
        <f>INDEX('register map'!P:P,C494)="yes"</f>
        <v>1</v>
      </c>
      <c r="W494" s="157" t="str">
        <f t="shared" si="83"/>
        <v>FALSE</v>
      </c>
    </row>
    <row r="495" spans="2:23">
      <c r="B495" s="157" t="str">
        <f t="array" ref="B495">IF(ROWS($3:495)&lt;=COUNTA('register map'!$L$5:$L$902),INDEX('register map'!$L$5:$L$902,SMALL(IF('register map'!$L$5:$L$902&lt;&gt;"",ROW('register map'!$L$5:$L$902)-MIN(ROW('register map'!$L$5:$L$902))+1),ROWS($3:495))),"")</f>
        <v>OTP_RSVD_38_26_432</v>
      </c>
      <c r="C495" s="157">
        <f>IF(B495="PART_NUMBER",IF(COUNTIF($B$1:B494,"PART_NUMBER")=0,6,8),MATCH(B495,'register map'!L:L,0))</f>
        <v>599</v>
      </c>
      <c r="D495" s="117" t="str">
        <f>IF(ISBLANK(INDEX('register map'!C:C,'Logical Group Generator'!C495)),"No","Yes")</f>
        <v>No</v>
      </c>
      <c r="E495" s="117" t="str">
        <f>IF(ISBLANK(INDEX('register map'!A:A,C495)),IF(ISBLANK(INDEX('register map'!A:A,C495-1)),IF(ISBLANK(INDEX('register map'!A:A,C495-2)),IF(ISBLANK(INDEX('register map'!A:A,C495-3)),IF(ISBLANK(INDEX('register map'!A:A,C495-4)),IF(ISBLANK(INDEX('register map'!A:A,C495-5)),IF(ISBLANK(INDEX('register map'!A:A,C495-6)),IF(ISBLANK(INDEX('register map'!A:A,C495-7)),IF(ISBLANK(INDEX('register map'!A:A,C495-8)),"ERROR",INDEX('register map'!A:A,C495-8)),INDEX('register map'!A:A,C495-7)),INDEX('register map'!A:A,C495-6)),INDEX('register map'!A:A,C495-5)),INDEX('register map'!A:A,C495-4)),INDEX('register map'!A:A,C495-3)),INDEX('register map'!A:A,C495-2)),INDEX('register map'!A:A,C495-1)),INDEX('register map'!A:A,C495))</f>
        <v>0x38</v>
      </c>
      <c r="F495" s="117" t="str">
        <f>IF(ISBLANK(INDEX('register map'!B:B,C495)),IF(ISBLANK(INDEX('register map'!B:B,C495-1)),IF(ISBLANK(INDEX('register map'!B:B,C495-2)),IF(ISBLANK(INDEX('register map'!B:B,C495-3)),IF(ISBLANK(INDEX('register map'!B:B,C495-4)),IF(ISBLANK(INDEX('register map'!B:B,C495-5)),IF(ISBLANK(INDEX('register map'!B:B,C495-6)),IF(ISBLANK(INDEX('register map'!B:B,C495-7)),IF(ISBLANK(INDEX('register map'!B:B,C495-8)),"ERROR",INDEX('register map'!B:B,C495-8)),INDEX('register map'!B:B,C495-7)),INDEX('register map'!B:B,C495-6)),INDEX('register map'!B:B,C495-5)),INDEX('register map'!B:B,C495-4)),INDEX('register map'!B:B,C495-3)),INDEX('register map'!B:B,C495-2)),INDEX('register map'!B:B,C495-1)),INDEX('register map'!B:B,C495))</f>
        <v>0x26</v>
      </c>
      <c r="G495" s="117" t="str">
        <f>CONCATENATE(IF(ISNUMBER(INDEX('register map'!D:D,C495)),7,""),IF(ISNUMBER(INDEX('register map'!E:E,C495)),6,""),IF(ISNUMBER(INDEX('register map'!F:F,C495)),5,""),IF(ISNUMBER(INDEX('register map'!G:G,C495)),4,""),IF(ISNUMBER(INDEX('register map'!H:H,C495)),3,""),IF(ISNUMBER(INDEX('register map'!I:I,C495)),2,""),IF(ISNUMBER(INDEX('register map'!J:J,C495)),1,""),IF(ISNUMBER(INDEX('register map'!K:K,C495)),0,""))</f>
        <v>432</v>
      </c>
      <c r="H495" s="117" t="str">
        <f>RIGHT(INDEX('register map'!V:V,MATCH('Logical Group Generator'!B495,'register map'!L:L,0)),LEN(G495))</f>
        <v>000</v>
      </c>
      <c r="I495" s="117" t="str">
        <f>CONCATENATE(IF(ISNUMBER(INDEX('register map'!K:K,C495)),0,""),IF(ISNUMBER(INDEX('register map'!J:J,C495)),1,""),IF(ISNUMBER(INDEX('register map'!I:I,C495)),2,""),IF(ISNUMBER(INDEX('register map'!H:H,C495)),3,""),IF(ISNUMBER(INDEX('register map'!G:G,C495)),4,""),IF(ISNUMBER(INDEX('register map'!F:F,C495)),5,""),IF(ISNUMBER(INDEX('register map'!E:E,C495)),6,""),IF(ISNUMBER(INDEX('register map'!D:D,C495)),7,""))</f>
        <v>234</v>
      </c>
      <c r="J495" s="117" t="str">
        <f t="shared" si="84"/>
        <v>000</v>
      </c>
      <c r="K495" s="117" t="str">
        <f t="shared" si="77"/>
        <v/>
      </c>
      <c r="L495" s="117" t="str">
        <f t="shared" si="85"/>
        <v/>
      </c>
      <c r="M495" s="117" t="str">
        <f t="shared" si="87"/>
        <v/>
      </c>
      <c r="N495" s="117" t="str">
        <f>IF(ISBLANK(INDEX('register map'!M:M,'Logical Group Generator'!C495)),"No","Yes")</f>
        <v>No</v>
      </c>
      <c r="O495" s="117" t="str">
        <f>IF(NOT(ISBLANK(INDEX('register map'!N:N,'Logical Group Generator'!C495))),"Yes","")</f>
        <v/>
      </c>
      <c r="P495" s="117" t="str">
        <f t="shared" si="78"/>
        <v/>
      </c>
      <c r="Q495" s="117" t="str">
        <f t="shared" si="79"/>
        <v/>
      </c>
      <c r="R495" s="117" t="str">
        <f t="shared" si="80"/>
        <v/>
      </c>
      <c r="S495" s="117" t="str">
        <f t="shared" si="81"/>
        <v>No</v>
      </c>
      <c r="T495" s="117" t="str">
        <f t="shared" si="82"/>
        <v/>
      </c>
      <c r="U495" s="117" t="b">
        <f t="shared" si="86"/>
        <v>0</v>
      </c>
      <c r="V495" s="157" t="b">
        <f>INDEX('register map'!P:P,C495)="yes"</f>
        <v>1</v>
      </c>
      <c r="W495" s="157" t="str">
        <f t="shared" si="83"/>
        <v>FALSE</v>
      </c>
    </row>
    <row r="496" spans="2:23">
      <c r="B496" s="157" t="str">
        <f t="array" ref="B496">IF(ROWS($3:496)&lt;=COUNTA('register map'!$L$5:$L$902),INDEX('register map'!$L$5:$L$902,SMALL(IF('register map'!$L$5:$L$902&lt;&gt;"",ROW('register map'!$L$5:$L$902)-MIN(ROW('register map'!$L$5:$L$902))+1),ROWS($3:496))),"")</f>
        <v>OTP_RSVD_38_26_65</v>
      </c>
      <c r="C496" s="157">
        <f>IF(B496="PART_NUMBER",IF(COUNTIF($B$1:B495,"PART_NUMBER")=0,6,8),MATCH(B496,'register map'!L:L,0))</f>
        <v>600</v>
      </c>
      <c r="D496" s="117" t="str">
        <f>IF(ISBLANK(INDEX('register map'!C:C,'Logical Group Generator'!C496)),"No","Yes")</f>
        <v>No</v>
      </c>
      <c r="E496" s="117" t="str">
        <f>IF(ISBLANK(INDEX('register map'!A:A,C496)),IF(ISBLANK(INDEX('register map'!A:A,C496-1)),IF(ISBLANK(INDEX('register map'!A:A,C496-2)),IF(ISBLANK(INDEX('register map'!A:A,C496-3)),IF(ISBLANK(INDEX('register map'!A:A,C496-4)),IF(ISBLANK(INDEX('register map'!A:A,C496-5)),IF(ISBLANK(INDEX('register map'!A:A,C496-6)),IF(ISBLANK(INDEX('register map'!A:A,C496-7)),IF(ISBLANK(INDEX('register map'!A:A,C496-8)),"ERROR",INDEX('register map'!A:A,C496-8)),INDEX('register map'!A:A,C496-7)),INDEX('register map'!A:A,C496-6)),INDEX('register map'!A:A,C496-5)),INDEX('register map'!A:A,C496-4)),INDEX('register map'!A:A,C496-3)),INDEX('register map'!A:A,C496-2)),INDEX('register map'!A:A,C496-1)),INDEX('register map'!A:A,C496))</f>
        <v>0x38</v>
      </c>
      <c r="F496" s="117" t="str">
        <f>IF(ISBLANK(INDEX('register map'!B:B,C496)),IF(ISBLANK(INDEX('register map'!B:B,C496-1)),IF(ISBLANK(INDEX('register map'!B:B,C496-2)),IF(ISBLANK(INDEX('register map'!B:B,C496-3)),IF(ISBLANK(INDEX('register map'!B:B,C496-4)),IF(ISBLANK(INDEX('register map'!B:B,C496-5)),IF(ISBLANK(INDEX('register map'!B:B,C496-6)),IF(ISBLANK(INDEX('register map'!B:B,C496-7)),IF(ISBLANK(INDEX('register map'!B:B,C496-8)),"ERROR",INDEX('register map'!B:B,C496-8)),INDEX('register map'!B:B,C496-7)),INDEX('register map'!B:B,C496-6)),INDEX('register map'!B:B,C496-5)),INDEX('register map'!B:B,C496-4)),INDEX('register map'!B:B,C496-3)),INDEX('register map'!B:B,C496-2)),INDEX('register map'!B:B,C496-1)),INDEX('register map'!B:B,C496))</f>
        <v>0x26</v>
      </c>
      <c r="G496" s="117" t="str">
        <f>CONCATENATE(IF(ISNUMBER(INDEX('register map'!D:D,C496)),7,""),IF(ISNUMBER(INDEX('register map'!E:E,C496)),6,""),IF(ISNUMBER(INDEX('register map'!F:F,C496)),5,""),IF(ISNUMBER(INDEX('register map'!G:G,C496)),4,""),IF(ISNUMBER(INDEX('register map'!H:H,C496)),3,""),IF(ISNUMBER(INDEX('register map'!I:I,C496)),2,""),IF(ISNUMBER(INDEX('register map'!J:J,C496)),1,""),IF(ISNUMBER(INDEX('register map'!K:K,C496)),0,""))</f>
        <v>65</v>
      </c>
      <c r="H496" s="117" t="str">
        <f>RIGHT(INDEX('register map'!V:V,MATCH('Logical Group Generator'!B496,'register map'!L:L,0)),LEN(G496))</f>
        <v>01</v>
      </c>
      <c r="I496" s="117" t="str">
        <f>CONCATENATE(IF(ISNUMBER(INDEX('register map'!K:K,C496)),0,""),IF(ISNUMBER(INDEX('register map'!J:J,C496)),1,""),IF(ISNUMBER(INDEX('register map'!I:I,C496)),2,""),IF(ISNUMBER(INDEX('register map'!H:H,C496)),3,""),IF(ISNUMBER(INDEX('register map'!G:G,C496)),4,""),IF(ISNUMBER(INDEX('register map'!F:F,C496)),5,""),IF(ISNUMBER(INDEX('register map'!E:E,C496)),6,""),IF(ISNUMBER(INDEX('register map'!D:D,C496)),7,""))</f>
        <v>56</v>
      </c>
      <c r="J496" s="117" t="str">
        <f t="shared" si="84"/>
        <v>10</v>
      </c>
      <c r="K496" s="117" t="str">
        <f t="shared" si="77"/>
        <v/>
      </c>
      <c r="L496" s="117" t="str">
        <f t="shared" si="85"/>
        <v/>
      </c>
      <c r="M496" s="117" t="str">
        <f t="shared" si="87"/>
        <v/>
      </c>
      <c r="N496" s="117" t="str">
        <f>IF(ISBLANK(INDEX('register map'!M:M,'Logical Group Generator'!C496)),"No","Yes")</f>
        <v>No</v>
      </c>
      <c r="O496" s="117" t="str">
        <f>IF(NOT(ISBLANK(INDEX('register map'!N:N,'Logical Group Generator'!C496))),"Yes","")</f>
        <v/>
      </c>
      <c r="P496" s="117" t="str">
        <f t="shared" si="78"/>
        <v/>
      </c>
      <c r="Q496" s="117" t="str">
        <f t="shared" si="79"/>
        <v/>
      </c>
      <c r="R496" s="117" t="str">
        <f t="shared" si="80"/>
        <v/>
      </c>
      <c r="S496" s="117" t="str">
        <f t="shared" si="81"/>
        <v>No</v>
      </c>
      <c r="T496" s="117" t="str">
        <f t="shared" si="82"/>
        <v/>
      </c>
      <c r="U496" s="117" t="b">
        <f t="shared" si="86"/>
        <v>0</v>
      </c>
      <c r="V496" s="157" t="b">
        <f>INDEX('register map'!P:P,C496)="yes"</f>
        <v>1</v>
      </c>
      <c r="W496" s="157" t="str">
        <f t="shared" si="83"/>
        <v>FALSE</v>
      </c>
    </row>
    <row r="497" spans="2:23">
      <c r="B497" s="157" t="str">
        <f t="array" ref="B497">IF(ROWS($3:497)&lt;=COUNTA('register map'!$L$5:$L$902),INDEX('register map'!$L$5:$L$902,SMALL(IF('register map'!$L$5:$L$902&lt;&gt;"",ROW('register map'!$L$5:$L$902)-MIN(ROW('register map'!$L$5:$L$902))+1),ROWS($3:497))),"")</f>
        <v>OTP_RSVD_38_26_7</v>
      </c>
      <c r="C497" s="157">
        <f>IF(B497="PART_NUMBER",IF(COUNTIF($B$1:B496,"PART_NUMBER")=0,6,8),MATCH(B497,'register map'!L:L,0))</f>
        <v>601</v>
      </c>
      <c r="D497" s="117" t="str">
        <f>IF(ISBLANK(INDEX('register map'!C:C,'Logical Group Generator'!C497)),"No","Yes")</f>
        <v>No</v>
      </c>
      <c r="E497" s="117" t="str">
        <f>IF(ISBLANK(INDEX('register map'!A:A,C497)),IF(ISBLANK(INDEX('register map'!A:A,C497-1)),IF(ISBLANK(INDEX('register map'!A:A,C497-2)),IF(ISBLANK(INDEX('register map'!A:A,C497-3)),IF(ISBLANK(INDEX('register map'!A:A,C497-4)),IF(ISBLANK(INDEX('register map'!A:A,C497-5)),IF(ISBLANK(INDEX('register map'!A:A,C497-6)),IF(ISBLANK(INDEX('register map'!A:A,C497-7)),IF(ISBLANK(INDEX('register map'!A:A,C497-8)),"ERROR",INDEX('register map'!A:A,C497-8)),INDEX('register map'!A:A,C497-7)),INDEX('register map'!A:A,C497-6)),INDEX('register map'!A:A,C497-5)),INDEX('register map'!A:A,C497-4)),INDEX('register map'!A:A,C497-3)),INDEX('register map'!A:A,C497-2)),INDEX('register map'!A:A,C497-1)),INDEX('register map'!A:A,C497))</f>
        <v>0x38</v>
      </c>
      <c r="F497" s="117" t="str">
        <f>IF(ISBLANK(INDEX('register map'!B:B,C497)),IF(ISBLANK(INDEX('register map'!B:B,C497-1)),IF(ISBLANK(INDEX('register map'!B:B,C497-2)),IF(ISBLANK(INDEX('register map'!B:B,C497-3)),IF(ISBLANK(INDEX('register map'!B:B,C497-4)),IF(ISBLANK(INDEX('register map'!B:B,C497-5)),IF(ISBLANK(INDEX('register map'!B:B,C497-6)),IF(ISBLANK(INDEX('register map'!B:B,C497-7)),IF(ISBLANK(INDEX('register map'!B:B,C497-8)),"ERROR",INDEX('register map'!B:B,C497-8)),INDEX('register map'!B:B,C497-7)),INDEX('register map'!B:B,C497-6)),INDEX('register map'!B:B,C497-5)),INDEX('register map'!B:B,C497-4)),INDEX('register map'!B:B,C497-3)),INDEX('register map'!B:B,C497-2)),INDEX('register map'!B:B,C497-1)),INDEX('register map'!B:B,C497))</f>
        <v>0x26</v>
      </c>
      <c r="G497" s="117" t="str">
        <f>CONCATENATE(IF(ISNUMBER(INDEX('register map'!D:D,C497)),7,""),IF(ISNUMBER(INDEX('register map'!E:E,C497)),6,""),IF(ISNUMBER(INDEX('register map'!F:F,C497)),5,""),IF(ISNUMBER(INDEX('register map'!G:G,C497)),4,""),IF(ISNUMBER(INDEX('register map'!H:H,C497)),3,""),IF(ISNUMBER(INDEX('register map'!I:I,C497)),2,""),IF(ISNUMBER(INDEX('register map'!J:J,C497)),1,""),IF(ISNUMBER(INDEX('register map'!K:K,C497)),0,""))</f>
        <v>7</v>
      </c>
      <c r="H497" s="117" t="str">
        <f>RIGHT(INDEX('register map'!V:V,MATCH('Logical Group Generator'!B497,'register map'!L:L,0)),LEN(G497))</f>
        <v>1</v>
      </c>
      <c r="I497" s="117" t="str">
        <f>CONCATENATE(IF(ISNUMBER(INDEX('register map'!K:K,C497)),0,""),IF(ISNUMBER(INDEX('register map'!J:J,C497)),1,""),IF(ISNUMBER(INDEX('register map'!I:I,C497)),2,""),IF(ISNUMBER(INDEX('register map'!H:H,C497)),3,""),IF(ISNUMBER(INDEX('register map'!G:G,C497)),4,""),IF(ISNUMBER(INDEX('register map'!F:F,C497)),5,""),IF(ISNUMBER(INDEX('register map'!E:E,C497)),6,""),IF(ISNUMBER(INDEX('register map'!D:D,C497)),7,""))</f>
        <v>7</v>
      </c>
      <c r="J497" s="117" t="str">
        <f t="shared" si="84"/>
        <v>1</v>
      </c>
      <c r="K497" s="117" t="str">
        <f t="shared" si="77"/>
        <v/>
      </c>
      <c r="L497" s="117" t="str">
        <f t="shared" si="85"/>
        <v/>
      </c>
      <c r="M497" s="117" t="str">
        <f t="shared" si="87"/>
        <v/>
      </c>
      <c r="N497" s="117" t="str">
        <f>IF(ISBLANK(INDEX('register map'!M:M,'Logical Group Generator'!C497)),"No","Yes")</f>
        <v>No</v>
      </c>
      <c r="O497" s="117" t="str">
        <f>IF(NOT(ISBLANK(INDEX('register map'!N:N,'Logical Group Generator'!C497))),"Yes","")</f>
        <v/>
      </c>
      <c r="P497" s="117" t="str">
        <f t="shared" si="78"/>
        <v/>
      </c>
      <c r="Q497" s="117" t="str">
        <f t="shared" si="79"/>
        <v/>
      </c>
      <c r="R497" s="117" t="str">
        <f t="shared" si="80"/>
        <v/>
      </c>
      <c r="S497" s="117" t="str">
        <f t="shared" si="81"/>
        <v>No</v>
      </c>
      <c r="T497" s="117" t="str">
        <f t="shared" si="82"/>
        <v/>
      </c>
      <c r="U497" s="117" t="b">
        <f t="shared" si="86"/>
        <v>0</v>
      </c>
      <c r="V497" s="157" t="b">
        <f>INDEX('register map'!P:P,C497)="yes"</f>
        <v>1</v>
      </c>
      <c r="W497" s="157" t="str">
        <f t="shared" si="83"/>
        <v>FALSE</v>
      </c>
    </row>
    <row r="498" spans="2:23">
      <c r="B498" s="157" t="str">
        <f t="array" ref="B498">IF(ROWS($3:498)&lt;=COUNTA('register map'!$L$5:$L$902),INDEX('register map'!$L$5:$L$902,SMALL(IF('register map'!$L$5:$L$902&lt;&gt;"",ROW('register map'!$L$5:$L$902)-MIN(ROW('register map'!$L$5:$L$902))+1),ROWS($3:498))),"")</f>
        <v>SWB2_LDOA1_CTRL_EN3</v>
      </c>
      <c r="C498" s="157">
        <f>IF(B498="PART_NUMBER",IF(COUNTIF($B$1:B497,"PART_NUMBER")=0,6,8),MATCH(B498,'register map'!L:L,0))</f>
        <v>602</v>
      </c>
      <c r="D498" s="117" t="str">
        <f>IF(ISBLANK(INDEX('register map'!C:C,'Logical Group Generator'!C498)),"No","Yes")</f>
        <v>Yes</v>
      </c>
      <c r="E498" s="117" t="str">
        <f>IF(ISBLANK(INDEX('register map'!A:A,C498)),IF(ISBLANK(INDEX('register map'!A:A,C498-1)),IF(ISBLANK(INDEX('register map'!A:A,C498-2)),IF(ISBLANK(INDEX('register map'!A:A,C498-3)),IF(ISBLANK(INDEX('register map'!A:A,C498-4)),IF(ISBLANK(INDEX('register map'!A:A,C498-5)),IF(ISBLANK(INDEX('register map'!A:A,C498-6)),IF(ISBLANK(INDEX('register map'!A:A,C498-7)),IF(ISBLANK(INDEX('register map'!A:A,C498-8)),"ERROR",INDEX('register map'!A:A,C498-8)),INDEX('register map'!A:A,C498-7)),INDEX('register map'!A:A,C498-6)),INDEX('register map'!A:A,C498-5)),INDEX('register map'!A:A,C498-4)),INDEX('register map'!A:A,C498-3)),INDEX('register map'!A:A,C498-2)),INDEX('register map'!A:A,C498-1)),INDEX('register map'!A:A,C498))</f>
        <v>0x38</v>
      </c>
      <c r="F498" s="117" t="str">
        <f>IF(ISBLANK(INDEX('register map'!B:B,C498)),IF(ISBLANK(INDEX('register map'!B:B,C498-1)),IF(ISBLANK(INDEX('register map'!B:B,C498-2)),IF(ISBLANK(INDEX('register map'!B:B,C498-3)),IF(ISBLANK(INDEX('register map'!B:B,C498-4)),IF(ISBLANK(INDEX('register map'!B:B,C498-5)),IF(ISBLANK(INDEX('register map'!B:B,C498-6)),IF(ISBLANK(INDEX('register map'!B:B,C498-7)),IF(ISBLANK(INDEX('register map'!B:B,C498-8)),"ERROR",INDEX('register map'!B:B,C498-8)),INDEX('register map'!B:B,C498-7)),INDEX('register map'!B:B,C498-6)),INDEX('register map'!B:B,C498-5)),INDEX('register map'!B:B,C498-4)),INDEX('register map'!B:B,C498-3)),INDEX('register map'!B:B,C498-2)),INDEX('register map'!B:B,C498-1)),INDEX('register map'!B:B,C498))</f>
        <v>0x27</v>
      </c>
      <c r="G498" s="117" t="str">
        <f>CONCATENATE(IF(ISNUMBER(INDEX('register map'!D:D,C498)),7,""),IF(ISNUMBER(INDEX('register map'!E:E,C498)),6,""),IF(ISNUMBER(INDEX('register map'!F:F,C498)),5,""),IF(ISNUMBER(INDEX('register map'!G:G,C498)),4,""),IF(ISNUMBER(INDEX('register map'!H:H,C498)),3,""),IF(ISNUMBER(INDEX('register map'!I:I,C498)),2,""),IF(ISNUMBER(INDEX('register map'!J:J,C498)),1,""),IF(ISNUMBER(INDEX('register map'!K:K,C498)),0,""))</f>
        <v/>
      </c>
      <c r="H498" s="117" t="str">
        <f>RIGHT(INDEX('register map'!V:V,MATCH('Logical Group Generator'!B498,'register map'!L:L,0)),LEN(G498))</f>
        <v/>
      </c>
      <c r="I498" s="117" t="str">
        <f>CONCATENATE(IF(ISNUMBER(INDEX('register map'!K:K,C498)),0,""),IF(ISNUMBER(INDEX('register map'!J:J,C498)),1,""),IF(ISNUMBER(INDEX('register map'!I:I,C498)),2,""),IF(ISNUMBER(INDEX('register map'!H:H,C498)),3,""),IF(ISNUMBER(INDEX('register map'!G:G,C498)),4,""),IF(ISNUMBER(INDEX('register map'!F:F,C498)),5,""),IF(ISNUMBER(INDEX('register map'!E:E,C498)),6,""),IF(ISNUMBER(INDEX('register map'!D:D,C498)),7,""))</f>
        <v/>
      </c>
      <c r="J498" s="117" t="str">
        <f t="shared" si="84"/>
        <v/>
      </c>
      <c r="K498" s="117" t="str">
        <f t="shared" si="77"/>
        <v>00000000</v>
      </c>
      <c r="L498" s="117" t="str">
        <f t="shared" si="85"/>
        <v>00000000</v>
      </c>
      <c r="M498" s="117" t="str">
        <f t="shared" si="87"/>
        <v>00</v>
      </c>
      <c r="N498" s="117" t="str">
        <f>IF(ISBLANK(INDEX('register map'!M:M,'Logical Group Generator'!C498)),"No","Yes")</f>
        <v>No</v>
      </c>
      <c r="O498" s="117" t="str">
        <f>IF(NOT(ISBLANK(INDEX('register map'!N:N,'Logical Group Generator'!C498))),"Yes","")</f>
        <v/>
      </c>
      <c r="P498" s="117" t="str">
        <f t="shared" si="78"/>
        <v>No</v>
      </c>
      <c r="Q498" s="117" t="str">
        <f t="shared" si="79"/>
        <v>No</v>
      </c>
      <c r="R498" s="117" t="str">
        <f t="shared" si="80"/>
        <v>No</v>
      </c>
      <c r="S498" s="117" t="str">
        <f t="shared" si="81"/>
        <v/>
      </c>
      <c r="T498" s="117" t="b">
        <f t="shared" si="82"/>
        <v>1</v>
      </c>
      <c r="U498" s="117" t="b">
        <f t="shared" si="86"/>
        <v>1</v>
      </c>
      <c r="V498" s="157" t="b">
        <f>INDEX('register map'!P:P,C498)="yes"</f>
        <v>1</v>
      </c>
      <c r="W498" s="157" t="str">
        <f t="shared" si="83"/>
        <v>REGISTER</v>
      </c>
    </row>
    <row r="499" spans="2:23">
      <c r="B499" s="157" t="str">
        <f t="array" ref="B499">IF(ROWS($3:499)&lt;=COUNTA('register map'!$L$5:$L$902),INDEX('register map'!$L$5:$L$902,SMALL(IF('register map'!$L$5:$L$902&lt;&gt;"",ROW('register map'!$L$5:$L$902)-MIN(ROW('register map'!$L$5:$L$902))+1),ROWS($3:499))),"")</f>
        <v>OTP_RSVD_38_27_210</v>
      </c>
      <c r="C499" s="157">
        <f>IF(B499="PART_NUMBER",IF(COUNTIF($B$1:B498,"PART_NUMBER")=0,6,8),MATCH(B499,'register map'!L:L,0))</f>
        <v>603</v>
      </c>
      <c r="D499" s="117" t="str">
        <f>IF(ISBLANK(INDEX('register map'!C:C,'Logical Group Generator'!C499)),"No","Yes")</f>
        <v>No</v>
      </c>
      <c r="E499" s="117" t="str">
        <f>IF(ISBLANK(INDEX('register map'!A:A,C499)),IF(ISBLANK(INDEX('register map'!A:A,C499-1)),IF(ISBLANK(INDEX('register map'!A:A,C499-2)),IF(ISBLANK(INDEX('register map'!A:A,C499-3)),IF(ISBLANK(INDEX('register map'!A:A,C499-4)),IF(ISBLANK(INDEX('register map'!A:A,C499-5)),IF(ISBLANK(INDEX('register map'!A:A,C499-6)),IF(ISBLANK(INDEX('register map'!A:A,C499-7)),IF(ISBLANK(INDEX('register map'!A:A,C499-8)),"ERROR",INDEX('register map'!A:A,C499-8)),INDEX('register map'!A:A,C499-7)),INDEX('register map'!A:A,C499-6)),INDEX('register map'!A:A,C499-5)),INDEX('register map'!A:A,C499-4)),INDEX('register map'!A:A,C499-3)),INDEX('register map'!A:A,C499-2)),INDEX('register map'!A:A,C499-1)),INDEX('register map'!A:A,C499))</f>
        <v>0x38</v>
      </c>
      <c r="F499" s="117" t="str">
        <f>IF(ISBLANK(INDEX('register map'!B:B,C499)),IF(ISBLANK(INDEX('register map'!B:B,C499-1)),IF(ISBLANK(INDEX('register map'!B:B,C499-2)),IF(ISBLANK(INDEX('register map'!B:B,C499-3)),IF(ISBLANK(INDEX('register map'!B:B,C499-4)),IF(ISBLANK(INDEX('register map'!B:B,C499-5)),IF(ISBLANK(INDEX('register map'!B:B,C499-6)),IF(ISBLANK(INDEX('register map'!B:B,C499-7)),IF(ISBLANK(INDEX('register map'!B:B,C499-8)),"ERROR",INDEX('register map'!B:B,C499-8)),INDEX('register map'!B:B,C499-7)),INDEX('register map'!B:B,C499-6)),INDEX('register map'!B:B,C499-5)),INDEX('register map'!B:B,C499-4)),INDEX('register map'!B:B,C499-3)),INDEX('register map'!B:B,C499-2)),INDEX('register map'!B:B,C499-1)),INDEX('register map'!B:B,C499))</f>
        <v>0x27</v>
      </c>
      <c r="G499" s="117" t="str">
        <f>CONCATENATE(IF(ISNUMBER(INDEX('register map'!D:D,C499)),7,""),IF(ISNUMBER(INDEX('register map'!E:E,C499)),6,""),IF(ISNUMBER(INDEX('register map'!F:F,C499)),5,""),IF(ISNUMBER(INDEX('register map'!G:G,C499)),4,""),IF(ISNUMBER(INDEX('register map'!H:H,C499)),3,""),IF(ISNUMBER(INDEX('register map'!I:I,C499)),2,""),IF(ISNUMBER(INDEX('register map'!J:J,C499)),1,""),IF(ISNUMBER(INDEX('register map'!K:K,C499)),0,""))</f>
        <v>210</v>
      </c>
      <c r="H499" s="117" t="str">
        <f>RIGHT(INDEX('register map'!V:V,MATCH('Logical Group Generator'!B499,'register map'!L:L,0)),LEN(G499))</f>
        <v>000</v>
      </c>
      <c r="I499" s="117" t="str">
        <f>CONCATENATE(IF(ISNUMBER(INDEX('register map'!K:K,C499)),0,""),IF(ISNUMBER(INDEX('register map'!J:J,C499)),1,""),IF(ISNUMBER(INDEX('register map'!I:I,C499)),2,""),IF(ISNUMBER(INDEX('register map'!H:H,C499)),3,""),IF(ISNUMBER(INDEX('register map'!G:G,C499)),4,""),IF(ISNUMBER(INDEX('register map'!F:F,C499)),5,""),IF(ISNUMBER(INDEX('register map'!E:E,C499)),6,""),IF(ISNUMBER(INDEX('register map'!D:D,C499)),7,""))</f>
        <v>012</v>
      </c>
      <c r="J499" s="117" t="str">
        <f t="shared" si="84"/>
        <v>000</v>
      </c>
      <c r="K499" s="117" t="str">
        <f t="shared" si="77"/>
        <v/>
      </c>
      <c r="L499" s="117" t="str">
        <f t="shared" si="85"/>
        <v/>
      </c>
      <c r="M499" s="117" t="str">
        <f t="shared" si="87"/>
        <v/>
      </c>
      <c r="N499" s="117" t="str">
        <f>IF(ISBLANK(INDEX('register map'!M:M,'Logical Group Generator'!C499)),"No","Yes")</f>
        <v>No</v>
      </c>
      <c r="O499" s="117" t="str">
        <f>IF(NOT(ISBLANK(INDEX('register map'!N:N,'Logical Group Generator'!C499))),"Yes","")</f>
        <v/>
      </c>
      <c r="P499" s="117" t="str">
        <f t="shared" si="78"/>
        <v/>
      </c>
      <c r="Q499" s="117" t="str">
        <f t="shared" si="79"/>
        <v/>
      </c>
      <c r="R499" s="117" t="str">
        <f t="shared" si="80"/>
        <v/>
      </c>
      <c r="S499" s="117" t="str">
        <f t="shared" si="81"/>
        <v>No</v>
      </c>
      <c r="T499" s="117" t="str">
        <f t="shared" si="82"/>
        <v/>
      </c>
      <c r="U499" s="117" t="b">
        <f t="shared" si="86"/>
        <v>0</v>
      </c>
      <c r="V499" s="157" t="b">
        <f>INDEX('register map'!P:P,C499)="yes"</f>
        <v>1</v>
      </c>
      <c r="W499" s="157" t="str">
        <f t="shared" si="83"/>
        <v>FALSE</v>
      </c>
    </row>
    <row r="500" spans="2:23">
      <c r="B500" s="157" t="str">
        <f t="array" ref="B500">IF(ROWS($3:500)&lt;=COUNTA('register map'!$L$5:$L$902),INDEX('register map'!$L$5:$L$902,SMALL(IF('register map'!$L$5:$L$902&lt;&gt;"",ROW('register map'!$L$5:$L$902)-MIN(ROW('register map'!$L$5:$L$902))+1),ROWS($3:500))),"")</f>
        <v>OTP_RSVD_38_27_543</v>
      </c>
      <c r="C500" s="157">
        <f>IF(B500="PART_NUMBER",IF(COUNTIF($B$1:B499,"PART_NUMBER")=0,6,8),MATCH(B500,'register map'!L:L,0))</f>
        <v>604</v>
      </c>
      <c r="D500" s="117" t="str">
        <f>IF(ISBLANK(INDEX('register map'!C:C,'Logical Group Generator'!C500)),"No","Yes")</f>
        <v>No</v>
      </c>
      <c r="E500" s="117" t="str">
        <f>IF(ISBLANK(INDEX('register map'!A:A,C500)),IF(ISBLANK(INDEX('register map'!A:A,C500-1)),IF(ISBLANK(INDEX('register map'!A:A,C500-2)),IF(ISBLANK(INDEX('register map'!A:A,C500-3)),IF(ISBLANK(INDEX('register map'!A:A,C500-4)),IF(ISBLANK(INDEX('register map'!A:A,C500-5)),IF(ISBLANK(INDEX('register map'!A:A,C500-6)),IF(ISBLANK(INDEX('register map'!A:A,C500-7)),IF(ISBLANK(INDEX('register map'!A:A,C500-8)),"ERROR",INDEX('register map'!A:A,C500-8)),INDEX('register map'!A:A,C500-7)),INDEX('register map'!A:A,C500-6)),INDEX('register map'!A:A,C500-5)),INDEX('register map'!A:A,C500-4)),INDEX('register map'!A:A,C500-3)),INDEX('register map'!A:A,C500-2)),INDEX('register map'!A:A,C500-1)),INDEX('register map'!A:A,C500))</f>
        <v>0x38</v>
      </c>
      <c r="F500" s="117" t="str">
        <f>IF(ISBLANK(INDEX('register map'!B:B,C500)),IF(ISBLANK(INDEX('register map'!B:B,C500-1)),IF(ISBLANK(INDEX('register map'!B:B,C500-2)),IF(ISBLANK(INDEX('register map'!B:B,C500-3)),IF(ISBLANK(INDEX('register map'!B:B,C500-4)),IF(ISBLANK(INDEX('register map'!B:B,C500-5)),IF(ISBLANK(INDEX('register map'!B:B,C500-6)),IF(ISBLANK(INDEX('register map'!B:B,C500-7)),IF(ISBLANK(INDEX('register map'!B:B,C500-8)),"ERROR",INDEX('register map'!B:B,C500-8)),INDEX('register map'!B:B,C500-7)),INDEX('register map'!B:B,C500-6)),INDEX('register map'!B:B,C500-5)),INDEX('register map'!B:B,C500-4)),INDEX('register map'!B:B,C500-3)),INDEX('register map'!B:B,C500-2)),INDEX('register map'!B:B,C500-1)),INDEX('register map'!B:B,C500))</f>
        <v>0x27</v>
      </c>
      <c r="G500" s="117" t="str">
        <f>CONCATENATE(IF(ISNUMBER(INDEX('register map'!D:D,C500)),7,""),IF(ISNUMBER(INDEX('register map'!E:E,C500)),6,""),IF(ISNUMBER(INDEX('register map'!F:F,C500)),5,""),IF(ISNUMBER(INDEX('register map'!G:G,C500)),4,""),IF(ISNUMBER(INDEX('register map'!H:H,C500)),3,""),IF(ISNUMBER(INDEX('register map'!I:I,C500)),2,""),IF(ISNUMBER(INDEX('register map'!J:J,C500)),1,""),IF(ISNUMBER(INDEX('register map'!K:K,C500)),0,""))</f>
        <v>543</v>
      </c>
      <c r="H500" s="117" t="str">
        <f>RIGHT(INDEX('register map'!V:V,MATCH('Logical Group Generator'!B500,'register map'!L:L,0)),LEN(G500))</f>
        <v>000</v>
      </c>
      <c r="I500" s="117" t="str">
        <f>CONCATENATE(IF(ISNUMBER(INDEX('register map'!K:K,C500)),0,""),IF(ISNUMBER(INDEX('register map'!J:J,C500)),1,""),IF(ISNUMBER(INDEX('register map'!I:I,C500)),2,""),IF(ISNUMBER(INDEX('register map'!H:H,C500)),3,""),IF(ISNUMBER(INDEX('register map'!G:G,C500)),4,""),IF(ISNUMBER(INDEX('register map'!F:F,C500)),5,""),IF(ISNUMBER(INDEX('register map'!E:E,C500)),6,""),IF(ISNUMBER(INDEX('register map'!D:D,C500)),7,""))</f>
        <v>345</v>
      </c>
      <c r="J500" s="117" t="str">
        <f t="shared" si="84"/>
        <v>000</v>
      </c>
      <c r="K500" s="117" t="str">
        <f t="shared" si="77"/>
        <v/>
      </c>
      <c r="L500" s="117" t="str">
        <f t="shared" si="85"/>
        <v/>
      </c>
      <c r="M500" s="117" t="str">
        <f t="shared" si="87"/>
        <v/>
      </c>
      <c r="N500" s="117" t="str">
        <f>IF(ISBLANK(INDEX('register map'!M:M,'Logical Group Generator'!C500)),"No","Yes")</f>
        <v>No</v>
      </c>
      <c r="O500" s="117" t="str">
        <f>IF(NOT(ISBLANK(INDEX('register map'!N:N,'Logical Group Generator'!C500))),"Yes","")</f>
        <v/>
      </c>
      <c r="P500" s="117" t="str">
        <f t="shared" si="78"/>
        <v/>
      </c>
      <c r="Q500" s="117" t="str">
        <f t="shared" si="79"/>
        <v/>
      </c>
      <c r="R500" s="117" t="str">
        <f t="shared" si="80"/>
        <v/>
      </c>
      <c r="S500" s="117" t="str">
        <f t="shared" si="81"/>
        <v>No</v>
      </c>
      <c r="T500" s="117" t="str">
        <f t="shared" si="82"/>
        <v/>
      </c>
      <c r="U500" s="117" t="b">
        <f t="shared" si="86"/>
        <v>0</v>
      </c>
      <c r="V500" s="157" t="b">
        <f>INDEX('register map'!P:P,C500)="yes"</f>
        <v>1</v>
      </c>
      <c r="W500" s="157" t="str">
        <f t="shared" si="83"/>
        <v>FALSE</v>
      </c>
    </row>
    <row r="501" spans="2:23">
      <c r="B501" s="157" t="str">
        <f t="array" ref="B501">IF(ROWS($3:501)&lt;=COUNTA('register map'!$L$5:$L$902),INDEX('register map'!$L$5:$L$902,SMALL(IF('register map'!$L$5:$L$902&lt;&gt;"",ROW('register map'!$L$5:$L$902)-MIN(ROW('register map'!$L$5:$L$902))+1),ROWS($3:501))),"")</f>
        <v>OTP_RSVD_38_27_76</v>
      </c>
      <c r="C501" s="157">
        <f>IF(B501="PART_NUMBER",IF(COUNTIF($B$1:B500,"PART_NUMBER")=0,6,8),MATCH(B501,'register map'!L:L,0))</f>
        <v>605</v>
      </c>
      <c r="D501" s="117" t="str">
        <f>IF(ISBLANK(INDEX('register map'!C:C,'Logical Group Generator'!C501)),"No","Yes")</f>
        <v>No</v>
      </c>
      <c r="E501" s="117" t="str">
        <f>IF(ISBLANK(INDEX('register map'!A:A,C501)),IF(ISBLANK(INDEX('register map'!A:A,C501-1)),IF(ISBLANK(INDEX('register map'!A:A,C501-2)),IF(ISBLANK(INDEX('register map'!A:A,C501-3)),IF(ISBLANK(INDEX('register map'!A:A,C501-4)),IF(ISBLANK(INDEX('register map'!A:A,C501-5)),IF(ISBLANK(INDEX('register map'!A:A,C501-6)),IF(ISBLANK(INDEX('register map'!A:A,C501-7)),IF(ISBLANK(INDEX('register map'!A:A,C501-8)),"ERROR",INDEX('register map'!A:A,C501-8)),INDEX('register map'!A:A,C501-7)),INDEX('register map'!A:A,C501-6)),INDEX('register map'!A:A,C501-5)),INDEX('register map'!A:A,C501-4)),INDEX('register map'!A:A,C501-3)),INDEX('register map'!A:A,C501-2)),INDEX('register map'!A:A,C501-1)),INDEX('register map'!A:A,C501))</f>
        <v>0x38</v>
      </c>
      <c r="F501" s="117" t="str">
        <f>IF(ISBLANK(INDEX('register map'!B:B,C501)),IF(ISBLANK(INDEX('register map'!B:B,C501-1)),IF(ISBLANK(INDEX('register map'!B:B,C501-2)),IF(ISBLANK(INDEX('register map'!B:B,C501-3)),IF(ISBLANK(INDEX('register map'!B:B,C501-4)),IF(ISBLANK(INDEX('register map'!B:B,C501-5)),IF(ISBLANK(INDEX('register map'!B:B,C501-6)),IF(ISBLANK(INDEX('register map'!B:B,C501-7)),IF(ISBLANK(INDEX('register map'!B:B,C501-8)),"ERROR",INDEX('register map'!B:B,C501-8)),INDEX('register map'!B:B,C501-7)),INDEX('register map'!B:B,C501-6)),INDEX('register map'!B:B,C501-5)),INDEX('register map'!B:B,C501-4)),INDEX('register map'!B:B,C501-3)),INDEX('register map'!B:B,C501-2)),INDEX('register map'!B:B,C501-1)),INDEX('register map'!B:B,C501))</f>
        <v>0x27</v>
      </c>
      <c r="G501" s="117" t="str">
        <f>CONCATENATE(IF(ISNUMBER(INDEX('register map'!D:D,C501)),7,""),IF(ISNUMBER(INDEX('register map'!E:E,C501)),6,""),IF(ISNUMBER(INDEX('register map'!F:F,C501)),5,""),IF(ISNUMBER(INDEX('register map'!G:G,C501)),4,""),IF(ISNUMBER(INDEX('register map'!H:H,C501)),3,""),IF(ISNUMBER(INDEX('register map'!I:I,C501)),2,""),IF(ISNUMBER(INDEX('register map'!J:J,C501)),1,""),IF(ISNUMBER(INDEX('register map'!K:K,C501)),0,""))</f>
        <v>76</v>
      </c>
      <c r="H501" s="117" t="str">
        <f>RIGHT(INDEX('register map'!V:V,MATCH('Logical Group Generator'!B501,'register map'!L:L,0)),LEN(G501))</f>
        <v>00</v>
      </c>
      <c r="I501" s="117" t="str">
        <f>CONCATENATE(IF(ISNUMBER(INDEX('register map'!K:K,C501)),0,""),IF(ISNUMBER(INDEX('register map'!J:J,C501)),1,""),IF(ISNUMBER(INDEX('register map'!I:I,C501)),2,""),IF(ISNUMBER(INDEX('register map'!H:H,C501)),3,""),IF(ISNUMBER(INDEX('register map'!G:G,C501)),4,""),IF(ISNUMBER(INDEX('register map'!F:F,C501)),5,""),IF(ISNUMBER(INDEX('register map'!E:E,C501)),6,""),IF(ISNUMBER(INDEX('register map'!D:D,C501)),7,""))</f>
        <v>67</v>
      </c>
      <c r="J501" s="117" t="str">
        <f t="shared" si="84"/>
        <v>00</v>
      </c>
      <c r="K501" s="117" t="str">
        <f t="shared" si="77"/>
        <v/>
      </c>
      <c r="L501" s="117" t="str">
        <f t="shared" si="85"/>
        <v/>
      </c>
      <c r="M501" s="117" t="str">
        <f t="shared" si="87"/>
        <v/>
      </c>
      <c r="N501" s="117" t="str">
        <f>IF(ISBLANK(INDEX('register map'!M:M,'Logical Group Generator'!C501)),"No","Yes")</f>
        <v>No</v>
      </c>
      <c r="O501" s="117" t="str">
        <f>IF(NOT(ISBLANK(INDEX('register map'!N:N,'Logical Group Generator'!C501))),"Yes","")</f>
        <v/>
      </c>
      <c r="P501" s="117" t="str">
        <f t="shared" si="78"/>
        <v/>
      </c>
      <c r="Q501" s="117" t="str">
        <f t="shared" si="79"/>
        <v/>
      </c>
      <c r="R501" s="117" t="str">
        <f t="shared" si="80"/>
        <v/>
      </c>
      <c r="S501" s="117" t="str">
        <f t="shared" si="81"/>
        <v>No</v>
      </c>
      <c r="T501" s="117" t="str">
        <f t="shared" si="82"/>
        <v/>
      </c>
      <c r="U501" s="117" t="b">
        <f t="shared" si="86"/>
        <v>0</v>
      </c>
      <c r="V501" s="157" t="b">
        <f>INDEX('register map'!P:P,C501)="yes"</f>
        <v>1</v>
      </c>
      <c r="W501" s="157" t="str">
        <f t="shared" si="83"/>
        <v>FALSE</v>
      </c>
    </row>
    <row r="502" spans="2:23">
      <c r="B502" s="157" t="str">
        <f t="array" ref="B502">IF(ROWS($3:502)&lt;=COUNTA('register map'!$L$5:$L$902),INDEX('register map'!$L$5:$L$902,SMALL(IF('register map'!$L$5:$L$902&lt;&gt;"",ROW('register map'!$L$5:$L$902)-MIN(ROW('register map'!$L$5:$L$902))+1),ROWS($3:502))),"")</f>
        <v>OTP_RSVD_38_28</v>
      </c>
      <c r="C502" s="157">
        <f>IF(B502="PART_NUMBER",IF(COUNTIF($B$1:B501,"PART_NUMBER")=0,6,8),MATCH(B502,'register map'!L:L,0))</f>
        <v>606</v>
      </c>
      <c r="D502" s="117" t="str">
        <f>IF(ISBLANK(INDEX('register map'!C:C,'Logical Group Generator'!C502)),"No","Yes")</f>
        <v>Yes</v>
      </c>
      <c r="E502" s="117" t="str">
        <f>IF(ISBLANK(INDEX('register map'!A:A,C502)),IF(ISBLANK(INDEX('register map'!A:A,C502-1)),IF(ISBLANK(INDEX('register map'!A:A,C502-2)),IF(ISBLANK(INDEX('register map'!A:A,C502-3)),IF(ISBLANK(INDEX('register map'!A:A,C502-4)),IF(ISBLANK(INDEX('register map'!A:A,C502-5)),IF(ISBLANK(INDEX('register map'!A:A,C502-6)),IF(ISBLANK(INDEX('register map'!A:A,C502-7)),IF(ISBLANK(INDEX('register map'!A:A,C502-8)),"ERROR",INDEX('register map'!A:A,C502-8)),INDEX('register map'!A:A,C502-7)),INDEX('register map'!A:A,C502-6)),INDEX('register map'!A:A,C502-5)),INDEX('register map'!A:A,C502-4)),INDEX('register map'!A:A,C502-3)),INDEX('register map'!A:A,C502-2)),INDEX('register map'!A:A,C502-1)),INDEX('register map'!A:A,C502))</f>
        <v>0x38</v>
      </c>
      <c r="F502" s="117" t="str">
        <f>IF(ISBLANK(INDEX('register map'!B:B,C502)),IF(ISBLANK(INDEX('register map'!B:B,C502-1)),IF(ISBLANK(INDEX('register map'!B:B,C502-2)),IF(ISBLANK(INDEX('register map'!B:B,C502-3)),IF(ISBLANK(INDEX('register map'!B:B,C502-4)),IF(ISBLANK(INDEX('register map'!B:B,C502-5)),IF(ISBLANK(INDEX('register map'!B:B,C502-6)),IF(ISBLANK(INDEX('register map'!B:B,C502-7)),IF(ISBLANK(INDEX('register map'!B:B,C502-8)),"ERROR",INDEX('register map'!B:B,C502-8)),INDEX('register map'!B:B,C502-7)),INDEX('register map'!B:B,C502-6)),INDEX('register map'!B:B,C502-5)),INDEX('register map'!B:B,C502-4)),INDEX('register map'!B:B,C502-3)),INDEX('register map'!B:B,C502-2)),INDEX('register map'!B:B,C502-1)),INDEX('register map'!B:B,C502))</f>
        <v>0x28</v>
      </c>
      <c r="G502" s="117" t="str">
        <f>CONCATENATE(IF(ISNUMBER(INDEX('register map'!D:D,C502)),7,""),IF(ISNUMBER(INDEX('register map'!E:E,C502)),6,""),IF(ISNUMBER(INDEX('register map'!F:F,C502)),5,""),IF(ISNUMBER(INDEX('register map'!G:G,C502)),4,""),IF(ISNUMBER(INDEX('register map'!H:H,C502)),3,""),IF(ISNUMBER(INDEX('register map'!I:I,C502)),2,""),IF(ISNUMBER(INDEX('register map'!J:J,C502)),1,""),IF(ISNUMBER(INDEX('register map'!K:K,C502)),0,""))</f>
        <v/>
      </c>
      <c r="H502" s="117" t="str">
        <f>RIGHT(INDEX('register map'!V:V,MATCH('Logical Group Generator'!B502,'register map'!L:L,0)),LEN(G502))</f>
        <v/>
      </c>
      <c r="I502" s="117" t="str">
        <f>CONCATENATE(IF(ISNUMBER(INDEX('register map'!K:K,C502)),0,""),IF(ISNUMBER(INDEX('register map'!J:J,C502)),1,""),IF(ISNUMBER(INDEX('register map'!I:I,C502)),2,""),IF(ISNUMBER(INDEX('register map'!H:H,C502)),3,""),IF(ISNUMBER(INDEX('register map'!G:G,C502)),4,""),IF(ISNUMBER(INDEX('register map'!F:F,C502)),5,""),IF(ISNUMBER(INDEX('register map'!E:E,C502)),6,""),IF(ISNUMBER(INDEX('register map'!D:D,C502)),7,""))</f>
        <v/>
      </c>
      <c r="J502" s="117" t="str">
        <f t="shared" si="84"/>
        <v/>
      </c>
      <c r="K502" s="117" t="str">
        <f t="shared" si="77"/>
        <v>00011000</v>
      </c>
      <c r="L502" s="117" t="str">
        <f t="shared" si="85"/>
        <v>00011000</v>
      </c>
      <c r="M502" s="117" t="str">
        <f t="shared" si="87"/>
        <v>18</v>
      </c>
      <c r="N502" s="117" t="str">
        <f>IF(ISBLANK(INDEX('register map'!M:M,'Logical Group Generator'!C502)),"No","Yes")</f>
        <v>No</v>
      </c>
      <c r="O502" s="117" t="str">
        <f>IF(NOT(ISBLANK(INDEX('register map'!N:N,'Logical Group Generator'!C502))),"Yes","")</f>
        <v/>
      </c>
      <c r="P502" s="117" t="str">
        <f t="shared" si="78"/>
        <v>No</v>
      </c>
      <c r="Q502" s="117" t="str">
        <f t="shared" si="79"/>
        <v>No</v>
      </c>
      <c r="R502" s="117" t="str">
        <f t="shared" si="80"/>
        <v>No</v>
      </c>
      <c r="S502" s="117" t="str">
        <f t="shared" si="81"/>
        <v/>
      </c>
      <c r="T502" s="117" t="b">
        <f t="shared" si="82"/>
        <v>1</v>
      </c>
      <c r="U502" s="117" t="b">
        <f t="shared" si="86"/>
        <v>1</v>
      </c>
      <c r="V502" s="157" t="b">
        <f>INDEX('register map'!P:P,C502)="yes"</f>
        <v>1</v>
      </c>
      <c r="W502" s="157" t="str">
        <f t="shared" si="83"/>
        <v>REGISTER</v>
      </c>
    </row>
    <row r="503" spans="2:23">
      <c r="B503" s="157" t="str">
        <f t="array" ref="B503">IF(ROWS($3:503)&lt;=COUNTA('register map'!$L$5:$L$902),INDEX('register map'!$L$5:$L$902,SMALL(IF('register map'!$L$5:$L$902&lt;&gt;"",ROW('register map'!$L$5:$L$902)-MIN(ROW('register map'!$L$5:$L$902))+1),ROWS($3:503))),"")</f>
        <v>OTP_RSVD_38_28_0</v>
      </c>
      <c r="C503" s="157">
        <f>IF(B503="PART_NUMBER",IF(COUNTIF($B$1:B502,"PART_NUMBER")=0,6,8),MATCH(B503,'register map'!L:L,0))</f>
        <v>607</v>
      </c>
      <c r="D503" s="117" t="str">
        <f>IF(ISBLANK(INDEX('register map'!C:C,'Logical Group Generator'!C503)),"No","Yes")</f>
        <v>No</v>
      </c>
      <c r="E503" s="117" t="str">
        <f>IF(ISBLANK(INDEX('register map'!A:A,C503)),IF(ISBLANK(INDEX('register map'!A:A,C503-1)),IF(ISBLANK(INDEX('register map'!A:A,C503-2)),IF(ISBLANK(INDEX('register map'!A:A,C503-3)),IF(ISBLANK(INDEX('register map'!A:A,C503-4)),IF(ISBLANK(INDEX('register map'!A:A,C503-5)),IF(ISBLANK(INDEX('register map'!A:A,C503-6)),IF(ISBLANK(INDEX('register map'!A:A,C503-7)),IF(ISBLANK(INDEX('register map'!A:A,C503-8)),"ERROR",INDEX('register map'!A:A,C503-8)),INDEX('register map'!A:A,C503-7)),INDEX('register map'!A:A,C503-6)),INDEX('register map'!A:A,C503-5)),INDEX('register map'!A:A,C503-4)),INDEX('register map'!A:A,C503-3)),INDEX('register map'!A:A,C503-2)),INDEX('register map'!A:A,C503-1)),INDEX('register map'!A:A,C503))</f>
        <v>0x38</v>
      </c>
      <c r="F503" s="117" t="str">
        <f>IF(ISBLANK(INDEX('register map'!B:B,C503)),IF(ISBLANK(INDEX('register map'!B:B,C503-1)),IF(ISBLANK(INDEX('register map'!B:B,C503-2)),IF(ISBLANK(INDEX('register map'!B:B,C503-3)),IF(ISBLANK(INDEX('register map'!B:B,C503-4)),IF(ISBLANK(INDEX('register map'!B:B,C503-5)),IF(ISBLANK(INDEX('register map'!B:B,C503-6)),IF(ISBLANK(INDEX('register map'!B:B,C503-7)),IF(ISBLANK(INDEX('register map'!B:B,C503-8)),"ERROR",INDEX('register map'!B:B,C503-8)),INDEX('register map'!B:B,C503-7)),INDEX('register map'!B:B,C503-6)),INDEX('register map'!B:B,C503-5)),INDEX('register map'!B:B,C503-4)),INDEX('register map'!B:B,C503-3)),INDEX('register map'!B:B,C503-2)),INDEX('register map'!B:B,C503-1)),INDEX('register map'!B:B,C503))</f>
        <v>0x28</v>
      </c>
      <c r="G503" s="117" t="str">
        <f>CONCATENATE(IF(ISNUMBER(INDEX('register map'!D:D,C503)),7,""),IF(ISNUMBER(INDEX('register map'!E:E,C503)),6,""),IF(ISNUMBER(INDEX('register map'!F:F,C503)),5,""),IF(ISNUMBER(INDEX('register map'!G:G,C503)),4,""),IF(ISNUMBER(INDEX('register map'!H:H,C503)),3,""),IF(ISNUMBER(INDEX('register map'!I:I,C503)),2,""),IF(ISNUMBER(INDEX('register map'!J:J,C503)),1,""),IF(ISNUMBER(INDEX('register map'!K:K,C503)),0,""))</f>
        <v>0</v>
      </c>
      <c r="H503" s="117" t="str">
        <f>RIGHT(INDEX('register map'!V:V,MATCH('Logical Group Generator'!B503,'register map'!L:L,0)),LEN(G503))</f>
        <v>0</v>
      </c>
      <c r="I503" s="117" t="str">
        <f>CONCATENATE(IF(ISNUMBER(INDEX('register map'!K:K,C503)),0,""),IF(ISNUMBER(INDEX('register map'!J:J,C503)),1,""),IF(ISNUMBER(INDEX('register map'!I:I,C503)),2,""),IF(ISNUMBER(INDEX('register map'!H:H,C503)),3,""),IF(ISNUMBER(INDEX('register map'!G:G,C503)),4,""),IF(ISNUMBER(INDEX('register map'!F:F,C503)),5,""),IF(ISNUMBER(INDEX('register map'!E:E,C503)),6,""),IF(ISNUMBER(INDEX('register map'!D:D,C503)),7,""))</f>
        <v>0</v>
      </c>
      <c r="J503" s="117" t="str">
        <f t="shared" si="84"/>
        <v>0</v>
      </c>
      <c r="K503" s="117" t="str">
        <f t="shared" si="77"/>
        <v/>
      </c>
      <c r="L503" s="117" t="str">
        <f t="shared" si="85"/>
        <v/>
      </c>
      <c r="M503" s="117" t="str">
        <f t="shared" si="87"/>
        <v/>
      </c>
      <c r="N503" s="117" t="str">
        <f>IF(ISBLANK(INDEX('register map'!M:M,'Logical Group Generator'!C503)),"No","Yes")</f>
        <v>No</v>
      </c>
      <c r="O503" s="117" t="str">
        <f>IF(NOT(ISBLANK(INDEX('register map'!N:N,'Logical Group Generator'!C503))),"Yes","")</f>
        <v/>
      </c>
      <c r="P503" s="117" t="str">
        <f t="shared" si="78"/>
        <v/>
      </c>
      <c r="Q503" s="117" t="str">
        <f t="shared" si="79"/>
        <v/>
      </c>
      <c r="R503" s="117" t="str">
        <f t="shared" si="80"/>
        <v/>
      </c>
      <c r="S503" s="117" t="str">
        <f t="shared" si="81"/>
        <v>No</v>
      </c>
      <c r="T503" s="117" t="str">
        <f t="shared" si="82"/>
        <v/>
      </c>
      <c r="U503" s="117" t="b">
        <f t="shared" si="86"/>
        <v>0</v>
      </c>
      <c r="V503" s="157" t="b">
        <f>INDEX('register map'!P:P,C503)="yes"</f>
        <v>1</v>
      </c>
      <c r="W503" s="157" t="str">
        <f t="shared" si="83"/>
        <v>FALSE</v>
      </c>
    </row>
    <row r="504" spans="2:23">
      <c r="B504" s="157" t="str">
        <f t="array" ref="B504">IF(ROWS($3:504)&lt;=COUNTA('register map'!$L$5:$L$902),INDEX('register map'!$L$5:$L$902,SMALL(IF('register map'!$L$5:$L$902&lt;&gt;"",ROW('register map'!$L$5:$L$902)-MIN(ROW('register map'!$L$5:$L$902))+1),ROWS($3:504))),"")</f>
        <v>OTP_RSVD_38_28_1</v>
      </c>
      <c r="C504" s="157">
        <f>IF(B504="PART_NUMBER",IF(COUNTIF($B$1:B503,"PART_NUMBER")=0,6,8),MATCH(B504,'register map'!L:L,0))</f>
        <v>608</v>
      </c>
      <c r="D504" s="117" t="str">
        <f>IF(ISBLANK(INDEX('register map'!C:C,'Logical Group Generator'!C504)),"No","Yes")</f>
        <v>No</v>
      </c>
      <c r="E504" s="117" t="str">
        <f>IF(ISBLANK(INDEX('register map'!A:A,C504)),IF(ISBLANK(INDEX('register map'!A:A,C504-1)),IF(ISBLANK(INDEX('register map'!A:A,C504-2)),IF(ISBLANK(INDEX('register map'!A:A,C504-3)),IF(ISBLANK(INDEX('register map'!A:A,C504-4)),IF(ISBLANK(INDEX('register map'!A:A,C504-5)),IF(ISBLANK(INDEX('register map'!A:A,C504-6)),IF(ISBLANK(INDEX('register map'!A:A,C504-7)),IF(ISBLANK(INDEX('register map'!A:A,C504-8)),"ERROR",INDEX('register map'!A:A,C504-8)),INDEX('register map'!A:A,C504-7)),INDEX('register map'!A:A,C504-6)),INDEX('register map'!A:A,C504-5)),INDEX('register map'!A:A,C504-4)),INDEX('register map'!A:A,C504-3)),INDEX('register map'!A:A,C504-2)),INDEX('register map'!A:A,C504-1)),INDEX('register map'!A:A,C504))</f>
        <v>0x38</v>
      </c>
      <c r="F504" s="117" t="str">
        <f>IF(ISBLANK(INDEX('register map'!B:B,C504)),IF(ISBLANK(INDEX('register map'!B:B,C504-1)),IF(ISBLANK(INDEX('register map'!B:B,C504-2)),IF(ISBLANK(INDEX('register map'!B:B,C504-3)),IF(ISBLANK(INDEX('register map'!B:B,C504-4)),IF(ISBLANK(INDEX('register map'!B:B,C504-5)),IF(ISBLANK(INDEX('register map'!B:B,C504-6)),IF(ISBLANK(INDEX('register map'!B:B,C504-7)),IF(ISBLANK(INDEX('register map'!B:B,C504-8)),"ERROR",INDEX('register map'!B:B,C504-8)),INDEX('register map'!B:B,C504-7)),INDEX('register map'!B:B,C504-6)),INDEX('register map'!B:B,C504-5)),INDEX('register map'!B:B,C504-4)),INDEX('register map'!B:B,C504-3)),INDEX('register map'!B:B,C504-2)),INDEX('register map'!B:B,C504-1)),INDEX('register map'!B:B,C504))</f>
        <v>0x28</v>
      </c>
      <c r="G504" s="117" t="str">
        <f>CONCATENATE(IF(ISNUMBER(INDEX('register map'!D:D,C504)),7,""),IF(ISNUMBER(INDEX('register map'!E:E,C504)),6,""),IF(ISNUMBER(INDEX('register map'!F:F,C504)),5,""),IF(ISNUMBER(INDEX('register map'!G:G,C504)),4,""),IF(ISNUMBER(INDEX('register map'!H:H,C504)),3,""),IF(ISNUMBER(INDEX('register map'!I:I,C504)),2,""),IF(ISNUMBER(INDEX('register map'!J:J,C504)),1,""),IF(ISNUMBER(INDEX('register map'!K:K,C504)),0,""))</f>
        <v>1</v>
      </c>
      <c r="H504" s="117" t="str">
        <f>RIGHT(INDEX('register map'!V:V,MATCH('Logical Group Generator'!B504,'register map'!L:L,0)),LEN(G504))</f>
        <v>0</v>
      </c>
      <c r="I504" s="117" t="str">
        <f>CONCATENATE(IF(ISNUMBER(INDEX('register map'!K:K,C504)),0,""),IF(ISNUMBER(INDEX('register map'!J:J,C504)),1,""),IF(ISNUMBER(INDEX('register map'!I:I,C504)),2,""),IF(ISNUMBER(INDEX('register map'!H:H,C504)),3,""),IF(ISNUMBER(INDEX('register map'!G:G,C504)),4,""),IF(ISNUMBER(INDEX('register map'!F:F,C504)),5,""),IF(ISNUMBER(INDEX('register map'!E:E,C504)),6,""),IF(ISNUMBER(INDEX('register map'!D:D,C504)),7,""))</f>
        <v>1</v>
      </c>
      <c r="J504" s="117" t="str">
        <f t="shared" si="84"/>
        <v>0</v>
      </c>
      <c r="K504" s="117" t="str">
        <f t="shared" si="77"/>
        <v/>
      </c>
      <c r="L504" s="117" t="str">
        <f t="shared" si="85"/>
        <v/>
      </c>
      <c r="M504" s="117" t="str">
        <f t="shared" si="87"/>
        <v/>
      </c>
      <c r="N504" s="117" t="str">
        <f>IF(ISBLANK(INDEX('register map'!M:M,'Logical Group Generator'!C504)),"No","Yes")</f>
        <v>No</v>
      </c>
      <c r="O504" s="117" t="str">
        <f>IF(NOT(ISBLANK(INDEX('register map'!N:N,'Logical Group Generator'!C504))),"Yes","")</f>
        <v/>
      </c>
      <c r="P504" s="117" t="str">
        <f t="shared" si="78"/>
        <v/>
      </c>
      <c r="Q504" s="117" t="str">
        <f t="shared" si="79"/>
        <v/>
      </c>
      <c r="R504" s="117" t="str">
        <f t="shared" si="80"/>
        <v/>
      </c>
      <c r="S504" s="117" t="str">
        <f t="shared" si="81"/>
        <v>No</v>
      </c>
      <c r="T504" s="117" t="str">
        <f t="shared" si="82"/>
        <v/>
      </c>
      <c r="U504" s="117" t="b">
        <f t="shared" si="86"/>
        <v>0</v>
      </c>
      <c r="V504" s="157" t="b">
        <f>INDEX('register map'!P:P,C504)="yes"</f>
        <v>1</v>
      </c>
      <c r="W504" s="157" t="str">
        <f t="shared" si="83"/>
        <v>FALSE</v>
      </c>
    </row>
    <row r="505" spans="2:23">
      <c r="B505" s="157" t="str">
        <f t="array" ref="B505">IF(ROWS($3:505)&lt;=COUNTA('register map'!$L$5:$L$902),INDEX('register map'!$L$5:$L$902,SMALL(IF('register map'!$L$5:$L$902&lt;&gt;"",ROW('register map'!$L$5:$L$902)-MIN(ROW('register map'!$L$5:$L$902))+1),ROWS($3:505))),"")</f>
        <v>OTP_RSVD_38_28_2</v>
      </c>
      <c r="C505" s="157">
        <f>IF(B505="PART_NUMBER",IF(COUNTIF($B$1:B504,"PART_NUMBER")=0,6,8),MATCH(B505,'register map'!L:L,0))</f>
        <v>609</v>
      </c>
      <c r="D505" s="117" t="str">
        <f>IF(ISBLANK(INDEX('register map'!C:C,'Logical Group Generator'!C505)),"No","Yes")</f>
        <v>No</v>
      </c>
      <c r="E505" s="117" t="str">
        <f>IF(ISBLANK(INDEX('register map'!A:A,C505)),IF(ISBLANK(INDEX('register map'!A:A,C505-1)),IF(ISBLANK(INDEX('register map'!A:A,C505-2)),IF(ISBLANK(INDEX('register map'!A:A,C505-3)),IF(ISBLANK(INDEX('register map'!A:A,C505-4)),IF(ISBLANK(INDEX('register map'!A:A,C505-5)),IF(ISBLANK(INDEX('register map'!A:A,C505-6)),IF(ISBLANK(INDEX('register map'!A:A,C505-7)),IF(ISBLANK(INDEX('register map'!A:A,C505-8)),"ERROR",INDEX('register map'!A:A,C505-8)),INDEX('register map'!A:A,C505-7)),INDEX('register map'!A:A,C505-6)),INDEX('register map'!A:A,C505-5)),INDEX('register map'!A:A,C505-4)),INDEX('register map'!A:A,C505-3)),INDEX('register map'!A:A,C505-2)),INDEX('register map'!A:A,C505-1)),INDEX('register map'!A:A,C505))</f>
        <v>0x38</v>
      </c>
      <c r="F505" s="117" t="str">
        <f>IF(ISBLANK(INDEX('register map'!B:B,C505)),IF(ISBLANK(INDEX('register map'!B:B,C505-1)),IF(ISBLANK(INDEX('register map'!B:B,C505-2)),IF(ISBLANK(INDEX('register map'!B:B,C505-3)),IF(ISBLANK(INDEX('register map'!B:B,C505-4)),IF(ISBLANK(INDEX('register map'!B:B,C505-5)),IF(ISBLANK(INDEX('register map'!B:B,C505-6)),IF(ISBLANK(INDEX('register map'!B:B,C505-7)),IF(ISBLANK(INDEX('register map'!B:B,C505-8)),"ERROR",INDEX('register map'!B:B,C505-8)),INDEX('register map'!B:B,C505-7)),INDEX('register map'!B:B,C505-6)),INDEX('register map'!B:B,C505-5)),INDEX('register map'!B:B,C505-4)),INDEX('register map'!B:B,C505-3)),INDEX('register map'!B:B,C505-2)),INDEX('register map'!B:B,C505-1)),INDEX('register map'!B:B,C505))</f>
        <v>0x28</v>
      </c>
      <c r="G505" s="117" t="str">
        <f>CONCATENATE(IF(ISNUMBER(INDEX('register map'!D:D,C505)),7,""),IF(ISNUMBER(INDEX('register map'!E:E,C505)),6,""),IF(ISNUMBER(INDEX('register map'!F:F,C505)),5,""),IF(ISNUMBER(INDEX('register map'!G:G,C505)),4,""),IF(ISNUMBER(INDEX('register map'!H:H,C505)),3,""),IF(ISNUMBER(INDEX('register map'!I:I,C505)),2,""),IF(ISNUMBER(INDEX('register map'!J:J,C505)),1,""),IF(ISNUMBER(INDEX('register map'!K:K,C505)),0,""))</f>
        <v>2</v>
      </c>
      <c r="H505" s="117" t="str">
        <f>RIGHT(INDEX('register map'!V:V,MATCH('Logical Group Generator'!B505,'register map'!L:L,0)),LEN(G505))</f>
        <v>0</v>
      </c>
      <c r="I505" s="117" t="str">
        <f>CONCATENATE(IF(ISNUMBER(INDEX('register map'!K:K,C505)),0,""),IF(ISNUMBER(INDEX('register map'!J:J,C505)),1,""),IF(ISNUMBER(INDEX('register map'!I:I,C505)),2,""),IF(ISNUMBER(INDEX('register map'!H:H,C505)),3,""),IF(ISNUMBER(INDEX('register map'!G:G,C505)),4,""),IF(ISNUMBER(INDEX('register map'!F:F,C505)),5,""),IF(ISNUMBER(INDEX('register map'!E:E,C505)),6,""),IF(ISNUMBER(INDEX('register map'!D:D,C505)),7,""))</f>
        <v>2</v>
      </c>
      <c r="J505" s="117" t="str">
        <f t="shared" si="84"/>
        <v>0</v>
      </c>
      <c r="K505" s="117" t="str">
        <f t="shared" si="77"/>
        <v/>
      </c>
      <c r="L505" s="117" t="str">
        <f t="shared" si="85"/>
        <v/>
      </c>
      <c r="M505" s="117" t="str">
        <f t="shared" si="87"/>
        <v/>
      </c>
      <c r="N505" s="117" t="str">
        <f>IF(ISBLANK(INDEX('register map'!M:M,'Logical Group Generator'!C505)),"No","Yes")</f>
        <v>No</v>
      </c>
      <c r="O505" s="117" t="str">
        <f>IF(NOT(ISBLANK(INDEX('register map'!N:N,'Logical Group Generator'!C505))),"Yes","")</f>
        <v/>
      </c>
      <c r="P505" s="117" t="str">
        <f t="shared" si="78"/>
        <v/>
      </c>
      <c r="Q505" s="117" t="str">
        <f t="shared" si="79"/>
        <v/>
      </c>
      <c r="R505" s="117" t="str">
        <f t="shared" si="80"/>
        <v/>
      </c>
      <c r="S505" s="117" t="str">
        <f t="shared" si="81"/>
        <v>No</v>
      </c>
      <c r="T505" s="117" t="str">
        <f t="shared" si="82"/>
        <v/>
      </c>
      <c r="U505" s="117" t="b">
        <f t="shared" si="86"/>
        <v>0</v>
      </c>
      <c r="V505" s="157" t="b">
        <f>INDEX('register map'!P:P,C505)="yes"</f>
        <v>1</v>
      </c>
      <c r="W505" s="157" t="str">
        <f t="shared" si="83"/>
        <v>FALSE</v>
      </c>
    </row>
    <row r="506" spans="2:23">
      <c r="B506" s="157" t="str">
        <f t="array" ref="B506">IF(ROWS($3:506)&lt;=COUNTA('register map'!$L$5:$L$902),INDEX('register map'!$L$5:$L$902,SMALL(IF('register map'!$L$5:$L$902&lt;&gt;"",ROW('register map'!$L$5:$L$902)-MIN(ROW('register map'!$L$5:$L$902))+1),ROWS($3:506))),"")</f>
        <v>OTP_RSVD_38_28_3</v>
      </c>
      <c r="C506" s="157">
        <f>IF(B506="PART_NUMBER",IF(COUNTIF($B$1:B505,"PART_NUMBER")=0,6,8),MATCH(B506,'register map'!L:L,0))</f>
        <v>610</v>
      </c>
      <c r="D506" s="117" t="str">
        <f>IF(ISBLANK(INDEX('register map'!C:C,'Logical Group Generator'!C506)),"No","Yes")</f>
        <v>No</v>
      </c>
      <c r="E506" s="117" t="str">
        <f>IF(ISBLANK(INDEX('register map'!A:A,C506)),IF(ISBLANK(INDEX('register map'!A:A,C506-1)),IF(ISBLANK(INDEX('register map'!A:A,C506-2)),IF(ISBLANK(INDEX('register map'!A:A,C506-3)),IF(ISBLANK(INDEX('register map'!A:A,C506-4)),IF(ISBLANK(INDEX('register map'!A:A,C506-5)),IF(ISBLANK(INDEX('register map'!A:A,C506-6)),IF(ISBLANK(INDEX('register map'!A:A,C506-7)),IF(ISBLANK(INDEX('register map'!A:A,C506-8)),"ERROR",INDEX('register map'!A:A,C506-8)),INDEX('register map'!A:A,C506-7)),INDEX('register map'!A:A,C506-6)),INDEX('register map'!A:A,C506-5)),INDEX('register map'!A:A,C506-4)),INDEX('register map'!A:A,C506-3)),INDEX('register map'!A:A,C506-2)),INDEX('register map'!A:A,C506-1)),INDEX('register map'!A:A,C506))</f>
        <v>0x38</v>
      </c>
      <c r="F506" s="117" t="str">
        <f>IF(ISBLANK(INDEX('register map'!B:B,C506)),IF(ISBLANK(INDEX('register map'!B:B,C506-1)),IF(ISBLANK(INDEX('register map'!B:B,C506-2)),IF(ISBLANK(INDEX('register map'!B:B,C506-3)),IF(ISBLANK(INDEX('register map'!B:B,C506-4)),IF(ISBLANK(INDEX('register map'!B:B,C506-5)),IF(ISBLANK(INDEX('register map'!B:B,C506-6)),IF(ISBLANK(INDEX('register map'!B:B,C506-7)),IF(ISBLANK(INDEX('register map'!B:B,C506-8)),"ERROR",INDEX('register map'!B:B,C506-8)),INDEX('register map'!B:B,C506-7)),INDEX('register map'!B:B,C506-6)),INDEX('register map'!B:B,C506-5)),INDEX('register map'!B:B,C506-4)),INDEX('register map'!B:B,C506-3)),INDEX('register map'!B:B,C506-2)),INDEX('register map'!B:B,C506-1)),INDEX('register map'!B:B,C506))</f>
        <v>0x28</v>
      </c>
      <c r="G506" s="117" t="str">
        <f>CONCATENATE(IF(ISNUMBER(INDEX('register map'!D:D,C506)),7,""),IF(ISNUMBER(INDEX('register map'!E:E,C506)),6,""),IF(ISNUMBER(INDEX('register map'!F:F,C506)),5,""),IF(ISNUMBER(INDEX('register map'!G:G,C506)),4,""),IF(ISNUMBER(INDEX('register map'!H:H,C506)),3,""),IF(ISNUMBER(INDEX('register map'!I:I,C506)),2,""),IF(ISNUMBER(INDEX('register map'!J:J,C506)),1,""),IF(ISNUMBER(INDEX('register map'!K:K,C506)),0,""))</f>
        <v>3</v>
      </c>
      <c r="H506" s="117" t="str">
        <f>RIGHT(INDEX('register map'!V:V,MATCH('Logical Group Generator'!B506,'register map'!L:L,0)),LEN(G506))</f>
        <v>1</v>
      </c>
      <c r="I506" s="117" t="str">
        <f>CONCATENATE(IF(ISNUMBER(INDEX('register map'!K:K,C506)),0,""),IF(ISNUMBER(INDEX('register map'!J:J,C506)),1,""),IF(ISNUMBER(INDEX('register map'!I:I,C506)),2,""),IF(ISNUMBER(INDEX('register map'!H:H,C506)),3,""),IF(ISNUMBER(INDEX('register map'!G:G,C506)),4,""),IF(ISNUMBER(INDEX('register map'!F:F,C506)),5,""),IF(ISNUMBER(INDEX('register map'!E:E,C506)),6,""),IF(ISNUMBER(INDEX('register map'!D:D,C506)),7,""))</f>
        <v>3</v>
      </c>
      <c r="J506" s="117" t="str">
        <f t="shared" si="84"/>
        <v>1</v>
      </c>
      <c r="K506" s="117" t="str">
        <f t="shared" si="77"/>
        <v/>
      </c>
      <c r="L506" s="117" t="str">
        <f t="shared" si="85"/>
        <v/>
      </c>
      <c r="M506" s="117" t="str">
        <f t="shared" si="87"/>
        <v/>
      </c>
      <c r="N506" s="117" t="str">
        <f>IF(ISBLANK(INDEX('register map'!M:M,'Logical Group Generator'!C506)),"No","Yes")</f>
        <v>No</v>
      </c>
      <c r="O506" s="117" t="str">
        <f>IF(NOT(ISBLANK(INDEX('register map'!N:N,'Logical Group Generator'!C506))),"Yes","")</f>
        <v/>
      </c>
      <c r="P506" s="117" t="str">
        <f t="shared" si="78"/>
        <v/>
      </c>
      <c r="Q506" s="117" t="str">
        <f t="shared" si="79"/>
        <v/>
      </c>
      <c r="R506" s="117" t="str">
        <f t="shared" si="80"/>
        <v/>
      </c>
      <c r="S506" s="117" t="str">
        <f t="shared" si="81"/>
        <v>No</v>
      </c>
      <c r="T506" s="117" t="str">
        <f t="shared" si="82"/>
        <v/>
      </c>
      <c r="U506" s="117" t="b">
        <f t="shared" si="86"/>
        <v>0</v>
      </c>
      <c r="V506" s="157" t="b">
        <f>INDEX('register map'!P:P,C506)="yes"</f>
        <v>1</v>
      </c>
      <c r="W506" s="157" t="str">
        <f t="shared" si="83"/>
        <v>FALSE</v>
      </c>
    </row>
    <row r="507" spans="2:23">
      <c r="B507" s="157" t="str">
        <f t="array" ref="B507">IF(ROWS($3:507)&lt;=COUNTA('register map'!$L$5:$L$902),INDEX('register map'!$L$5:$L$902,SMALL(IF('register map'!$L$5:$L$902&lt;&gt;"",ROW('register map'!$L$5:$L$902)-MIN(ROW('register map'!$L$5:$L$902))+1),ROWS($3:507))),"")</f>
        <v>OTP_RSVD_38_28_4</v>
      </c>
      <c r="C507" s="157">
        <f>IF(B507="PART_NUMBER",IF(COUNTIF($B$1:B506,"PART_NUMBER")=0,6,8),MATCH(B507,'register map'!L:L,0))</f>
        <v>611</v>
      </c>
      <c r="D507" s="117" t="str">
        <f>IF(ISBLANK(INDEX('register map'!C:C,'Logical Group Generator'!C507)),"No","Yes")</f>
        <v>No</v>
      </c>
      <c r="E507" s="117" t="str">
        <f>IF(ISBLANK(INDEX('register map'!A:A,C507)),IF(ISBLANK(INDEX('register map'!A:A,C507-1)),IF(ISBLANK(INDEX('register map'!A:A,C507-2)),IF(ISBLANK(INDEX('register map'!A:A,C507-3)),IF(ISBLANK(INDEX('register map'!A:A,C507-4)),IF(ISBLANK(INDEX('register map'!A:A,C507-5)),IF(ISBLANK(INDEX('register map'!A:A,C507-6)),IF(ISBLANK(INDEX('register map'!A:A,C507-7)),IF(ISBLANK(INDEX('register map'!A:A,C507-8)),"ERROR",INDEX('register map'!A:A,C507-8)),INDEX('register map'!A:A,C507-7)),INDEX('register map'!A:A,C507-6)),INDEX('register map'!A:A,C507-5)),INDEX('register map'!A:A,C507-4)),INDEX('register map'!A:A,C507-3)),INDEX('register map'!A:A,C507-2)),INDEX('register map'!A:A,C507-1)),INDEX('register map'!A:A,C507))</f>
        <v>0x38</v>
      </c>
      <c r="F507" s="117" t="str">
        <f>IF(ISBLANK(INDEX('register map'!B:B,C507)),IF(ISBLANK(INDEX('register map'!B:B,C507-1)),IF(ISBLANK(INDEX('register map'!B:B,C507-2)),IF(ISBLANK(INDEX('register map'!B:B,C507-3)),IF(ISBLANK(INDEX('register map'!B:B,C507-4)),IF(ISBLANK(INDEX('register map'!B:B,C507-5)),IF(ISBLANK(INDEX('register map'!B:B,C507-6)),IF(ISBLANK(INDEX('register map'!B:B,C507-7)),IF(ISBLANK(INDEX('register map'!B:B,C507-8)),"ERROR",INDEX('register map'!B:B,C507-8)),INDEX('register map'!B:B,C507-7)),INDEX('register map'!B:B,C507-6)),INDEX('register map'!B:B,C507-5)),INDEX('register map'!B:B,C507-4)),INDEX('register map'!B:B,C507-3)),INDEX('register map'!B:B,C507-2)),INDEX('register map'!B:B,C507-1)),INDEX('register map'!B:B,C507))</f>
        <v>0x28</v>
      </c>
      <c r="G507" s="117" t="str">
        <f>CONCATENATE(IF(ISNUMBER(INDEX('register map'!D:D,C507)),7,""),IF(ISNUMBER(INDEX('register map'!E:E,C507)),6,""),IF(ISNUMBER(INDEX('register map'!F:F,C507)),5,""),IF(ISNUMBER(INDEX('register map'!G:G,C507)),4,""),IF(ISNUMBER(INDEX('register map'!H:H,C507)),3,""),IF(ISNUMBER(INDEX('register map'!I:I,C507)),2,""),IF(ISNUMBER(INDEX('register map'!J:J,C507)),1,""),IF(ISNUMBER(INDEX('register map'!K:K,C507)),0,""))</f>
        <v>4</v>
      </c>
      <c r="H507" s="117" t="str">
        <f>RIGHT(INDEX('register map'!V:V,MATCH('Logical Group Generator'!B507,'register map'!L:L,0)),LEN(G507))</f>
        <v>1</v>
      </c>
      <c r="I507" s="117" t="str">
        <f>CONCATENATE(IF(ISNUMBER(INDEX('register map'!K:K,C507)),0,""),IF(ISNUMBER(INDEX('register map'!J:J,C507)),1,""),IF(ISNUMBER(INDEX('register map'!I:I,C507)),2,""),IF(ISNUMBER(INDEX('register map'!H:H,C507)),3,""),IF(ISNUMBER(INDEX('register map'!G:G,C507)),4,""),IF(ISNUMBER(INDEX('register map'!F:F,C507)),5,""),IF(ISNUMBER(INDEX('register map'!E:E,C507)),6,""),IF(ISNUMBER(INDEX('register map'!D:D,C507)),7,""))</f>
        <v>4</v>
      </c>
      <c r="J507" s="117" t="str">
        <f t="shared" si="84"/>
        <v>1</v>
      </c>
      <c r="K507" s="117" t="str">
        <f t="shared" si="77"/>
        <v/>
      </c>
      <c r="L507" s="117" t="str">
        <f t="shared" si="85"/>
        <v/>
      </c>
      <c r="M507" s="117" t="str">
        <f t="shared" si="87"/>
        <v/>
      </c>
      <c r="N507" s="117" t="str">
        <f>IF(ISBLANK(INDEX('register map'!M:M,'Logical Group Generator'!C507)),"No","Yes")</f>
        <v>No</v>
      </c>
      <c r="O507" s="117" t="str">
        <f>IF(NOT(ISBLANK(INDEX('register map'!N:N,'Logical Group Generator'!C507))),"Yes","")</f>
        <v/>
      </c>
      <c r="P507" s="117" t="str">
        <f t="shared" si="78"/>
        <v/>
      </c>
      <c r="Q507" s="117" t="str">
        <f t="shared" si="79"/>
        <v/>
      </c>
      <c r="R507" s="117" t="str">
        <f t="shared" si="80"/>
        <v/>
      </c>
      <c r="S507" s="117" t="str">
        <f t="shared" si="81"/>
        <v>No</v>
      </c>
      <c r="T507" s="117" t="str">
        <f t="shared" si="82"/>
        <v/>
      </c>
      <c r="U507" s="117" t="b">
        <f t="shared" si="86"/>
        <v>0</v>
      </c>
      <c r="V507" s="157" t="b">
        <f>INDEX('register map'!P:P,C507)="yes"</f>
        <v>1</v>
      </c>
      <c r="W507" s="157" t="str">
        <f t="shared" si="83"/>
        <v>FALSE</v>
      </c>
    </row>
    <row r="508" spans="2:23">
      <c r="B508" s="157" t="str">
        <f t="array" ref="B508">IF(ROWS($3:508)&lt;=COUNTA('register map'!$L$5:$L$902),INDEX('register map'!$L$5:$L$902,SMALL(IF('register map'!$L$5:$L$902&lt;&gt;"",ROW('register map'!$L$5:$L$902)-MIN(ROW('register map'!$L$5:$L$902))+1),ROWS($3:508))),"")</f>
        <v>OTP_RSVD_38_28_765</v>
      </c>
      <c r="C508" s="157">
        <f>IF(B508="PART_NUMBER",IF(COUNTIF($B$1:B507,"PART_NUMBER")=0,6,8),MATCH(B508,'register map'!L:L,0))</f>
        <v>612</v>
      </c>
      <c r="D508" s="117" t="str">
        <f>IF(ISBLANK(INDEX('register map'!C:C,'Logical Group Generator'!C508)),"No","Yes")</f>
        <v>No</v>
      </c>
      <c r="E508" s="117" t="str">
        <f>IF(ISBLANK(INDEX('register map'!A:A,C508)),IF(ISBLANK(INDEX('register map'!A:A,C508-1)),IF(ISBLANK(INDEX('register map'!A:A,C508-2)),IF(ISBLANK(INDEX('register map'!A:A,C508-3)),IF(ISBLANK(INDEX('register map'!A:A,C508-4)),IF(ISBLANK(INDEX('register map'!A:A,C508-5)),IF(ISBLANK(INDEX('register map'!A:A,C508-6)),IF(ISBLANK(INDEX('register map'!A:A,C508-7)),IF(ISBLANK(INDEX('register map'!A:A,C508-8)),"ERROR",INDEX('register map'!A:A,C508-8)),INDEX('register map'!A:A,C508-7)),INDEX('register map'!A:A,C508-6)),INDEX('register map'!A:A,C508-5)),INDEX('register map'!A:A,C508-4)),INDEX('register map'!A:A,C508-3)),INDEX('register map'!A:A,C508-2)),INDEX('register map'!A:A,C508-1)),INDEX('register map'!A:A,C508))</f>
        <v>0x38</v>
      </c>
      <c r="F508" s="117" t="str">
        <f>IF(ISBLANK(INDEX('register map'!B:B,C508)),IF(ISBLANK(INDEX('register map'!B:B,C508-1)),IF(ISBLANK(INDEX('register map'!B:B,C508-2)),IF(ISBLANK(INDEX('register map'!B:B,C508-3)),IF(ISBLANK(INDEX('register map'!B:B,C508-4)),IF(ISBLANK(INDEX('register map'!B:B,C508-5)),IF(ISBLANK(INDEX('register map'!B:B,C508-6)),IF(ISBLANK(INDEX('register map'!B:B,C508-7)),IF(ISBLANK(INDEX('register map'!B:B,C508-8)),"ERROR",INDEX('register map'!B:B,C508-8)),INDEX('register map'!B:B,C508-7)),INDEX('register map'!B:B,C508-6)),INDEX('register map'!B:B,C508-5)),INDEX('register map'!B:B,C508-4)),INDEX('register map'!B:B,C508-3)),INDEX('register map'!B:B,C508-2)),INDEX('register map'!B:B,C508-1)),INDEX('register map'!B:B,C508))</f>
        <v>0x28</v>
      </c>
      <c r="G508" s="117" t="str">
        <f>CONCATENATE(IF(ISNUMBER(INDEX('register map'!D:D,C508)),7,""),IF(ISNUMBER(INDEX('register map'!E:E,C508)),6,""),IF(ISNUMBER(INDEX('register map'!F:F,C508)),5,""),IF(ISNUMBER(INDEX('register map'!G:G,C508)),4,""),IF(ISNUMBER(INDEX('register map'!H:H,C508)),3,""),IF(ISNUMBER(INDEX('register map'!I:I,C508)),2,""),IF(ISNUMBER(INDEX('register map'!J:J,C508)),1,""),IF(ISNUMBER(INDEX('register map'!K:K,C508)),0,""))</f>
        <v>765</v>
      </c>
      <c r="H508" s="117" t="str">
        <f>RIGHT(INDEX('register map'!V:V,MATCH('Logical Group Generator'!B508,'register map'!L:L,0)),LEN(G508))</f>
        <v>000</v>
      </c>
      <c r="I508" s="117" t="str">
        <f>CONCATENATE(IF(ISNUMBER(INDEX('register map'!K:K,C508)),0,""),IF(ISNUMBER(INDEX('register map'!J:J,C508)),1,""),IF(ISNUMBER(INDEX('register map'!I:I,C508)),2,""),IF(ISNUMBER(INDEX('register map'!H:H,C508)),3,""),IF(ISNUMBER(INDEX('register map'!G:G,C508)),4,""),IF(ISNUMBER(INDEX('register map'!F:F,C508)),5,""),IF(ISNUMBER(INDEX('register map'!E:E,C508)),6,""),IF(ISNUMBER(INDEX('register map'!D:D,C508)),7,""))</f>
        <v>567</v>
      </c>
      <c r="J508" s="117" t="str">
        <f t="shared" si="84"/>
        <v>000</v>
      </c>
      <c r="K508" s="117" t="str">
        <f t="shared" si="77"/>
        <v/>
      </c>
      <c r="L508" s="117" t="str">
        <f t="shared" si="85"/>
        <v/>
      </c>
      <c r="M508" s="117" t="str">
        <f t="shared" si="87"/>
        <v/>
      </c>
      <c r="N508" s="117" t="str">
        <f>IF(ISBLANK(INDEX('register map'!M:M,'Logical Group Generator'!C508)),"No","Yes")</f>
        <v>No</v>
      </c>
      <c r="O508" s="117" t="str">
        <f>IF(NOT(ISBLANK(INDEX('register map'!N:N,'Logical Group Generator'!C508))),"Yes","")</f>
        <v/>
      </c>
      <c r="P508" s="117" t="str">
        <f t="shared" si="78"/>
        <v/>
      </c>
      <c r="Q508" s="117" t="str">
        <f t="shared" si="79"/>
        <v/>
      </c>
      <c r="R508" s="117" t="str">
        <f t="shared" si="80"/>
        <v/>
      </c>
      <c r="S508" s="117" t="str">
        <f t="shared" si="81"/>
        <v>No</v>
      </c>
      <c r="T508" s="117" t="str">
        <f t="shared" si="82"/>
        <v/>
      </c>
      <c r="U508" s="117" t="b">
        <f t="shared" si="86"/>
        <v>0</v>
      </c>
      <c r="V508" s="157" t="b">
        <f>INDEX('register map'!P:P,C508)="yes"</f>
        <v>1</v>
      </c>
      <c r="W508" s="157" t="str">
        <f t="shared" si="83"/>
        <v>FALSE</v>
      </c>
    </row>
    <row r="509" spans="2:23">
      <c r="B509" s="157" t="str">
        <f t="array" ref="B509">IF(ROWS($3:509)&lt;=COUNTA('register map'!$L$5:$L$902),INDEX('register map'!$L$5:$L$902,SMALL(IF('register map'!$L$5:$L$902&lt;&gt;"",ROW('register map'!$L$5:$L$902)-MIN(ROW('register map'!$L$5:$L$902))+1),ROWS($3:509))),"")</f>
        <v>SLP_PIN</v>
      </c>
      <c r="C509" s="157">
        <f>IF(B509="PART_NUMBER",IF(COUNTIF($B$1:B508,"PART_NUMBER")=0,6,8),MATCH(B509,'register map'!L:L,0))</f>
        <v>613</v>
      </c>
      <c r="D509" s="117" t="str">
        <f>IF(ISBLANK(INDEX('register map'!C:C,'Logical Group Generator'!C509)),"No","Yes")</f>
        <v>Yes</v>
      </c>
      <c r="E509" s="117" t="str">
        <f>IF(ISBLANK(INDEX('register map'!A:A,C509)),IF(ISBLANK(INDEX('register map'!A:A,C509-1)),IF(ISBLANK(INDEX('register map'!A:A,C509-2)),IF(ISBLANK(INDEX('register map'!A:A,C509-3)),IF(ISBLANK(INDEX('register map'!A:A,C509-4)),IF(ISBLANK(INDEX('register map'!A:A,C509-5)),IF(ISBLANK(INDEX('register map'!A:A,C509-6)),IF(ISBLANK(INDEX('register map'!A:A,C509-7)),IF(ISBLANK(INDEX('register map'!A:A,C509-8)),"ERROR",INDEX('register map'!A:A,C509-8)),INDEX('register map'!A:A,C509-7)),INDEX('register map'!A:A,C509-6)),INDEX('register map'!A:A,C509-5)),INDEX('register map'!A:A,C509-4)),INDEX('register map'!A:A,C509-3)),INDEX('register map'!A:A,C509-2)),INDEX('register map'!A:A,C509-1)),INDEX('register map'!A:A,C509))</f>
        <v>0x38</v>
      </c>
      <c r="F509" s="117" t="str">
        <f>IF(ISBLANK(INDEX('register map'!B:B,C509)),IF(ISBLANK(INDEX('register map'!B:B,C509-1)),IF(ISBLANK(INDEX('register map'!B:B,C509-2)),IF(ISBLANK(INDEX('register map'!B:B,C509-3)),IF(ISBLANK(INDEX('register map'!B:B,C509-4)),IF(ISBLANK(INDEX('register map'!B:B,C509-5)),IF(ISBLANK(INDEX('register map'!B:B,C509-6)),IF(ISBLANK(INDEX('register map'!B:B,C509-7)),IF(ISBLANK(INDEX('register map'!B:B,C509-8)),"ERROR",INDEX('register map'!B:B,C509-8)),INDEX('register map'!B:B,C509-7)),INDEX('register map'!B:B,C509-6)),INDEX('register map'!B:B,C509-5)),INDEX('register map'!B:B,C509-4)),INDEX('register map'!B:B,C509-3)),INDEX('register map'!B:B,C509-2)),INDEX('register map'!B:B,C509-1)),INDEX('register map'!B:B,C509))</f>
        <v>0x29</v>
      </c>
      <c r="G509" s="117" t="str">
        <f>CONCATENATE(IF(ISNUMBER(INDEX('register map'!D:D,C509)),7,""),IF(ISNUMBER(INDEX('register map'!E:E,C509)),6,""),IF(ISNUMBER(INDEX('register map'!F:F,C509)),5,""),IF(ISNUMBER(INDEX('register map'!G:G,C509)),4,""),IF(ISNUMBER(INDEX('register map'!H:H,C509)),3,""),IF(ISNUMBER(INDEX('register map'!I:I,C509)),2,""),IF(ISNUMBER(INDEX('register map'!J:J,C509)),1,""),IF(ISNUMBER(INDEX('register map'!K:K,C509)),0,""))</f>
        <v/>
      </c>
      <c r="H509" s="117" t="str">
        <f>RIGHT(INDEX('register map'!V:V,MATCH('Logical Group Generator'!B509,'register map'!L:L,0)),LEN(G509))</f>
        <v/>
      </c>
      <c r="I509" s="117" t="str">
        <f>CONCATENATE(IF(ISNUMBER(INDEX('register map'!K:K,C509)),0,""),IF(ISNUMBER(INDEX('register map'!J:J,C509)),1,""),IF(ISNUMBER(INDEX('register map'!I:I,C509)),2,""),IF(ISNUMBER(INDEX('register map'!H:H,C509)),3,""),IF(ISNUMBER(INDEX('register map'!G:G,C509)),4,""),IF(ISNUMBER(INDEX('register map'!F:F,C509)),5,""),IF(ISNUMBER(INDEX('register map'!E:E,C509)),6,""),IF(ISNUMBER(INDEX('register map'!D:D,C509)),7,""))</f>
        <v/>
      </c>
      <c r="J509" s="117" t="str">
        <f t="shared" si="84"/>
        <v/>
      </c>
      <c r="K509" s="117" t="str">
        <f t="shared" si="77"/>
        <v>00000000</v>
      </c>
      <c r="L509" s="117" t="str">
        <f t="shared" si="85"/>
        <v>00000000</v>
      </c>
      <c r="M509" s="117" t="str">
        <f t="shared" si="87"/>
        <v>00</v>
      </c>
      <c r="N509" s="117" t="str">
        <f>IF(ISBLANK(INDEX('register map'!M:M,'Logical Group Generator'!C509)),"No","Yes")</f>
        <v>No</v>
      </c>
      <c r="O509" s="117" t="str">
        <f>IF(NOT(ISBLANK(INDEX('register map'!N:N,'Logical Group Generator'!C509))),"Yes","")</f>
        <v/>
      </c>
      <c r="P509" s="117" t="str">
        <f t="shared" si="78"/>
        <v>No</v>
      </c>
      <c r="Q509" s="117" t="str">
        <f t="shared" si="79"/>
        <v>No</v>
      </c>
      <c r="R509" s="117" t="str">
        <f t="shared" si="80"/>
        <v>No</v>
      </c>
      <c r="S509" s="117" t="str">
        <f t="shared" si="81"/>
        <v/>
      </c>
      <c r="T509" s="117" t="b">
        <f t="shared" si="82"/>
        <v>1</v>
      </c>
      <c r="U509" s="117" t="b">
        <f t="shared" si="86"/>
        <v>1</v>
      </c>
      <c r="V509" s="157" t="b">
        <f>INDEX('register map'!P:P,C509)="yes"</f>
        <v>1</v>
      </c>
      <c r="W509" s="157" t="str">
        <f t="shared" si="83"/>
        <v>REGISTER</v>
      </c>
    </row>
    <row r="510" spans="2:23">
      <c r="B510" s="157" t="str">
        <f t="array" ref="B510">IF(ROWS($3:510)&lt;=COUNTA('register map'!$L$5:$L$902),INDEX('register map'!$L$5:$L$902,SMALL(IF('register map'!$L$5:$L$902&lt;&gt;"",ROW('register map'!$L$5:$L$902)-MIN(ROW('register map'!$L$5:$L$902))+1),ROWS($3:510))),"")</f>
        <v>OTP_RSVD_38_29_0</v>
      </c>
      <c r="C510" s="157">
        <f>IF(B510="PART_NUMBER",IF(COUNTIF($B$1:B509,"PART_NUMBER")=0,6,8),MATCH(B510,'register map'!L:L,0))</f>
        <v>614</v>
      </c>
      <c r="D510" s="117" t="str">
        <f>IF(ISBLANK(INDEX('register map'!C:C,'Logical Group Generator'!C510)),"No","Yes")</f>
        <v>No</v>
      </c>
      <c r="E510" s="117" t="str">
        <f>IF(ISBLANK(INDEX('register map'!A:A,C510)),IF(ISBLANK(INDEX('register map'!A:A,C510-1)),IF(ISBLANK(INDEX('register map'!A:A,C510-2)),IF(ISBLANK(INDEX('register map'!A:A,C510-3)),IF(ISBLANK(INDEX('register map'!A:A,C510-4)),IF(ISBLANK(INDEX('register map'!A:A,C510-5)),IF(ISBLANK(INDEX('register map'!A:A,C510-6)),IF(ISBLANK(INDEX('register map'!A:A,C510-7)),IF(ISBLANK(INDEX('register map'!A:A,C510-8)),"ERROR",INDEX('register map'!A:A,C510-8)),INDEX('register map'!A:A,C510-7)),INDEX('register map'!A:A,C510-6)),INDEX('register map'!A:A,C510-5)),INDEX('register map'!A:A,C510-4)),INDEX('register map'!A:A,C510-3)),INDEX('register map'!A:A,C510-2)),INDEX('register map'!A:A,C510-1)),INDEX('register map'!A:A,C510))</f>
        <v>0x38</v>
      </c>
      <c r="F510" s="117" t="str">
        <f>IF(ISBLANK(INDEX('register map'!B:B,C510)),IF(ISBLANK(INDEX('register map'!B:B,C510-1)),IF(ISBLANK(INDEX('register map'!B:B,C510-2)),IF(ISBLANK(INDEX('register map'!B:B,C510-3)),IF(ISBLANK(INDEX('register map'!B:B,C510-4)),IF(ISBLANK(INDEX('register map'!B:B,C510-5)),IF(ISBLANK(INDEX('register map'!B:B,C510-6)),IF(ISBLANK(INDEX('register map'!B:B,C510-7)),IF(ISBLANK(INDEX('register map'!B:B,C510-8)),"ERROR",INDEX('register map'!B:B,C510-8)),INDEX('register map'!B:B,C510-7)),INDEX('register map'!B:B,C510-6)),INDEX('register map'!B:B,C510-5)),INDEX('register map'!B:B,C510-4)),INDEX('register map'!B:B,C510-3)),INDEX('register map'!B:B,C510-2)),INDEX('register map'!B:B,C510-1)),INDEX('register map'!B:B,C510))</f>
        <v>0x29</v>
      </c>
      <c r="G510" s="117" t="str">
        <f>CONCATENATE(IF(ISNUMBER(INDEX('register map'!D:D,C510)),7,""),IF(ISNUMBER(INDEX('register map'!E:E,C510)),6,""),IF(ISNUMBER(INDEX('register map'!F:F,C510)),5,""),IF(ISNUMBER(INDEX('register map'!G:G,C510)),4,""),IF(ISNUMBER(INDEX('register map'!H:H,C510)),3,""),IF(ISNUMBER(INDEX('register map'!I:I,C510)),2,""),IF(ISNUMBER(INDEX('register map'!J:J,C510)),1,""),IF(ISNUMBER(INDEX('register map'!K:K,C510)),0,""))</f>
        <v>0</v>
      </c>
      <c r="H510" s="117" t="str">
        <f>RIGHT(INDEX('register map'!V:V,MATCH('Logical Group Generator'!B510,'register map'!L:L,0)),LEN(G510))</f>
        <v>0</v>
      </c>
      <c r="I510" s="117" t="str">
        <f>CONCATENATE(IF(ISNUMBER(INDEX('register map'!K:K,C510)),0,""),IF(ISNUMBER(INDEX('register map'!J:J,C510)),1,""),IF(ISNUMBER(INDEX('register map'!I:I,C510)),2,""),IF(ISNUMBER(INDEX('register map'!H:H,C510)),3,""),IF(ISNUMBER(INDEX('register map'!G:G,C510)),4,""),IF(ISNUMBER(INDEX('register map'!F:F,C510)),5,""),IF(ISNUMBER(INDEX('register map'!E:E,C510)),6,""),IF(ISNUMBER(INDEX('register map'!D:D,C510)),7,""))</f>
        <v>0</v>
      </c>
      <c r="J510" s="117" t="str">
        <f t="shared" si="84"/>
        <v>0</v>
      </c>
      <c r="K510" s="117" t="str">
        <f t="shared" si="77"/>
        <v/>
      </c>
      <c r="L510" s="117" t="str">
        <f t="shared" si="85"/>
        <v/>
      </c>
      <c r="M510" s="117" t="str">
        <f t="shared" si="87"/>
        <v/>
      </c>
      <c r="N510" s="117" t="str">
        <f>IF(ISBLANK(INDEX('register map'!M:M,'Logical Group Generator'!C510)),"No","Yes")</f>
        <v>No</v>
      </c>
      <c r="O510" s="117" t="str">
        <f>IF(NOT(ISBLANK(INDEX('register map'!N:N,'Logical Group Generator'!C510))),"Yes","")</f>
        <v/>
      </c>
      <c r="P510" s="117" t="str">
        <f t="shared" si="78"/>
        <v/>
      </c>
      <c r="Q510" s="117" t="str">
        <f t="shared" si="79"/>
        <v/>
      </c>
      <c r="R510" s="117" t="str">
        <f t="shared" si="80"/>
        <v/>
      </c>
      <c r="S510" s="117" t="str">
        <f t="shared" si="81"/>
        <v>No</v>
      </c>
      <c r="T510" s="117" t="str">
        <f t="shared" si="82"/>
        <v/>
      </c>
      <c r="U510" s="117" t="b">
        <f t="shared" si="86"/>
        <v>0</v>
      </c>
      <c r="V510" s="157" t="b">
        <f>INDEX('register map'!P:P,C510)="yes"</f>
        <v>1</v>
      </c>
      <c r="W510" s="157" t="str">
        <f t="shared" si="83"/>
        <v>FALSE</v>
      </c>
    </row>
    <row r="511" spans="2:23">
      <c r="B511" s="157" t="str">
        <f t="array" ref="B511">IF(ROWS($3:511)&lt;=COUNTA('register map'!$L$5:$L$902),INDEX('register map'!$L$5:$L$902,SMALL(IF('register map'!$L$5:$L$902&lt;&gt;"",ROW('register map'!$L$5:$L$902)-MIN(ROW('register map'!$L$5:$L$902))+1),ROWS($3:511))),"")</f>
        <v>OTP_RSVD_38_29_1</v>
      </c>
      <c r="C511" s="157">
        <f>IF(B511="PART_NUMBER",IF(COUNTIF($B$1:B510,"PART_NUMBER")=0,6,8),MATCH(B511,'register map'!L:L,0))</f>
        <v>615</v>
      </c>
      <c r="D511" s="117" t="str">
        <f>IF(ISBLANK(INDEX('register map'!C:C,'Logical Group Generator'!C511)),"No","Yes")</f>
        <v>No</v>
      </c>
      <c r="E511" s="117" t="str">
        <f>IF(ISBLANK(INDEX('register map'!A:A,C511)),IF(ISBLANK(INDEX('register map'!A:A,C511-1)),IF(ISBLANK(INDEX('register map'!A:A,C511-2)),IF(ISBLANK(INDEX('register map'!A:A,C511-3)),IF(ISBLANK(INDEX('register map'!A:A,C511-4)),IF(ISBLANK(INDEX('register map'!A:A,C511-5)),IF(ISBLANK(INDEX('register map'!A:A,C511-6)),IF(ISBLANK(INDEX('register map'!A:A,C511-7)),IF(ISBLANK(INDEX('register map'!A:A,C511-8)),"ERROR",INDEX('register map'!A:A,C511-8)),INDEX('register map'!A:A,C511-7)),INDEX('register map'!A:A,C511-6)),INDEX('register map'!A:A,C511-5)),INDEX('register map'!A:A,C511-4)),INDEX('register map'!A:A,C511-3)),INDEX('register map'!A:A,C511-2)),INDEX('register map'!A:A,C511-1)),INDEX('register map'!A:A,C511))</f>
        <v>0x38</v>
      </c>
      <c r="F511" s="117" t="str">
        <f>IF(ISBLANK(INDEX('register map'!B:B,C511)),IF(ISBLANK(INDEX('register map'!B:B,C511-1)),IF(ISBLANK(INDEX('register map'!B:B,C511-2)),IF(ISBLANK(INDEX('register map'!B:B,C511-3)),IF(ISBLANK(INDEX('register map'!B:B,C511-4)),IF(ISBLANK(INDEX('register map'!B:B,C511-5)),IF(ISBLANK(INDEX('register map'!B:B,C511-6)),IF(ISBLANK(INDEX('register map'!B:B,C511-7)),IF(ISBLANK(INDEX('register map'!B:B,C511-8)),"ERROR",INDEX('register map'!B:B,C511-8)),INDEX('register map'!B:B,C511-7)),INDEX('register map'!B:B,C511-6)),INDEX('register map'!B:B,C511-5)),INDEX('register map'!B:B,C511-4)),INDEX('register map'!B:B,C511-3)),INDEX('register map'!B:B,C511-2)),INDEX('register map'!B:B,C511-1)),INDEX('register map'!B:B,C511))</f>
        <v>0x29</v>
      </c>
      <c r="G511" s="117" t="str">
        <f>CONCATENATE(IF(ISNUMBER(INDEX('register map'!D:D,C511)),7,""),IF(ISNUMBER(INDEX('register map'!E:E,C511)),6,""),IF(ISNUMBER(INDEX('register map'!F:F,C511)),5,""),IF(ISNUMBER(INDEX('register map'!G:G,C511)),4,""),IF(ISNUMBER(INDEX('register map'!H:H,C511)),3,""),IF(ISNUMBER(INDEX('register map'!I:I,C511)),2,""),IF(ISNUMBER(INDEX('register map'!J:J,C511)),1,""),IF(ISNUMBER(INDEX('register map'!K:K,C511)),0,""))</f>
        <v>1</v>
      </c>
      <c r="H511" s="117" t="str">
        <f>RIGHT(INDEX('register map'!V:V,MATCH('Logical Group Generator'!B511,'register map'!L:L,0)),LEN(G511))</f>
        <v>0</v>
      </c>
      <c r="I511" s="117" t="str">
        <f>CONCATENATE(IF(ISNUMBER(INDEX('register map'!K:K,C511)),0,""),IF(ISNUMBER(INDEX('register map'!J:J,C511)),1,""),IF(ISNUMBER(INDEX('register map'!I:I,C511)),2,""),IF(ISNUMBER(INDEX('register map'!H:H,C511)),3,""),IF(ISNUMBER(INDEX('register map'!G:G,C511)),4,""),IF(ISNUMBER(INDEX('register map'!F:F,C511)),5,""),IF(ISNUMBER(INDEX('register map'!E:E,C511)),6,""),IF(ISNUMBER(INDEX('register map'!D:D,C511)),7,""))</f>
        <v>1</v>
      </c>
      <c r="J511" s="117" t="str">
        <f t="shared" si="84"/>
        <v>0</v>
      </c>
      <c r="K511" s="117" t="str">
        <f t="shared" si="77"/>
        <v/>
      </c>
      <c r="L511" s="117" t="str">
        <f t="shared" si="85"/>
        <v/>
      </c>
      <c r="M511" s="117" t="str">
        <f t="shared" si="87"/>
        <v/>
      </c>
      <c r="N511" s="117" t="str">
        <f>IF(ISBLANK(INDEX('register map'!M:M,'Logical Group Generator'!C511)),"No","Yes")</f>
        <v>No</v>
      </c>
      <c r="O511" s="117" t="str">
        <f>IF(NOT(ISBLANK(INDEX('register map'!N:N,'Logical Group Generator'!C511))),"Yes","")</f>
        <v/>
      </c>
      <c r="P511" s="117" t="str">
        <f t="shared" si="78"/>
        <v/>
      </c>
      <c r="Q511" s="117" t="str">
        <f t="shared" si="79"/>
        <v/>
      </c>
      <c r="R511" s="117" t="str">
        <f t="shared" si="80"/>
        <v/>
      </c>
      <c r="S511" s="117" t="str">
        <f t="shared" si="81"/>
        <v>No</v>
      </c>
      <c r="T511" s="117" t="str">
        <f t="shared" si="82"/>
        <v/>
      </c>
      <c r="U511" s="117" t="b">
        <f t="shared" si="86"/>
        <v>0</v>
      </c>
      <c r="V511" s="157" t="b">
        <f>INDEX('register map'!P:P,C511)="yes"</f>
        <v>1</v>
      </c>
      <c r="W511" s="157" t="str">
        <f t="shared" si="83"/>
        <v>FALSE</v>
      </c>
    </row>
    <row r="512" spans="2:23">
      <c r="B512" s="157" t="str">
        <f t="array" ref="B512">IF(ROWS($3:512)&lt;=COUNTA('register map'!$L$5:$L$902),INDEX('register map'!$L$5:$L$902,SMALL(IF('register map'!$L$5:$L$902&lt;&gt;"",ROW('register map'!$L$5:$L$902)-MIN(ROW('register map'!$L$5:$L$902))+1),ROWS($3:512))),"")</f>
        <v>OTP_RSVD_38_29_2</v>
      </c>
      <c r="C512" s="157">
        <f>IF(B512="PART_NUMBER",IF(COUNTIF($B$1:B511,"PART_NUMBER")=0,6,8),MATCH(B512,'register map'!L:L,0))</f>
        <v>616</v>
      </c>
      <c r="D512" s="117" t="str">
        <f>IF(ISBLANK(INDEX('register map'!C:C,'Logical Group Generator'!C512)),"No","Yes")</f>
        <v>No</v>
      </c>
      <c r="E512" s="117" t="str">
        <f>IF(ISBLANK(INDEX('register map'!A:A,C512)),IF(ISBLANK(INDEX('register map'!A:A,C512-1)),IF(ISBLANK(INDEX('register map'!A:A,C512-2)),IF(ISBLANK(INDEX('register map'!A:A,C512-3)),IF(ISBLANK(INDEX('register map'!A:A,C512-4)),IF(ISBLANK(INDEX('register map'!A:A,C512-5)),IF(ISBLANK(INDEX('register map'!A:A,C512-6)),IF(ISBLANK(INDEX('register map'!A:A,C512-7)),IF(ISBLANK(INDEX('register map'!A:A,C512-8)),"ERROR",INDEX('register map'!A:A,C512-8)),INDEX('register map'!A:A,C512-7)),INDEX('register map'!A:A,C512-6)),INDEX('register map'!A:A,C512-5)),INDEX('register map'!A:A,C512-4)),INDEX('register map'!A:A,C512-3)),INDEX('register map'!A:A,C512-2)),INDEX('register map'!A:A,C512-1)),INDEX('register map'!A:A,C512))</f>
        <v>0x38</v>
      </c>
      <c r="F512" s="117" t="str">
        <f>IF(ISBLANK(INDEX('register map'!B:B,C512)),IF(ISBLANK(INDEX('register map'!B:B,C512-1)),IF(ISBLANK(INDEX('register map'!B:B,C512-2)),IF(ISBLANK(INDEX('register map'!B:B,C512-3)),IF(ISBLANK(INDEX('register map'!B:B,C512-4)),IF(ISBLANK(INDEX('register map'!B:B,C512-5)),IF(ISBLANK(INDEX('register map'!B:B,C512-6)),IF(ISBLANK(INDEX('register map'!B:B,C512-7)),IF(ISBLANK(INDEX('register map'!B:B,C512-8)),"ERROR",INDEX('register map'!B:B,C512-8)),INDEX('register map'!B:B,C512-7)),INDEX('register map'!B:B,C512-6)),INDEX('register map'!B:B,C512-5)),INDEX('register map'!B:B,C512-4)),INDEX('register map'!B:B,C512-3)),INDEX('register map'!B:B,C512-2)),INDEX('register map'!B:B,C512-1)),INDEX('register map'!B:B,C512))</f>
        <v>0x29</v>
      </c>
      <c r="G512" s="117" t="str">
        <f>CONCATENATE(IF(ISNUMBER(INDEX('register map'!D:D,C512)),7,""),IF(ISNUMBER(INDEX('register map'!E:E,C512)),6,""),IF(ISNUMBER(INDEX('register map'!F:F,C512)),5,""),IF(ISNUMBER(INDEX('register map'!G:G,C512)),4,""),IF(ISNUMBER(INDEX('register map'!H:H,C512)),3,""),IF(ISNUMBER(INDEX('register map'!I:I,C512)),2,""),IF(ISNUMBER(INDEX('register map'!J:J,C512)),1,""),IF(ISNUMBER(INDEX('register map'!K:K,C512)),0,""))</f>
        <v>2</v>
      </c>
      <c r="H512" s="117" t="str">
        <f>RIGHT(INDEX('register map'!V:V,MATCH('Logical Group Generator'!B512,'register map'!L:L,0)),LEN(G512))</f>
        <v>0</v>
      </c>
      <c r="I512" s="117" t="str">
        <f>CONCATENATE(IF(ISNUMBER(INDEX('register map'!K:K,C512)),0,""),IF(ISNUMBER(INDEX('register map'!J:J,C512)),1,""),IF(ISNUMBER(INDEX('register map'!I:I,C512)),2,""),IF(ISNUMBER(INDEX('register map'!H:H,C512)),3,""),IF(ISNUMBER(INDEX('register map'!G:G,C512)),4,""),IF(ISNUMBER(INDEX('register map'!F:F,C512)),5,""),IF(ISNUMBER(INDEX('register map'!E:E,C512)),6,""),IF(ISNUMBER(INDEX('register map'!D:D,C512)),7,""))</f>
        <v>2</v>
      </c>
      <c r="J512" s="117" t="str">
        <f t="shared" si="84"/>
        <v>0</v>
      </c>
      <c r="K512" s="117" t="str">
        <f t="shared" si="77"/>
        <v/>
      </c>
      <c r="L512" s="117" t="str">
        <f t="shared" si="85"/>
        <v/>
      </c>
      <c r="M512" s="117" t="str">
        <f t="shared" si="87"/>
        <v/>
      </c>
      <c r="N512" s="117" t="str">
        <f>IF(ISBLANK(INDEX('register map'!M:M,'Logical Group Generator'!C512)),"No","Yes")</f>
        <v>No</v>
      </c>
      <c r="O512" s="117" t="str">
        <f>IF(NOT(ISBLANK(INDEX('register map'!N:N,'Logical Group Generator'!C512))),"Yes","")</f>
        <v/>
      </c>
      <c r="P512" s="117" t="str">
        <f t="shared" si="78"/>
        <v/>
      </c>
      <c r="Q512" s="117" t="str">
        <f t="shared" si="79"/>
        <v/>
      </c>
      <c r="R512" s="117" t="str">
        <f t="shared" si="80"/>
        <v/>
      </c>
      <c r="S512" s="117" t="str">
        <f t="shared" si="81"/>
        <v>No</v>
      </c>
      <c r="T512" s="117" t="str">
        <f t="shared" si="82"/>
        <v/>
      </c>
      <c r="U512" s="117" t="b">
        <f t="shared" si="86"/>
        <v>0</v>
      </c>
      <c r="V512" s="157" t="b">
        <f>INDEX('register map'!P:P,C512)="yes"</f>
        <v>1</v>
      </c>
      <c r="W512" s="157" t="str">
        <f t="shared" si="83"/>
        <v>FALSE</v>
      </c>
    </row>
    <row r="513" spans="2:23">
      <c r="B513" s="157" t="str">
        <f t="array" ref="B513">IF(ROWS($3:513)&lt;=COUNTA('register map'!$L$5:$L$902),INDEX('register map'!$L$5:$L$902,SMALL(IF('register map'!$L$5:$L$902&lt;&gt;"",ROW('register map'!$L$5:$L$902)-MIN(ROW('register map'!$L$5:$L$902))+1),ROWS($3:513))),"")</f>
        <v>OTP_RSVD_38_29_3</v>
      </c>
      <c r="C513" s="157">
        <f>IF(B513="PART_NUMBER",IF(COUNTIF($B$1:B512,"PART_NUMBER")=0,6,8),MATCH(B513,'register map'!L:L,0))</f>
        <v>617</v>
      </c>
      <c r="D513" s="117" t="str">
        <f>IF(ISBLANK(INDEX('register map'!C:C,'Logical Group Generator'!C513)),"No","Yes")</f>
        <v>No</v>
      </c>
      <c r="E513" s="117" t="str">
        <f>IF(ISBLANK(INDEX('register map'!A:A,C513)),IF(ISBLANK(INDEX('register map'!A:A,C513-1)),IF(ISBLANK(INDEX('register map'!A:A,C513-2)),IF(ISBLANK(INDEX('register map'!A:A,C513-3)),IF(ISBLANK(INDEX('register map'!A:A,C513-4)),IF(ISBLANK(INDEX('register map'!A:A,C513-5)),IF(ISBLANK(INDEX('register map'!A:A,C513-6)),IF(ISBLANK(INDEX('register map'!A:A,C513-7)),IF(ISBLANK(INDEX('register map'!A:A,C513-8)),"ERROR",INDEX('register map'!A:A,C513-8)),INDEX('register map'!A:A,C513-7)),INDEX('register map'!A:A,C513-6)),INDEX('register map'!A:A,C513-5)),INDEX('register map'!A:A,C513-4)),INDEX('register map'!A:A,C513-3)),INDEX('register map'!A:A,C513-2)),INDEX('register map'!A:A,C513-1)),INDEX('register map'!A:A,C513))</f>
        <v>0x38</v>
      </c>
      <c r="F513" s="117" t="str">
        <f>IF(ISBLANK(INDEX('register map'!B:B,C513)),IF(ISBLANK(INDEX('register map'!B:B,C513-1)),IF(ISBLANK(INDEX('register map'!B:B,C513-2)),IF(ISBLANK(INDEX('register map'!B:B,C513-3)),IF(ISBLANK(INDEX('register map'!B:B,C513-4)),IF(ISBLANK(INDEX('register map'!B:B,C513-5)),IF(ISBLANK(INDEX('register map'!B:B,C513-6)),IF(ISBLANK(INDEX('register map'!B:B,C513-7)),IF(ISBLANK(INDEX('register map'!B:B,C513-8)),"ERROR",INDEX('register map'!B:B,C513-8)),INDEX('register map'!B:B,C513-7)),INDEX('register map'!B:B,C513-6)),INDEX('register map'!B:B,C513-5)),INDEX('register map'!B:B,C513-4)),INDEX('register map'!B:B,C513-3)),INDEX('register map'!B:B,C513-2)),INDEX('register map'!B:B,C513-1)),INDEX('register map'!B:B,C513))</f>
        <v>0x29</v>
      </c>
      <c r="G513" s="117" t="str">
        <f>CONCATENATE(IF(ISNUMBER(INDEX('register map'!D:D,C513)),7,""),IF(ISNUMBER(INDEX('register map'!E:E,C513)),6,""),IF(ISNUMBER(INDEX('register map'!F:F,C513)),5,""),IF(ISNUMBER(INDEX('register map'!G:G,C513)),4,""),IF(ISNUMBER(INDEX('register map'!H:H,C513)),3,""),IF(ISNUMBER(INDEX('register map'!I:I,C513)),2,""),IF(ISNUMBER(INDEX('register map'!J:J,C513)),1,""),IF(ISNUMBER(INDEX('register map'!K:K,C513)),0,""))</f>
        <v>3</v>
      </c>
      <c r="H513" s="117" t="str">
        <f>RIGHT(INDEX('register map'!V:V,MATCH('Logical Group Generator'!B513,'register map'!L:L,0)),LEN(G513))</f>
        <v>0</v>
      </c>
      <c r="I513" s="117" t="str">
        <f>CONCATENATE(IF(ISNUMBER(INDEX('register map'!K:K,C513)),0,""),IF(ISNUMBER(INDEX('register map'!J:J,C513)),1,""),IF(ISNUMBER(INDEX('register map'!I:I,C513)),2,""),IF(ISNUMBER(INDEX('register map'!H:H,C513)),3,""),IF(ISNUMBER(INDEX('register map'!G:G,C513)),4,""),IF(ISNUMBER(INDEX('register map'!F:F,C513)),5,""),IF(ISNUMBER(INDEX('register map'!E:E,C513)),6,""),IF(ISNUMBER(INDEX('register map'!D:D,C513)),7,""))</f>
        <v>3</v>
      </c>
      <c r="J513" s="117" t="str">
        <f t="shared" si="84"/>
        <v>0</v>
      </c>
      <c r="K513" s="117" t="str">
        <f t="shared" si="77"/>
        <v/>
      </c>
      <c r="L513" s="117" t="str">
        <f t="shared" si="85"/>
        <v/>
      </c>
      <c r="M513" s="117" t="str">
        <f t="shared" si="87"/>
        <v/>
      </c>
      <c r="N513" s="117" t="str">
        <f>IF(ISBLANK(INDEX('register map'!M:M,'Logical Group Generator'!C513)),"No","Yes")</f>
        <v>No</v>
      </c>
      <c r="O513" s="117" t="str">
        <f>IF(NOT(ISBLANK(INDEX('register map'!N:N,'Logical Group Generator'!C513))),"Yes","")</f>
        <v/>
      </c>
      <c r="P513" s="117" t="str">
        <f t="shared" si="78"/>
        <v/>
      </c>
      <c r="Q513" s="117" t="str">
        <f t="shared" si="79"/>
        <v/>
      </c>
      <c r="R513" s="117" t="str">
        <f t="shared" si="80"/>
        <v/>
      </c>
      <c r="S513" s="117" t="str">
        <f t="shared" si="81"/>
        <v>No</v>
      </c>
      <c r="T513" s="117" t="str">
        <f t="shared" si="82"/>
        <v/>
      </c>
      <c r="U513" s="117" t="b">
        <f t="shared" si="86"/>
        <v>0</v>
      </c>
      <c r="V513" s="157" t="b">
        <f>INDEX('register map'!P:P,C513)="yes"</f>
        <v>1</v>
      </c>
      <c r="W513" s="157" t="str">
        <f t="shared" si="83"/>
        <v>FALSE</v>
      </c>
    </row>
    <row r="514" spans="2:23">
      <c r="B514" s="157" t="str">
        <f t="array" ref="B514">IF(ROWS($3:514)&lt;=COUNTA('register map'!$L$5:$L$902),INDEX('register map'!$L$5:$L$902,SMALL(IF('register map'!$L$5:$L$902&lt;&gt;"",ROW('register map'!$L$5:$L$902)-MIN(ROW('register map'!$L$5:$L$902))+1),ROWS($3:514))),"")</f>
        <v>OTP_RSVD_38_29_4</v>
      </c>
      <c r="C514" s="157">
        <f>IF(B514="PART_NUMBER",IF(COUNTIF($B$1:B513,"PART_NUMBER")=0,6,8),MATCH(B514,'register map'!L:L,0))</f>
        <v>618</v>
      </c>
      <c r="D514" s="117" t="str">
        <f>IF(ISBLANK(INDEX('register map'!C:C,'Logical Group Generator'!C514)),"No","Yes")</f>
        <v>No</v>
      </c>
      <c r="E514" s="117" t="str">
        <f>IF(ISBLANK(INDEX('register map'!A:A,C514)),IF(ISBLANK(INDEX('register map'!A:A,C514-1)),IF(ISBLANK(INDEX('register map'!A:A,C514-2)),IF(ISBLANK(INDEX('register map'!A:A,C514-3)),IF(ISBLANK(INDEX('register map'!A:A,C514-4)),IF(ISBLANK(INDEX('register map'!A:A,C514-5)),IF(ISBLANK(INDEX('register map'!A:A,C514-6)),IF(ISBLANK(INDEX('register map'!A:A,C514-7)),IF(ISBLANK(INDEX('register map'!A:A,C514-8)),"ERROR",INDEX('register map'!A:A,C514-8)),INDEX('register map'!A:A,C514-7)),INDEX('register map'!A:A,C514-6)),INDEX('register map'!A:A,C514-5)),INDEX('register map'!A:A,C514-4)),INDEX('register map'!A:A,C514-3)),INDEX('register map'!A:A,C514-2)),INDEX('register map'!A:A,C514-1)),INDEX('register map'!A:A,C514))</f>
        <v>0x38</v>
      </c>
      <c r="F514" s="117" t="str">
        <f>IF(ISBLANK(INDEX('register map'!B:B,C514)),IF(ISBLANK(INDEX('register map'!B:B,C514-1)),IF(ISBLANK(INDEX('register map'!B:B,C514-2)),IF(ISBLANK(INDEX('register map'!B:B,C514-3)),IF(ISBLANK(INDEX('register map'!B:B,C514-4)),IF(ISBLANK(INDEX('register map'!B:B,C514-5)),IF(ISBLANK(INDEX('register map'!B:B,C514-6)),IF(ISBLANK(INDEX('register map'!B:B,C514-7)),IF(ISBLANK(INDEX('register map'!B:B,C514-8)),"ERROR",INDEX('register map'!B:B,C514-8)),INDEX('register map'!B:B,C514-7)),INDEX('register map'!B:B,C514-6)),INDEX('register map'!B:B,C514-5)),INDEX('register map'!B:B,C514-4)),INDEX('register map'!B:B,C514-3)),INDEX('register map'!B:B,C514-2)),INDEX('register map'!B:B,C514-1)),INDEX('register map'!B:B,C514))</f>
        <v>0x29</v>
      </c>
      <c r="G514" s="117" t="str">
        <f>CONCATENATE(IF(ISNUMBER(INDEX('register map'!D:D,C514)),7,""),IF(ISNUMBER(INDEX('register map'!E:E,C514)),6,""),IF(ISNUMBER(INDEX('register map'!F:F,C514)),5,""),IF(ISNUMBER(INDEX('register map'!G:G,C514)),4,""),IF(ISNUMBER(INDEX('register map'!H:H,C514)),3,""),IF(ISNUMBER(INDEX('register map'!I:I,C514)),2,""),IF(ISNUMBER(INDEX('register map'!J:J,C514)),1,""),IF(ISNUMBER(INDEX('register map'!K:K,C514)),0,""))</f>
        <v>4</v>
      </c>
      <c r="H514" s="117" t="str">
        <f>RIGHT(INDEX('register map'!V:V,MATCH('Logical Group Generator'!B514,'register map'!L:L,0)),LEN(G514))</f>
        <v>0</v>
      </c>
      <c r="I514" s="117" t="str">
        <f>CONCATENATE(IF(ISNUMBER(INDEX('register map'!K:K,C514)),0,""),IF(ISNUMBER(INDEX('register map'!J:J,C514)),1,""),IF(ISNUMBER(INDEX('register map'!I:I,C514)),2,""),IF(ISNUMBER(INDEX('register map'!H:H,C514)),3,""),IF(ISNUMBER(INDEX('register map'!G:G,C514)),4,""),IF(ISNUMBER(INDEX('register map'!F:F,C514)),5,""),IF(ISNUMBER(INDEX('register map'!E:E,C514)),6,""),IF(ISNUMBER(INDEX('register map'!D:D,C514)),7,""))</f>
        <v>4</v>
      </c>
      <c r="J514" s="117" t="str">
        <f t="shared" si="84"/>
        <v>0</v>
      </c>
      <c r="K514" s="117" t="str">
        <f t="shared" si="77"/>
        <v/>
      </c>
      <c r="L514" s="117" t="str">
        <f t="shared" si="85"/>
        <v/>
      </c>
      <c r="M514" s="117" t="str">
        <f t="shared" si="87"/>
        <v/>
      </c>
      <c r="N514" s="117" t="str">
        <f>IF(ISBLANK(INDEX('register map'!M:M,'Logical Group Generator'!C514)),"No","Yes")</f>
        <v>No</v>
      </c>
      <c r="O514" s="117" t="str">
        <f>IF(NOT(ISBLANK(INDEX('register map'!N:N,'Logical Group Generator'!C514))),"Yes","")</f>
        <v/>
      </c>
      <c r="P514" s="117" t="str">
        <f t="shared" si="78"/>
        <v/>
      </c>
      <c r="Q514" s="117" t="str">
        <f t="shared" si="79"/>
        <v/>
      </c>
      <c r="R514" s="117" t="str">
        <f t="shared" si="80"/>
        <v/>
      </c>
      <c r="S514" s="117" t="str">
        <f t="shared" si="81"/>
        <v>No</v>
      </c>
      <c r="T514" s="117" t="str">
        <f t="shared" si="82"/>
        <v/>
      </c>
      <c r="U514" s="117" t="b">
        <f t="shared" si="86"/>
        <v>0</v>
      </c>
      <c r="V514" s="157" t="b">
        <f>INDEX('register map'!P:P,C514)="yes"</f>
        <v>1</v>
      </c>
      <c r="W514" s="157" t="str">
        <f t="shared" si="83"/>
        <v>FALSE</v>
      </c>
    </row>
    <row r="515" spans="2:23">
      <c r="B515" s="157" t="str">
        <f t="array" ref="B515">IF(ROWS($3:515)&lt;=COUNTA('register map'!$L$5:$L$902),INDEX('register map'!$L$5:$L$902,SMALL(IF('register map'!$L$5:$L$902&lt;&gt;"",ROW('register map'!$L$5:$L$902)-MIN(ROW('register map'!$L$5:$L$902))+1),ROWS($3:515))),"")</f>
        <v>OTP_RSVD_38_29_5</v>
      </c>
      <c r="C515" s="157">
        <f>IF(B515="PART_NUMBER",IF(COUNTIF($B$1:B514,"PART_NUMBER")=0,6,8),MATCH(B515,'register map'!L:L,0))</f>
        <v>619</v>
      </c>
      <c r="D515" s="117" t="str">
        <f>IF(ISBLANK(INDEX('register map'!C:C,'Logical Group Generator'!C515)),"No","Yes")</f>
        <v>No</v>
      </c>
      <c r="E515" s="117" t="str">
        <f>IF(ISBLANK(INDEX('register map'!A:A,C515)),IF(ISBLANK(INDEX('register map'!A:A,C515-1)),IF(ISBLANK(INDEX('register map'!A:A,C515-2)),IF(ISBLANK(INDEX('register map'!A:A,C515-3)),IF(ISBLANK(INDEX('register map'!A:A,C515-4)),IF(ISBLANK(INDEX('register map'!A:A,C515-5)),IF(ISBLANK(INDEX('register map'!A:A,C515-6)),IF(ISBLANK(INDEX('register map'!A:A,C515-7)),IF(ISBLANK(INDEX('register map'!A:A,C515-8)),"ERROR",INDEX('register map'!A:A,C515-8)),INDEX('register map'!A:A,C515-7)),INDEX('register map'!A:A,C515-6)),INDEX('register map'!A:A,C515-5)),INDEX('register map'!A:A,C515-4)),INDEX('register map'!A:A,C515-3)),INDEX('register map'!A:A,C515-2)),INDEX('register map'!A:A,C515-1)),INDEX('register map'!A:A,C515))</f>
        <v>0x38</v>
      </c>
      <c r="F515" s="117" t="str">
        <f>IF(ISBLANK(INDEX('register map'!B:B,C515)),IF(ISBLANK(INDEX('register map'!B:B,C515-1)),IF(ISBLANK(INDEX('register map'!B:B,C515-2)),IF(ISBLANK(INDEX('register map'!B:B,C515-3)),IF(ISBLANK(INDEX('register map'!B:B,C515-4)),IF(ISBLANK(INDEX('register map'!B:B,C515-5)),IF(ISBLANK(INDEX('register map'!B:B,C515-6)),IF(ISBLANK(INDEX('register map'!B:B,C515-7)),IF(ISBLANK(INDEX('register map'!B:B,C515-8)),"ERROR",INDEX('register map'!B:B,C515-8)),INDEX('register map'!B:B,C515-7)),INDEX('register map'!B:B,C515-6)),INDEX('register map'!B:B,C515-5)),INDEX('register map'!B:B,C515-4)),INDEX('register map'!B:B,C515-3)),INDEX('register map'!B:B,C515-2)),INDEX('register map'!B:B,C515-1)),INDEX('register map'!B:B,C515))</f>
        <v>0x29</v>
      </c>
      <c r="G515" s="117" t="str">
        <f>CONCATENATE(IF(ISNUMBER(INDEX('register map'!D:D,C515)),7,""),IF(ISNUMBER(INDEX('register map'!E:E,C515)),6,""),IF(ISNUMBER(INDEX('register map'!F:F,C515)),5,""),IF(ISNUMBER(INDEX('register map'!G:G,C515)),4,""),IF(ISNUMBER(INDEX('register map'!H:H,C515)),3,""),IF(ISNUMBER(INDEX('register map'!I:I,C515)),2,""),IF(ISNUMBER(INDEX('register map'!J:J,C515)),1,""),IF(ISNUMBER(INDEX('register map'!K:K,C515)),0,""))</f>
        <v>5</v>
      </c>
      <c r="H515" s="117" t="str">
        <f>RIGHT(INDEX('register map'!V:V,MATCH('Logical Group Generator'!B515,'register map'!L:L,0)),LEN(G515))</f>
        <v>0</v>
      </c>
      <c r="I515" s="117" t="str">
        <f>CONCATENATE(IF(ISNUMBER(INDEX('register map'!K:K,C515)),0,""),IF(ISNUMBER(INDEX('register map'!J:J,C515)),1,""),IF(ISNUMBER(INDEX('register map'!I:I,C515)),2,""),IF(ISNUMBER(INDEX('register map'!H:H,C515)),3,""),IF(ISNUMBER(INDEX('register map'!G:G,C515)),4,""),IF(ISNUMBER(INDEX('register map'!F:F,C515)),5,""),IF(ISNUMBER(INDEX('register map'!E:E,C515)),6,""),IF(ISNUMBER(INDEX('register map'!D:D,C515)),7,""))</f>
        <v>5</v>
      </c>
      <c r="J515" s="117" t="str">
        <f t="shared" si="84"/>
        <v>0</v>
      </c>
      <c r="K515" s="117" t="str">
        <f t="shared" ref="K515:K578" si="88">IF(D515="Yes",CONCATENATE(IF(F516=F515,J516,""),IF(F517=F515,J517,""),IF(F518=F515,J518,""),IF(F519=F515,J519,""),IF(F520=F515,J520,""),IF(F521=F515,J521,""),IF(F522=F515,J522,""),IF(F523=F515,J523,"")),"")</f>
        <v/>
      </c>
      <c r="L515" s="117" t="str">
        <f t="shared" si="85"/>
        <v/>
      </c>
      <c r="M515" s="117" t="str">
        <f t="shared" si="87"/>
        <v/>
      </c>
      <c r="N515" s="117" t="str">
        <f>IF(ISBLANK(INDEX('register map'!M:M,'Logical Group Generator'!C515)),"No","Yes")</f>
        <v>No</v>
      </c>
      <c r="O515" s="117" t="str">
        <f>IF(NOT(ISBLANK(INDEX('register map'!N:N,'Logical Group Generator'!C515))),"Yes","")</f>
        <v/>
      </c>
      <c r="P515" s="117" t="str">
        <f t="shared" ref="P515:P578" si="89">IF(D515="Yes",IF(OR(AND(F516=F515,N516="Yes"),AND(F517=F515,N517="Yes"),AND(F518=F515,N518="Yes"),AND(F519=F515,N519="Yes"),AND(F520=F515,N520="Yes"),AND(F521=F515,N521="Yes"),AND(F522=F515,N522="Yes"),AND(F523=F515,N523="Yes")),"Yes","No"),"")</f>
        <v/>
      </c>
      <c r="Q515" s="117" t="str">
        <f t="shared" ref="Q515:Q578" si="90">IF(D515="Yes",IF(AND(IF(F516=F515,OR(N516="Yes",O516="Yes"),TRUE),IF(F517=F515,OR(N517="Yes",O517="Yes"),TRUE),IF(F518=F515,OR(N518="Yes",O518="Yes"),TRUE),IF(F519=F515,OR(N519="Yes",O519="Yes"),TRUE),IF(F520=F515,OR(N520="Yes",O520="Yes"),TRUE),IF(F521=F515,OR(N521="Yes",O521="Yes"),TRUE),IF(F522=F515,OR(N522="Yes",O522="Yes"),TRUE),IF(F523=F515,OR(N523="Yes",O523="Yes"),TRUE)),"Yes","No"),"")</f>
        <v/>
      </c>
      <c r="R515" s="117" t="str">
        <f t="shared" ref="R515:R578" si="91">IF(D515="Yes",IF(AND(P515="Yes",Q515="No"),"Yes","No"),"")</f>
        <v/>
      </c>
      <c r="S515" s="117" t="str">
        <f t="shared" ref="S515:S578" si="92">IF(D515="No",IF(AND(N515="No",NOT(O515="Yes"),INDEX(R:R,MATCH(F515,F:F,0))="Yes"),"Yes","No"),"")</f>
        <v>No</v>
      </c>
      <c r="T515" s="117" t="str">
        <f t="shared" ref="T515:T578" si="93">IF(D515="Yes",LEN(L515)=8,"")</f>
        <v/>
      </c>
      <c r="U515" s="117" t="b">
        <f t="shared" si="86"/>
        <v>0</v>
      </c>
      <c r="V515" s="157" t="b">
        <f>INDEX('register map'!P:P,C515)="yes"</f>
        <v>1</v>
      </c>
      <c r="W515" s="157" t="str">
        <f t="shared" ref="W515:W578" si="94">IF(AND(D515="Yes",P515="No",Q515="No",V515),"REGISTER",IF(AND(D515="No",S515="Yes",V515),"BIT","FALSE"))</f>
        <v>FALSE</v>
      </c>
    </row>
    <row r="516" spans="2:23">
      <c r="B516" s="157" t="str">
        <f t="array" ref="B516">IF(ROWS($3:516)&lt;=COUNTA('register map'!$L$5:$L$902),INDEX('register map'!$L$5:$L$902,SMALL(IF('register map'!$L$5:$L$902&lt;&gt;"",ROW('register map'!$L$5:$L$902)-MIN(ROW('register map'!$L$5:$L$902))+1),ROWS($3:516))),"")</f>
        <v>OTP_RSVD_38_29_6</v>
      </c>
      <c r="C516" s="157">
        <f>IF(B516="PART_NUMBER",IF(COUNTIF($B$1:B515,"PART_NUMBER")=0,6,8),MATCH(B516,'register map'!L:L,0))</f>
        <v>620</v>
      </c>
      <c r="D516" s="117" t="str">
        <f>IF(ISBLANK(INDEX('register map'!C:C,'Logical Group Generator'!C516)),"No","Yes")</f>
        <v>No</v>
      </c>
      <c r="E516" s="117" t="str">
        <f>IF(ISBLANK(INDEX('register map'!A:A,C516)),IF(ISBLANK(INDEX('register map'!A:A,C516-1)),IF(ISBLANK(INDEX('register map'!A:A,C516-2)),IF(ISBLANK(INDEX('register map'!A:A,C516-3)),IF(ISBLANK(INDEX('register map'!A:A,C516-4)),IF(ISBLANK(INDEX('register map'!A:A,C516-5)),IF(ISBLANK(INDEX('register map'!A:A,C516-6)),IF(ISBLANK(INDEX('register map'!A:A,C516-7)),IF(ISBLANK(INDEX('register map'!A:A,C516-8)),"ERROR",INDEX('register map'!A:A,C516-8)),INDEX('register map'!A:A,C516-7)),INDEX('register map'!A:A,C516-6)),INDEX('register map'!A:A,C516-5)),INDEX('register map'!A:A,C516-4)),INDEX('register map'!A:A,C516-3)),INDEX('register map'!A:A,C516-2)),INDEX('register map'!A:A,C516-1)),INDEX('register map'!A:A,C516))</f>
        <v>0x38</v>
      </c>
      <c r="F516" s="117" t="str">
        <f>IF(ISBLANK(INDEX('register map'!B:B,C516)),IF(ISBLANK(INDEX('register map'!B:B,C516-1)),IF(ISBLANK(INDEX('register map'!B:B,C516-2)),IF(ISBLANK(INDEX('register map'!B:B,C516-3)),IF(ISBLANK(INDEX('register map'!B:B,C516-4)),IF(ISBLANK(INDEX('register map'!B:B,C516-5)),IF(ISBLANK(INDEX('register map'!B:B,C516-6)),IF(ISBLANK(INDEX('register map'!B:B,C516-7)),IF(ISBLANK(INDEX('register map'!B:B,C516-8)),"ERROR",INDEX('register map'!B:B,C516-8)),INDEX('register map'!B:B,C516-7)),INDEX('register map'!B:B,C516-6)),INDEX('register map'!B:B,C516-5)),INDEX('register map'!B:B,C516-4)),INDEX('register map'!B:B,C516-3)),INDEX('register map'!B:B,C516-2)),INDEX('register map'!B:B,C516-1)),INDEX('register map'!B:B,C516))</f>
        <v>0x29</v>
      </c>
      <c r="G516" s="117" t="str">
        <f>CONCATENATE(IF(ISNUMBER(INDEX('register map'!D:D,C516)),7,""),IF(ISNUMBER(INDEX('register map'!E:E,C516)),6,""),IF(ISNUMBER(INDEX('register map'!F:F,C516)),5,""),IF(ISNUMBER(INDEX('register map'!G:G,C516)),4,""),IF(ISNUMBER(INDEX('register map'!H:H,C516)),3,""),IF(ISNUMBER(INDEX('register map'!I:I,C516)),2,""),IF(ISNUMBER(INDEX('register map'!J:J,C516)),1,""),IF(ISNUMBER(INDEX('register map'!K:K,C516)),0,""))</f>
        <v>6</v>
      </c>
      <c r="H516" s="117" t="str">
        <f>RIGHT(INDEX('register map'!V:V,MATCH('Logical Group Generator'!B516,'register map'!L:L,0)),LEN(G516))</f>
        <v>0</v>
      </c>
      <c r="I516" s="117" t="str">
        <f>CONCATENATE(IF(ISNUMBER(INDEX('register map'!K:K,C516)),0,""),IF(ISNUMBER(INDEX('register map'!J:J,C516)),1,""),IF(ISNUMBER(INDEX('register map'!I:I,C516)),2,""),IF(ISNUMBER(INDEX('register map'!H:H,C516)),3,""),IF(ISNUMBER(INDEX('register map'!G:G,C516)),4,""),IF(ISNUMBER(INDEX('register map'!F:F,C516)),5,""),IF(ISNUMBER(INDEX('register map'!E:E,C516)),6,""),IF(ISNUMBER(INDEX('register map'!D:D,C516)),7,""))</f>
        <v>6</v>
      </c>
      <c r="J516" s="117" t="str">
        <f t="shared" ref="J516:J579" si="95">MID(H516,20,1) &amp; MID(H516,19,1) &amp; MID(H516,18,1) &amp; MID(H516,17,1) &amp; MID(H516,16,1) &amp; MID(H516,15,1) &amp; MID(H516,14,1) &amp; MID(H516,13,1) &amp; MID(H516,12,1) &amp; MID(H516,11,1) &amp; MID(H516,10,1) &amp; MID(H516,9,1) &amp; MID(H516,8,1) &amp; MID(H516,7,1) &amp; MID(H516,6,1) &amp; MID(H516,5,1) &amp; MID(H516,4,1) &amp; MID(H516,3,1) &amp; MID(H516,2,1) &amp; MID(H516,1,1)</f>
        <v>0</v>
      </c>
      <c r="K516" s="117" t="str">
        <f t="shared" si="88"/>
        <v/>
      </c>
      <c r="L516" s="117" t="str">
        <f t="shared" ref="L516:L579" si="96">MID(K516,20,1) &amp; MID(K516,19,1) &amp; MID(K516,18,1) &amp; MID(K516,17,1) &amp; MID(K516,16,1) &amp; MID(K516,15,1) &amp; MID(K516,14,1) &amp; MID(K516,13,1) &amp; MID(K516,12,1) &amp; MID(K516,11,1) &amp; MID(K516,10,1) &amp; MID(K516,9,1) &amp; MID(K516,8,1) &amp; MID(K516,7,1) &amp; MID(K516,6,1) &amp; MID(K516,5,1) &amp; MID(K516,4,1) &amp; MID(K516,3,1) &amp; MID(K516,2,1) &amp; MID(K516,1,1)</f>
        <v/>
      </c>
      <c r="M516" s="117" t="str">
        <f t="shared" si="87"/>
        <v/>
      </c>
      <c r="N516" s="117" t="str">
        <f>IF(ISBLANK(INDEX('register map'!M:M,'Logical Group Generator'!C516)),"No","Yes")</f>
        <v>No</v>
      </c>
      <c r="O516" s="117" t="str">
        <f>IF(NOT(ISBLANK(INDEX('register map'!N:N,'Logical Group Generator'!C516))),"Yes","")</f>
        <v/>
      </c>
      <c r="P516" s="117" t="str">
        <f t="shared" si="89"/>
        <v/>
      </c>
      <c r="Q516" s="117" t="str">
        <f t="shared" si="90"/>
        <v/>
      </c>
      <c r="R516" s="117" t="str">
        <f t="shared" si="91"/>
        <v/>
      </c>
      <c r="S516" s="117" t="str">
        <f t="shared" si="92"/>
        <v>No</v>
      </c>
      <c r="T516" s="117" t="str">
        <f t="shared" si="93"/>
        <v/>
      </c>
      <c r="U516" s="117" t="b">
        <f t="shared" ref="U516:U579" si="97">OR(P516="No",S516="Yes")</f>
        <v>0</v>
      </c>
      <c r="V516" s="157" t="b">
        <f>INDEX('register map'!P:P,C516)="yes"</f>
        <v>1</v>
      </c>
      <c r="W516" s="157" t="str">
        <f t="shared" si="94"/>
        <v>FALSE</v>
      </c>
    </row>
    <row r="517" spans="2:23">
      <c r="B517" s="157" t="str">
        <f t="array" ref="B517">IF(ROWS($3:517)&lt;=COUNTA('register map'!$L$5:$L$902),INDEX('register map'!$L$5:$L$902,SMALL(IF('register map'!$L$5:$L$902&lt;&gt;"",ROW('register map'!$L$5:$L$902)-MIN(ROW('register map'!$L$5:$L$902))+1),ROWS($3:517))),"")</f>
        <v>OTP_RSVD_38_29_7</v>
      </c>
      <c r="C517" s="157">
        <f>IF(B517="PART_NUMBER",IF(COUNTIF($B$1:B516,"PART_NUMBER")=0,6,8),MATCH(B517,'register map'!L:L,0))</f>
        <v>621</v>
      </c>
      <c r="D517" s="117" t="str">
        <f>IF(ISBLANK(INDEX('register map'!C:C,'Logical Group Generator'!C517)),"No","Yes")</f>
        <v>No</v>
      </c>
      <c r="E517" s="117" t="str">
        <f>IF(ISBLANK(INDEX('register map'!A:A,C517)),IF(ISBLANK(INDEX('register map'!A:A,C517-1)),IF(ISBLANK(INDEX('register map'!A:A,C517-2)),IF(ISBLANK(INDEX('register map'!A:A,C517-3)),IF(ISBLANK(INDEX('register map'!A:A,C517-4)),IF(ISBLANK(INDEX('register map'!A:A,C517-5)),IF(ISBLANK(INDEX('register map'!A:A,C517-6)),IF(ISBLANK(INDEX('register map'!A:A,C517-7)),IF(ISBLANK(INDEX('register map'!A:A,C517-8)),"ERROR",INDEX('register map'!A:A,C517-8)),INDEX('register map'!A:A,C517-7)),INDEX('register map'!A:A,C517-6)),INDEX('register map'!A:A,C517-5)),INDEX('register map'!A:A,C517-4)),INDEX('register map'!A:A,C517-3)),INDEX('register map'!A:A,C517-2)),INDEX('register map'!A:A,C517-1)),INDEX('register map'!A:A,C517))</f>
        <v>0x38</v>
      </c>
      <c r="F517" s="117" t="str">
        <f>IF(ISBLANK(INDEX('register map'!B:B,C517)),IF(ISBLANK(INDEX('register map'!B:B,C517-1)),IF(ISBLANK(INDEX('register map'!B:B,C517-2)),IF(ISBLANK(INDEX('register map'!B:B,C517-3)),IF(ISBLANK(INDEX('register map'!B:B,C517-4)),IF(ISBLANK(INDEX('register map'!B:B,C517-5)),IF(ISBLANK(INDEX('register map'!B:B,C517-6)),IF(ISBLANK(INDEX('register map'!B:B,C517-7)),IF(ISBLANK(INDEX('register map'!B:B,C517-8)),"ERROR",INDEX('register map'!B:B,C517-8)),INDEX('register map'!B:B,C517-7)),INDEX('register map'!B:B,C517-6)),INDEX('register map'!B:B,C517-5)),INDEX('register map'!B:B,C517-4)),INDEX('register map'!B:B,C517-3)),INDEX('register map'!B:B,C517-2)),INDEX('register map'!B:B,C517-1)),INDEX('register map'!B:B,C517))</f>
        <v>0x29</v>
      </c>
      <c r="G517" s="117" t="str">
        <f>CONCATENATE(IF(ISNUMBER(INDEX('register map'!D:D,C517)),7,""),IF(ISNUMBER(INDEX('register map'!E:E,C517)),6,""),IF(ISNUMBER(INDEX('register map'!F:F,C517)),5,""),IF(ISNUMBER(INDEX('register map'!G:G,C517)),4,""),IF(ISNUMBER(INDEX('register map'!H:H,C517)),3,""),IF(ISNUMBER(INDEX('register map'!I:I,C517)),2,""),IF(ISNUMBER(INDEX('register map'!J:J,C517)),1,""),IF(ISNUMBER(INDEX('register map'!K:K,C517)),0,""))</f>
        <v>7</v>
      </c>
      <c r="H517" s="117" t="str">
        <f>RIGHT(INDEX('register map'!V:V,MATCH('Logical Group Generator'!B517,'register map'!L:L,0)),LEN(G517))</f>
        <v>0</v>
      </c>
      <c r="I517" s="117" t="str">
        <f>CONCATENATE(IF(ISNUMBER(INDEX('register map'!K:K,C517)),0,""),IF(ISNUMBER(INDEX('register map'!J:J,C517)),1,""),IF(ISNUMBER(INDEX('register map'!I:I,C517)),2,""),IF(ISNUMBER(INDEX('register map'!H:H,C517)),3,""),IF(ISNUMBER(INDEX('register map'!G:G,C517)),4,""),IF(ISNUMBER(INDEX('register map'!F:F,C517)),5,""),IF(ISNUMBER(INDEX('register map'!E:E,C517)),6,""),IF(ISNUMBER(INDEX('register map'!D:D,C517)),7,""))</f>
        <v>7</v>
      </c>
      <c r="J517" s="117" t="str">
        <f t="shared" si="95"/>
        <v>0</v>
      </c>
      <c r="K517" s="117" t="str">
        <f t="shared" si="88"/>
        <v/>
      </c>
      <c r="L517" s="117" t="str">
        <f t="shared" si="96"/>
        <v/>
      </c>
      <c r="M517" s="117" t="str">
        <f t="shared" ref="M517:M580" si="98">IF(L517="","",BIN2HEX(L517,2))</f>
        <v/>
      </c>
      <c r="N517" s="117" t="str">
        <f>IF(ISBLANK(INDEX('register map'!M:M,'Logical Group Generator'!C517)),"No","Yes")</f>
        <v>No</v>
      </c>
      <c r="O517" s="117" t="str">
        <f>IF(NOT(ISBLANK(INDEX('register map'!N:N,'Logical Group Generator'!C517))),"Yes","")</f>
        <v/>
      </c>
      <c r="P517" s="117" t="str">
        <f t="shared" si="89"/>
        <v/>
      </c>
      <c r="Q517" s="117" t="str">
        <f t="shared" si="90"/>
        <v/>
      </c>
      <c r="R517" s="117" t="str">
        <f t="shared" si="91"/>
        <v/>
      </c>
      <c r="S517" s="117" t="str">
        <f t="shared" si="92"/>
        <v>No</v>
      </c>
      <c r="T517" s="117" t="str">
        <f t="shared" si="93"/>
        <v/>
      </c>
      <c r="U517" s="117" t="b">
        <f t="shared" si="97"/>
        <v>0</v>
      </c>
      <c r="V517" s="157" t="b">
        <f>INDEX('register map'!P:P,C517)="yes"</f>
        <v>1</v>
      </c>
      <c r="W517" s="157" t="str">
        <f t="shared" si="94"/>
        <v>FALSE</v>
      </c>
    </row>
    <row r="518" spans="2:23">
      <c r="B518" s="157" t="str">
        <f t="array" ref="B518">IF(ROWS($3:518)&lt;=COUNTA('register map'!$L$5:$L$902),INDEX('register map'!$L$5:$L$902,SMALL(IF('register map'!$L$5:$L$902&lt;&gt;"",ROW('register map'!$L$5:$L$902)-MIN(ROW('register map'!$L$5:$L$902))+1),ROWS($3:518))),"")</f>
        <v>OUTPUT_MODE</v>
      </c>
      <c r="C518" s="157">
        <f>IF(B518="PART_NUMBER",IF(COUNTIF($B$1:B517,"PART_NUMBER")=0,6,8),MATCH(B518,'register map'!L:L,0))</f>
        <v>622</v>
      </c>
      <c r="D518" s="117" t="str">
        <f>IF(ISBLANK(INDEX('register map'!C:C,'Logical Group Generator'!C518)),"No","Yes")</f>
        <v>Yes</v>
      </c>
      <c r="E518" s="117" t="str">
        <f>IF(ISBLANK(INDEX('register map'!A:A,C518)),IF(ISBLANK(INDEX('register map'!A:A,C518-1)),IF(ISBLANK(INDEX('register map'!A:A,C518-2)),IF(ISBLANK(INDEX('register map'!A:A,C518-3)),IF(ISBLANK(INDEX('register map'!A:A,C518-4)),IF(ISBLANK(INDEX('register map'!A:A,C518-5)),IF(ISBLANK(INDEX('register map'!A:A,C518-6)),IF(ISBLANK(INDEX('register map'!A:A,C518-7)),IF(ISBLANK(INDEX('register map'!A:A,C518-8)),"ERROR",INDEX('register map'!A:A,C518-8)),INDEX('register map'!A:A,C518-7)),INDEX('register map'!A:A,C518-6)),INDEX('register map'!A:A,C518-5)),INDEX('register map'!A:A,C518-4)),INDEX('register map'!A:A,C518-3)),INDEX('register map'!A:A,C518-2)),INDEX('register map'!A:A,C518-1)),INDEX('register map'!A:A,C518))</f>
        <v>0x38</v>
      </c>
      <c r="F518" s="117" t="str">
        <f>IF(ISBLANK(INDEX('register map'!B:B,C518)),IF(ISBLANK(INDEX('register map'!B:B,C518-1)),IF(ISBLANK(INDEX('register map'!B:B,C518-2)),IF(ISBLANK(INDEX('register map'!B:B,C518-3)),IF(ISBLANK(INDEX('register map'!B:B,C518-4)),IF(ISBLANK(INDEX('register map'!B:B,C518-5)),IF(ISBLANK(INDEX('register map'!B:B,C518-6)),IF(ISBLANK(INDEX('register map'!B:B,C518-7)),IF(ISBLANK(INDEX('register map'!B:B,C518-8)),"ERROR",INDEX('register map'!B:B,C518-8)),INDEX('register map'!B:B,C518-7)),INDEX('register map'!B:B,C518-6)),INDEX('register map'!B:B,C518-5)),INDEX('register map'!B:B,C518-4)),INDEX('register map'!B:B,C518-3)),INDEX('register map'!B:B,C518-2)),INDEX('register map'!B:B,C518-1)),INDEX('register map'!B:B,C518))</f>
        <v>0x2A</v>
      </c>
      <c r="G518" s="117" t="str">
        <f>CONCATENATE(IF(ISNUMBER(INDEX('register map'!D:D,C518)),7,""),IF(ISNUMBER(INDEX('register map'!E:E,C518)),6,""),IF(ISNUMBER(INDEX('register map'!F:F,C518)),5,""),IF(ISNUMBER(INDEX('register map'!G:G,C518)),4,""),IF(ISNUMBER(INDEX('register map'!H:H,C518)),3,""),IF(ISNUMBER(INDEX('register map'!I:I,C518)),2,""),IF(ISNUMBER(INDEX('register map'!J:J,C518)),1,""),IF(ISNUMBER(INDEX('register map'!K:K,C518)),0,""))</f>
        <v/>
      </c>
      <c r="H518" s="117" t="str">
        <f>RIGHT(INDEX('register map'!V:V,MATCH('Logical Group Generator'!B518,'register map'!L:L,0)),LEN(G518))</f>
        <v/>
      </c>
      <c r="I518" s="117" t="str">
        <f>CONCATENATE(IF(ISNUMBER(INDEX('register map'!K:K,C518)),0,""),IF(ISNUMBER(INDEX('register map'!J:J,C518)),1,""),IF(ISNUMBER(INDEX('register map'!I:I,C518)),2,""),IF(ISNUMBER(INDEX('register map'!H:H,C518)),3,""),IF(ISNUMBER(INDEX('register map'!G:G,C518)),4,""),IF(ISNUMBER(INDEX('register map'!F:F,C518)),5,""),IF(ISNUMBER(INDEX('register map'!E:E,C518)),6,""),IF(ISNUMBER(INDEX('register map'!D:D,C518)),7,""))</f>
        <v/>
      </c>
      <c r="J518" s="117" t="str">
        <f t="shared" si="95"/>
        <v/>
      </c>
      <c r="K518" s="117" t="str">
        <f t="shared" si="88"/>
        <v>11100000</v>
      </c>
      <c r="L518" s="117" t="str">
        <f t="shared" si="96"/>
        <v>00000111</v>
      </c>
      <c r="M518" s="117" t="str">
        <f t="shared" si="98"/>
        <v>07</v>
      </c>
      <c r="N518" s="117" t="str">
        <f>IF(ISBLANK(INDEX('register map'!M:M,'Logical Group Generator'!C518)),"No","Yes")</f>
        <v>No</v>
      </c>
      <c r="O518" s="117" t="str">
        <f>IF(NOT(ISBLANK(INDEX('register map'!N:N,'Logical Group Generator'!C518))),"Yes","")</f>
        <v/>
      </c>
      <c r="P518" s="117" t="str">
        <f t="shared" si="89"/>
        <v>No</v>
      </c>
      <c r="Q518" s="117" t="str">
        <f t="shared" si="90"/>
        <v>No</v>
      </c>
      <c r="R518" s="117" t="str">
        <f t="shared" si="91"/>
        <v>No</v>
      </c>
      <c r="S518" s="117" t="str">
        <f t="shared" si="92"/>
        <v/>
      </c>
      <c r="T518" s="117" t="b">
        <f t="shared" si="93"/>
        <v>1</v>
      </c>
      <c r="U518" s="117" t="b">
        <f t="shared" si="97"/>
        <v>1</v>
      </c>
      <c r="V518" s="157" t="b">
        <f>INDEX('register map'!P:P,C518)="yes"</f>
        <v>1</v>
      </c>
      <c r="W518" s="157" t="str">
        <f t="shared" si="94"/>
        <v>REGISTER</v>
      </c>
    </row>
    <row r="519" spans="2:23">
      <c r="B519" s="157" t="str">
        <f t="array" ref="B519">IF(ROWS($3:519)&lt;=COUNTA('register map'!$L$5:$L$902),INDEX('register map'!$L$5:$L$902,SMALL(IF('register map'!$L$5:$L$902&lt;&gt;"",ROW('register map'!$L$5:$L$902)-MIN(ROW('register map'!$L$5:$L$902))+1),ROWS($3:519))),"")</f>
        <v>OTP_RSVD_38_2A_0</v>
      </c>
      <c r="C519" s="157">
        <f>IF(B519="PART_NUMBER",IF(COUNTIF($B$1:B518,"PART_NUMBER")=0,6,8),MATCH(B519,'register map'!L:L,0))</f>
        <v>623</v>
      </c>
      <c r="D519" s="117" t="str">
        <f>IF(ISBLANK(INDEX('register map'!C:C,'Logical Group Generator'!C519)),"No","Yes")</f>
        <v>No</v>
      </c>
      <c r="E519" s="117" t="str">
        <f>IF(ISBLANK(INDEX('register map'!A:A,C519)),IF(ISBLANK(INDEX('register map'!A:A,C519-1)),IF(ISBLANK(INDEX('register map'!A:A,C519-2)),IF(ISBLANK(INDEX('register map'!A:A,C519-3)),IF(ISBLANK(INDEX('register map'!A:A,C519-4)),IF(ISBLANK(INDEX('register map'!A:A,C519-5)),IF(ISBLANK(INDEX('register map'!A:A,C519-6)),IF(ISBLANK(INDEX('register map'!A:A,C519-7)),IF(ISBLANK(INDEX('register map'!A:A,C519-8)),"ERROR",INDEX('register map'!A:A,C519-8)),INDEX('register map'!A:A,C519-7)),INDEX('register map'!A:A,C519-6)),INDEX('register map'!A:A,C519-5)),INDEX('register map'!A:A,C519-4)),INDEX('register map'!A:A,C519-3)),INDEX('register map'!A:A,C519-2)),INDEX('register map'!A:A,C519-1)),INDEX('register map'!A:A,C519))</f>
        <v>0x38</v>
      </c>
      <c r="F519" s="117" t="str">
        <f>IF(ISBLANK(INDEX('register map'!B:B,C519)),IF(ISBLANK(INDEX('register map'!B:B,C519-1)),IF(ISBLANK(INDEX('register map'!B:B,C519-2)),IF(ISBLANK(INDEX('register map'!B:B,C519-3)),IF(ISBLANK(INDEX('register map'!B:B,C519-4)),IF(ISBLANK(INDEX('register map'!B:B,C519-5)),IF(ISBLANK(INDEX('register map'!B:B,C519-6)),IF(ISBLANK(INDEX('register map'!B:B,C519-7)),IF(ISBLANK(INDEX('register map'!B:B,C519-8)),"ERROR",INDEX('register map'!B:B,C519-8)),INDEX('register map'!B:B,C519-7)),INDEX('register map'!B:B,C519-6)),INDEX('register map'!B:B,C519-5)),INDEX('register map'!B:B,C519-4)),INDEX('register map'!B:B,C519-3)),INDEX('register map'!B:B,C519-2)),INDEX('register map'!B:B,C519-1)),INDEX('register map'!B:B,C519))</f>
        <v>0x2A</v>
      </c>
      <c r="G519" s="117" t="str">
        <f>CONCATENATE(IF(ISNUMBER(INDEX('register map'!D:D,C519)),7,""),IF(ISNUMBER(INDEX('register map'!E:E,C519)),6,""),IF(ISNUMBER(INDEX('register map'!F:F,C519)),5,""),IF(ISNUMBER(INDEX('register map'!G:G,C519)),4,""),IF(ISNUMBER(INDEX('register map'!H:H,C519)),3,""),IF(ISNUMBER(INDEX('register map'!I:I,C519)),2,""),IF(ISNUMBER(INDEX('register map'!J:J,C519)),1,""),IF(ISNUMBER(INDEX('register map'!K:K,C519)),0,""))</f>
        <v>0</v>
      </c>
      <c r="H519" s="117" t="str">
        <f>RIGHT(INDEX('register map'!V:V,MATCH('Logical Group Generator'!B519,'register map'!L:L,0)),LEN(G519))</f>
        <v>1</v>
      </c>
      <c r="I519" s="117" t="str">
        <f>CONCATENATE(IF(ISNUMBER(INDEX('register map'!K:K,C519)),0,""),IF(ISNUMBER(INDEX('register map'!J:J,C519)),1,""),IF(ISNUMBER(INDEX('register map'!I:I,C519)),2,""),IF(ISNUMBER(INDEX('register map'!H:H,C519)),3,""),IF(ISNUMBER(INDEX('register map'!G:G,C519)),4,""),IF(ISNUMBER(INDEX('register map'!F:F,C519)),5,""),IF(ISNUMBER(INDEX('register map'!E:E,C519)),6,""),IF(ISNUMBER(INDEX('register map'!D:D,C519)),7,""))</f>
        <v>0</v>
      </c>
      <c r="J519" s="117" t="str">
        <f t="shared" si="95"/>
        <v>1</v>
      </c>
      <c r="K519" s="117" t="str">
        <f t="shared" si="88"/>
        <v/>
      </c>
      <c r="L519" s="117" t="str">
        <f t="shared" si="96"/>
        <v/>
      </c>
      <c r="M519" s="117" t="str">
        <f t="shared" si="98"/>
        <v/>
      </c>
      <c r="N519" s="117" t="str">
        <f>IF(ISBLANK(INDEX('register map'!M:M,'Logical Group Generator'!C519)),"No","Yes")</f>
        <v>No</v>
      </c>
      <c r="O519" s="117" t="str">
        <f>IF(NOT(ISBLANK(INDEX('register map'!N:N,'Logical Group Generator'!C519))),"Yes","")</f>
        <v/>
      </c>
      <c r="P519" s="117" t="str">
        <f t="shared" si="89"/>
        <v/>
      </c>
      <c r="Q519" s="117" t="str">
        <f t="shared" si="90"/>
        <v/>
      </c>
      <c r="R519" s="117" t="str">
        <f t="shared" si="91"/>
        <v/>
      </c>
      <c r="S519" s="117" t="str">
        <f t="shared" si="92"/>
        <v>No</v>
      </c>
      <c r="T519" s="117" t="str">
        <f t="shared" si="93"/>
        <v/>
      </c>
      <c r="U519" s="117" t="b">
        <f t="shared" si="97"/>
        <v>0</v>
      </c>
      <c r="V519" s="157" t="b">
        <f>INDEX('register map'!P:P,C519)="yes"</f>
        <v>1</v>
      </c>
      <c r="W519" s="157" t="str">
        <f t="shared" si="94"/>
        <v>FALSE</v>
      </c>
    </row>
    <row r="520" spans="2:23">
      <c r="B520" s="157" t="str">
        <f t="array" ref="B520">IF(ROWS($3:520)&lt;=COUNTA('register map'!$L$5:$L$902),INDEX('register map'!$L$5:$L$902,SMALL(IF('register map'!$L$5:$L$902&lt;&gt;"",ROW('register map'!$L$5:$L$902)-MIN(ROW('register map'!$L$5:$L$902))+1),ROWS($3:520))),"")</f>
        <v>OTP_RSVD_38_2A_1</v>
      </c>
      <c r="C520" s="157">
        <f>IF(B520="PART_NUMBER",IF(COUNTIF($B$1:B519,"PART_NUMBER")=0,6,8),MATCH(B520,'register map'!L:L,0))</f>
        <v>624</v>
      </c>
      <c r="D520" s="117" t="str">
        <f>IF(ISBLANK(INDEX('register map'!C:C,'Logical Group Generator'!C520)),"No","Yes")</f>
        <v>No</v>
      </c>
      <c r="E520" s="117" t="str">
        <f>IF(ISBLANK(INDEX('register map'!A:A,C520)),IF(ISBLANK(INDEX('register map'!A:A,C520-1)),IF(ISBLANK(INDEX('register map'!A:A,C520-2)),IF(ISBLANK(INDEX('register map'!A:A,C520-3)),IF(ISBLANK(INDEX('register map'!A:A,C520-4)),IF(ISBLANK(INDEX('register map'!A:A,C520-5)),IF(ISBLANK(INDEX('register map'!A:A,C520-6)),IF(ISBLANK(INDEX('register map'!A:A,C520-7)),IF(ISBLANK(INDEX('register map'!A:A,C520-8)),"ERROR",INDEX('register map'!A:A,C520-8)),INDEX('register map'!A:A,C520-7)),INDEX('register map'!A:A,C520-6)),INDEX('register map'!A:A,C520-5)),INDEX('register map'!A:A,C520-4)),INDEX('register map'!A:A,C520-3)),INDEX('register map'!A:A,C520-2)),INDEX('register map'!A:A,C520-1)),INDEX('register map'!A:A,C520))</f>
        <v>0x38</v>
      </c>
      <c r="F520" s="117" t="str">
        <f>IF(ISBLANK(INDEX('register map'!B:B,C520)),IF(ISBLANK(INDEX('register map'!B:B,C520-1)),IF(ISBLANK(INDEX('register map'!B:B,C520-2)),IF(ISBLANK(INDEX('register map'!B:B,C520-3)),IF(ISBLANK(INDEX('register map'!B:B,C520-4)),IF(ISBLANK(INDEX('register map'!B:B,C520-5)),IF(ISBLANK(INDEX('register map'!B:B,C520-6)),IF(ISBLANK(INDEX('register map'!B:B,C520-7)),IF(ISBLANK(INDEX('register map'!B:B,C520-8)),"ERROR",INDEX('register map'!B:B,C520-8)),INDEX('register map'!B:B,C520-7)),INDEX('register map'!B:B,C520-6)),INDEX('register map'!B:B,C520-5)),INDEX('register map'!B:B,C520-4)),INDEX('register map'!B:B,C520-3)),INDEX('register map'!B:B,C520-2)),INDEX('register map'!B:B,C520-1)),INDEX('register map'!B:B,C520))</f>
        <v>0x2A</v>
      </c>
      <c r="G520" s="117" t="str">
        <f>CONCATENATE(IF(ISNUMBER(INDEX('register map'!D:D,C520)),7,""),IF(ISNUMBER(INDEX('register map'!E:E,C520)),6,""),IF(ISNUMBER(INDEX('register map'!F:F,C520)),5,""),IF(ISNUMBER(INDEX('register map'!G:G,C520)),4,""),IF(ISNUMBER(INDEX('register map'!H:H,C520)),3,""),IF(ISNUMBER(INDEX('register map'!I:I,C520)),2,""),IF(ISNUMBER(INDEX('register map'!J:J,C520)),1,""),IF(ISNUMBER(INDEX('register map'!K:K,C520)),0,""))</f>
        <v>1</v>
      </c>
      <c r="H520" s="117" t="str">
        <f>RIGHT(INDEX('register map'!V:V,MATCH('Logical Group Generator'!B520,'register map'!L:L,0)),LEN(G520))</f>
        <v>1</v>
      </c>
      <c r="I520" s="117" t="str">
        <f>CONCATENATE(IF(ISNUMBER(INDEX('register map'!K:K,C520)),0,""),IF(ISNUMBER(INDEX('register map'!J:J,C520)),1,""),IF(ISNUMBER(INDEX('register map'!I:I,C520)),2,""),IF(ISNUMBER(INDEX('register map'!H:H,C520)),3,""),IF(ISNUMBER(INDEX('register map'!G:G,C520)),4,""),IF(ISNUMBER(INDEX('register map'!F:F,C520)),5,""),IF(ISNUMBER(INDEX('register map'!E:E,C520)),6,""),IF(ISNUMBER(INDEX('register map'!D:D,C520)),7,""))</f>
        <v>1</v>
      </c>
      <c r="J520" s="117" t="str">
        <f t="shared" si="95"/>
        <v>1</v>
      </c>
      <c r="K520" s="117" t="str">
        <f t="shared" si="88"/>
        <v/>
      </c>
      <c r="L520" s="117" t="str">
        <f t="shared" si="96"/>
        <v/>
      </c>
      <c r="M520" s="117" t="str">
        <f t="shared" si="98"/>
        <v/>
      </c>
      <c r="N520" s="117" t="str">
        <f>IF(ISBLANK(INDEX('register map'!M:M,'Logical Group Generator'!C520)),"No","Yes")</f>
        <v>No</v>
      </c>
      <c r="O520" s="117" t="str">
        <f>IF(NOT(ISBLANK(INDEX('register map'!N:N,'Logical Group Generator'!C520))),"Yes","")</f>
        <v/>
      </c>
      <c r="P520" s="117" t="str">
        <f t="shared" si="89"/>
        <v/>
      </c>
      <c r="Q520" s="117" t="str">
        <f t="shared" si="90"/>
        <v/>
      </c>
      <c r="R520" s="117" t="str">
        <f t="shared" si="91"/>
        <v/>
      </c>
      <c r="S520" s="117" t="str">
        <f t="shared" si="92"/>
        <v>No</v>
      </c>
      <c r="T520" s="117" t="str">
        <f t="shared" si="93"/>
        <v/>
      </c>
      <c r="U520" s="117" t="b">
        <f t="shared" si="97"/>
        <v>0</v>
      </c>
      <c r="V520" s="157" t="b">
        <f>INDEX('register map'!P:P,C520)="yes"</f>
        <v>1</v>
      </c>
      <c r="W520" s="157" t="str">
        <f t="shared" si="94"/>
        <v>FALSE</v>
      </c>
    </row>
    <row r="521" spans="2:23">
      <c r="B521" s="157" t="str">
        <f t="array" ref="B521">IF(ROWS($3:521)&lt;=COUNTA('register map'!$L$5:$L$902),INDEX('register map'!$L$5:$L$902,SMALL(IF('register map'!$L$5:$L$902&lt;&gt;"",ROW('register map'!$L$5:$L$902)-MIN(ROW('register map'!$L$5:$L$902))+1),ROWS($3:521))),"")</f>
        <v>OTP_RSVD_38_2A_2</v>
      </c>
      <c r="C521" s="157">
        <f>IF(B521="PART_NUMBER",IF(COUNTIF($B$1:B520,"PART_NUMBER")=0,6,8),MATCH(B521,'register map'!L:L,0))</f>
        <v>625</v>
      </c>
      <c r="D521" s="117" t="str">
        <f>IF(ISBLANK(INDEX('register map'!C:C,'Logical Group Generator'!C521)),"No","Yes")</f>
        <v>No</v>
      </c>
      <c r="E521" s="117" t="str">
        <f>IF(ISBLANK(INDEX('register map'!A:A,C521)),IF(ISBLANK(INDEX('register map'!A:A,C521-1)),IF(ISBLANK(INDEX('register map'!A:A,C521-2)),IF(ISBLANK(INDEX('register map'!A:A,C521-3)),IF(ISBLANK(INDEX('register map'!A:A,C521-4)),IF(ISBLANK(INDEX('register map'!A:A,C521-5)),IF(ISBLANK(INDEX('register map'!A:A,C521-6)),IF(ISBLANK(INDEX('register map'!A:A,C521-7)),IF(ISBLANK(INDEX('register map'!A:A,C521-8)),"ERROR",INDEX('register map'!A:A,C521-8)),INDEX('register map'!A:A,C521-7)),INDEX('register map'!A:A,C521-6)),INDEX('register map'!A:A,C521-5)),INDEX('register map'!A:A,C521-4)),INDEX('register map'!A:A,C521-3)),INDEX('register map'!A:A,C521-2)),INDEX('register map'!A:A,C521-1)),INDEX('register map'!A:A,C521))</f>
        <v>0x38</v>
      </c>
      <c r="F521" s="117" t="str">
        <f>IF(ISBLANK(INDEX('register map'!B:B,C521)),IF(ISBLANK(INDEX('register map'!B:B,C521-1)),IF(ISBLANK(INDEX('register map'!B:B,C521-2)),IF(ISBLANK(INDEX('register map'!B:B,C521-3)),IF(ISBLANK(INDEX('register map'!B:B,C521-4)),IF(ISBLANK(INDEX('register map'!B:B,C521-5)),IF(ISBLANK(INDEX('register map'!B:B,C521-6)),IF(ISBLANK(INDEX('register map'!B:B,C521-7)),IF(ISBLANK(INDEX('register map'!B:B,C521-8)),"ERROR",INDEX('register map'!B:B,C521-8)),INDEX('register map'!B:B,C521-7)),INDEX('register map'!B:B,C521-6)),INDEX('register map'!B:B,C521-5)),INDEX('register map'!B:B,C521-4)),INDEX('register map'!B:B,C521-3)),INDEX('register map'!B:B,C521-2)),INDEX('register map'!B:B,C521-1)),INDEX('register map'!B:B,C521))</f>
        <v>0x2A</v>
      </c>
      <c r="G521" s="117" t="str">
        <f>CONCATENATE(IF(ISNUMBER(INDEX('register map'!D:D,C521)),7,""),IF(ISNUMBER(INDEX('register map'!E:E,C521)),6,""),IF(ISNUMBER(INDEX('register map'!F:F,C521)),5,""),IF(ISNUMBER(INDEX('register map'!G:G,C521)),4,""),IF(ISNUMBER(INDEX('register map'!H:H,C521)),3,""),IF(ISNUMBER(INDEX('register map'!I:I,C521)),2,""),IF(ISNUMBER(INDEX('register map'!J:J,C521)),1,""),IF(ISNUMBER(INDEX('register map'!K:K,C521)),0,""))</f>
        <v>2</v>
      </c>
      <c r="H521" s="117" t="str">
        <f>RIGHT(INDEX('register map'!V:V,MATCH('Logical Group Generator'!B521,'register map'!L:L,0)),LEN(G521))</f>
        <v>1</v>
      </c>
      <c r="I521" s="117" t="str">
        <f>CONCATENATE(IF(ISNUMBER(INDEX('register map'!K:K,C521)),0,""),IF(ISNUMBER(INDEX('register map'!J:J,C521)),1,""),IF(ISNUMBER(INDEX('register map'!I:I,C521)),2,""),IF(ISNUMBER(INDEX('register map'!H:H,C521)),3,""),IF(ISNUMBER(INDEX('register map'!G:G,C521)),4,""),IF(ISNUMBER(INDEX('register map'!F:F,C521)),5,""),IF(ISNUMBER(INDEX('register map'!E:E,C521)),6,""),IF(ISNUMBER(INDEX('register map'!D:D,C521)),7,""))</f>
        <v>2</v>
      </c>
      <c r="J521" s="117" t="str">
        <f t="shared" si="95"/>
        <v>1</v>
      </c>
      <c r="K521" s="117" t="str">
        <f t="shared" si="88"/>
        <v/>
      </c>
      <c r="L521" s="117" t="str">
        <f t="shared" si="96"/>
        <v/>
      </c>
      <c r="M521" s="117" t="str">
        <f t="shared" si="98"/>
        <v/>
      </c>
      <c r="N521" s="117" t="str">
        <f>IF(ISBLANK(INDEX('register map'!M:M,'Logical Group Generator'!C521)),"No","Yes")</f>
        <v>No</v>
      </c>
      <c r="O521" s="117" t="str">
        <f>IF(NOT(ISBLANK(INDEX('register map'!N:N,'Logical Group Generator'!C521))),"Yes","")</f>
        <v/>
      </c>
      <c r="P521" s="117" t="str">
        <f t="shared" si="89"/>
        <v/>
      </c>
      <c r="Q521" s="117" t="str">
        <f t="shared" si="90"/>
        <v/>
      </c>
      <c r="R521" s="117" t="str">
        <f t="shared" si="91"/>
        <v/>
      </c>
      <c r="S521" s="117" t="str">
        <f t="shared" si="92"/>
        <v>No</v>
      </c>
      <c r="T521" s="117" t="str">
        <f t="shared" si="93"/>
        <v/>
      </c>
      <c r="U521" s="117" t="b">
        <f t="shared" si="97"/>
        <v>0</v>
      </c>
      <c r="V521" s="157" t="b">
        <f>INDEX('register map'!P:P,C521)="yes"</f>
        <v>1</v>
      </c>
      <c r="W521" s="157" t="str">
        <f t="shared" si="94"/>
        <v>FALSE</v>
      </c>
    </row>
    <row r="522" spans="2:23">
      <c r="B522" s="157" t="str">
        <f t="array" ref="B522">IF(ROWS($3:522)&lt;=COUNTA('register map'!$L$5:$L$902),INDEX('register map'!$L$5:$L$902,SMALL(IF('register map'!$L$5:$L$902&lt;&gt;"",ROW('register map'!$L$5:$L$902)-MIN(ROW('register map'!$L$5:$L$902))+1),ROWS($3:522))),"")</f>
        <v>OTP_RSVD_38_2A_3</v>
      </c>
      <c r="C522" s="157">
        <f>IF(B522="PART_NUMBER",IF(COUNTIF($B$1:B521,"PART_NUMBER")=0,6,8),MATCH(B522,'register map'!L:L,0))</f>
        <v>626</v>
      </c>
      <c r="D522" s="117" t="str">
        <f>IF(ISBLANK(INDEX('register map'!C:C,'Logical Group Generator'!C522)),"No","Yes")</f>
        <v>No</v>
      </c>
      <c r="E522" s="117" t="str">
        <f>IF(ISBLANK(INDEX('register map'!A:A,C522)),IF(ISBLANK(INDEX('register map'!A:A,C522-1)),IF(ISBLANK(INDEX('register map'!A:A,C522-2)),IF(ISBLANK(INDEX('register map'!A:A,C522-3)),IF(ISBLANK(INDEX('register map'!A:A,C522-4)),IF(ISBLANK(INDEX('register map'!A:A,C522-5)),IF(ISBLANK(INDEX('register map'!A:A,C522-6)),IF(ISBLANK(INDEX('register map'!A:A,C522-7)),IF(ISBLANK(INDEX('register map'!A:A,C522-8)),"ERROR",INDEX('register map'!A:A,C522-8)),INDEX('register map'!A:A,C522-7)),INDEX('register map'!A:A,C522-6)),INDEX('register map'!A:A,C522-5)),INDEX('register map'!A:A,C522-4)),INDEX('register map'!A:A,C522-3)),INDEX('register map'!A:A,C522-2)),INDEX('register map'!A:A,C522-1)),INDEX('register map'!A:A,C522))</f>
        <v>0x38</v>
      </c>
      <c r="F522" s="117" t="str">
        <f>IF(ISBLANK(INDEX('register map'!B:B,C522)),IF(ISBLANK(INDEX('register map'!B:B,C522-1)),IF(ISBLANK(INDEX('register map'!B:B,C522-2)),IF(ISBLANK(INDEX('register map'!B:B,C522-3)),IF(ISBLANK(INDEX('register map'!B:B,C522-4)),IF(ISBLANK(INDEX('register map'!B:B,C522-5)),IF(ISBLANK(INDEX('register map'!B:B,C522-6)),IF(ISBLANK(INDEX('register map'!B:B,C522-7)),IF(ISBLANK(INDEX('register map'!B:B,C522-8)),"ERROR",INDEX('register map'!B:B,C522-8)),INDEX('register map'!B:B,C522-7)),INDEX('register map'!B:B,C522-6)),INDEX('register map'!B:B,C522-5)),INDEX('register map'!B:B,C522-4)),INDEX('register map'!B:B,C522-3)),INDEX('register map'!B:B,C522-2)),INDEX('register map'!B:B,C522-1)),INDEX('register map'!B:B,C522))</f>
        <v>0x2A</v>
      </c>
      <c r="G522" s="117" t="str">
        <f>CONCATENATE(IF(ISNUMBER(INDEX('register map'!D:D,C522)),7,""),IF(ISNUMBER(INDEX('register map'!E:E,C522)),6,""),IF(ISNUMBER(INDEX('register map'!F:F,C522)),5,""),IF(ISNUMBER(INDEX('register map'!G:G,C522)),4,""),IF(ISNUMBER(INDEX('register map'!H:H,C522)),3,""),IF(ISNUMBER(INDEX('register map'!I:I,C522)),2,""),IF(ISNUMBER(INDEX('register map'!J:J,C522)),1,""),IF(ISNUMBER(INDEX('register map'!K:K,C522)),0,""))</f>
        <v>3</v>
      </c>
      <c r="H522" s="117" t="str">
        <f>RIGHT(INDEX('register map'!V:V,MATCH('Logical Group Generator'!B522,'register map'!L:L,0)),LEN(G522))</f>
        <v>0</v>
      </c>
      <c r="I522" s="117" t="str">
        <f>CONCATENATE(IF(ISNUMBER(INDEX('register map'!K:K,C522)),0,""),IF(ISNUMBER(INDEX('register map'!J:J,C522)),1,""),IF(ISNUMBER(INDEX('register map'!I:I,C522)),2,""),IF(ISNUMBER(INDEX('register map'!H:H,C522)),3,""),IF(ISNUMBER(INDEX('register map'!G:G,C522)),4,""),IF(ISNUMBER(INDEX('register map'!F:F,C522)),5,""),IF(ISNUMBER(INDEX('register map'!E:E,C522)),6,""),IF(ISNUMBER(INDEX('register map'!D:D,C522)),7,""))</f>
        <v>3</v>
      </c>
      <c r="J522" s="117" t="str">
        <f t="shared" si="95"/>
        <v>0</v>
      </c>
      <c r="K522" s="117" t="str">
        <f t="shared" si="88"/>
        <v/>
      </c>
      <c r="L522" s="117" t="str">
        <f t="shared" si="96"/>
        <v/>
      </c>
      <c r="M522" s="117" t="str">
        <f t="shared" si="98"/>
        <v/>
      </c>
      <c r="N522" s="117" t="str">
        <f>IF(ISBLANK(INDEX('register map'!M:M,'Logical Group Generator'!C522)),"No","Yes")</f>
        <v>No</v>
      </c>
      <c r="O522" s="117" t="str">
        <f>IF(NOT(ISBLANK(INDEX('register map'!N:N,'Logical Group Generator'!C522))),"Yes","")</f>
        <v/>
      </c>
      <c r="P522" s="117" t="str">
        <f t="shared" si="89"/>
        <v/>
      </c>
      <c r="Q522" s="117" t="str">
        <f t="shared" si="90"/>
        <v/>
      </c>
      <c r="R522" s="117" t="str">
        <f t="shared" si="91"/>
        <v/>
      </c>
      <c r="S522" s="117" t="str">
        <f t="shared" si="92"/>
        <v>No</v>
      </c>
      <c r="T522" s="117" t="str">
        <f t="shared" si="93"/>
        <v/>
      </c>
      <c r="U522" s="117" t="b">
        <f t="shared" si="97"/>
        <v>0</v>
      </c>
      <c r="V522" s="157" t="b">
        <f>INDEX('register map'!P:P,C522)="yes"</f>
        <v>1</v>
      </c>
      <c r="W522" s="157" t="str">
        <f t="shared" si="94"/>
        <v>FALSE</v>
      </c>
    </row>
    <row r="523" spans="2:23">
      <c r="B523" s="157" t="str">
        <f t="array" ref="B523">IF(ROWS($3:523)&lt;=COUNTA('register map'!$L$5:$L$902),INDEX('register map'!$L$5:$L$902,SMALL(IF('register map'!$L$5:$L$902&lt;&gt;"",ROW('register map'!$L$5:$L$902)-MIN(ROW('register map'!$L$5:$L$902))+1),ROWS($3:523))),"")</f>
        <v>OTP_RSVD_38_2A_4</v>
      </c>
      <c r="C523" s="157">
        <f>IF(B523="PART_NUMBER",IF(COUNTIF($B$1:B522,"PART_NUMBER")=0,6,8),MATCH(B523,'register map'!L:L,0))</f>
        <v>627</v>
      </c>
      <c r="D523" s="117" t="str">
        <f>IF(ISBLANK(INDEX('register map'!C:C,'Logical Group Generator'!C523)),"No","Yes")</f>
        <v>No</v>
      </c>
      <c r="E523" s="117" t="str">
        <f>IF(ISBLANK(INDEX('register map'!A:A,C523)),IF(ISBLANK(INDEX('register map'!A:A,C523-1)),IF(ISBLANK(INDEX('register map'!A:A,C523-2)),IF(ISBLANK(INDEX('register map'!A:A,C523-3)),IF(ISBLANK(INDEX('register map'!A:A,C523-4)),IF(ISBLANK(INDEX('register map'!A:A,C523-5)),IF(ISBLANK(INDEX('register map'!A:A,C523-6)),IF(ISBLANK(INDEX('register map'!A:A,C523-7)),IF(ISBLANK(INDEX('register map'!A:A,C523-8)),"ERROR",INDEX('register map'!A:A,C523-8)),INDEX('register map'!A:A,C523-7)),INDEX('register map'!A:A,C523-6)),INDEX('register map'!A:A,C523-5)),INDEX('register map'!A:A,C523-4)),INDEX('register map'!A:A,C523-3)),INDEX('register map'!A:A,C523-2)),INDEX('register map'!A:A,C523-1)),INDEX('register map'!A:A,C523))</f>
        <v>0x38</v>
      </c>
      <c r="F523" s="117" t="str">
        <f>IF(ISBLANK(INDEX('register map'!B:B,C523)),IF(ISBLANK(INDEX('register map'!B:B,C523-1)),IF(ISBLANK(INDEX('register map'!B:B,C523-2)),IF(ISBLANK(INDEX('register map'!B:B,C523-3)),IF(ISBLANK(INDEX('register map'!B:B,C523-4)),IF(ISBLANK(INDEX('register map'!B:B,C523-5)),IF(ISBLANK(INDEX('register map'!B:B,C523-6)),IF(ISBLANK(INDEX('register map'!B:B,C523-7)),IF(ISBLANK(INDEX('register map'!B:B,C523-8)),"ERROR",INDEX('register map'!B:B,C523-8)),INDEX('register map'!B:B,C523-7)),INDEX('register map'!B:B,C523-6)),INDEX('register map'!B:B,C523-5)),INDEX('register map'!B:B,C523-4)),INDEX('register map'!B:B,C523-3)),INDEX('register map'!B:B,C523-2)),INDEX('register map'!B:B,C523-1)),INDEX('register map'!B:B,C523))</f>
        <v>0x2A</v>
      </c>
      <c r="G523" s="117" t="str">
        <f>CONCATENATE(IF(ISNUMBER(INDEX('register map'!D:D,C523)),7,""),IF(ISNUMBER(INDEX('register map'!E:E,C523)),6,""),IF(ISNUMBER(INDEX('register map'!F:F,C523)),5,""),IF(ISNUMBER(INDEX('register map'!G:G,C523)),4,""),IF(ISNUMBER(INDEX('register map'!H:H,C523)),3,""),IF(ISNUMBER(INDEX('register map'!I:I,C523)),2,""),IF(ISNUMBER(INDEX('register map'!J:J,C523)),1,""),IF(ISNUMBER(INDEX('register map'!K:K,C523)),0,""))</f>
        <v>4</v>
      </c>
      <c r="H523" s="117" t="str">
        <f>RIGHT(INDEX('register map'!V:V,MATCH('Logical Group Generator'!B523,'register map'!L:L,0)),LEN(G523))</f>
        <v>0</v>
      </c>
      <c r="I523" s="117" t="str">
        <f>CONCATENATE(IF(ISNUMBER(INDEX('register map'!K:K,C523)),0,""),IF(ISNUMBER(INDEX('register map'!J:J,C523)),1,""),IF(ISNUMBER(INDEX('register map'!I:I,C523)),2,""),IF(ISNUMBER(INDEX('register map'!H:H,C523)),3,""),IF(ISNUMBER(INDEX('register map'!G:G,C523)),4,""),IF(ISNUMBER(INDEX('register map'!F:F,C523)),5,""),IF(ISNUMBER(INDEX('register map'!E:E,C523)),6,""),IF(ISNUMBER(INDEX('register map'!D:D,C523)),7,""))</f>
        <v>4</v>
      </c>
      <c r="J523" s="117" t="str">
        <f t="shared" si="95"/>
        <v>0</v>
      </c>
      <c r="K523" s="117" t="str">
        <f t="shared" si="88"/>
        <v/>
      </c>
      <c r="L523" s="117" t="str">
        <f t="shared" si="96"/>
        <v/>
      </c>
      <c r="M523" s="117" t="str">
        <f t="shared" si="98"/>
        <v/>
      </c>
      <c r="N523" s="117" t="str">
        <f>IF(ISBLANK(INDEX('register map'!M:M,'Logical Group Generator'!C523)),"No","Yes")</f>
        <v>No</v>
      </c>
      <c r="O523" s="117" t="str">
        <f>IF(NOT(ISBLANK(INDEX('register map'!N:N,'Logical Group Generator'!C523))),"Yes","")</f>
        <v/>
      </c>
      <c r="P523" s="117" t="str">
        <f t="shared" si="89"/>
        <v/>
      </c>
      <c r="Q523" s="117" t="str">
        <f t="shared" si="90"/>
        <v/>
      </c>
      <c r="R523" s="117" t="str">
        <f t="shared" si="91"/>
        <v/>
      </c>
      <c r="S523" s="117" t="str">
        <f t="shared" si="92"/>
        <v>No</v>
      </c>
      <c r="T523" s="117" t="str">
        <f t="shared" si="93"/>
        <v/>
      </c>
      <c r="U523" s="117" t="b">
        <f t="shared" si="97"/>
        <v>0</v>
      </c>
      <c r="V523" s="157" t="b">
        <f>INDEX('register map'!P:P,C523)="yes"</f>
        <v>1</v>
      </c>
      <c r="W523" s="157" t="str">
        <f t="shared" si="94"/>
        <v>FALSE</v>
      </c>
    </row>
    <row r="524" spans="2:23">
      <c r="B524" s="157" t="str">
        <f t="array" ref="B524">IF(ROWS($3:524)&lt;=COUNTA('register map'!$L$5:$L$902),INDEX('register map'!$L$5:$L$902,SMALL(IF('register map'!$L$5:$L$902&lt;&gt;"",ROW('register map'!$L$5:$L$902)-MIN(ROW('register map'!$L$5:$L$902))+1),ROWS($3:524))),"")</f>
        <v>OTP_RSVD_38_2A_5</v>
      </c>
      <c r="C524" s="157">
        <f>IF(B524="PART_NUMBER",IF(COUNTIF($B$1:B523,"PART_NUMBER")=0,6,8),MATCH(B524,'register map'!L:L,0))</f>
        <v>628</v>
      </c>
      <c r="D524" s="117" t="str">
        <f>IF(ISBLANK(INDEX('register map'!C:C,'Logical Group Generator'!C524)),"No","Yes")</f>
        <v>No</v>
      </c>
      <c r="E524" s="117" t="str">
        <f>IF(ISBLANK(INDEX('register map'!A:A,C524)),IF(ISBLANK(INDEX('register map'!A:A,C524-1)),IF(ISBLANK(INDEX('register map'!A:A,C524-2)),IF(ISBLANK(INDEX('register map'!A:A,C524-3)),IF(ISBLANK(INDEX('register map'!A:A,C524-4)),IF(ISBLANK(INDEX('register map'!A:A,C524-5)),IF(ISBLANK(INDEX('register map'!A:A,C524-6)),IF(ISBLANK(INDEX('register map'!A:A,C524-7)),IF(ISBLANK(INDEX('register map'!A:A,C524-8)),"ERROR",INDEX('register map'!A:A,C524-8)),INDEX('register map'!A:A,C524-7)),INDEX('register map'!A:A,C524-6)),INDEX('register map'!A:A,C524-5)),INDEX('register map'!A:A,C524-4)),INDEX('register map'!A:A,C524-3)),INDEX('register map'!A:A,C524-2)),INDEX('register map'!A:A,C524-1)),INDEX('register map'!A:A,C524))</f>
        <v>0x38</v>
      </c>
      <c r="F524" s="117" t="str">
        <f>IF(ISBLANK(INDEX('register map'!B:B,C524)),IF(ISBLANK(INDEX('register map'!B:B,C524-1)),IF(ISBLANK(INDEX('register map'!B:B,C524-2)),IF(ISBLANK(INDEX('register map'!B:B,C524-3)),IF(ISBLANK(INDEX('register map'!B:B,C524-4)),IF(ISBLANK(INDEX('register map'!B:B,C524-5)),IF(ISBLANK(INDEX('register map'!B:B,C524-6)),IF(ISBLANK(INDEX('register map'!B:B,C524-7)),IF(ISBLANK(INDEX('register map'!B:B,C524-8)),"ERROR",INDEX('register map'!B:B,C524-8)),INDEX('register map'!B:B,C524-7)),INDEX('register map'!B:B,C524-6)),INDEX('register map'!B:B,C524-5)),INDEX('register map'!B:B,C524-4)),INDEX('register map'!B:B,C524-3)),INDEX('register map'!B:B,C524-2)),INDEX('register map'!B:B,C524-1)),INDEX('register map'!B:B,C524))</f>
        <v>0x2A</v>
      </c>
      <c r="G524" s="117" t="str">
        <f>CONCATENATE(IF(ISNUMBER(INDEX('register map'!D:D,C524)),7,""),IF(ISNUMBER(INDEX('register map'!E:E,C524)),6,""),IF(ISNUMBER(INDEX('register map'!F:F,C524)),5,""),IF(ISNUMBER(INDEX('register map'!G:G,C524)),4,""),IF(ISNUMBER(INDEX('register map'!H:H,C524)),3,""),IF(ISNUMBER(INDEX('register map'!I:I,C524)),2,""),IF(ISNUMBER(INDEX('register map'!J:J,C524)),1,""),IF(ISNUMBER(INDEX('register map'!K:K,C524)),0,""))</f>
        <v>5</v>
      </c>
      <c r="H524" s="117" t="str">
        <f>RIGHT(INDEX('register map'!V:V,MATCH('Logical Group Generator'!B524,'register map'!L:L,0)),LEN(G524))</f>
        <v>0</v>
      </c>
      <c r="I524" s="117" t="str">
        <f>CONCATENATE(IF(ISNUMBER(INDEX('register map'!K:K,C524)),0,""),IF(ISNUMBER(INDEX('register map'!J:J,C524)),1,""),IF(ISNUMBER(INDEX('register map'!I:I,C524)),2,""),IF(ISNUMBER(INDEX('register map'!H:H,C524)),3,""),IF(ISNUMBER(INDEX('register map'!G:G,C524)),4,""),IF(ISNUMBER(INDEX('register map'!F:F,C524)),5,""),IF(ISNUMBER(INDEX('register map'!E:E,C524)),6,""),IF(ISNUMBER(INDEX('register map'!D:D,C524)),7,""))</f>
        <v>5</v>
      </c>
      <c r="J524" s="117" t="str">
        <f t="shared" si="95"/>
        <v>0</v>
      </c>
      <c r="K524" s="117" t="str">
        <f t="shared" si="88"/>
        <v/>
      </c>
      <c r="L524" s="117" t="str">
        <f t="shared" si="96"/>
        <v/>
      </c>
      <c r="M524" s="117" t="str">
        <f t="shared" si="98"/>
        <v/>
      </c>
      <c r="N524" s="117" t="str">
        <f>IF(ISBLANK(INDEX('register map'!M:M,'Logical Group Generator'!C524)),"No","Yes")</f>
        <v>No</v>
      </c>
      <c r="O524" s="117" t="str">
        <f>IF(NOT(ISBLANK(INDEX('register map'!N:N,'Logical Group Generator'!C524))),"Yes","")</f>
        <v/>
      </c>
      <c r="P524" s="117" t="str">
        <f t="shared" si="89"/>
        <v/>
      </c>
      <c r="Q524" s="117" t="str">
        <f t="shared" si="90"/>
        <v/>
      </c>
      <c r="R524" s="117" t="str">
        <f t="shared" si="91"/>
        <v/>
      </c>
      <c r="S524" s="117" t="str">
        <f t="shared" si="92"/>
        <v>No</v>
      </c>
      <c r="T524" s="117" t="str">
        <f t="shared" si="93"/>
        <v/>
      </c>
      <c r="U524" s="117" t="b">
        <f t="shared" si="97"/>
        <v>0</v>
      </c>
      <c r="V524" s="157" t="b">
        <f>INDEX('register map'!P:P,C524)="yes"</f>
        <v>1</v>
      </c>
      <c r="W524" s="157" t="str">
        <f t="shared" si="94"/>
        <v>FALSE</v>
      </c>
    </row>
    <row r="525" spans="2:23">
      <c r="B525" s="157" t="str">
        <f t="array" ref="B525">IF(ROWS($3:525)&lt;=COUNTA('register map'!$L$5:$L$902),INDEX('register map'!$L$5:$L$902,SMALL(IF('register map'!$L$5:$L$902&lt;&gt;"",ROW('register map'!$L$5:$L$902)-MIN(ROW('register map'!$L$5:$L$902))+1),ROWS($3:525))),"")</f>
        <v>OTP_RSVD_38_2A_6</v>
      </c>
      <c r="C525" s="157">
        <f>IF(B525="PART_NUMBER",IF(COUNTIF($B$1:B524,"PART_NUMBER")=0,6,8),MATCH(B525,'register map'!L:L,0))</f>
        <v>629</v>
      </c>
      <c r="D525" s="117" t="str">
        <f>IF(ISBLANK(INDEX('register map'!C:C,'Logical Group Generator'!C525)),"No","Yes")</f>
        <v>No</v>
      </c>
      <c r="E525" s="117" t="str">
        <f>IF(ISBLANK(INDEX('register map'!A:A,C525)),IF(ISBLANK(INDEX('register map'!A:A,C525-1)),IF(ISBLANK(INDEX('register map'!A:A,C525-2)),IF(ISBLANK(INDEX('register map'!A:A,C525-3)),IF(ISBLANK(INDEX('register map'!A:A,C525-4)),IF(ISBLANK(INDEX('register map'!A:A,C525-5)),IF(ISBLANK(INDEX('register map'!A:A,C525-6)),IF(ISBLANK(INDEX('register map'!A:A,C525-7)),IF(ISBLANK(INDEX('register map'!A:A,C525-8)),"ERROR",INDEX('register map'!A:A,C525-8)),INDEX('register map'!A:A,C525-7)),INDEX('register map'!A:A,C525-6)),INDEX('register map'!A:A,C525-5)),INDEX('register map'!A:A,C525-4)),INDEX('register map'!A:A,C525-3)),INDEX('register map'!A:A,C525-2)),INDEX('register map'!A:A,C525-1)),INDEX('register map'!A:A,C525))</f>
        <v>0x38</v>
      </c>
      <c r="F525" s="117" t="str">
        <f>IF(ISBLANK(INDEX('register map'!B:B,C525)),IF(ISBLANK(INDEX('register map'!B:B,C525-1)),IF(ISBLANK(INDEX('register map'!B:B,C525-2)),IF(ISBLANK(INDEX('register map'!B:B,C525-3)),IF(ISBLANK(INDEX('register map'!B:B,C525-4)),IF(ISBLANK(INDEX('register map'!B:B,C525-5)),IF(ISBLANK(INDEX('register map'!B:B,C525-6)),IF(ISBLANK(INDEX('register map'!B:B,C525-7)),IF(ISBLANK(INDEX('register map'!B:B,C525-8)),"ERROR",INDEX('register map'!B:B,C525-8)),INDEX('register map'!B:B,C525-7)),INDEX('register map'!B:B,C525-6)),INDEX('register map'!B:B,C525-5)),INDEX('register map'!B:B,C525-4)),INDEX('register map'!B:B,C525-3)),INDEX('register map'!B:B,C525-2)),INDEX('register map'!B:B,C525-1)),INDEX('register map'!B:B,C525))</f>
        <v>0x2A</v>
      </c>
      <c r="G525" s="117" t="str">
        <f>CONCATENATE(IF(ISNUMBER(INDEX('register map'!D:D,C525)),7,""),IF(ISNUMBER(INDEX('register map'!E:E,C525)),6,""),IF(ISNUMBER(INDEX('register map'!F:F,C525)),5,""),IF(ISNUMBER(INDEX('register map'!G:G,C525)),4,""),IF(ISNUMBER(INDEX('register map'!H:H,C525)),3,""),IF(ISNUMBER(INDEX('register map'!I:I,C525)),2,""),IF(ISNUMBER(INDEX('register map'!J:J,C525)),1,""),IF(ISNUMBER(INDEX('register map'!K:K,C525)),0,""))</f>
        <v>6</v>
      </c>
      <c r="H525" s="117" t="str">
        <f>RIGHT(INDEX('register map'!V:V,MATCH('Logical Group Generator'!B525,'register map'!L:L,0)),LEN(G525))</f>
        <v>0</v>
      </c>
      <c r="I525" s="117" t="str">
        <f>CONCATENATE(IF(ISNUMBER(INDEX('register map'!K:K,C525)),0,""),IF(ISNUMBER(INDEX('register map'!J:J,C525)),1,""),IF(ISNUMBER(INDEX('register map'!I:I,C525)),2,""),IF(ISNUMBER(INDEX('register map'!H:H,C525)),3,""),IF(ISNUMBER(INDEX('register map'!G:G,C525)),4,""),IF(ISNUMBER(INDEX('register map'!F:F,C525)),5,""),IF(ISNUMBER(INDEX('register map'!E:E,C525)),6,""),IF(ISNUMBER(INDEX('register map'!D:D,C525)),7,""))</f>
        <v>6</v>
      </c>
      <c r="J525" s="117" t="str">
        <f t="shared" si="95"/>
        <v>0</v>
      </c>
      <c r="K525" s="117" t="str">
        <f t="shared" si="88"/>
        <v/>
      </c>
      <c r="L525" s="117" t="str">
        <f t="shared" si="96"/>
        <v/>
      </c>
      <c r="M525" s="117" t="str">
        <f t="shared" si="98"/>
        <v/>
      </c>
      <c r="N525" s="117" t="str">
        <f>IF(ISBLANK(INDEX('register map'!M:M,'Logical Group Generator'!C525)),"No","Yes")</f>
        <v>No</v>
      </c>
      <c r="O525" s="117" t="str">
        <f>IF(NOT(ISBLANK(INDEX('register map'!N:N,'Logical Group Generator'!C525))),"Yes","")</f>
        <v/>
      </c>
      <c r="P525" s="117" t="str">
        <f t="shared" si="89"/>
        <v/>
      </c>
      <c r="Q525" s="117" t="str">
        <f t="shared" si="90"/>
        <v/>
      </c>
      <c r="R525" s="117" t="str">
        <f t="shared" si="91"/>
        <v/>
      </c>
      <c r="S525" s="117" t="str">
        <f t="shared" si="92"/>
        <v>No</v>
      </c>
      <c r="T525" s="117" t="str">
        <f t="shared" si="93"/>
        <v/>
      </c>
      <c r="U525" s="117" t="b">
        <f t="shared" si="97"/>
        <v>0</v>
      </c>
      <c r="V525" s="157" t="b">
        <f>INDEX('register map'!P:P,C525)="yes"</f>
        <v>1</v>
      </c>
      <c r="W525" s="157" t="str">
        <f t="shared" si="94"/>
        <v>FALSE</v>
      </c>
    </row>
    <row r="526" spans="2:23">
      <c r="B526" s="157" t="str">
        <f t="array" ref="B526">IF(ROWS($3:526)&lt;=COUNTA('register map'!$L$5:$L$902),INDEX('register map'!$L$5:$L$902,SMALL(IF('register map'!$L$5:$L$902&lt;&gt;"",ROW('register map'!$L$5:$L$902)-MIN(ROW('register map'!$L$5:$L$902))+1),ROWS($3:526))),"")</f>
        <v>OTP_RSVD_38_2A_7</v>
      </c>
      <c r="C526" s="157">
        <f>IF(B526="PART_NUMBER",IF(COUNTIF($B$1:B525,"PART_NUMBER")=0,6,8),MATCH(B526,'register map'!L:L,0))</f>
        <v>630</v>
      </c>
      <c r="D526" s="117" t="str">
        <f>IF(ISBLANK(INDEX('register map'!C:C,'Logical Group Generator'!C526)),"No","Yes")</f>
        <v>No</v>
      </c>
      <c r="E526" s="117" t="str">
        <f>IF(ISBLANK(INDEX('register map'!A:A,C526)),IF(ISBLANK(INDEX('register map'!A:A,C526-1)),IF(ISBLANK(INDEX('register map'!A:A,C526-2)),IF(ISBLANK(INDEX('register map'!A:A,C526-3)),IF(ISBLANK(INDEX('register map'!A:A,C526-4)),IF(ISBLANK(INDEX('register map'!A:A,C526-5)),IF(ISBLANK(INDEX('register map'!A:A,C526-6)),IF(ISBLANK(INDEX('register map'!A:A,C526-7)),IF(ISBLANK(INDEX('register map'!A:A,C526-8)),"ERROR",INDEX('register map'!A:A,C526-8)),INDEX('register map'!A:A,C526-7)),INDEX('register map'!A:A,C526-6)),INDEX('register map'!A:A,C526-5)),INDEX('register map'!A:A,C526-4)),INDEX('register map'!A:A,C526-3)),INDEX('register map'!A:A,C526-2)),INDEX('register map'!A:A,C526-1)),INDEX('register map'!A:A,C526))</f>
        <v>0x38</v>
      </c>
      <c r="F526" s="117" t="str">
        <f>IF(ISBLANK(INDEX('register map'!B:B,C526)),IF(ISBLANK(INDEX('register map'!B:B,C526-1)),IF(ISBLANK(INDEX('register map'!B:B,C526-2)),IF(ISBLANK(INDEX('register map'!B:B,C526-3)),IF(ISBLANK(INDEX('register map'!B:B,C526-4)),IF(ISBLANK(INDEX('register map'!B:B,C526-5)),IF(ISBLANK(INDEX('register map'!B:B,C526-6)),IF(ISBLANK(INDEX('register map'!B:B,C526-7)),IF(ISBLANK(INDEX('register map'!B:B,C526-8)),"ERROR",INDEX('register map'!B:B,C526-8)),INDEX('register map'!B:B,C526-7)),INDEX('register map'!B:B,C526-6)),INDEX('register map'!B:B,C526-5)),INDEX('register map'!B:B,C526-4)),INDEX('register map'!B:B,C526-3)),INDEX('register map'!B:B,C526-2)),INDEX('register map'!B:B,C526-1)),INDEX('register map'!B:B,C526))</f>
        <v>0x2A</v>
      </c>
      <c r="G526" s="117" t="str">
        <f>CONCATENATE(IF(ISNUMBER(INDEX('register map'!D:D,C526)),7,""),IF(ISNUMBER(INDEX('register map'!E:E,C526)),6,""),IF(ISNUMBER(INDEX('register map'!F:F,C526)),5,""),IF(ISNUMBER(INDEX('register map'!G:G,C526)),4,""),IF(ISNUMBER(INDEX('register map'!H:H,C526)),3,""),IF(ISNUMBER(INDEX('register map'!I:I,C526)),2,""),IF(ISNUMBER(INDEX('register map'!J:J,C526)),1,""),IF(ISNUMBER(INDEX('register map'!K:K,C526)),0,""))</f>
        <v>7</v>
      </c>
      <c r="H526" s="117" t="str">
        <f>RIGHT(INDEX('register map'!V:V,MATCH('Logical Group Generator'!B526,'register map'!L:L,0)),LEN(G526))</f>
        <v>0</v>
      </c>
      <c r="I526" s="117" t="str">
        <f>CONCATENATE(IF(ISNUMBER(INDEX('register map'!K:K,C526)),0,""),IF(ISNUMBER(INDEX('register map'!J:J,C526)),1,""),IF(ISNUMBER(INDEX('register map'!I:I,C526)),2,""),IF(ISNUMBER(INDEX('register map'!H:H,C526)),3,""),IF(ISNUMBER(INDEX('register map'!G:G,C526)),4,""),IF(ISNUMBER(INDEX('register map'!F:F,C526)),5,""),IF(ISNUMBER(INDEX('register map'!E:E,C526)),6,""),IF(ISNUMBER(INDEX('register map'!D:D,C526)),7,""))</f>
        <v>7</v>
      </c>
      <c r="J526" s="117" t="str">
        <f t="shared" si="95"/>
        <v>0</v>
      </c>
      <c r="K526" s="117" t="str">
        <f t="shared" si="88"/>
        <v/>
      </c>
      <c r="L526" s="117" t="str">
        <f t="shared" si="96"/>
        <v/>
      </c>
      <c r="M526" s="117" t="str">
        <f t="shared" si="98"/>
        <v/>
      </c>
      <c r="N526" s="117" t="str">
        <f>IF(ISBLANK(INDEX('register map'!M:M,'Logical Group Generator'!C526)),"No","Yes")</f>
        <v>No</v>
      </c>
      <c r="O526" s="117" t="str">
        <f>IF(NOT(ISBLANK(INDEX('register map'!N:N,'Logical Group Generator'!C526))),"Yes","")</f>
        <v/>
      </c>
      <c r="P526" s="117" t="str">
        <f t="shared" si="89"/>
        <v/>
      </c>
      <c r="Q526" s="117" t="str">
        <f t="shared" si="90"/>
        <v/>
      </c>
      <c r="R526" s="117" t="str">
        <f t="shared" si="91"/>
        <v/>
      </c>
      <c r="S526" s="117" t="str">
        <f t="shared" si="92"/>
        <v>No</v>
      </c>
      <c r="T526" s="117" t="str">
        <f t="shared" si="93"/>
        <v/>
      </c>
      <c r="U526" s="117" t="b">
        <f t="shared" si="97"/>
        <v>0</v>
      </c>
      <c r="V526" s="157" t="b">
        <f>INDEX('register map'!P:P,C526)="yes"</f>
        <v>1</v>
      </c>
      <c r="W526" s="157" t="str">
        <f t="shared" si="94"/>
        <v>FALSE</v>
      </c>
    </row>
    <row r="527" spans="2:23">
      <c r="B527" s="157" t="str">
        <f t="array" ref="B527">IF(ROWS($3:527)&lt;=COUNTA('register map'!$L$5:$L$902),INDEX('register map'!$L$5:$L$902,SMALL(IF('register map'!$L$5:$L$902&lt;&gt;"",ROW('register map'!$L$5:$L$902)-MIN(ROW('register map'!$L$5:$L$902))+1),ROWS($3:527))),"")</f>
        <v>OTP_RSVD_38_2B</v>
      </c>
      <c r="C527" s="157">
        <f>IF(B527="PART_NUMBER",IF(COUNTIF($B$1:B526,"PART_NUMBER")=0,6,8),MATCH(B527,'register map'!L:L,0))</f>
        <v>631</v>
      </c>
      <c r="D527" s="117" t="str">
        <f>IF(ISBLANK(INDEX('register map'!C:C,'Logical Group Generator'!C527)),"No","Yes")</f>
        <v>Yes</v>
      </c>
      <c r="E527" s="117" t="str">
        <f>IF(ISBLANK(INDEX('register map'!A:A,C527)),IF(ISBLANK(INDEX('register map'!A:A,C527-1)),IF(ISBLANK(INDEX('register map'!A:A,C527-2)),IF(ISBLANK(INDEX('register map'!A:A,C527-3)),IF(ISBLANK(INDEX('register map'!A:A,C527-4)),IF(ISBLANK(INDEX('register map'!A:A,C527-5)),IF(ISBLANK(INDEX('register map'!A:A,C527-6)),IF(ISBLANK(INDEX('register map'!A:A,C527-7)),IF(ISBLANK(INDEX('register map'!A:A,C527-8)),"ERROR",INDEX('register map'!A:A,C527-8)),INDEX('register map'!A:A,C527-7)),INDEX('register map'!A:A,C527-6)),INDEX('register map'!A:A,C527-5)),INDEX('register map'!A:A,C527-4)),INDEX('register map'!A:A,C527-3)),INDEX('register map'!A:A,C527-2)),INDEX('register map'!A:A,C527-1)),INDEX('register map'!A:A,C527))</f>
        <v>0x38</v>
      </c>
      <c r="F527" s="117" t="str">
        <f>IF(ISBLANK(INDEX('register map'!B:B,C527)),IF(ISBLANK(INDEX('register map'!B:B,C527-1)),IF(ISBLANK(INDEX('register map'!B:B,C527-2)),IF(ISBLANK(INDEX('register map'!B:B,C527-3)),IF(ISBLANK(INDEX('register map'!B:B,C527-4)),IF(ISBLANK(INDEX('register map'!B:B,C527-5)),IF(ISBLANK(INDEX('register map'!B:B,C527-6)),IF(ISBLANK(INDEX('register map'!B:B,C527-7)),IF(ISBLANK(INDEX('register map'!B:B,C527-8)),"ERROR",INDEX('register map'!B:B,C527-8)),INDEX('register map'!B:B,C527-7)),INDEX('register map'!B:B,C527-6)),INDEX('register map'!B:B,C527-5)),INDEX('register map'!B:B,C527-4)),INDEX('register map'!B:B,C527-3)),INDEX('register map'!B:B,C527-2)),INDEX('register map'!B:B,C527-1)),INDEX('register map'!B:B,C527))</f>
        <v>0x2B</v>
      </c>
      <c r="G527" s="117" t="str">
        <f>CONCATENATE(IF(ISNUMBER(INDEX('register map'!D:D,C527)),7,""),IF(ISNUMBER(INDEX('register map'!E:E,C527)),6,""),IF(ISNUMBER(INDEX('register map'!F:F,C527)),5,""),IF(ISNUMBER(INDEX('register map'!G:G,C527)),4,""),IF(ISNUMBER(INDEX('register map'!H:H,C527)),3,""),IF(ISNUMBER(INDEX('register map'!I:I,C527)),2,""),IF(ISNUMBER(INDEX('register map'!J:J,C527)),1,""),IF(ISNUMBER(INDEX('register map'!K:K,C527)),0,""))</f>
        <v/>
      </c>
      <c r="H527" s="117" t="str">
        <f>RIGHT(INDEX('register map'!V:V,MATCH('Logical Group Generator'!B527,'register map'!L:L,0)),LEN(G527))</f>
        <v/>
      </c>
      <c r="I527" s="117" t="str">
        <f>CONCATENATE(IF(ISNUMBER(INDEX('register map'!K:K,C527)),0,""),IF(ISNUMBER(INDEX('register map'!J:J,C527)),1,""),IF(ISNUMBER(INDEX('register map'!I:I,C527)),2,""),IF(ISNUMBER(INDEX('register map'!H:H,C527)),3,""),IF(ISNUMBER(INDEX('register map'!G:G,C527)),4,""),IF(ISNUMBER(INDEX('register map'!F:F,C527)),5,""),IF(ISNUMBER(INDEX('register map'!E:E,C527)),6,""),IF(ISNUMBER(INDEX('register map'!D:D,C527)),7,""))</f>
        <v/>
      </c>
      <c r="J527" s="117" t="str">
        <f t="shared" si="95"/>
        <v/>
      </c>
      <c r="K527" s="117" t="str">
        <f t="shared" si="88"/>
        <v>01110001</v>
      </c>
      <c r="L527" s="117" t="str">
        <f t="shared" si="96"/>
        <v>10001110</v>
      </c>
      <c r="M527" s="117" t="str">
        <f t="shared" si="98"/>
        <v>8E</v>
      </c>
      <c r="N527" s="117" t="str">
        <f>IF(ISBLANK(INDEX('register map'!M:M,'Logical Group Generator'!C527)),"No","Yes")</f>
        <v>No</v>
      </c>
      <c r="O527" s="117" t="str">
        <f>IF(NOT(ISBLANK(INDEX('register map'!N:N,'Logical Group Generator'!C527))),"Yes","")</f>
        <v/>
      </c>
      <c r="P527" s="117" t="str">
        <f t="shared" si="89"/>
        <v>Yes</v>
      </c>
      <c r="Q527" s="117" t="str">
        <f t="shared" si="90"/>
        <v>Yes</v>
      </c>
      <c r="R527" s="117" t="str">
        <f t="shared" si="91"/>
        <v>No</v>
      </c>
      <c r="S527" s="117" t="str">
        <f t="shared" si="92"/>
        <v/>
      </c>
      <c r="T527" s="117" t="b">
        <f t="shared" si="93"/>
        <v>1</v>
      </c>
      <c r="U527" s="117" t="b">
        <f t="shared" si="97"/>
        <v>0</v>
      </c>
      <c r="V527" s="157" t="b">
        <f>INDEX('register map'!P:P,C527)="yes"</f>
        <v>1</v>
      </c>
      <c r="W527" s="157" t="str">
        <f t="shared" si="94"/>
        <v>FALSE</v>
      </c>
    </row>
    <row r="528" spans="2:23">
      <c r="B528" s="157" t="str">
        <f t="array" ref="B528">IF(ROWS($3:528)&lt;=COUNTA('register map'!$L$5:$L$902),INDEX('register map'!$L$5:$L$902,SMALL(IF('register map'!$L$5:$L$902&lt;&gt;"",ROW('register map'!$L$5:$L$902)-MIN(ROW('register map'!$L$5:$L$902))+1),ROWS($3:528))),"")</f>
        <v>OTP_RSVD_38_2B_3210</v>
      </c>
      <c r="C528" s="157">
        <f>IF(B528="PART_NUMBER",IF(COUNTIF($B$1:B527,"PART_NUMBER")=0,6,8),MATCH(B528,'register map'!L:L,0))</f>
        <v>632</v>
      </c>
      <c r="D528" s="117" t="str">
        <f>IF(ISBLANK(INDEX('register map'!C:C,'Logical Group Generator'!C528)),"No","Yes")</f>
        <v>No</v>
      </c>
      <c r="E528" s="117" t="str">
        <f>IF(ISBLANK(INDEX('register map'!A:A,C528)),IF(ISBLANK(INDEX('register map'!A:A,C528-1)),IF(ISBLANK(INDEX('register map'!A:A,C528-2)),IF(ISBLANK(INDEX('register map'!A:A,C528-3)),IF(ISBLANK(INDEX('register map'!A:A,C528-4)),IF(ISBLANK(INDEX('register map'!A:A,C528-5)),IF(ISBLANK(INDEX('register map'!A:A,C528-6)),IF(ISBLANK(INDEX('register map'!A:A,C528-7)),IF(ISBLANK(INDEX('register map'!A:A,C528-8)),"ERROR",INDEX('register map'!A:A,C528-8)),INDEX('register map'!A:A,C528-7)),INDEX('register map'!A:A,C528-6)),INDEX('register map'!A:A,C528-5)),INDEX('register map'!A:A,C528-4)),INDEX('register map'!A:A,C528-3)),INDEX('register map'!A:A,C528-2)),INDEX('register map'!A:A,C528-1)),INDEX('register map'!A:A,C528))</f>
        <v>0x38</v>
      </c>
      <c r="F528" s="117" t="str">
        <f>IF(ISBLANK(INDEX('register map'!B:B,C528)),IF(ISBLANK(INDEX('register map'!B:B,C528-1)),IF(ISBLANK(INDEX('register map'!B:B,C528-2)),IF(ISBLANK(INDEX('register map'!B:B,C528-3)),IF(ISBLANK(INDEX('register map'!B:B,C528-4)),IF(ISBLANK(INDEX('register map'!B:B,C528-5)),IF(ISBLANK(INDEX('register map'!B:B,C528-6)),IF(ISBLANK(INDEX('register map'!B:B,C528-7)),IF(ISBLANK(INDEX('register map'!B:B,C528-8)),"ERROR",INDEX('register map'!B:B,C528-8)),INDEX('register map'!B:B,C528-7)),INDEX('register map'!B:B,C528-6)),INDEX('register map'!B:B,C528-5)),INDEX('register map'!B:B,C528-4)),INDEX('register map'!B:B,C528-3)),INDEX('register map'!B:B,C528-2)),INDEX('register map'!B:B,C528-1)),INDEX('register map'!B:B,C528))</f>
        <v>0x2B</v>
      </c>
      <c r="G528" s="117" t="str">
        <f>CONCATENATE(IF(ISNUMBER(INDEX('register map'!D:D,C528)),7,""),IF(ISNUMBER(INDEX('register map'!E:E,C528)),6,""),IF(ISNUMBER(INDEX('register map'!F:F,C528)),5,""),IF(ISNUMBER(INDEX('register map'!G:G,C528)),4,""),IF(ISNUMBER(INDEX('register map'!H:H,C528)),3,""),IF(ISNUMBER(INDEX('register map'!I:I,C528)),2,""),IF(ISNUMBER(INDEX('register map'!J:J,C528)),1,""),IF(ISNUMBER(INDEX('register map'!K:K,C528)),0,""))</f>
        <v>3210</v>
      </c>
      <c r="H528" s="117" t="str">
        <f>RIGHT(INDEX('register map'!V:V,MATCH('Logical Group Generator'!B528,'register map'!L:L,0)),LEN(G528))</f>
        <v>1110</v>
      </c>
      <c r="I528" s="117" t="str">
        <f>CONCATENATE(IF(ISNUMBER(INDEX('register map'!K:K,C528)),0,""),IF(ISNUMBER(INDEX('register map'!J:J,C528)),1,""),IF(ISNUMBER(INDEX('register map'!I:I,C528)),2,""),IF(ISNUMBER(INDEX('register map'!H:H,C528)),3,""),IF(ISNUMBER(INDEX('register map'!G:G,C528)),4,""),IF(ISNUMBER(INDEX('register map'!F:F,C528)),5,""),IF(ISNUMBER(INDEX('register map'!E:E,C528)),6,""),IF(ISNUMBER(INDEX('register map'!D:D,C528)),7,""))</f>
        <v>0123</v>
      </c>
      <c r="J528" s="117" t="str">
        <f t="shared" si="95"/>
        <v>0111</v>
      </c>
      <c r="K528" s="117" t="str">
        <f t="shared" si="88"/>
        <v/>
      </c>
      <c r="L528" s="117" t="str">
        <f t="shared" si="96"/>
        <v/>
      </c>
      <c r="M528" s="117" t="str">
        <f t="shared" si="98"/>
        <v/>
      </c>
      <c r="N528" s="117" t="str">
        <f>IF(ISBLANK(INDEX('register map'!M:M,'Logical Group Generator'!C528)),"No","Yes")</f>
        <v>Yes</v>
      </c>
      <c r="O528" s="117" t="str">
        <f>IF(NOT(ISBLANK(INDEX('register map'!N:N,'Logical Group Generator'!C528))),"Yes","")</f>
        <v/>
      </c>
      <c r="P528" s="117" t="str">
        <f t="shared" si="89"/>
        <v/>
      </c>
      <c r="Q528" s="117" t="str">
        <f t="shared" si="90"/>
        <v/>
      </c>
      <c r="R528" s="117" t="str">
        <f t="shared" si="91"/>
        <v/>
      </c>
      <c r="S528" s="117" t="str">
        <f t="shared" si="92"/>
        <v>No</v>
      </c>
      <c r="T528" s="117" t="str">
        <f t="shared" si="93"/>
        <v/>
      </c>
      <c r="U528" s="117" t="b">
        <f t="shared" si="97"/>
        <v>0</v>
      </c>
      <c r="V528" s="157" t="b">
        <f>INDEX('register map'!P:P,C528)="yes"</f>
        <v>1</v>
      </c>
      <c r="W528" s="157" t="str">
        <f t="shared" si="94"/>
        <v>FALSE</v>
      </c>
    </row>
    <row r="529" spans="2:23">
      <c r="B529" s="157" t="str">
        <f t="array" ref="B529">IF(ROWS($3:529)&lt;=COUNTA('register map'!$L$5:$L$902),INDEX('register map'!$L$5:$L$902,SMALL(IF('register map'!$L$5:$L$902&lt;&gt;"",ROW('register map'!$L$5:$L$902)-MIN(ROW('register map'!$L$5:$L$902))+1),ROWS($3:529))),"")</f>
        <v>OTP_RSVD_38_2B_7654</v>
      </c>
      <c r="C529" s="157">
        <f>IF(B529="PART_NUMBER",IF(COUNTIF($B$1:B528,"PART_NUMBER")=0,6,8),MATCH(B529,'register map'!L:L,0))</f>
        <v>633</v>
      </c>
      <c r="D529" s="117" t="str">
        <f>IF(ISBLANK(INDEX('register map'!C:C,'Logical Group Generator'!C529)),"No","Yes")</f>
        <v>No</v>
      </c>
      <c r="E529" s="117" t="str">
        <f>IF(ISBLANK(INDEX('register map'!A:A,C529)),IF(ISBLANK(INDEX('register map'!A:A,C529-1)),IF(ISBLANK(INDEX('register map'!A:A,C529-2)),IF(ISBLANK(INDEX('register map'!A:A,C529-3)),IF(ISBLANK(INDEX('register map'!A:A,C529-4)),IF(ISBLANK(INDEX('register map'!A:A,C529-5)),IF(ISBLANK(INDEX('register map'!A:A,C529-6)),IF(ISBLANK(INDEX('register map'!A:A,C529-7)),IF(ISBLANK(INDEX('register map'!A:A,C529-8)),"ERROR",INDEX('register map'!A:A,C529-8)),INDEX('register map'!A:A,C529-7)),INDEX('register map'!A:A,C529-6)),INDEX('register map'!A:A,C529-5)),INDEX('register map'!A:A,C529-4)),INDEX('register map'!A:A,C529-3)),INDEX('register map'!A:A,C529-2)),INDEX('register map'!A:A,C529-1)),INDEX('register map'!A:A,C529))</f>
        <v>0x38</v>
      </c>
      <c r="F529" s="117" t="str">
        <f>IF(ISBLANK(INDEX('register map'!B:B,C529)),IF(ISBLANK(INDEX('register map'!B:B,C529-1)),IF(ISBLANK(INDEX('register map'!B:B,C529-2)),IF(ISBLANK(INDEX('register map'!B:B,C529-3)),IF(ISBLANK(INDEX('register map'!B:B,C529-4)),IF(ISBLANK(INDEX('register map'!B:B,C529-5)),IF(ISBLANK(INDEX('register map'!B:B,C529-6)),IF(ISBLANK(INDEX('register map'!B:B,C529-7)),IF(ISBLANK(INDEX('register map'!B:B,C529-8)),"ERROR",INDEX('register map'!B:B,C529-8)),INDEX('register map'!B:B,C529-7)),INDEX('register map'!B:B,C529-6)),INDEX('register map'!B:B,C529-5)),INDEX('register map'!B:B,C529-4)),INDEX('register map'!B:B,C529-3)),INDEX('register map'!B:B,C529-2)),INDEX('register map'!B:B,C529-1)),INDEX('register map'!B:B,C529))</f>
        <v>0x2B</v>
      </c>
      <c r="G529" s="117" t="str">
        <f>CONCATENATE(IF(ISNUMBER(INDEX('register map'!D:D,C529)),7,""),IF(ISNUMBER(INDEX('register map'!E:E,C529)),6,""),IF(ISNUMBER(INDEX('register map'!F:F,C529)),5,""),IF(ISNUMBER(INDEX('register map'!G:G,C529)),4,""),IF(ISNUMBER(INDEX('register map'!H:H,C529)),3,""),IF(ISNUMBER(INDEX('register map'!I:I,C529)),2,""),IF(ISNUMBER(INDEX('register map'!J:J,C529)),1,""),IF(ISNUMBER(INDEX('register map'!K:K,C529)),0,""))</f>
        <v>7654</v>
      </c>
      <c r="H529" s="117" t="str">
        <f>RIGHT(INDEX('register map'!V:V,MATCH('Logical Group Generator'!B529,'register map'!L:L,0)),LEN(G529))</f>
        <v>1000</v>
      </c>
      <c r="I529" s="117" t="str">
        <f>CONCATENATE(IF(ISNUMBER(INDEX('register map'!K:K,C529)),0,""),IF(ISNUMBER(INDEX('register map'!J:J,C529)),1,""),IF(ISNUMBER(INDEX('register map'!I:I,C529)),2,""),IF(ISNUMBER(INDEX('register map'!H:H,C529)),3,""),IF(ISNUMBER(INDEX('register map'!G:G,C529)),4,""),IF(ISNUMBER(INDEX('register map'!F:F,C529)),5,""),IF(ISNUMBER(INDEX('register map'!E:E,C529)),6,""),IF(ISNUMBER(INDEX('register map'!D:D,C529)),7,""))</f>
        <v>4567</v>
      </c>
      <c r="J529" s="117" t="str">
        <f t="shared" si="95"/>
        <v>0001</v>
      </c>
      <c r="K529" s="117" t="str">
        <f t="shared" si="88"/>
        <v/>
      </c>
      <c r="L529" s="117" t="str">
        <f t="shared" si="96"/>
        <v/>
      </c>
      <c r="M529" s="117" t="str">
        <f t="shared" si="98"/>
        <v/>
      </c>
      <c r="N529" s="117" t="str">
        <f>IF(ISBLANK(INDEX('register map'!M:M,'Logical Group Generator'!C529)),"No","Yes")</f>
        <v>Yes</v>
      </c>
      <c r="O529" s="117" t="str">
        <f>IF(NOT(ISBLANK(INDEX('register map'!N:N,'Logical Group Generator'!C529))),"Yes","")</f>
        <v/>
      </c>
      <c r="P529" s="117" t="str">
        <f t="shared" si="89"/>
        <v/>
      </c>
      <c r="Q529" s="117" t="str">
        <f t="shared" si="90"/>
        <v/>
      </c>
      <c r="R529" s="117" t="str">
        <f t="shared" si="91"/>
        <v/>
      </c>
      <c r="S529" s="117" t="str">
        <f t="shared" si="92"/>
        <v>No</v>
      </c>
      <c r="T529" s="117" t="str">
        <f t="shared" si="93"/>
        <v/>
      </c>
      <c r="U529" s="117" t="b">
        <f t="shared" si="97"/>
        <v>0</v>
      </c>
      <c r="V529" s="157" t="b">
        <f>INDEX('register map'!P:P,C529)="yes"</f>
        <v>1</v>
      </c>
      <c r="W529" s="157" t="str">
        <f t="shared" si="94"/>
        <v>FALSE</v>
      </c>
    </row>
    <row r="530" spans="2:23">
      <c r="B530" s="157" t="str">
        <f t="array" ref="B530">IF(ROWS($3:530)&lt;=COUNTA('register map'!$L$5:$L$902),INDEX('register map'!$L$5:$L$902,SMALL(IF('register map'!$L$5:$L$902&lt;&gt;"",ROW('register map'!$L$5:$L$902)-MIN(ROW('register map'!$L$5:$L$902))+1),ROWS($3:530))),"")</f>
        <v>OTP_RSVD_38_2C</v>
      </c>
      <c r="C530" s="157">
        <f>IF(B530="PART_NUMBER",IF(COUNTIF($B$1:B529,"PART_NUMBER")=0,6,8),MATCH(B530,'register map'!L:L,0))</f>
        <v>634</v>
      </c>
      <c r="D530" s="117" t="str">
        <f>IF(ISBLANK(INDEX('register map'!C:C,'Logical Group Generator'!C530)),"No","Yes")</f>
        <v>Yes</v>
      </c>
      <c r="E530" s="117" t="str">
        <f>IF(ISBLANK(INDEX('register map'!A:A,C530)),IF(ISBLANK(INDEX('register map'!A:A,C530-1)),IF(ISBLANK(INDEX('register map'!A:A,C530-2)),IF(ISBLANK(INDEX('register map'!A:A,C530-3)),IF(ISBLANK(INDEX('register map'!A:A,C530-4)),IF(ISBLANK(INDEX('register map'!A:A,C530-5)),IF(ISBLANK(INDEX('register map'!A:A,C530-6)),IF(ISBLANK(INDEX('register map'!A:A,C530-7)),IF(ISBLANK(INDEX('register map'!A:A,C530-8)),"ERROR",INDEX('register map'!A:A,C530-8)),INDEX('register map'!A:A,C530-7)),INDEX('register map'!A:A,C530-6)),INDEX('register map'!A:A,C530-5)),INDEX('register map'!A:A,C530-4)),INDEX('register map'!A:A,C530-3)),INDEX('register map'!A:A,C530-2)),INDEX('register map'!A:A,C530-1)),INDEX('register map'!A:A,C530))</f>
        <v>0x38</v>
      </c>
      <c r="F530" s="117" t="str">
        <f>IF(ISBLANK(INDEX('register map'!B:B,C530)),IF(ISBLANK(INDEX('register map'!B:B,C530-1)),IF(ISBLANK(INDEX('register map'!B:B,C530-2)),IF(ISBLANK(INDEX('register map'!B:B,C530-3)),IF(ISBLANK(INDEX('register map'!B:B,C530-4)),IF(ISBLANK(INDEX('register map'!B:B,C530-5)),IF(ISBLANK(INDEX('register map'!B:B,C530-6)),IF(ISBLANK(INDEX('register map'!B:B,C530-7)),IF(ISBLANK(INDEX('register map'!B:B,C530-8)),"ERROR",INDEX('register map'!B:B,C530-8)),INDEX('register map'!B:B,C530-7)),INDEX('register map'!B:B,C530-6)),INDEX('register map'!B:B,C530-5)),INDEX('register map'!B:B,C530-4)),INDEX('register map'!B:B,C530-3)),INDEX('register map'!B:B,C530-2)),INDEX('register map'!B:B,C530-1)),INDEX('register map'!B:B,C530))</f>
        <v>0x2C</v>
      </c>
      <c r="G530" s="117" t="str">
        <f>CONCATENATE(IF(ISNUMBER(INDEX('register map'!D:D,C530)),7,""),IF(ISNUMBER(INDEX('register map'!E:E,C530)),6,""),IF(ISNUMBER(INDEX('register map'!F:F,C530)),5,""),IF(ISNUMBER(INDEX('register map'!G:G,C530)),4,""),IF(ISNUMBER(INDEX('register map'!H:H,C530)),3,""),IF(ISNUMBER(INDEX('register map'!I:I,C530)),2,""),IF(ISNUMBER(INDEX('register map'!J:J,C530)),1,""),IF(ISNUMBER(INDEX('register map'!K:K,C530)),0,""))</f>
        <v/>
      </c>
      <c r="H530" s="117" t="str">
        <f>RIGHT(INDEX('register map'!V:V,MATCH('Logical Group Generator'!B530,'register map'!L:L,0)),LEN(G530))</f>
        <v/>
      </c>
      <c r="I530" s="117" t="str">
        <f>CONCATENATE(IF(ISNUMBER(INDEX('register map'!K:K,C530)),0,""),IF(ISNUMBER(INDEX('register map'!J:J,C530)),1,""),IF(ISNUMBER(INDEX('register map'!I:I,C530)),2,""),IF(ISNUMBER(INDEX('register map'!H:H,C530)),3,""),IF(ISNUMBER(INDEX('register map'!G:G,C530)),4,""),IF(ISNUMBER(INDEX('register map'!F:F,C530)),5,""),IF(ISNUMBER(INDEX('register map'!E:E,C530)),6,""),IF(ISNUMBER(INDEX('register map'!D:D,C530)),7,""))</f>
        <v/>
      </c>
      <c r="J530" s="117" t="str">
        <f t="shared" si="95"/>
        <v/>
      </c>
      <c r="K530" s="117" t="str">
        <f t="shared" si="88"/>
        <v>10000101</v>
      </c>
      <c r="L530" s="117" t="str">
        <f t="shared" si="96"/>
        <v>10100001</v>
      </c>
      <c r="M530" s="117" t="str">
        <f t="shared" si="98"/>
        <v>A1</v>
      </c>
      <c r="N530" s="117" t="str">
        <f>IF(ISBLANK(INDEX('register map'!M:M,'Logical Group Generator'!C530)),"No","Yes")</f>
        <v>No</v>
      </c>
      <c r="O530" s="117" t="str">
        <f>IF(NOT(ISBLANK(INDEX('register map'!N:N,'Logical Group Generator'!C530))),"Yes","")</f>
        <v/>
      </c>
      <c r="P530" s="117" t="str">
        <f t="shared" si="89"/>
        <v>No</v>
      </c>
      <c r="Q530" s="117" t="str">
        <f t="shared" si="90"/>
        <v>No</v>
      </c>
      <c r="R530" s="117" t="str">
        <f t="shared" si="91"/>
        <v>No</v>
      </c>
      <c r="S530" s="117" t="str">
        <f t="shared" si="92"/>
        <v/>
      </c>
      <c r="T530" s="117" t="b">
        <f t="shared" si="93"/>
        <v>1</v>
      </c>
      <c r="U530" s="117" t="b">
        <f t="shared" si="97"/>
        <v>1</v>
      </c>
      <c r="V530" s="157" t="b">
        <f>INDEX('register map'!P:P,C530)="yes"</f>
        <v>1</v>
      </c>
      <c r="W530" s="157" t="str">
        <f t="shared" si="94"/>
        <v>REGISTER</v>
      </c>
    </row>
    <row r="531" spans="2:23">
      <c r="B531" s="157" t="str">
        <f t="array" ref="B531">IF(ROWS($3:531)&lt;=COUNTA('register map'!$L$5:$L$902),INDEX('register map'!$L$5:$L$902,SMALL(IF('register map'!$L$5:$L$902&lt;&gt;"",ROW('register map'!$L$5:$L$902)-MIN(ROW('register map'!$L$5:$L$902))+1),ROWS($3:531))),"")</f>
        <v>OTP_RSVD_38_2C_10</v>
      </c>
      <c r="C531" s="157">
        <f>IF(B531="PART_NUMBER",IF(COUNTIF($B$1:B530,"PART_NUMBER")=0,6,8),MATCH(B531,'register map'!L:L,0))</f>
        <v>635</v>
      </c>
      <c r="D531" s="117" t="str">
        <f>IF(ISBLANK(INDEX('register map'!C:C,'Logical Group Generator'!C531)),"No","Yes")</f>
        <v>No</v>
      </c>
      <c r="E531" s="117" t="str">
        <f>IF(ISBLANK(INDEX('register map'!A:A,C531)),IF(ISBLANK(INDEX('register map'!A:A,C531-1)),IF(ISBLANK(INDEX('register map'!A:A,C531-2)),IF(ISBLANK(INDEX('register map'!A:A,C531-3)),IF(ISBLANK(INDEX('register map'!A:A,C531-4)),IF(ISBLANK(INDEX('register map'!A:A,C531-5)),IF(ISBLANK(INDEX('register map'!A:A,C531-6)),IF(ISBLANK(INDEX('register map'!A:A,C531-7)),IF(ISBLANK(INDEX('register map'!A:A,C531-8)),"ERROR",INDEX('register map'!A:A,C531-8)),INDEX('register map'!A:A,C531-7)),INDEX('register map'!A:A,C531-6)),INDEX('register map'!A:A,C531-5)),INDEX('register map'!A:A,C531-4)),INDEX('register map'!A:A,C531-3)),INDEX('register map'!A:A,C531-2)),INDEX('register map'!A:A,C531-1)),INDEX('register map'!A:A,C531))</f>
        <v>0x38</v>
      </c>
      <c r="F531" s="117" t="str">
        <f>IF(ISBLANK(INDEX('register map'!B:B,C531)),IF(ISBLANK(INDEX('register map'!B:B,C531-1)),IF(ISBLANK(INDEX('register map'!B:B,C531-2)),IF(ISBLANK(INDEX('register map'!B:B,C531-3)),IF(ISBLANK(INDEX('register map'!B:B,C531-4)),IF(ISBLANK(INDEX('register map'!B:B,C531-5)),IF(ISBLANK(INDEX('register map'!B:B,C531-6)),IF(ISBLANK(INDEX('register map'!B:B,C531-7)),IF(ISBLANK(INDEX('register map'!B:B,C531-8)),"ERROR",INDEX('register map'!B:B,C531-8)),INDEX('register map'!B:B,C531-7)),INDEX('register map'!B:B,C531-6)),INDEX('register map'!B:B,C531-5)),INDEX('register map'!B:B,C531-4)),INDEX('register map'!B:B,C531-3)),INDEX('register map'!B:B,C531-2)),INDEX('register map'!B:B,C531-1)),INDEX('register map'!B:B,C531))</f>
        <v>0x2C</v>
      </c>
      <c r="G531" s="117" t="str">
        <f>CONCATENATE(IF(ISNUMBER(INDEX('register map'!D:D,C531)),7,""),IF(ISNUMBER(INDEX('register map'!E:E,C531)),6,""),IF(ISNUMBER(INDEX('register map'!F:F,C531)),5,""),IF(ISNUMBER(INDEX('register map'!G:G,C531)),4,""),IF(ISNUMBER(INDEX('register map'!H:H,C531)),3,""),IF(ISNUMBER(INDEX('register map'!I:I,C531)),2,""),IF(ISNUMBER(INDEX('register map'!J:J,C531)),1,""),IF(ISNUMBER(INDEX('register map'!K:K,C531)),0,""))</f>
        <v>10</v>
      </c>
      <c r="H531" s="117" t="str">
        <f>RIGHT(INDEX('register map'!V:V,MATCH('Logical Group Generator'!B531,'register map'!L:L,0)),LEN(G531))</f>
        <v>01</v>
      </c>
      <c r="I531" s="117" t="str">
        <f>CONCATENATE(IF(ISNUMBER(INDEX('register map'!K:K,C531)),0,""),IF(ISNUMBER(INDEX('register map'!J:J,C531)),1,""),IF(ISNUMBER(INDEX('register map'!I:I,C531)),2,""),IF(ISNUMBER(INDEX('register map'!H:H,C531)),3,""),IF(ISNUMBER(INDEX('register map'!G:G,C531)),4,""),IF(ISNUMBER(INDEX('register map'!F:F,C531)),5,""),IF(ISNUMBER(INDEX('register map'!E:E,C531)),6,""),IF(ISNUMBER(INDEX('register map'!D:D,C531)),7,""))</f>
        <v>01</v>
      </c>
      <c r="J531" s="117" t="str">
        <f t="shared" si="95"/>
        <v>10</v>
      </c>
      <c r="K531" s="117" t="str">
        <f t="shared" si="88"/>
        <v/>
      </c>
      <c r="L531" s="117" t="str">
        <f t="shared" si="96"/>
        <v/>
      </c>
      <c r="M531" s="117" t="str">
        <f t="shared" si="98"/>
        <v/>
      </c>
      <c r="N531" s="117" t="str">
        <f>IF(ISBLANK(INDEX('register map'!M:M,'Logical Group Generator'!C531)),"No","Yes")</f>
        <v>No</v>
      </c>
      <c r="O531" s="117" t="str">
        <f>IF(NOT(ISBLANK(INDEX('register map'!N:N,'Logical Group Generator'!C531))),"Yes","")</f>
        <v/>
      </c>
      <c r="P531" s="117" t="str">
        <f t="shared" si="89"/>
        <v/>
      </c>
      <c r="Q531" s="117" t="str">
        <f t="shared" si="90"/>
        <v/>
      </c>
      <c r="R531" s="117" t="str">
        <f t="shared" si="91"/>
        <v/>
      </c>
      <c r="S531" s="117" t="str">
        <f t="shared" si="92"/>
        <v>No</v>
      </c>
      <c r="T531" s="117" t="str">
        <f t="shared" si="93"/>
        <v/>
      </c>
      <c r="U531" s="117" t="b">
        <f t="shared" si="97"/>
        <v>0</v>
      </c>
      <c r="V531" s="157" t="b">
        <f>INDEX('register map'!P:P,C531)="yes"</f>
        <v>1</v>
      </c>
      <c r="W531" s="157" t="str">
        <f t="shared" si="94"/>
        <v>FALSE</v>
      </c>
    </row>
    <row r="532" spans="2:23">
      <c r="B532" s="157" t="str">
        <f t="array" ref="B532">IF(ROWS($3:532)&lt;=COUNTA('register map'!$L$5:$L$902),INDEX('register map'!$L$5:$L$902,SMALL(IF('register map'!$L$5:$L$902&lt;&gt;"",ROW('register map'!$L$5:$L$902)-MIN(ROW('register map'!$L$5:$L$902))+1),ROWS($3:532))),"")</f>
        <v>OTP_RSVD_38_2C_2</v>
      </c>
      <c r="C532" s="157">
        <f>IF(B532="PART_NUMBER",IF(COUNTIF($B$1:B531,"PART_NUMBER")=0,6,8),MATCH(B532,'register map'!L:L,0))</f>
        <v>636</v>
      </c>
      <c r="D532" s="117" t="str">
        <f>IF(ISBLANK(INDEX('register map'!C:C,'Logical Group Generator'!C532)),"No","Yes")</f>
        <v>No</v>
      </c>
      <c r="E532" s="117" t="str">
        <f>IF(ISBLANK(INDEX('register map'!A:A,C532)),IF(ISBLANK(INDEX('register map'!A:A,C532-1)),IF(ISBLANK(INDEX('register map'!A:A,C532-2)),IF(ISBLANK(INDEX('register map'!A:A,C532-3)),IF(ISBLANK(INDEX('register map'!A:A,C532-4)),IF(ISBLANK(INDEX('register map'!A:A,C532-5)),IF(ISBLANK(INDEX('register map'!A:A,C532-6)),IF(ISBLANK(INDEX('register map'!A:A,C532-7)),IF(ISBLANK(INDEX('register map'!A:A,C532-8)),"ERROR",INDEX('register map'!A:A,C532-8)),INDEX('register map'!A:A,C532-7)),INDEX('register map'!A:A,C532-6)),INDEX('register map'!A:A,C532-5)),INDEX('register map'!A:A,C532-4)),INDEX('register map'!A:A,C532-3)),INDEX('register map'!A:A,C532-2)),INDEX('register map'!A:A,C532-1)),INDEX('register map'!A:A,C532))</f>
        <v>0x38</v>
      </c>
      <c r="F532" s="117" t="str">
        <f>IF(ISBLANK(INDEX('register map'!B:B,C532)),IF(ISBLANK(INDEX('register map'!B:B,C532-1)),IF(ISBLANK(INDEX('register map'!B:B,C532-2)),IF(ISBLANK(INDEX('register map'!B:B,C532-3)),IF(ISBLANK(INDEX('register map'!B:B,C532-4)),IF(ISBLANK(INDEX('register map'!B:B,C532-5)),IF(ISBLANK(INDEX('register map'!B:B,C532-6)),IF(ISBLANK(INDEX('register map'!B:B,C532-7)),IF(ISBLANK(INDEX('register map'!B:B,C532-8)),"ERROR",INDEX('register map'!B:B,C532-8)),INDEX('register map'!B:B,C532-7)),INDEX('register map'!B:B,C532-6)),INDEX('register map'!B:B,C532-5)),INDEX('register map'!B:B,C532-4)),INDEX('register map'!B:B,C532-3)),INDEX('register map'!B:B,C532-2)),INDEX('register map'!B:B,C532-1)),INDEX('register map'!B:B,C532))</f>
        <v>0x2C</v>
      </c>
      <c r="G532" s="117" t="str">
        <f>CONCATENATE(IF(ISNUMBER(INDEX('register map'!D:D,C532)),7,""),IF(ISNUMBER(INDEX('register map'!E:E,C532)),6,""),IF(ISNUMBER(INDEX('register map'!F:F,C532)),5,""),IF(ISNUMBER(INDEX('register map'!G:G,C532)),4,""),IF(ISNUMBER(INDEX('register map'!H:H,C532)),3,""),IF(ISNUMBER(INDEX('register map'!I:I,C532)),2,""),IF(ISNUMBER(INDEX('register map'!J:J,C532)),1,""),IF(ISNUMBER(INDEX('register map'!K:K,C532)),0,""))</f>
        <v>2</v>
      </c>
      <c r="H532" s="117" t="str">
        <f>RIGHT(INDEX('register map'!V:V,MATCH('Logical Group Generator'!B532,'register map'!L:L,0)),LEN(G532))</f>
        <v>0</v>
      </c>
      <c r="I532" s="117" t="str">
        <f>CONCATENATE(IF(ISNUMBER(INDEX('register map'!K:K,C532)),0,""),IF(ISNUMBER(INDEX('register map'!J:J,C532)),1,""),IF(ISNUMBER(INDEX('register map'!I:I,C532)),2,""),IF(ISNUMBER(INDEX('register map'!H:H,C532)),3,""),IF(ISNUMBER(INDEX('register map'!G:G,C532)),4,""),IF(ISNUMBER(INDEX('register map'!F:F,C532)),5,""),IF(ISNUMBER(INDEX('register map'!E:E,C532)),6,""),IF(ISNUMBER(INDEX('register map'!D:D,C532)),7,""))</f>
        <v>2</v>
      </c>
      <c r="J532" s="117" t="str">
        <f t="shared" si="95"/>
        <v>0</v>
      </c>
      <c r="K532" s="117" t="str">
        <f t="shared" si="88"/>
        <v/>
      </c>
      <c r="L532" s="117" t="str">
        <f t="shared" si="96"/>
        <v/>
      </c>
      <c r="M532" s="117" t="str">
        <f t="shared" si="98"/>
        <v/>
      </c>
      <c r="N532" s="117" t="str">
        <f>IF(ISBLANK(INDEX('register map'!M:M,'Logical Group Generator'!C532)),"No","Yes")</f>
        <v>No</v>
      </c>
      <c r="O532" s="117" t="str">
        <f>IF(NOT(ISBLANK(INDEX('register map'!N:N,'Logical Group Generator'!C532))),"Yes","")</f>
        <v/>
      </c>
      <c r="P532" s="117" t="str">
        <f t="shared" si="89"/>
        <v/>
      </c>
      <c r="Q532" s="117" t="str">
        <f t="shared" si="90"/>
        <v/>
      </c>
      <c r="R532" s="117" t="str">
        <f t="shared" si="91"/>
        <v/>
      </c>
      <c r="S532" s="117" t="str">
        <f t="shared" si="92"/>
        <v>No</v>
      </c>
      <c r="T532" s="117" t="str">
        <f t="shared" si="93"/>
        <v/>
      </c>
      <c r="U532" s="117" t="b">
        <f t="shared" si="97"/>
        <v>0</v>
      </c>
      <c r="V532" s="157" t="b">
        <f>INDEX('register map'!P:P,C532)="yes"</f>
        <v>1</v>
      </c>
      <c r="W532" s="157" t="str">
        <f t="shared" si="94"/>
        <v>FALSE</v>
      </c>
    </row>
    <row r="533" spans="2:23">
      <c r="B533" s="157" t="str">
        <f t="array" ref="B533">IF(ROWS($3:533)&lt;=COUNTA('register map'!$L$5:$L$902),INDEX('register map'!$L$5:$L$902,SMALL(IF('register map'!$L$5:$L$902&lt;&gt;"",ROW('register map'!$L$5:$L$902)-MIN(ROW('register map'!$L$5:$L$902))+1),ROWS($3:533))),"")</f>
        <v>OTP_RSVD_38_2C_3</v>
      </c>
      <c r="C533" s="157">
        <f>IF(B533="PART_NUMBER",IF(COUNTIF($B$1:B532,"PART_NUMBER")=0,6,8),MATCH(B533,'register map'!L:L,0))</f>
        <v>637</v>
      </c>
      <c r="D533" s="117" t="str">
        <f>IF(ISBLANK(INDEX('register map'!C:C,'Logical Group Generator'!C533)),"No","Yes")</f>
        <v>No</v>
      </c>
      <c r="E533" s="117" t="str">
        <f>IF(ISBLANK(INDEX('register map'!A:A,C533)),IF(ISBLANK(INDEX('register map'!A:A,C533-1)),IF(ISBLANK(INDEX('register map'!A:A,C533-2)),IF(ISBLANK(INDEX('register map'!A:A,C533-3)),IF(ISBLANK(INDEX('register map'!A:A,C533-4)),IF(ISBLANK(INDEX('register map'!A:A,C533-5)),IF(ISBLANK(INDEX('register map'!A:A,C533-6)),IF(ISBLANK(INDEX('register map'!A:A,C533-7)),IF(ISBLANK(INDEX('register map'!A:A,C533-8)),"ERROR",INDEX('register map'!A:A,C533-8)),INDEX('register map'!A:A,C533-7)),INDEX('register map'!A:A,C533-6)),INDEX('register map'!A:A,C533-5)),INDEX('register map'!A:A,C533-4)),INDEX('register map'!A:A,C533-3)),INDEX('register map'!A:A,C533-2)),INDEX('register map'!A:A,C533-1)),INDEX('register map'!A:A,C533))</f>
        <v>0x38</v>
      </c>
      <c r="F533" s="117" t="str">
        <f>IF(ISBLANK(INDEX('register map'!B:B,C533)),IF(ISBLANK(INDEX('register map'!B:B,C533-1)),IF(ISBLANK(INDEX('register map'!B:B,C533-2)),IF(ISBLANK(INDEX('register map'!B:B,C533-3)),IF(ISBLANK(INDEX('register map'!B:B,C533-4)),IF(ISBLANK(INDEX('register map'!B:B,C533-5)),IF(ISBLANK(INDEX('register map'!B:B,C533-6)),IF(ISBLANK(INDEX('register map'!B:B,C533-7)),IF(ISBLANK(INDEX('register map'!B:B,C533-8)),"ERROR",INDEX('register map'!B:B,C533-8)),INDEX('register map'!B:B,C533-7)),INDEX('register map'!B:B,C533-6)),INDEX('register map'!B:B,C533-5)),INDEX('register map'!B:B,C533-4)),INDEX('register map'!B:B,C533-3)),INDEX('register map'!B:B,C533-2)),INDEX('register map'!B:B,C533-1)),INDEX('register map'!B:B,C533))</f>
        <v>0x2C</v>
      </c>
      <c r="G533" s="117" t="str">
        <f>CONCATENATE(IF(ISNUMBER(INDEX('register map'!D:D,C533)),7,""),IF(ISNUMBER(INDEX('register map'!E:E,C533)),6,""),IF(ISNUMBER(INDEX('register map'!F:F,C533)),5,""),IF(ISNUMBER(INDEX('register map'!G:G,C533)),4,""),IF(ISNUMBER(INDEX('register map'!H:H,C533)),3,""),IF(ISNUMBER(INDEX('register map'!I:I,C533)),2,""),IF(ISNUMBER(INDEX('register map'!J:J,C533)),1,""),IF(ISNUMBER(INDEX('register map'!K:K,C533)),0,""))</f>
        <v>3</v>
      </c>
      <c r="H533" s="117" t="str">
        <f>RIGHT(INDEX('register map'!V:V,MATCH('Logical Group Generator'!B533,'register map'!L:L,0)),LEN(G533))</f>
        <v>0</v>
      </c>
      <c r="I533" s="117" t="str">
        <f>CONCATENATE(IF(ISNUMBER(INDEX('register map'!K:K,C533)),0,""),IF(ISNUMBER(INDEX('register map'!J:J,C533)),1,""),IF(ISNUMBER(INDEX('register map'!I:I,C533)),2,""),IF(ISNUMBER(INDEX('register map'!H:H,C533)),3,""),IF(ISNUMBER(INDEX('register map'!G:G,C533)),4,""),IF(ISNUMBER(INDEX('register map'!F:F,C533)),5,""),IF(ISNUMBER(INDEX('register map'!E:E,C533)),6,""),IF(ISNUMBER(INDEX('register map'!D:D,C533)),7,""))</f>
        <v>3</v>
      </c>
      <c r="J533" s="117" t="str">
        <f t="shared" si="95"/>
        <v>0</v>
      </c>
      <c r="K533" s="117" t="str">
        <f t="shared" si="88"/>
        <v/>
      </c>
      <c r="L533" s="117" t="str">
        <f t="shared" si="96"/>
        <v/>
      </c>
      <c r="M533" s="117" t="str">
        <f t="shared" si="98"/>
        <v/>
      </c>
      <c r="N533" s="117" t="str">
        <f>IF(ISBLANK(INDEX('register map'!M:M,'Logical Group Generator'!C533)),"No","Yes")</f>
        <v>No</v>
      </c>
      <c r="O533" s="117" t="str">
        <f>IF(NOT(ISBLANK(INDEX('register map'!N:N,'Logical Group Generator'!C533))),"Yes","")</f>
        <v/>
      </c>
      <c r="P533" s="117" t="str">
        <f t="shared" si="89"/>
        <v/>
      </c>
      <c r="Q533" s="117" t="str">
        <f t="shared" si="90"/>
        <v/>
      </c>
      <c r="R533" s="117" t="str">
        <f t="shared" si="91"/>
        <v/>
      </c>
      <c r="S533" s="117" t="str">
        <f t="shared" si="92"/>
        <v>No</v>
      </c>
      <c r="T533" s="117" t="str">
        <f t="shared" si="93"/>
        <v/>
      </c>
      <c r="U533" s="117" t="b">
        <f t="shared" si="97"/>
        <v>0</v>
      </c>
      <c r="V533" s="157" t="b">
        <f>INDEX('register map'!P:P,C533)="yes"</f>
        <v>1</v>
      </c>
      <c r="W533" s="157" t="str">
        <f t="shared" si="94"/>
        <v>FALSE</v>
      </c>
    </row>
    <row r="534" spans="2:23">
      <c r="B534" s="157" t="str">
        <f t="array" ref="B534">IF(ROWS($3:534)&lt;=COUNTA('register map'!$L$5:$L$902),INDEX('register map'!$L$5:$L$902,SMALL(IF('register map'!$L$5:$L$902&lt;&gt;"",ROW('register map'!$L$5:$L$902)-MIN(ROW('register map'!$L$5:$L$902))+1),ROWS($3:534))),"")</f>
        <v>OTP_RSVD_38_2C_4</v>
      </c>
      <c r="C534" s="157">
        <f>IF(B534="PART_NUMBER",IF(COUNTIF($B$1:B533,"PART_NUMBER")=0,6,8),MATCH(B534,'register map'!L:L,0))</f>
        <v>638</v>
      </c>
      <c r="D534" s="117" t="str">
        <f>IF(ISBLANK(INDEX('register map'!C:C,'Logical Group Generator'!C534)),"No","Yes")</f>
        <v>No</v>
      </c>
      <c r="E534" s="117" t="str">
        <f>IF(ISBLANK(INDEX('register map'!A:A,C534)),IF(ISBLANK(INDEX('register map'!A:A,C534-1)),IF(ISBLANK(INDEX('register map'!A:A,C534-2)),IF(ISBLANK(INDEX('register map'!A:A,C534-3)),IF(ISBLANK(INDEX('register map'!A:A,C534-4)),IF(ISBLANK(INDEX('register map'!A:A,C534-5)),IF(ISBLANK(INDEX('register map'!A:A,C534-6)),IF(ISBLANK(INDEX('register map'!A:A,C534-7)),IF(ISBLANK(INDEX('register map'!A:A,C534-8)),"ERROR",INDEX('register map'!A:A,C534-8)),INDEX('register map'!A:A,C534-7)),INDEX('register map'!A:A,C534-6)),INDEX('register map'!A:A,C534-5)),INDEX('register map'!A:A,C534-4)),INDEX('register map'!A:A,C534-3)),INDEX('register map'!A:A,C534-2)),INDEX('register map'!A:A,C534-1)),INDEX('register map'!A:A,C534))</f>
        <v>0x38</v>
      </c>
      <c r="F534" s="117" t="str">
        <f>IF(ISBLANK(INDEX('register map'!B:B,C534)),IF(ISBLANK(INDEX('register map'!B:B,C534-1)),IF(ISBLANK(INDEX('register map'!B:B,C534-2)),IF(ISBLANK(INDEX('register map'!B:B,C534-3)),IF(ISBLANK(INDEX('register map'!B:B,C534-4)),IF(ISBLANK(INDEX('register map'!B:B,C534-5)),IF(ISBLANK(INDEX('register map'!B:B,C534-6)),IF(ISBLANK(INDEX('register map'!B:B,C534-7)),IF(ISBLANK(INDEX('register map'!B:B,C534-8)),"ERROR",INDEX('register map'!B:B,C534-8)),INDEX('register map'!B:B,C534-7)),INDEX('register map'!B:B,C534-6)),INDEX('register map'!B:B,C534-5)),INDEX('register map'!B:B,C534-4)),INDEX('register map'!B:B,C534-3)),INDEX('register map'!B:B,C534-2)),INDEX('register map'!B:B,C534-1)),INDEX('register map'!B:B,C534))</f>
        <v>0x2C</v>
      </c>
      <c r="G534" s="117" t="str">
        <f>CONCATENATE(IF(ISNUMBER(INDEX('register map'!D:D,C534)),7,""),IF(ISNUMBER(INDEX('register map'!E:E,C534)),6,""),IF(ISNUMBER(INDEX('register map'!F:F,C534)),5,""),IF(ISNUMBER(INDEX('register map'!G:G,C534)),4,""),IF(ISNUMBER(INDEX('register map'!H:H,C534)),3,""),IF(ISNUMBER(INDEX('register map'!I:I,C534)),2,""),IF(ISNUMBER(INDEX('register map'!J:J,C534)),1,""),IF(ISNUMBER(INDEX('register map'!K:K,C534)),0,""))</f>
        <v>4</v>
      </c>
      <c r="H534" s="117" t="str">
        <f>RIGHT(INDEX('register map'!V:V,MATCH('Logical Group Generator'!B534,'register map'!L:L,0)),LEN(G534))</f>
        <v>0</v>
      </c>
      <c r="I534" s="117" t="str">
        <f>CONCATENATE(IF(ISNUMBER(INDEX('register map'!K:K,C534)),0,""),IF(ISNUMBER(INDEX('register map'!J:J,C534)),1,""),IF(ISNUMBER(INDEX('register map'!I:I,C534)),2,""),IF(ISNUMBER(INDEX('register map'!H:H,C534)),3,""),IF(ISNUMBER(INDEX('register map'!G:G,C534)),4,""),IF(ISNUMBER(INDEX('register map'!F:F,C534)),5,""),IF(ISNUMBER(INDEX('register map'!E:E,C534)),6,""),IF(ISNUMBER(INDEX('register map'!D:D,C534)),7,""))</f>
        <v>4</v>
      </c>
      <c r="J534" s="117" t="str">
        <f t="shared" si="95"/>
        <v>0</v>
      </c>
      <c r="K534" s="117" t="str">
        <f t="shared" si="88"/>
        <v/>
      </c>
      <c r="L534" s="117" t="str">
        <f t="shared" si="96"/>
        <v/>
      </c>
      <c r="M534" s="117" t="str">
        <f t="shared" si="98"/>
        <v/>
      </c>
      <c r="N534" s="117" t="str">
        <f>IF(ISBLANK(INDEX('register map'!M:M,'Logical Group Generator'!C534)),"No","Yes")</f>
        <v>No</v>
      </c>
      <c r="O534" s="117" t="str">
        <f>IF(NOT(ISBLANK(INDEX('register map'!N:N,'Logical Group Generator'!C534))),"Yes","")</f>
        <v/>
      </c>
      <c r="P534" s="117" t="str">
        <f t="shared" si="89"/>
        <v/>
      </c>
      <c r="Q534" s="117" t="str">
        <f t="shared" si="90"/>
        <v/>
      </c>
      <c r="R534" s="117" t="str">
        <f t="shared" si="91"/>
        <v/>
      </c>
      <c r="S534" s="117" t="str">
        <f t="shared" si="92"/>
        <v>No</v>
      </c>
      <c r="T534" s="117" t="str">
        <f t="shared" si="93"/>
        <v/>
      </c>
      <c r="U534" s="117" t="b">
        <f t="shared" si="97"/>
        <v>0</v>
      </c>
      <c r="V534" s="157" t="b">
        <f>INDEX('register map'!P:P,C534)="yes"</f>
        <v>1</v>
      </c>
      <c r="W534" s="157" t="str">
        <f t="shared" si="94"/>
        <v>FALSE</v>
      </c>
    </row>
    <row r="535" spans="2:23">
      <c r="B535" s="157" t="str">
        <f t="array" ref="B535">IF(ROWS($3:535)&lt;=COUNTA('register map'!$L$5:$L$902),INDEX('register map'!$L$5:$L$902,SMALL(IF('register map'!$L$5:$L$902&lt;&gt;"",ROW('register map'!$L$5:$L$902)-MIN(ROW('register map'!$L$5:$L$902))+1),ROWS($3:535))),"")</f>
        <v>OTP_RSVD_38_2C_5</v>
      </c>
      <c r="C535" s="157">
        <f>IF(B535="PART_NUMBER",IF(COUNTIF($B$1:B534,"PART_NUMBER")=0,6,8),MATCH(B535,'register map'!L:L,0))</f>
        <v>639</v>
      </c>
      <c r="D535" s="117" t="str">
        <f>IF(ISBLANK(INDEX('register map'!C:C,'Logical Group Generator'!C535)),"No","Yes")</f>
        <v>No</v>
      </c>
      <c r="E535" s="117" t="str">
        <f>IF(ISBLANK(INDEX('register map'!A:A,C535)),IF(ISBLANK(INDEX('register map'!A:A,C535-1)),IF(ISBLANK(INDEX('register map'!A:A,C535-2)),IF(ISBLANK(INDEX('register map'!A:A,C535-3)),IF(ISBLANK(INDEX('register map'!A:A,C535-4)),IF(ISBLANK(INDEX('register map'!A:A,C535-5)),IF(ISBLANK(INDEX('register map'!A:A,C535-6)),IF(ISBLANK(INDEX('register map'!A:A,C535-7)),IF(ISBLANK(INDEX('register map'!A:A,C535-8)),"ERROR",INDEX('register map'!A:A,C535-8)),INDEX('register map'!A:A,C535-7)),INDEX('register map'!A:A,C535-6)),INDEX('register map'!A:A,C535-5)),INDEX('register map'!A:A,C535-4)),INDEX('register map'!A:A,C535-3)),INDEX('register map'!A:A,C535-2)),INDEX('register map'!A:A,C535-1)),INDEX('register map'!A:A,C535))</f>
        <v>0x38</v>
      </c>
      <c r="F535" s="117" t="str">
        <f>IF(ISBLANK(INDEX('register map'!B:B,C535)),IF(ISBLANK(INDEX('register map'!B:B,C535-1)),IF(ISBLANK(INDEX('register map'!B:B,C535-2)),IF(ISBLANK(INDEX('register map'!B:B,C535-3)),IF(ISBLANK(INDEX('register map'!B:B,C535-4)),IF(ISBLANK(INDEX('register map'!B:B,C535-5)),IF(ISBLANK(INDEX('register map'!B:B,C535-6)),IF(ISBLANK(INDEX('register map'!B:B,C535-7)),IF(ISBLANK(INDEX('register map'!B:B,C535-8)),"ERROR",INDEX('register map'!B:B,C535-8)),INDEX('register map'!B:B,C535-7)),INDEX('register map'!B:B,C535-6)),INDEX('register map'!B:B,C535-5)),INDEX('register map'!B:B,C535-4)),INDEX('register map'!B:B,C535-3)),INDEX('register map'!B:B,C535-2)),INDEX('register map'!B:B,C535-1)),INDEX('register map'!B:B,C535))</f>
        <v>0x2C</v>
      </c>
      <c r="G535" s="117" t="str">
        <f>CONCATENATE(IF(ISNUMBER(INDEX('register map'!D:D,C535)),7,""),IF(ISNUMBER(INDEX('register map'!E:E,C535)),6,""),IF(ISNUMBER(INDEX('register map'!F:F,C535)),5,""),IF(ISNUMBER(INDEX('register map'!G:G,C535)),4,""),IF(ISNUMBER(INDEX('register map'!H:H,C535)),3,""),IF(ISNUMBER(INDEX('register map'!I:I,C535)),2,""),IF(ISNUMBER(INDEX('register map'!J:J,C535)),1,""),IF(ISNUMBER(INDEX('register map'!K:K,C535)),0,""))</f>
        <v>5</v>
      </c>
      <c r="H535" s="117" t="str">
        <f>RIGHT(INDEX('register map'!V:V,MATCH('Logical Group Generator'!B535,'register map'!L:L,0)),LEN(G535))</f>
        <v>1</v>
      </c>
      <c r="I535" s="117" t="str">
        <f>CONCATENATE(IF(ISNUMBER(INDEX('register map'!K:K,C535)),0,""),IF(ISNUMBER(INDEX('register map'!J:J,C535)),1,""),IF(ISNUMBER(INDEX('register map'!I:I,C535)),2,""),IF(ISNUMBER(INDEX('register map'!H:H,C535)),3,""),IF(ISNUMBER(INDEX('register map'!G:G,C535)),4,""),IF(ISNUMBER(INDEX('register map'!F:F,C535)),5,""),IF(ISNUMBER(INDEX('register map'!E:E,C535)),6,""),IF(ISNUMBER(INDEX('register map'!D:D,C535)),7,""))</f>
        <v>5</v>
      </c>
      <c r="J535" s="117" t="str">
        <f t="shared" si="95"/>
        <v>1</v>
      </c>
      <c r="K535" s="117" t="str">
        <f t="shared" si="88"/>
        <v/>
      </c>
      <c r="L535" s="117" t="str">
        <f t="shared" si="96"/>
        <v/>
      </c>
      <c r="M535" s="117" t="str">
        <f t="shared" si="98"/>
        <v/>
      </c>
      <c r="N535" s="117" t="str">
        <f>IF(ISBLANK(INDEX('register map'!M:M,'Logical Group Generator'!C535)),"No","Yes")</f>
        <v>No</v>
      </c>
      <c r="O535" s="117" t="str">
        <f>IF(NOT(ISBLANK(INDEX('register map'!N:N,'Logical Group Generator'!C535))),"Yes","")</f>
        <v/>
      </c>
      <c r="P535" s="117" t="str">
        <f t="shared" si="89"/>
        <v/>
      </c>
      <c r="Q535" s="117" t="str">
        <f t="shared" si="90"/>
        <v/>
      </c>
      <c r="R535" s="117" t="str">
        <f t="shared" si="91"/>
        <v/>
      </c>
      <c r="S535" s="117" t="str">
        <f t="shared" si="92"/>
        <v>No</v>
      </c>
      <c r="T535" s="117" t="str">
        <f t="shared" si="93"/>
        <v/>
      </c>
      <c r="U535" s="117" t="b">
        <f t="shared" si="97"/>
        <v>0</v>
      </c>
      <c r="V535" s="157" t="b">
        <f>INDEX('register map'!P:P,C535)="yes"</f>
        <v>1</v>
      </c>
      <c r="W535" s="157" t="str">
        <f t="shared" si="94"/>
        <v>FALSE</v>
      </c>
    </row>
    <row r="536" spans="2:23">
      <c r="B536" s="157" t="str">
        <f t="array" ref="B536">IF(ROWS($3:536)&lt;=COUNTA('register map'!$L$5:$L$902),INDEX('register map'!$L$5:$L$902,SMALL(IF('register map'!$L$5:$L$902&lt;&gt;"",ROW('register map'!$L$5:$L$902)-MIN(ROW('register map'!$L$5:$L$902))+1),ROWS($3:536))),"")</f>
        <v>OTP_RSVD_38_2C_76</v>
      </c>
      <c r="C536" s="157">
        <f>IF(B536="PART_NUMBER",IF(COUNTIF($B$1:B535,"PART_NUMBER")=0,6,8),MATCH(B536,'register map'!L:L,0))</f>
        <v>640</v>
      </c>
      <c r="D536" s="117" t="str">
        <f>IF(ISBLANK(INDEX('register map'!C:C,'Logical Group Generator'!C536)),"No","Yes")</f>
        <v>No</v>
      </c>
      <c r="E536" s="117" t="str">
        <f>IF(ISBLANK(INDEX('register map'!A:A,C536)),IF(ISBLANK(INDEX('register map'!A:A,C536-1)),IF(ISBLANK(INDEX('register map'!A:A,C536-2)),IF(ISBLANK(INDEX('register map'!A:A,C536-3)),IF(ISBLANK(INDEX('register map'!A:A,C536-4)),IF(ISBLANK(INDEX('register map'!A:A,C536-5)),IF(ISBLANK(INDEX('register map'!A:A,C536-6)),IF(ISBLANK(INDEX('register map'!A:A,C536-7)),IF(ISBLANK(INDEX('register map'!A:A,C536-8)),"ERROR",INDEX('register map'!A:A,C536-8)),INDEX('register map'!A:A,C536-7)),INDEX('register map'!A:A,C536-6)),INDEX('register map'!A:A,C536-5)),INDEX('register map'!A:A,C536-4)),INDEX('register map'!A:A,C536-3)),INDEX('register map'!A:A,C536-2)),INDEX('register map'!A:A,C536-1)),INDEX('register map'!A:A,C536))</f>
        <v>0x38</v>
      </c>
      <c r="F536" s="117" t="str">
        <f>IF(ISBLANK(INDEX('register map'!B:B,C536)),IF(ISBLANK(INDEX('register map'!B:B,C536-1)),IF(ISBLANK(INDEX('register map'!B:B,C536-2)),IF(ISBLANK(INDEX('register map'!B:B,C536-3)),IF(ISBLANK(INDEX('register map'!B:B,C536-4)),IF(ISBLANK(INDEX('register map'!B:B,C536-5)),IF(ISBLANK(INDEX('register map'!B:B,C536-6)),IF(ISBLANK(INDEX('register map'!B:B,C536-7)),IF(ISBLANK(INDEX('register map'!B:B,C536-8)),"ERROR",INDEX('register map'!B:B,C536-8)),INDEX('register map'!B:B,C536-7)),INDEX('register map'!B:B,C536-6)),INDEX('register map'!B:B,C536-5)),INDEX('register map'!B:B,C536-4)),INDEX('register map'!B:B,C536-3)),INDEX('register map'!B:B,C536-2)),INDEX('register map'!B:B,C536-1)),INDEX('register map'!B:B,C536))</f>
        <v>0x2C</v>
      </c>
      <c r="G536" s="117" t="str">
        <f>CONCATENATE(IF(ISNUMBER(INDEX('register map'!D:D,C536)),7,""),IF(ISNUMBER(INDEX('register map'!E:E,C536)),6,""),IF(ISNUMBER(INDEX('register map'!F:F,C536)),5,""),IF(ISNUMBER(INDEX('register map'!G:G,C536)),4,""),IF(ISNUMBER(INDEX('register map'!H:H,C536)),3,""),IF(ISNUMBER(INDEX('register map'!I:I,C536)),2,""),IF(ISNUMBER(INDEX('register map'!J:J,C536)),1,""),IF(ISNUMBER(INDEX('register map'!K:K,C536)),0,""))</f>
        <v>76</v>
      </c>
      <c r="H536" s="117" t="str">
        <f>RIGHT(INDEX('register map'!V:V,MATCH('Logical Group Generator'!B536,'register map'!L:L,0)),LEN(G536))</f>
        <v>10</v>
      </c>
      <c r="I536" s="117" t="str">
        <f>CONCATENATE(IF(ISNUMBER(INDEX('register map'!K:K,C536)),0,""),IF(ISNUMBER(INDEX('register map'!J:J,C536)),1,""),IF(ISNUMBER(INDEX('register map'!I:I,C536)),2,""),IF(ISNUMBER(INDEX('register map'!H:H,C536)),3,""),IF(ISNUMBER(INDEX('register map'!G:G,C536)),4,""),IF(ISNUMBER(INDEX('register map'!F:F,C536)),5,""),IF(ISNUMBER(INDEX('register map'!E:E,C536)),6,""),IF(ISNUMBER(INDEX('register map'!D:D,C536)),7,""))</f>
        <v>67</v>
      </c>
      <c r="J536" s="117" t="str">
        <f t="shared" si="95"/>
        <v>01</v>
      </c>
      <c r="K536" s="117" t="str">
        <f t="shared" si="88"/>
        <v/>
      </c>
      <c r="L536" s="117" t="str">
        <f t="shared" si="96"/>
        <v/>
      </c>
      <c r="M536" s="117" t="str">
        <f t="shared" si="98"/>
        <v/>
      </c>
      <c r="N536" s="117" t="str">
        <f>IF(ISBLANK(INDEX('register map'!M:M,'Logical Group Generator'!C536)),"No","Yes")</f>
        <v>No</v>
      </c>
      <c r="O536" s="117" t="str">
        <f>IF(NOT(ISBLANK(INDEX('register map'!N:N,'Logical Group Generator'!C536))),"Yes","")</f>
        <v/>
      </c>
      <c r="P536" s="117" t="str">
        <f t="shared" si="89"/>
        <v/>
      </c>
      <c r="Q536" s="117" t="str">
        <f t="shared" si="90"/>
        <v/>
      </c>
      <c r="R536" s="117" t="str">
        <f t="shared" si="91"/>
        <v/>
      </c>
      <c r="S536" s="117" t="str">
        <f t="shared" si="92"/>
        <v>No</v>
      </c>
      <c r="T536" s="117" t="str">
        <f t="shared" si="93"/>
        <v/>
      </c>
      <c r="U536" s="117" t="b">
        <f t="shared" si="97"/>
        <v>0</v>
      </c>
      <c r="V536" s="157" t="b">
        <f>INDEX('register map'!P:P,C536)="yes"</f>
        <v>1</v>
      </c>
      <c r="W536" s="157" t="str">
        <f t="shared" si="94"/>
        <v>FALSE</v>
      </c>
    </row>
    <row r="537" spans="2:23">
      <c r="B537" s="157" t="str">
        <f t="array" ref="B537">IF(ROWS($3:537)&lt;=COUNTA('register map'!$L$5:$L$902),INDEX('register map'!$L$5:$L$902,SMALL(IF('register map'!$L$5:$L$902&lt;&gt;"",ROW('register map'!$L$5:$L$902)-MIN(ROW('register map'!$L$5:$L$902))+1),ROWS($3:537))),"")</f>
        <v>OTP_RSVD_38_2D</v>
      </c>
      <c r="C537" s="157">
        <f>IF(B537="PART_NUMBER",IF(COUNTIF($B$1:B536,"PART_NUMBER")=0,6,8),MATCH(B537,'register map'!L:L,0))</f>
        <v>641</v>
      </c>
      <c r="D537" s="117" t="str">
        <f>IF(ISBLANK(INDEX('register map'!C:C,'Logical Group Generator'!C537)),"No","Yes")</f>
        <v>Yes</v>
      </c>
      <c r="E537" s="117" t="str">
        <f>IF(ISBLANK(INDEX('register map'!A:A,C537)),IF(ISBLANK(INDEX('register map'!A:A,C537-1)),IF(ISBLANK(INDEX('register map'!A:A,C537-2)),IF(ISBLANK(INDEX('register map'!A:A,C537-3)),IF(ISBLANK(INDEX('register map'!A:A,C537-4)),IF(ISBLANK(INDEX('register map'!A:A,C537-5)),IF(ISBLANK(INDEX('register map'!A:A,C537-6)),IF(ISBLANK(INDEX('register map'!A:A,C537-7)),IF(ISBLANK(INDEX('register map'!A:A,C537-8)),"ERROR",INDEX('register map'!A:A,C537-8)),INDEX('register map'!A:A,C537-7)),INDEX('register map'!A:A,C537-6)),INDEX('register map'!A:A,C537-5)),INDEX('register map'!A:A,C537-4)),INDEX('register map'!A:A,C537-3)),INDEX('register map'!A:A,C537-2)),INDEX('register map'!A:A,C537-1)),INDEX('register map'!A:A,C537))</f>
        <v>0x38</v>
      </c>
      <c r="F537" s="117" t="str">
        <f>IF(ISBLANK(INDEX('register map'!B:B,C537)),IF(ISBLANK(INDEX('register map'!B:B,C537-1)),IF(ISBLANK(INDEX('register map'!B:B,C537-2)),IF(ISBLANK(INDEX('register map'!B:B,C537-3)),IF(ISBLANK(INDEX('register map'!B:B,C537-4)),IF(ISBLANK(INDEX('register map'!B:B,C537-5)),IF(ISBLANK(INDEX('register map'!B:B,C537-6)),IF(ISBLANK(INDEX('register map'!B:B,C537-7)),IF(ISBLANK(INDEX('register map'!B:B,C537-8)),"ERROR",INDEX('register map'!B:B,C537-8)),INDEX('register map'!B:B,C537-7)),INDEX('register map'!B:B,C537-6)),INDEX('register map'!B:B,C537-5)),INDEX('register map'!B:B,C537-4)),INDEX('register map'!B:B,C537-3)),INDEX('register map'!B:B,C537-2)),INDEX('register map'!B:B,C537-1)),INDEX('register map'!B:B,C537))</f>
        <v>0x2D</v>
      </c>
      <c r="G537" s="117" t="str">
        <f>CONCATENATE(IF(ISNUMBER(INDEX('register map'!D:D,C537)),7,""),IF(ISNUMBER(INDEX('register map'!E:E,C537)),6,""),IF(ISNUMBER(INDEX('register map'!F:F,C537)),5,""),IF(ISNUMBER(INDEX('register map'!G:G,C537)),4,""),IF(ISNUMBER(INDEX('register map'!H:H,C537)),3,""),IF(ISNUMBER(INDEX('register map'!I:I,C537)),2,""),IF(ISNUMBER(INDEX('register map'!J:J,C537)),1,""),IF(ISNUMBER(INDEX('register map'!K:K,C537)),0,""))</f>
        <v/>
      </c>
      <c r="H537" s="117" t="str">
        <f>RIGHT(INDEX('register map'!V:V,MATCH('Logical Group Generator'!B537,'register map'!L:L,0)),LEN(G537))</f>
        <v/>
      </c>
      <c r="I537" s="117" t="str">
        <f>CONCATENATE(IF(ISNUMBER(INDEX('register map'!K:K,C537)),0,""),IF(ISNUMBER(INDEX('register map'!J:J,C537)),1,""),IF(ISNUMBER(INDEX('register map'!I:I,C537)),2,""),IF(ISNUMBER(INDEX('register map'!H:H,C537)),3,""),IF(ISNUMBER(INDEX('register map'!G:G,C537)),4,""),IF(ISNUMBER(INDEX('register map'!F:F,C537)),5,""),IF(ISNUMBER(INDEX('register map'!E:E,C537)),6,""),IF(ISNUMBER(INDEX('register map'!D:D,C537)),7,""))</f>
        <v/>
      </c>
      <c r="J537" s="117" t="str">
        <f t="shared" si="95"/>
        <v/>
      </c>
      <c r="K537" s="117" t="str">
        <f t="shared" si="88"/>
        <v>01010001</v>
      </c>
      <c r="L537" s="117" t="str">
        <f t="shared" si="96"/>
        <v>10001010</v>
      </c>
      <c r="M537" s="117" t="str">
        <f t="shared" si="98"/>
        <v>8A</v>
      </c>
      <c r="N537" s="117" t="str">
        <f>IF(ISBLANK(INDEX('register map'!M:M,'Logical Group Generator'!C537)),"No","Yes")</f>
        <v>No</v>
      </c>
      <c r="O537" s="117" t="str">
        <f>IF(NOT(ISBLANK(INDEX('register map'!N:N,'Logical Group Generator'!C537))),"Yes","")</f>
        <v/>
      </c>
      <c r="P537" s="117" t="str">
        <f t="shared" si="89"/>
        <v>Yes</v>
      </c>
      <c r="Q537" s="117" t="str">
        <f t="shared" si="90"/>
        <v>Yes</v>
      </c>
      <c r="R537" s="117" t="str">
        <f t="shared" si="91"/>
        <v>No</v>
      </c>
      <c r="S537" s="117" t="str">
        <f t="shared" si="92"/>
        <v/>
      </c>
      <c r="T537" s="117" t="b">
        <f t="shared" si="93"/>
        <v>1</v>
      </c>
      <c r="U537" s="117" t="b">
        <f t="shared" si="97"/>
        <v>0</v>
      </c>
      <c r="V537" s="157" t="b">
        <f>INDEX('register map'!P:P,C537)="yes"</f>
        <v>1</v>
      </c>
      <c r="W537" s="157" t="str">
        <f t="shared" si="94"/>
        <v>FALSE</v>
      </c>
    </row>
    <row r="538" spans="2:23">
      <c r="B538" s="157" t="str">
        <f t="array" ref="B538">IF(ROWS($3:538)&lt;=COUNTA('register map'!$L$5:$L$902),INDEX('register map'!$L$5:$L$902,SMALL(IF('register map'!$L$5:$L$902&lt;&gt;"",ROW('register map'!$L$5:$L$902)-MIN(ROW('register map'!$L$5:$L$902))+1),ROWS($3:538))),"")</f>
        <v>OTP_RSVD_38_2D_210</v>
      </c>
      <c r="C538" s="157">
        <f>IF(B538="PART_NUMBER",IF(COUNTIF($B$1:B537,"PART_NUMBER")=0,6,8),MATCH(B538,'register map'!L:L,0))</f>
        <v>642</v>
      </c>
      <c r="D538" s="117" t="str">
        <f>IF(ISBLANK(INDEX('register map'!C:C,'Logical Group Generator'!C538)),"No","Yes")</f>
        <v>No</v>
      </c>
      <c r="E538" s="117" t="str">
        <f>IF(ISBLANK(INDEX('register map'!A:A,C538)),IF(ISBLANK(INDEX('register map'!A:A,C538-1)),IF(ISBLANK(INDEX('register map'!A:A,C538-2)),IF(ISBLANK(INDEX('register map'!A:A,C538-3)),IF(ISBLANK(INDEX('register map'!A:A,C538-4)),IF(ISBLANK(INDEX('register map'!A:A,C538-5)),IF(ISBLANK(INDEX('register map'!A:A,C538-6)),IF(ISBLANK(INDEX('register map'!A:A,C538-7)),IF(ISBLANK(INDEX('register map'!A:A,C538-8)),"ERROR",INDEX('register map'!A:A,C538-8)),INDEX('register map'!A:A,C538-7)),INDEX('register map'!A:A,C538-6)),INDEX('register map'!A:A,C538-5)),INDEX('register map'!A:A,C538-4)),INDEX('register map'!A:A,C538-3)),INDEX('register map'!A:A,C538-2)),INDEX('register map'!A:A,C538-1)),INDEX('register map'!A:A,C538))</f>
        <v>0x38</v>
      </c>
      <c r="F538" s="117" t="str">
        <f>IF(ISBLANK(INDEX('register map'!B:B,C538)),IF(ISBLANK(INDEX('register map'!B:B,C538-1)),IF(ISBLANK(INDEX('register map'!B:B,C538-2)),IF(ISBLANK(INDEX('register map'!B:B,C538-3)),IF(ISBLANK(INDEX('register map'!B:B,C538-4)),IF(ISBLANK(INDEX('register map'!B:B,C538-5)),IF(ISBLANK(INDEX('register map'!B:B,C538-6)),IF(ISBLANK(INDEX('register map'!B:B,C538-7)),IF(ISBLANK(INDEX('register map'!B:B,C538-8)),"ERROR",INDEX('register map'!B:B,C538-8)),INDEX('register map'!B:B,C538-7)),INDEX('register map'!B:B,C538-6)),INDEX('register map'!B:B,C538-5)),INDEX('register map'!B:B,C538-4)),INDEX('register map'!B:B,C538-3)),INDEX('register map'!B:B,C538-2)),INDEX('register map'!B:B,C538-1)),INDEX('register map'!B:B,C538))</f>
        <v>0x2D</v>
      </c>
      <c r="G538" s="117" t="str">
        <f>CONCATENATE(IF(ISNUMBER(INDEX('register map'!D:D,C538)),7,""),IF(ISNUMBER(INDEX('register map'!E:E,C538)),6,""),IF(ISNUMBER(INDEX('register map'!F:F,C538)),5,""),IF(ISNUMBER(INDEX('register map'!G:G,C538)),4,""),IF(ISNUMBER(INDEX('register map'!H:H,C538)),3,""),IF(ISNUMBER(INDEX('register map'!I:I,C538)),2,""),IF(ISNUMBER(INDEX('register map'!J:J,C538)),1,""),IF(ISNUMBER(INDEX('register map'!K:K,C538)),0,""))</f>
        <v>210</v>
      </c>
      <c r="H538" s="117" t="str">
        <f>RIGHT(INDEX('register map'!V:V,MATCH('Logical Group Generator'!B538,'register map'!L:L,0)),LEN(G538))</f>
        <v>010</v>
      </c>
      <c r="I538" s="117" t="str">
        <f>CONCATENATE(IF(ISNUMBER(INDEX('register map'!K:K,C538)),0,""),IF(ISNUMBER(INDEX('register map'!J:J,C538)),1,""),IF(ISNUMBER(INDEX('register map'!I:I,C538)),2,""),IF(ISNUMBER(INDEX('register map'!H:H,C538)),3,""),IF(ISNUMBER(INDEX('register map'!G:G,C538)),4,""),IF(ISNUMBER(INDEX('register map'!F:F,C538)),5,""),IF(ISNUMBER(INDEX('register map'!E:E,C538)),6,""),IF(ISNUMBER(INDEX('register map'!D:D,C538)),7,""))</f>
        <v>012</v>
      </c>
      <c r="J538" s="117" t="str">
        <f t="shared" si="95"/>
        <v>010</v>
      </c>
      <c r="K538" s="117" t="str">
        <f t="shared" si="88"/>
        <v/>
      </c>
      <c r="L538" s="117" t="str">
        <f t="shared" si="96"/>
        <v/>
      </c>
      <c r="M538" s="117" t="str">
        <f t="shared" si="98"/>
        <v/>
      </c>
      <c r="N538" s="117" t="str">
        <f>IF(ISBLANK(INDEX('register map'!M:M,'Logical Group Generator'!C538)),"No","Yes")</f>
        <v>Yes</v>
      </c>
      <c r="O538" s="117" t="str">
        <f>IF(NOT(ISBLANK(INDEX('register map'!N:N,'Logical Group Generator'!C538))),"Yes","")</f>
        <v/>
      </c>
      <c r="P538" s="117" t="str">
        <f t="shared" si="89"/>
        <v/>
      </c>
      <c r="Q538" s="117" t="str">
        <f t="shared" si="90"/>
        <v/>
      </c>
      <c r="R538" s="117" t="str">
        <f t="shared" si="91"/>
        <v/>
      </c>
      <c r="S538" s="117" t="str">
        <f t="shared" si="92"/>
        <v>No</v>
      </c>
      <c r="T538" s="117" t="str">
        <f t="shared" si="93"/>
        <v/>
      </c>
      <c r="U538" s="117" t="b">
        <f t="shared" si="97"/>
        <v>0</v>
      </c>
      <c r="V538" s="157" t="b">
        <f>INDEX('register map'!P:P,C538)="yes"</f>
        <v>1</v>
      </c>
      <c r="W538" s="157" t="str">
        <f t="shared" si="94"/>
        <v>FALSE</v>
      </c>
    </row>
    <row r="539" spans="2:23">
      <c r="B539" s="157" t="str">
        <f t="array" ref="B539">IF(ROWS($3:539)&lt;=COUNTA('register map'!$L$5:$L$902),INDEX('register map'!$L$5:$L$902,SMALL(IF('register map'!$L$5:$L$902&lt;&gt;"",ROW('register map'!$L$5:$L$902)-MIN(ROW('register map'!$L$5:$L$902))+1),ROWS($3:539))),"")</f>
        <v>OTP_RSVD_38_2D_3</v>
      </c>
      <c r="C539" s="157">
        <f>IF(B539="PART_NUMBER",IF(COUNTIF($B$1:B538,"PART_NUMBER")=0,6,8),MATCH(B539,'register map'!L:L,0))</f>
        <v>643</v>
      </c>
      <c r="D539" s="117" t="str">
        <f>IF(ISBLANK(INDEX('register map'!C:C,'Logical Group Generator'!C539)),"No","Yes")</f>
        <v>No</v>
      </c>
      <c r="E539" s="117" t="str">
        <f>IF(ISBLANK(INDEX('register map'!A:A,C539)),IF(ISBLANK(INDEX('register map'!A:A,C539-1)),IF(ISBLANK(INDEX('register map'!A:A,C539-2)),IF(ISBLANK(INDEX('register map'!A:A,C539-3)),IF(ISBLANK(INDEX('register map'!A:A,C539-4)),IF(ISBLANK(INDEX('register map'!A:A,C539-5)),IF(ISBLANK(INDEX('register map'!A:A,C539-6)),IF(ISBLANK(INDEX('register map'!A:A,C539-7)),IF(ISBLANK(INDEX('register map'!A:A,C539-8)),"ERROR",INDEX('register map'!A:A,C539-8)),INDEX('register map'!A:A,C539-7)),INDEX('register map'!A:A,C539-6)),INDEX('register map'!A:A,C539-5)),INDEX('register map'!A:A,C539-4)),INDEX('register map'!A:A,C539-3)),INDEX('register map'!A:A,C539-2)),INDEX('register map'!A:A,C539-1)),INDEX('register map'!A:A,C539))</f>
        <v>0x38</v>
      </c>
      <c r="F539" s="117" t="str">
        <f>IF(ISBLANK(INDEX('register map'!B:B,C539)),IF(ISBLANK(INDEX('register map'!B:B,C539-1)),IF(ISBLANK(INDEX('register map'!B:B,C539-2)),IF(ISBLANK(INDEX('register map'!B:B,C539-3)),IF(ISBLANK(INDEX('register map'!B:B,C539-4)),IF(ISBLANK(INDEX('register map'!B:B,C539-5)),IF(ISBLANK(INDEX('register map'!B:B,C539-6)),IF(ISBLANK(INDEX('register map'!B:B,C539-7)),IF(ISBLANK(INDEX('register map'!B:B,C539-8)),"ERROR",INDEX('register map'!B:B,C539-8)),INDEX('register map'!B:B,C539-7)),INDEX('register map'!B:B,C539-6)),INDEX('register map'!B:B,C539-5)),INDEX('register map'!B:B,C539-4)),INDEX('register map'!B:B,C539-3)),INDEX('register map'!B:B,C539-2)),INDEX('register map'!B:B,C539-1)),INDEX('register map'!B:B,C539))</f>
        <v>0x2D</v>
      </c>
      <c r="G539" s="117" t="str">
        <f>CONCATENATE(IF(ISNUMBER(INDEX('register map'!D:D,C539)),7,""),IF(ISNUMBER(INDEX('register map'!E:E,C539)),6,""),IF(ISNUMBER(INDEX('register map'!F:F,C539)),5,""),IF(ISNUMBER(INDEX('register map'!G:G,C539)),4,""),IF(ISNUMBER(INDEX('register map'!H:H,C539)),3,""),IF(ISNUMBER(INDEX('register map'!I:I,C539)),2,""),IF(ISNUMBER(INDEX('register map'!J:J,C539)),1,""),IF(ISNUMBER(INDEX('register map'!K:K,C539)),0,""))</f>
        <v>3</v>
      </c>
      <c r="H539" s="117" t="str">
        <f>RIGHT(INDEX('register map'!V:V,MATCH('Logical Group Generator'!B539,'register map'!L:L,0)),LEN(G539))</f>
        <v>1</v>
      </c>
      <c r="I539" s="117" t="str">
        <f>CONCATENATE(IF(ISNUMBER(INDEX('register map'!K:K,C539)),0,""),IF(ISNUMBER(INDEX('register map'!J:J,C539)),1,""),IF(ISNUMBER(INDEX('register map'!I:I,C539)),2,""),IF(ISNUMBER(INDEX('register map'!H:H,C539)),3,""),IF(ISNUMBER(INDEX('register map'!G:G,C539)),4,""),IF(ISNUMBER(INDEX('register map'!F:F,C539)),5,""),IF(ISNUMBER(INDEX('register map'!E:E,C539)),6,""),IF(ISNUMBER(INDEX('register map'!D:D,C539)),7,""))</f>
        <v>3</v>
      </c>
      <c r="J539" s="117" t="str">
        <f t="shared" si="95"/>
        <v>1</v>
      </c>
      <c r="K539" s="117" t="str">
        <f t="shared" si="88"/>
        <v/>
      </c>
      <c r="L539" s="117" t="str">
        <f t="shared" si="96"/>
        <v/>
      </c>
      <c r="M539" s="117" t="str">
        <f t="shared" si="98"/>
        <v/>
      </c>
      <c r="N539" s="117" t="str">
        <f>IF(ISBLANK(INDEX('register map'!M:M,'Logical Group Generator'!C539)),"No","Yes")</f>
        <v>No</v>
      </c>
      <c r="O539" s="117" t="str">
        <f>IF(NOT(ISBLANK(INDEX('register map'!N:N,'Logical Group Generator'!C539))),"Yes","")</f>
        <v>Yes</v>
      </c>
      <c r="P539" s="117" t="str">
        <f t="shared" si="89"/>
        <v/>
      </c>
      <c r="Q539" s="117" t="str">
        <f t="shared" si="90"/>
        <v/>
      </c>
      <c r="R539" s="117" t="str">
        <f t="shared" si="91"/>
        <v/>
      </c>
      <c r="S539" s="117" t="str">
        <f t="shared" si="92"/>
        <v>No</v>
      </c>
      <c r="T539" s="117" t="str">
        <f t="shared" si="93"/>
        <v/>
      </c>
      <c r="U539" s="117" t="b">
        <f t="shared" si="97"/>
        <v>0</v>
      </c>
      <c r="V539" s="157" t="b">
        <f>INDEX('register map'!P:P,C539)="yes"</f>
        <v>1</v>
      </c>
      <c r="W539" s="157" t="str">
        <f t="shared" si="94"/>
        <v>FALSE</v>
      </c>
    </row>
    <row r="540" spans="2:23">
      <c r="B540" s="157" t="str">
        <f t="array" ref="B540">IF(ROWS($3:540)&lt;=COUNTA('register map'!$L$5:$L$902),INDEX('register map'!$L$5:$L$902,SMALL(IF('register map'!$L$5:$L$902&lt;&gt;"",ROW('register map'!$L$5:$L$902)-MIN(ROW('register map'!$L$5:$L$902))+1),ROWS($3:540))),"")</f>
        <v>OTP_RSVD_38_2D_7654</v>
      </c>
      <c r="C540" s="157">
        <f>IF(B540="PART_NUMBER",IF(COUNTIF($B$1:B539,"PART_NUMBER")=0,6,8),MATCH(B540,'register map'!L:L,0))</f>
        <v>644</v>
      </c>
      <c r="D540" s="117" t="str">
        <f>IF(ISBLANK(INDEX('register map'!C:C,'Logical Group Generator'!C540)),"No","Yes")</f>
        <v>No</v>
      </c>
      <c r="E540" s="117" t="str">
        <f>IF(ISBLANK(INDEX('register map'!A:A,C540)),IF(ISBLANK(INDEX('register map'!A:A,C540-1)),IF(ISBLANK(INDEX('register map'!A:A,C540-2)),IF(ISBLANK(INDEX('register map'!A:A,C540-3)),IF(ISBLANK(INDEX('register map'!A:A,C540-4)),IF(ISBLANK(INDEX('register map'!A:A,C540-5)),IF(ISBLANK(INDEX('register map'!A:A,C540-6)),IF(ISBLANK(INDEX('register map'!A:A,C540-7)),IF(ISBLANK(INDEX('register map'!A:A,C540-8)),"ERROR",INDEX('register map'!A:A,C540-8)),INDEX('register map'!A:A,C540-7)),INDEX('register map'!A:A,C540-6)),INDEX('register map'!A:A,C540-5)),INDEX('register map'!A:A,C540-4)),INDEX('register map'!A:A,C540-3)),INDEX('register map'!A:A,C540-2)),INDEX('register map'!A:A,C540-1)),INDEX('register map'!A:A,C540))</f>
        <v>0x38</v>
      </c>
      <c r="F540" s="117" t="str">
        <f>IF(ISBLANK(INDEX('register map'!B:B,C540)),IF(ISBLANK(INDEX('register map'!B:B,C540-1)),IF(ISBLANK(INDEX('register map'!B:B,C540-2)),IF(ISBLANK(INDEX('register map'!B:B,C540-3)),IF(ISBLANK(INDEX('register map'!B:B,C540-4)),IF(ISBLANK(INDEX('register map'!B:B,C540-5)),IF(ISBLANK(INDEX('register map'!B:B,C540-6)),IF(ISBLANK(INDEX('register map'!B:B,C540-7)),IF(ISBLANK(INDEX('register map'!B:B,C540-8)),"ERROR",INDEX('register map'!B:B,C540-8)),INDEX('register map'!B:B,C540-7)),INDEX('register map'!B:B,C540-6)),INDEX('register map'!B:B,C540-5)),INDEX('register map'!B:B,C540-4)),INDEX('register map'!B:B,C540-3)),INDEX('register map'!B:B,C540-2)),INDEX('register map'!B:B,C540-1)),INDEX('register map'!B:B,C540))</f>
        <v>0x2D</v>
      </c>
      <c r="G540" s="117" t="str">
        <f>CONCATENATE(IF(ISNUMBER(INDEX('register map'!D:D,C540)),7,""),IF(ISNUMBER(INDEX('register map'!E:E,C540)),6,""),IF(ISNUMBER(INDEX('register map'!F:F,C540)),5,""),IF(ISNUMBER(INDEX('register map'!G:G,C540)),4,""),IF(ISNUMBER(INDEX('register map'!H:H,C540)),3,""),IF(ISNUMBER(INDEX('register map'!I:I,C540)),2,""),IF(ISNUMBER(INDEX('register map'!J:J,C540)),1,""),IF(ISNUMBER(INDEX('register map'!K:K,C540)),0,""))</f>
        <v>7654</v>
      </c>
      <c r="H540" s="117" t="str">
        <f>RIGHT(INDEX('register map'!V:V,MATCH('Logical Group Generator'!B540,'register map'!L:L,0)),LEN(G540))</f>
        <v>1000</v>
      </c>
      <c r="I540" s="117" t="str">
        <f>CONCATENATE(IF(ISNUMBER(INDEX('register map'!K:K,C540)),0,""),IF(ISNUMBER(INDEX('register map'!J:J,C540)),1,""),IF(ISNUMBER(INDEX('register map'!I:I,C540)),2,""),IF(ISNUMBER(INDEX('register map'!H:H,C540)),3,""),IF(ISNUMBER(INDEX('register map'!G:G,C540)),4,""),IF(ISNUMBER(INDEX('register map'!F:F,C540)),5,""),IF(ISNUMBER(INDEX('register map'!E:E,C540)),6,""),IF(ISNUMBER(INDEX('register map'!D:D,C540)),7,""))</f>
        <v>4567</v>
      </c>
      <c r="J540" s="117" t="str">
        <f t="shared" si="95"/>
        <v>0001</v>
      </c>
      <c r="K540" s="117" t="str">
        <f t="shared" si="88"/>
        <v/>
      </c>
      <c r="L540" s="117" t="str">
        <f t="shared" si="96"/>
        <v/>
      </c>
      <c r="M540" s="117" t="str">
        <f t="shared" si="98"/>
        <v/>
      </c>
      <c r="N540" s="117" t="str">
        <f>IF(ISBLANK(INDEX('register map'!M:M,'Logical Group Generator'!C540)),"No","Yes")</f>
        <v>Yes</v>
      </c>
      <c r="O540" s="117" t="str">
        <f>IF(NOT(ISBLANK(INDEX('register map'!N:N,'Logical Group Generator'!C540))),"Yes","")</f>
        <v/>
      </c>
      <c r="P540" s="117" t="str">
        <f t="shared" si="89"/>
        <v/>
      </c>
      <c r="Q540" s="117" t="str">
        <f t="shared" si="90"/>
        <v/>
      </c>
      <c r="R540" s="117" t="str">
        <f t="shared" si="91"/>
        <v/>
      </c>
      <c r="S540" s="117" t="str">
        <f t="shared" si="92"/>
        <v>No</v>
      </c>
      <c r="T540" s="117" t="str">
        <f t="shared" si="93"/>
        <v/>
      </c>
      <c r="U540" s="117" t="b">
        <f t="shared" si="97"/>
        <v>0</v>
      </c>
      <c r="V540" s="157" t="b">
        <f>INDEX('register map'!P:P,C540)="yes"</f>
        <v>1</v>
      </c>
      <c r="W540" s="157" t="str">
        <f t="shared" si="94"/>
        <v>FALSE</v>
      </c>
    </row>
    <row r="541" spans="2:23">
      <c r="B541" s="157" t="str">
        <f t="array" ref="B541">IF(ROWS($3:541)&lt;=COUNTA('register map'!$L$5:$L$902),INDEX('register map'!$L$5:$L$902,SMALL(IF('register map'!$L$5:$L$902&lt;&gt;"",ROW('register map'!$L$5:$L$902)-MIN(ROW('register map'!$L$5:$L$902))+1),ROWS($3:541))),"")</f>
        <v>OTP_RSVD_38_2E</v>
      </c>
      <c r="C541" s="157">
        <f>IF(B541="PART_NUMBER",IF(COUNTIF($B$1:B540,"PART_NUMBER")=0,6,8),MATCH(B541,'register map'!L:L,0))</f>
        <v>645</v>
      </c>
      <c r="D541" s="117" t="str">
        <f>IF(ISBLANK(INDEX('register map'!C:C,'Logical Group Generator'!C541)),"No","Yes")</f>
        <v>Yes</v>
      </c>
      <c r="E541" s="117" t="str">
        <f>IF(ISBLANK(INDEX('register map'!A:A,C541)),IF(ISBLANK(INDEX('register map'!A:A,C541-1)),IF(ISBLANK(INDEX('register map'!A:A,C541-2)),IF(ISBLANK(INDEX('register map'!A:A,C541-3)),IF(ISBLANK(INDEX('register map'!A:A,C541-4)),IF(ISBLANK(INDEX('register map'!A:A,C541-5)),IF(ISBLANK(INDEX('register map'!A:A,C541-6)),IF(ISBLANK(INDEX('register map'!A:A,C541-7)),IF(ISBLANK(INDEX('register map'!A:A,C541-8)),"ERROR",INDEX('register map'!A:A,C541-8)),INDEX('register map'!A:A,C541-7)),INDEX('register map'!A:A,C541-6)),INDEX('register map'!A:A,C541-5)),INDEX('register map'!A:A,C541-4)),INDEX('register map'!A:A,C541-3)),INDEX('register map'!A:A,C541-2)),INDEX('register map'!A:A,C541-1)),INDEX('register map'!A:A,C541))</f>
        <v>0x38</v>
      </c>
      <c r="F541" s="117" t="str">
        <f>IF(ISBLANK(INDEX('register map'!B:B,C541)),IF(ISBLANK(INDEX('register map'!B:B,C541-1)),IF(ISBLANK(INDEX('register map'!B:B,C541-2)),IF(ISBLANK(INDEX('register map'!B:B,C541-3)),IF(ISBLANK(INDEX('register map'!B:B,C541-4)),IF(ISBLANK(INDEX('register map'!B:B,C541-5)),IF(ISBLANK(INDEX('register map'!B:B,C541-6)),IF(ISBLANK(INDEX('register map'!B:B,C541-7)),IF(ISBLANK(INDEX('register map'!B:B,C541-8)),"ERROR",INDEX('register map'!B:B,C541-8)),INDEX('register map'!B:B,C541-7)),INDEX('register map'!B:B,C541-6)),INDEX('register map'!B:B,C541-5)),INDEX('register map'!B:B,C541-4)),INDEX('register map'!B:B,C541-3)),INDEX('register map'!B:B,C541-2)),INDEX('register map'!B:B,C541-1)),INDEX('register map'!B:B,C541))</f>
        <v>0x2E</v>
      </c>
      <c r="G541" s="117" t="str">
        <f>CONCATENATE(IF(ISNUMBER(INDEX('register map'!D:D,C541)),7,""),IF(ISNUMBER(INDEX('register map'!E:E,C541)),6,""),IF(ISNUMBER(INDEX('register map'!F:F,C541)),5,""),IF(ISNUMBER(INDEX('register map'!G:G,C541)),4,""),IF(ISNUMBER(INDEX('register map'!H:H,C541)),3,""),IF(ISNUMBER(INDEX('register map'!I:I,C541)),2,""),IF(ISNUMBER(INDEX('register map'!J:J,C541)),1,""),IF(ISNUMBER(INDEX('register map'!K:K,C541)),0,""))</f>
        <v/>
      </c>
      <c r="H541" s="117" t="str">
        <f>RIGHT(INDEX('register map'!V:V,MATCH('Logical Group Generator'!B541,'register map'!L:L,0)),LEN(G541))</f>
        <v/>
      </c>
      <c r="I541" s="117" t="str">
        <f>CONCATENATE(IF(ISNUMBER(INDEX('register map'!K:K,C541)),0,""),IF(ISNUMBER(INDEX('register map'!J:J,C541)),1,""),IF(ISNUMBER(INDEX('register map'!I:I,C541)),2,""),IF(ISNUMBER(INDEX('register map'!H:H,C541)),3,""),IF(ISNUMBER(INDEX('register map'!G:G,C541)),4,""),IF(ISNUMBER(INDEX('register map'!F:F,C541)),5,""),IF(ISNUMBER(INDEX('register map'!E:E,C541)),6,""),IF(ISNUMBER(INDEX('register map'!D:D,C541)),7,""))</f>
        <v/>
      </c>
      <c r="J541" s="117" t="str">
        <f t="shared" si="95"/>
        <v/>
      </c>
      <c r="K541" s="117" t="str">
        <f t="shared" si="88"/>
        <v>01010101</v>
      </c>
      <c r="L541" s="117" t="str">
        <f t="shared" si="96"/>
        <v>10101010</v>
      </c>
      <c r="M541" s="117" t="str">
        <f t="shared" si="98"/>
        <v>AA</v>
      </c>
      <c r="N541" s="117" t="str">
        <f>IF(ISBLANK(INDEX('register map'!M:M,'Logical Group Generator'!C541)),"No","Yes")</f>
        <v>No</v>
      </c>
      <c r="O541" s="117" t="str">
        <f>IF(NOT(ISBLANK(INDEX('register map'!N:N,'Logical Group Generator'!C541))),"Yes","")</f>
        <v/>
      </c>
      <c r="P541" s="117" t="str">
        <f t="shared" si="89"/>
        <v>No</v>
      </c>
      <c r="Q541" s="117" t="str">
        <f t="shared" si="90"/>
        <v>No</v>
      </c>
      <c r="R541" s="117" t="str">
        <f t="shared" si="91"/>
        <v>No</v>
      </c>
      <c r="S541" s="117" t="str">
        <f t="shared" si="92"/>
        <v/>
      </c>
      <c r="T541" s="117" t="b">
        <f t="shared" si="93"/>
        <v>1</v>
      </c>
      <c r="U541" s="117" t="b">
        <f t="shared" si="97"/>
        <v>1</v>
      </c>
      <c r="V541" s="157" t="b">
        <f>INDEX('register map'!P:P,C541)="yes"</f>
        <v>1</v>
      </c>
      <c r="W541" s="157" t="str">
        <f t="shared" si="94"/>
        <v>REGISTER</v>
      </c>
    </row>
    <row r="542" spans="2:23">
      <c r="B542" s="157" t="str">
        <f t="array" ref="B542">IF(ROWS($3:542)&lt;=COUNTA('register map'!$L$5:$L$902),INDEX('register map'!$L$5:$L$902,SMALL(IF('register map'!$L$5:$L$902&lt;&gt;"",ROW('register map'!$L$5:$L$902)-MIN(ROW('register map'!$L$5:$L$902))+1),ROWS($3:542))),"")</f>
        <v>OTP_RSVD_38_2E_0</v>
      </c>
      <c r="C542" s="157">
        <f>IF(B542="PART_NUMBER",IF(COUNTIF($B$1:B541,"PART_NUMBER")=0,6,8),MATCH(B542,'register map'!L:L,0))</f>
        <v>646</v>
      </c>
      <c r="D542" s="117" t="str">
        <f>IF(ISBLANK(INDEX('register map'!C:C,'Logical Group Generator'!C542)),"No","Yes")</f>
        <v>No</v>
      </c>
      <c r="E542" s="117" t="str">
        <f>IF(ISBLANK(INDEX('register map'!A:A,C542)),IF(ISBLANK(INDEX('register map'!A:A,C542-1)),IF(ISBLANK(INDEX('register map'!A:A,C542-2)),IF(ISBLANK(INDEX('register map'!A:A,C542-3)),IF(ISBLANK(INDEX('register map'!A:A,C542-4)),IF(ISBLANK(INDEX('register map'!A:A,C542-5)),IF(ISBLANK(INDEX('register map'!A:A,C542-6)),IF(ISBLANK(INDEX('register map'!A:A,C542-7)),IF(ISBLANK(INDEX('register map'!A:A,C542-8)),"ERROR",INDEX('register map'!A:A,C542-8)),INDEX('register map'!A:A,C542-7)),INDEX('register map'!A:A,C542-6)),INDEX('register map'!A:A,C542-5)),INDEX('register map'!A:A,C542-4)),INDEX('register map'!A:A,C542-3)),INDEX('register map'!A:A,C542-2)),INDEX('register map'!A:A,C542-1)),INDEX('register map'!A:A,C542))</f>
        <v>0x38</v>
      </c>
      <c r="F542" s="117" t="str">
        <f>IF(ISBLANK(INDEX('register map'!B:B,C542)),IF(ISBLANK(INDEX('register map'!B:B,C542-1)),IF(ISBLANK(INDEX('register map'!B:B,C542-2)),IF(ISBLANK(INDEX('register map'!B:B,C542-3)),IF(ISBLANK(INDEX('register map'!B:B,C542-4)),IF(ISBLANK(INDEX('register map'!B:B,C542-5)),IF(ISBLANK(INDEX('register map'!B:B,C542-6)),IF(ISBLANK(INDEX('register map'!B:B,C542-7)),IF(ISBLANK(INDEX('register map'!B:B,C542-8)),"ERROR",INDEX('register map'!B:B,C542-8)),INDEX('register map'!B:B,C542-7)),INDEX('register map'!B:B,C542-6)),INDEX('register map'!B:B,C542-5)),INDEX('register map'!B:B,C542-4)),INDEX('register map'!B:B,C542-3)),INDEX('register map'!B:B,C542-2)),INDEX('register map'!B:B,C542-1)),INDEX('register map'!B:B,C542))</f>
        <v>0x2E</v>
      </c>
      <c r="G542" s="117" t="str">
        <f>CONCATENATE(IF(ISNUMBER(INDEX('register map'!D:D,C542)),7,""),IF(ISNUMBER(INDEX('register map'!E:E,C542)),6,""),IF(ISNUMBER(INDEX('register map'!F:F,C542)),5,""),IF(ISNUMBER(INDEX('register map'!G:G,C542)),4,""),IF(ISNUMBER(INDEX('register map'!H:H,C542)),3,""),IF(ISNUMBER(INDEX('register map'!I:I,C542)),2,""),IF(ISNUMBER(INDEX('register map'!J:J,C542)),1,""),IF(ISNUMBER(INDEX('register map'!K:K,C542)),0,""))</f>
        <v>0</v>
      </c>
      <c r="H542" s="117" t="str">
        <f>RIGHT(INDEX('register map'!V:V,MATCH('Logical Group Generator'!B542,'register map'!L:L,0)),LEN(G542))</f>
        <v>0</v>
      </c>
      <c r="I542" s="117" t="str">
        <f>CONCATENATE(IF(ISNUMBER(INDEX('register map'!K:K,C542)),0,""),IF(ISNUMBER(INDEX('register map'!J:J,C542)),1,""),IF(ISNUMBER(INDEX('register map'!I:I,C542)),2,""),IF(ISNUMBER(INDEX('register map'!H:H,C542)),3,""),IF(ISNUMBER(INDEX('register map'!G:G,C542)),4,""),IF(ISNUMBER(INDEX('register map'!F:F,C542)),5,""),IF(ISNUMBER(INDEX('register map'!E:E,C542)),6,""),IF(ISNUMBER(INDEX('register map'!D:D,C542)),7,""))</f>
        <v>0</v>
      </c>
      <c r="J542" s="117" t="str">
        <f t="shared" si="95"/>
        <v>0</v>
      </c>
      <c r="K542" s="117" t="str">
        <f t="shared" si="88"/>
        <v/>
      </c>
      <c r="L542" s="117" t="str">
        <f t="shared" si="96"/>
        <v/>
      </c>
      <c r="M542" s="117" t="str">
        <f t="shared" si="98"/>
        <v/>
      </c>
      <c r="N542" s="117" t="str">
        <f>IF(ISBLANK(INDEX('register map'!M:M,'Logical Group Generator'!C542)),"No","Yes")</f>
        <v>No</v>
      </c>
      <c r="O542" s="117" t="str">
        <f>IF(NOT(ISBLANK(INDEX('register map'!N:N,'Logical Group Generator'!C542))),"Yes","")</f>
        <v/>
      </c>
      <c r="P542" s="117" t="str">
        <f t="shared" si="89"/>
        <v/>
      </c>
      <c r="Q542" s="117" t="str">
        <f t="shared" si="90"/>
        <v/>
      </c>
      <c r="R542" s="117" t="str">
        <f t="shared" si="91"/>
        <v/>
      </c>
      <c r="S542" s="117" t="str">
        <f t="shared" si="92"/>
        <v>No</v>
      </c>
      <c r="T542" s="117" t="str">
        <f t="shared" si="93"/>
        <v/>
      </c>
      <c r="U542" s="117" t="b">
        <f t="shared" si="97"/>
        <v>0</v>
      </c>
      <c r="V542" s="157" t="b">
        <f>INDEX('register map'!P:P,C542)="yes"</f>
        <v>1</v>
      </c>
      <c r="W542" s="157" t="str">
        <f t="shared" si="94"/>
        <v>FALSE</v>
      </c>
    </row>
    <row r="543" spans="2:23">
      <c r="B543" s="157" t="str">
        <f t="array" ref="B543">IF(ROWS($3:543)&lt;=COUNTA('register map'!$L$5:$L$902),INDEX('register map'!$L$5:$L$902,SMALL(IF('register map'!$L$5:$L$902&lt;&gt;"",ROW('register map'!$L$5:$L$902)-MIN(ROW('register map'!$L$5:$L$902))+1),ROWS($3:543))),"")</f>
        <v>OTP_RSVD_38_2E_1</v>
      </c>
      <c r="C543" s="157">
        <f>IF(B543="PART_NUMBER",IF(COUNTIF($B$1:B542,"PART_NUMBER")=0,6,8),MATCH(B543,'register map'!L:L,0))</f>
        <v>647</v>
      </c>
      <c r="D543" s="117" t="str">
        <f>IF(ISBLANK(INDEX('register map'!C:C,'Logical Group Generator'!C543)),"No","Yes")</f>
        <v>No</v>
      </c>
      <c r="E543" s="117" t="str">
        <f>IF(ISBLANK(INDEX('register map'!A:A,C543)),IF(ISBLANK(INDEX('register map'!A:A,C543-1)),IF(ISBLANK(INDEX('register map'!A:A,C543-2)),IF(ISBLANK(INDEX('register map'!A:A,C543-3)),IF(ISBLANK(INDEX('register map'!A:A,C543-4)),IF(ISBLANK(INDEX('register map'!A:A,C543-5)),IF(ISBLANK(INDEX('register map'!A:A,C543-6)),IF(ISBLANK(INDEX('register map'!A:A,C543-7)),IF(ISBLANK(INDEX('register map'!A:A,C543-8)),"ERROR",INDEX('register map'!A:A,C543-8)),INDEX('register map'!A:A,C543-7)),INDEX('register map'!A:A,C543-6)),INDEX('register map'!A:A,C543-5)),INDEX('register map'!A:A,C543-4)),INDEX('register map'!A:A,C543-3)),INDEX('register map'!A:A,C543-2)),INDEX('register map'!A:A,C543-1)),INDEX('register map'!A:A,C543))</f>
        <v>0x38</v>
      </c>
      <c r="F543" s="117" t="str">
        <f>IF(ISBLANK(INDEX('register map'!B:B,C543)),IF(ISBLANK(INDEX('register map'!B:B,C543-1)),IF(ISBLANK(INDEX('register map'!B:B,C543-2)),IF(ISBLANK(INDEX('register map'!B:B,C543-3)),IF(ISBLANK(INDEX('register map'!B:B,C543-4)),IF(ISBLANK(INDEX('register map'!B:B,C543-5)),IF(ISBLANK(INDEX('register map'!B:B,C543-6)),IF(ISBLANK(INDEX('register map'!B:B,C543-7)),IF(ISBLANK(INDEX('register map'!B:B,C543-8)),"ERROR",INDEX('register map'!B:B,C543-8)),INDEX('register map'!B:B,C543-7)),INDEX('register map'!B:B,C543-6)),INDEX('register map'!B:B,C543-5)),INDEX('register map'!B:B,C543-4)),INDEX('register map'!B:B,C543-3)),INDEX('register map'!B:B,C543-2)),INDEX('register map'!B:B,C543-1)),INDEX('register map'!B:B,C543))</f>
        <v>0x2E</v>
      </c>
      <c r="G543" s="117" t="str">
        <f>CONCATENATE(IF(ISNUMBER(INDEX('register map'!D:D,C543)),7,""),IF(ISNUMBER(INDEX('register map'!E:E,C543)),6,""),IF(ISNUMBER(INDEX('register map'!F:F,C543)),5,""),IF(ISNUMBER(INDEX('register map'!G:G,C543)),4,""),IF(ISNUMBER(INDEX('register map'!H:H,C543)),3,""),IF(ISNUMBER(INDEX('register map'!I:I,C543)),2,""),IF(ISNUMBER(INDEX('register map'!J:J,C543)),1,""),IF(ISNUMBER(INDEX('register map'!K:K,C543)),0,""))</f>
        <v>1</v>
      </c>
      <c r="H543" s="117" t="str">
        <f>RIGHT(INDEX('register map'!V:V,MATCH('Logical Group Generator'!B543,'register map'!L:L,0)),LEN(G543))</f>
        <v>1</v>
      </c>
      <c r="I543" s="117" t="str">
        <f>CONCATENATE(IF(ISNUMBER(INDEX('register map'!K:K,C543)),0,""),IF(ISNUMBER(INDEX('register map'!J:J,C543)),1,""),IF(ISNUMBER(INDEX('register map'!I:I,C543)),2,""),IF(ISNUMBER(INDEX('register map'!H:H,C543)),3,""),IF(ISNUMBER(INDEX('register map'!G:G,C543)),4,""),IF(ISNUMBER(INDEX('register map'!F:F,C543)),5,""),IF(ISNUMBER(INDEX('register map'!E:E,C543)),6,""),IF(ISNUMBER(INDEX('register map'!D:D,C543)),7,""))</f>
        <v>1</v>
      </c>
      <c r="J543" s="117" t="str">
        <f t="shared" si="95"/>
        <v>1</v>
      </c>
      <c r="K543" s="117" t="str">
        <f t="shared" si="88"/>
        <v/>
      </c>
      <c r="L543" s="117" t="str">
        <f t="shared" si="96"/>
        <v/>
      </c>
      <c r="M543" s="117" t="str">
        <f t="shared" si="98"/>
        <v/>
      </c>
      <c r="N543" s="117" t="str">
        <f>IF(ISBLANK(INDEX('register map'!M:M,'Logical Group Generator'!C543)),"No","Yes")</f>
        <v>No</v>
      </c>
      <c r="O543" s="117" t="str">
        <f>IF(NOT(ISBLANK(INDEX('register map'!N:N,'Logical Group Generator'!C543))),"Yes","")</f>
        <v/>
      </c>
      <c r="P543" s="117" t="str">
        <f t="shared" si="89"/>
        <v/>
      </c>
      <c r="Q543" s="117" t="str">
        <f t="shared" si="90"/>
        <v/>
      </c>
      <c r="R543" s="117" t="str">
        <f t="shared" si="91"/>
        <v/>
      </c>
      <c r="S543" s="117" t="str">
        <f t="shared" si="92"/>
        <v>No</v>
      </c>
      <c r="T543" s="117" t="str">
        <f t="shared" si="93"/>
        <v/>
      </c>
      <c r="U543" s="117" t="b">
        <f t="shared" si="97"/>
        <v>0</v>
      </c>
      <c r="V543" s="157" t="b">
        <f>INDEX('register map'!P:P,C543)="yes"</f>
        <v>1</v>
      </c>
      <c r="W543" s="157" t="str">
        <f t="shared" si="94"/>
        <v>FALSE</v>
      </c>
    </row>
    <row r="544" spans="2:23">
      <c r="B544" s="157" t="str">
        <f t="array" ref="B544">IF(ROWS($3:544)&lt;=COUNTA('register map'!$L$5:$L$902),INDEX('register map'!$L$5:$L$902,SMALL(IF('register map'!$L$5:$L$902&lt;&gt;"",ROW('register map'!$L$5:$L$902)-MIN(ROW('register map'!$L$5:$L$902))+1),ROWS($3:544))),"")</f>
        <v>OTP_RSVD_38_2E_2</v>
      </c>
      <c r="C544" s="157">
        <f>IF(B544="PART_NUMBER",IF(COUNTIF($B$1:B543,"PART_NUMBER")=0,6,8),MATCH(B544,'register map'!L:L,0))</f>
        <v>648</v>
      </c>
      <c r="D544" s="117" t="str">
        <f>IF(ISBLANK(INDEX('register map'!C:C,'Logical Group Generator'!C544)),"No","Yes")</f>
        <v>No</v>
      </c>
      <c r="E544" s="117" t="str">
        <f>IF(ISBLANK(INDEX('register map'!A:A,C544)),IF(ISBLANK(INDEX('register map'!A:A,C544-1)),IF(ISBLANK(INDEX('register map'!A:A,C544-2)),IF(ISBLANK(INDEX('register map'!A:A,C544-3)),IF(ISBLANK(INDEX('register map'!A:A,C544-4)),IF(ISBLANK(INDEX('register map'!A:A,C544-5)),IF(ISBLANK(INDEX('register map'!A:A,C544-6)),IF(ISBLANK(INDEX('register map'!A:A,C544-7)),IF(ISBLANK(INDEX('register map'!A:A,C544-8)),"ERROR",INDEX('register map'!A:A,C544-8)),INDEX('register map'!A:A,C544-7)),INDEX('register map'!A:A,C544-6)),INDEX('register map'!A:A,C544-5)),INDEX('register map'!A:A,C544-4)),INDEX('register map'!A:A,C544-3)),INDEX('register map'!A:A,C544-2)),INDEX('register map'!A:A,C544-1)),INDEX('register map'!A:A,C544))</f>
        <v>0x38</v>
      </c>
      <c r="F544" s="117" t="str">
        <f>IF(ISBLANK(INDEX('register map'!B:B,C544)),IF(ISBLANK(INDEX('register map'!B:B,C544-1)),IF(ISBLANK(INDEX('register map'!B:B,C544-2)),IF(ISBLANK(INDEX('register map'!B:B,C544-3)),IF(ISBLANK(INDEX('register map'!B:B,C544-4)),IF(ISBLANK(INDEX('register map'!B:B,C544-5)),IF(ISBLANK(INDEX('register map'!B:B,C544-6)),IF(ISBLANK(INDEX('register map'!B:B,C544-7)),IF(ISBLANK(INDEX('register map'!B:B,C544-8)),"ERROR",INDEX('register map'!B:B,C544-8)),INDEX('register map'!B:B,C544-7)),INDEX('register map'!B:B,C544-6)),INDEX('register map'!B:B,C544-5)),INDEX('register map'!B:B,C544-4)),INDEX('register map'!B:B,C544-3)),INDEX('register map'!B:B,C544-2)),INDEX('register map'!B:B,C544-1)),INDEX('register map'!B:B,C544))</f>
        <v>0x2E</v>
      </c>
      <c r="G544" s="117" t="str">
        <f>CONCATENATE(IF(ISNUMBER(INDEX('register map'!D:D,C544)),7,""),IF(ISNUMBER(INDEX('register map'!E:E,C544)),6,""),IF(ISNUMBER(INDEX('register map'!F:F,C544)),5,""),IF(ISNUMBER(INDEX('register map'!G:G,C544)),4,""),IF(ISNUMBER(INDEX('register map'!H:H,C544)),3,""),IF(ISNUMBER(INDEX('register map'!I:I,C544)),2,""),IF(ISNUMBER(INDEX('register map'!J:J,C544)),1,""),IF(ISNUMBER(INDEX('register map'!K:K,C544)),0,""))</f>
        <v>2</v>
      </c>
      <c r="H544" s="117" t="str">
        <f>RIGHT(INDEX('register map'!V:V,MATCH('Logical Group Generator'!B544,'register map'!L:L,0)),LEN(G544))</f>
        <v>0</v>
      </c>
      <c r="I544" s="117" t="str">
        <f>CONCATENATE(IF(ISNUMBER(INDEX('register map'!K:K,C544)),0,""),IF(ISNUMBER(INDEX('register map'!J:J,C544)),1,""),IF(ISNUMBER(INDEX('register map'!I:I,C544)),2,""),IF(ISNUMBER(INDEX('register map'!H:H,C544)),3,""),IF(ISNUMBER(INDEX('register map'!G:G,C544)),4,""),IF(ISNUMBER(INDEX('register map'!F:F,C544)),5,""),IF(ISNUMBER(INDEX('register map'!E:E,C544)),6,""),IF(ISNUMBER(INDEX('register map'!D:D,C544)),7,""))</f>
        <v>2</v>
      </c>
      <c r="J544" s="117" t="str">
        <f t="shared" si="95"/>
        <v>0</v>
      </c>
      <c r="K544" s="117" t="str">
        <f t="shared" si="88"/>
        <v/>
      </c>
      <c r="L544" s="117" t="str">
        <f t="shared" si="96"/>
        <v/>
      </c>
      <c r="M544" s="117" t="str">
        <f t="shared" si="98"/>
        <v/>
      </c>
      <c r="N544" s="117" t="str">
        <f>IF(ISBLANK(INDEX('register map'!M:M,'Logical Group Generator'!C544)),"No","Yes")</f>
        <v>No</v>
      </c>
      <c r="O544" s="117" t="str">
        <f>IF(NOT(ISBLANK(INDEX('register map'!N:N,'Logical Group Generator'!C544))),"Yes","")</f>
        <v/>
      </c>
      <c r="P544" s="117" t="str">
        <f t="shared" si="89"/>
        <v/>
      </c>
      <c r="Q544" s="117" t="str">
        <f t="shared" si="90"/>
        <v/>
      </c>
      <c r="R544" s="117" t="str">
        <f t="shared" si="91"/>
        <v/>
      </c>
      <c r="S544" s="117" t="str">
        <f t="shared" si="92"/>
        <v>No</v>
      </c>
      <c r="T544" s="117" t="str">
        <f t="shared" si="93"/>
        <v/>
      </c>
      <c r="U544" s="117" t="b">
        <f t="shared" si="97"/>
        <v>0</v>
      </c>
      <c r="V544" s="157" t="b">
        <f>INDEX('register map'!P:P,C544)="yes"</f>
        <v>1</v>
      </c>
      <c r="W544" s="157" t="str">
        <f t="shared" si="94"/>
        <v>FALSE</v>
      </c>
    </row>
    <row r="545" spans="2:23">
      <c r="B545" s="157" t="str">
        <f t="array" ref="B545">IF(ROWS($3:545)&lt;=COUNTA('register map'!$L$5:$L$902),INDEX('register map'!$L$5:$L$902,SMALL(IF('register map'!$L$5:$L$902&lt;&gt;"",ROW('register map'!$L$5:$L$902)-MIN(ROW('register map'!$L$5:$L$902))+1),ROWS($3:545))),"")</f>
        <v>OTP_RSVD_38_2E_3</v>
      </c>
      <c r="C545" s="157">
        <f>IF(B545="PART_NUMBER",IF(COUNTIF($B$1:B544,"PART_NUMBER")=0,6,8),MATCH(B545,'register map'!L:L,0))</f>
        <v>649</v>
      </c>
      <c r="D545" s="117" t="str">
        <f>IF(ISBLANK(INDEX('register map'!C:C,'Logical Group Generator'!C545)),"No","Yes")</f>
        <v>No</v>
      </c>
      <c r="E545" s="117" t="str">
        <f>IF(ISBLANK(INDEX('register map'!A:A,C545)),IF(ISBLANK(INDEX('register map'!A:A,C545-1)),IF(ISBLANK(INDEX('register map'!A:A,C545-2)),IF(ISBLANK(INDEX('register map'!A:A,C545-3)),IF(ISBLANK(INDEX('register map'!A:A,C545-4)),IF(ISBLANK(INDEX('register map'!A:A,C545-5)),IF(ISBLANK(INDEX('register map'!A:A,C545-6)),IF(ISBLANK(INDEX('register map'!A:A,C545-7)),IF(ISBLANK(INDEX('register map'!A:A,C545-8)),"ERROR",INDEX('register map'!A:A,C545-8)),INDEX('register map'!A:A,C545-7)),INDEX('register map'!A:A,C545-6)),INDEX('register map'!A:A,C545-5)),INDEX('register map'!A:A,C545-4)),INDEX('register map'!A:A,C545-3)),INDEX('register map'!A:A,C545-2)),INDEX('register map'!A:A,C545-1)),INDEX('register map'!A:A,C545))</f>
        <v>0x38</v>
      </c>
      <c r="F545" s="117" t="str">
        <f>IF(ISBLANK(INDEX('register map'!B:B,C545)),IF(ISBLANK(INDEX('register map'!B:B,C545-1)),IF(ISBLANK(INDEX('register map'!B:B,C545-2)),IF(ISBLANK(INDEX('register map'!B:B,C545-3)),IF(ISBLANK(INDEX('register map'!B:B,C545-4)),IF(ISBLANK(INDEX('register map'!B:B,C545-5)),IF(ISBLANK(INDEX('register map'!B:B,C545-6)),IF(ISBLANK(INDEX('register map'!B:B,C545-7)),IF(ISBLANK(INDEX('register map'!B:B,C545-8)),"ERROR",INDEX('register map'!B:B,C545-8)),INDEX('register map'!B:B,C545-7)),INDEX('register map'!B:B,C545-6)),INDEX('register map'!B:B,C545-5)),INDEX('register map'!B:B,C545-4)),INDEX('register map'!B:B,C545-3)),INDEX('register map'!B:B,C545-2)),INDEX('register map'!B:B,C545-1)),INDEX('register map'!B:B,C545))</f>
        <v>0x2E</v>
      </c>
      <c r="G545" s="117" t="str">
        <f>CONCATENATE(IF(ISNUMBER(INDEX('register map'!D:D,C545)),7,""),IF(ISNUMBER(INDEX('register map'!E:E,C545)),6,""),IF(ISNUMBER(INDEX('register map'!F:F,C545)),5,""),IF(ISNUMBER(INDEX('register map'!G:G,C545)),4,""),IF(ISNUMBER(INDEX('register map'!H:H,C545)),3,""),IF(ISNUMBER(INDEX('register map'!I:I,C545)),2,""),IF(ISNUMBER(INDEX('register map'!J:J,C545)),1,""),IF(ISNUMBER(INDEX('register map'!K:K,C545)),0,""))</f>
        <v>3</v>
      </c>
      <c r="H545" s="117" t="str">
        <f>RIGHT(INDEX('register map'!V:V,MATCH('Logical Group Generator'!B545,'register map'!L:L,0)),LEN(G545))</f>
        <v>1</v>
      </c>
      <c r="I545" s="117" t="str">
        <f>CONCATENATE(IF(ISNUMBER(INDEX('register map'!K:K,C545)),0,""),IF(ISNUMBER(INDEX('register map'!J:J,C545)),1,""),IF(ISNUMBER(INDEX('register map'!I:I,C545)),2,""),IF(ISNUMBER(INDEX('register map'!H:H,C545)),3,""),IF(ISNUMBER(INDEX('register map'!G:G,C545)),4,""),IF(ISNUMBER(INDEX('register map'!F:F,C545)),5,""),IF(ISNUMBER(INDEX('register map'!E:E,C545)),6,""),IF(ISNUMBER(INDEX('register map'!D:D,C545)),7,""))</f>
        <v>3</v>
      </c>
      <c r="J545" s="117" t="str">
        <f t="shared" si="95"/>
        <v>1</v>
      </c>
      <c r="K545" s="117" t="str">
        <f t="shared" si="88"/>
        <v/>
      </c>
      <c r="L545" s="117" t="str">
        <f t="shared" si="96"/>
        <v/>
      </c>
      <c r="M545" s="117" t="str">
        <f t="shared" si="98"/>
        <v/>
      </c>
      <c r="N545" s="117" t="str">
        <f>IF(ISBLANK(INDEX('register map'!M:M,'Logical Group Generator'!C545)),"No","Yes")</f>
        <v>No</v>
      </c>
      <c r="O545" s="117" t="str">
        <f>IF(NOT(ISBLANK(INDEX('register map'!N:N,'Logical Group Generator'!C545))),"Yes","")</f>
        <v/>
      </c>
      <c r="P545" s="117" t="str">
        <f t="shared" si="89"/>
        <v/>
      </c>
      <c r="Q545" s="117" t="str">
        <f t="shared" si="90"/>
        <v/>
      </c>
      <c r="R545" s="117" t="str">
        <f t="shared" si="91"/>
        <v/>
      </c>
      <c r="S545" s="117" t="str">
        <f t="shared" si="92"/>
        <v>No</v>
      </c>
      <c r="T545" s="117" t="str">
        <f t="shared" si="93"/>
        <v/>
      </c>
      <c r="U545" s="117" t="b">
        <f t="shared" si="97"/>
        <v>0</v>
      </c>
      <c r="V545" s="157" t="b">
        <f>INDEX('register map'!P:P,C545)="yes"</f>
        <v>1</v>
      </c>
      <c r="W545" s="157" t="str">
        <f t="shared" si="94"/>
        <v>FALSE</v>
      </c>
    </row>
    <row r="546" spans="2:23">
      <c r="B546" s="157" t="str">
        <f t="array" ref="B546">IF(ROWS($3:546)&lt;=COUNTA('register map'!$L$5:$L$902),INDEX('register map'!$L$5:$L$902,SMALL(IF('register map'!$L$5:$L$902&lt;&gt;"",ROW('register map'!$L$5:$L$902)-MIN(ROW('register map'!$L$5:$L$902))+1),ROWS($3:546))),"")</f>
        <v>OTP_RSVD_38_2E_54</v>
      </c>
      <c r="C546" s="157">
        <f>IF(B546="PART_NUMBER",IF(COUNTIF($B$1:B545,"PART_NUMBER")=0,6,8),MATCH(B546,'register map'!L:L,0))</f>
        <v>650</v>
      </c>
      <c r="D546" s="117" t="str">
        <f>IF(ISBLANK(INDEX('register map'!C:C,'Logical Group Generator'!C546)),"No","Yes")</f>
        <v>No</v>
      </c>
      <c r="E546" s="117" t="str">
        <f>IF(ISBLANK(INDEX('register map'!A:A,C546)),IF(ISBLANK(INDEX('register map'!A:A,C546-1)),IF(ISBLANK(INDEX('register map'!A:A,C546-2)),IF(ISBLANK(INDEX('register map'!A:A,C546-3)),IF(ISBLANK(INDEX('register map'!A:A,C546-4)),IF(ISBLANK(INDEX('register map'!A:A,C546-5)),IF(ISBLANK(INDEX('register map'!A:A,C546-6)),IF(ISBLANK(INDEX('register map'!A:A,C546-7)),IF(ISBLANK(INDEX('register map'!A:A,C546-8)),"ERROR",INDEX('register map'!A:A,C546-8)),INDEX('register map'!A:A,C546-7)),INDEX('register map'!A:A,C546-6)),INDEX('register map'!A:A,C546-5)),INDEX('register map'!A:A,C546-4)),INDEX('register map'!A:A,C546-3)),INDEX('register map'!A:A,C546-2)),INDEX('register map'!A:A,C546-1)),INDEX('register map'!A:A,C546))</f>
        <v>0x38</v>
      </c>
      <c r="F546" s="117" t="str">
        <f>IF(ISBLANK(INDEX('register map'!B:B,C546)),IF(ISBLANK(INDEX('register map'!B:B,C546-1)),IF(ISBLANK(INDEX('register map'!B:B,C546-2)),IF(ISBLANK(INDEX('register map'!B:B,C546-3)),IF(ISBLANK(INDEX('register map'!B:B,C546-4)),IF(ISBLANK(INDEX('register map'!B:B,C546-5)),IF(ISBLANK(INDEX('register map'!B:B,C546-6)),IF(ISBLANK(INDEX('register map'!B:B,C546-7)),IF(ISBLANK(INDEX('register map'!B:B,C546-8)),"ERROR",INDEX('register map'!B:B,C546-8)),INDEX('register map'!B:B,C546-7)),INDEX('register map'!B:B,C546-6)),INDEX('register map'!B:B,C546-5)),INDEX('register map'!B:B,C546-4)),INDEX('register map'!B:B,C546-3)),INDEX('register map'!B:B,C546-2)),INDEX('register map'!B:B,C546-1)),INDEX('register map'!B:B,C546))</f>
        <v>0x2E</v>
      </c>
      <c r="G546" s="117" t="str">
        <f>CONCATENATE(IF(ISNUMBER(INDEX('register map'!D:D,C546)),7,""),IF(ISNUMBER(INDEX('register map'!E:E,C546)),6,""),IF(ISNUMBER(INDEX('register map'!F:F,C546)),5,""),IF(ISNUMBER(INDEX('register map'!G:G,C546)),4,""),IF(ISNUMBER(INDEX('register map'!H:H,C546)),3,""),IF(ISNUMBER(INDEX('register map'!I:I,C546)),2,""),IF(ISNUMBER(INDEX('register map'!J:J,C546)),1,""),IF(ISNUMBER(INDEX('register map'!K:K,C546)),0,""))</f>
        <v>54</v>
      </c>
      <c r="H546" s="117" t="str">
        <f>RIGHT(INDEX('register map'!V:V,MATCH('Logical Group Generator'!B546,'register map'!L:L,0)),LEN(G546))</f>
        <v>10</v>
      </c>
      <c r="I546" s="117" t="str">
        <f>CONCATENATE(IF(ISNUMBER(INDEX('register map'!K:K,C546)),0,""),IF(ISNUMBER(INDEX('register map'!J:J,C546)),1,""),IF(ISNUMBER(INDEX('register map'!I:I,C546)),2,""),IF(ISNUMBER(INDEX('register map'!H:H,C546)),3,""),IF(ISNUMBER(INDEX('register map'!G:G,C546)),4,""),IF(ISNUMBER(INDEX('register map'!F:F,C546)),5,""),IF(ISNUMBER(INDEX('register map'!E:E,C546)),6,""),IF(ISNUMBER(INDEX('register map'!D:D,C546)),7,""))</f>
        <v>45</v>
      </c>
      <c r="J546" s="117" t="str">
        <f t="shared" si="95"/>
        <v>01</v>
      </c>
      <c r="K546" s="117" t="str">
        <f t="shared" si="88"/>
        <v/>
      </c>
      <c r="L546" s="117" t="str">
        <f t="shared" si="96"/>
        <v/>
      </c>
      <c r="M546" s="117" t="str">
        <f t="shared" si="98"/>
        <v/>
      </c>
      <c r="N546" s="117" t="str">
        <f>IF(ISBLANK(INDEX('register map'!M:M,'Logical Group Generator'!C546)),"No","Yes")</f>
        <v>No</v>
      </c>
      <c r="O546" s="117" t="str">
        <f>IF(NOT(ISBLANK(INDEX('register map'!N:N,'Logical Group Generator'!C546))),"Yes","")</f>
        <v/>
      </c>
      <c r="P546" s="117" t="str">
        <f t="shared" si="89"/>
        <v/>
      </c>
      <c r="Q546" s="117" t="str">
        <f t="shared" si="90"/>
        <v/>
      </c>
      <c r="R546" s="117" t="str">
        <f t="shared" si="91"/>
        <v/>
      </c>
      <c r="S546" s="117" t="str">
        <f t="shared" si="92"/>
        <v>No</v>
      </c>
      <c r="T546" s="117" t="str">
        <f t="shared" si="93"/>
        <v/>
      </c>
      <c r="U546" s="117" t="b">
        <f t="shared" si="97"/>
        <v>0</v>
      </c>
      <c r="V546" s="157" t="b">
        <f>INDEX('register map'!P:P,C546)="yes"</f>
        <v>1</v>
      </c>
      <c r="W546" s="157" t="str">
        <f t="shared" si="94"/>
        <v>FALSE</v>
      </c>
    </row>
    <row r="547" spans="2:23">
      <c r="B547" s="157" t="str">
        <f t="array" ref="B547">IF(ROWS($3:547)&lt;=COUNTA('register map'!$L$5:$L$902),INDEX('register map'!$L$5:$L$902,SMALL(IF('register map'!$L$5:$L$902&lt;&gt;"",ROW('register map'!$L$5:$L$902)-MIN(ROW('register map'!$L$5:$L$902))+1),ROWS($3:547))),"")</f>
        <v>OTP_RSVD_38_2E_6</v>
      </c>
      <c r="C547" s="157">
        <f>IF(B547="PART_NUMBER",IF(COUNTIF($B$1:B546,"PART_NUMBER")=0,6,8),MATCH(B547,'register map'!L:L,0))</f>
        <v>651</v>
      </c>
      <c r="D547" s="117" t="str">
        <f>IF(ISBLANK(INDEX('register map'!C:C,'Logical Group Generator'!C547)),"No","Yes")</f>
        <v>No</v>
      </c>
      <c r="E547" s="117" t="str">
        <f>IF(ISBLANK(INDEX('register map'!A:A,C547)),IF(ISBLANK(INDEX('register map'!A:A,C547-1)),IF(ISBLANK(INDEX('register map'!A:A,C547-2)),IF(ISBLANK(INDEX('register map'!A:A,C547-3)),IF(ISBLANK(INDEX('register map'!A:A,C547-4)),IF(ISBLANK(INDEX('register map'!A:A,C547-5)),IF(ISBLANK(INDEX('register map'!A:A,C547-6)),IF(ISBLANK(INDEX('register map'!A:A,C547-7)),IF(ISBLANK(INDEX('register map'!A:A,C547-8)),"ERROR",INDEX('register map'!A:A,C547-8)),INDEX('register map'!A:A,C547-7)),INDEX('register map'!A:A,C547-6)),INDEX('register map'!A:A,C547-5)),INDEX('register map'!A:A,C547-4)),INDEX('register map'!A:A,C547-3)),INDEX('register map'!A:A,C547-2)),INDEX('register map'!A:A,C547-1)),INDEX('register map'!A:A,C547))</f>
        <v>0x38</v>
      </c>
      <c r="F547" s="117" t="str">
        <f>IF(ISBLANK(INDEX('register map'!B:B,C547)),IF(ISBLANK(INDEX('register map'!B:B,C547-1)),IF(ISBLANK(INDEX('register map'!B:B,C547-2)),IF(ISBLANK(INDEX('register map'!B:B,C547-3)),IF(ISBLANK(INDEX('register map'!B:B,C547-4)),IF(ISBLANK(INDEX('register map'!B:B,C547-5)),IF(ISBLANK(INDEX('register map'!B:B,C547-6)),IF(ISBLANK(INDEX('register map'!B:B,C547-7)),IF(ISBLANK(INDEX('register map'!B:B,C547-8)),"ERROR",INDEX('register map'!B:B,C547-8)),INDEX('register map'!B:B,C547-7)),INDEX('register map'!B:B,C547-6)),INDEX('register map'!B:B,C547-5)),INDEX('register map'!B:B,C547-4)),INDEX('register map'!B:B,C547-3)),INDEX('register map'!B:B,C547-2)),INDEX('register map'!B:B,C547-1)),INDEX('register map'!B:B,C547))</f>
        <v>0x2E</v>
      </c>
      <c r="G547" s="117" t="str">
        <f>CONCATENATE(IF(ISNUMBER(INDEX('register map'!D:D,C547)),7,""),IF(ISNUMBER(INDEX('register map'!E:E,C547)),6,""),IF(ISNUMBER(INDEX('register map'!F:F,C547)),5,""),IF(ISNUMBER(INDEX('register map'!G:G,C547)),4,""),IF(ISNUMBER(INDEX('register map'!H:H,C547)),3,""),IF(ISNUMBER(INDEX('register map'!I:I,C547)),2,""),IF(ISNUMBER(INDEX('register map'!J:J,C547)),1,""),IF(ISNUMBER(INDEX('register map'!K:K,C547)),0,""))</f>
        <v>6</v>
      </c>
      <c r="H547" s="117" t="str">
        <f>RIGHT(INDEX('register map'!V:V,MATCH('Logical Group Generator'!B547,'register map'!L:L,0)),LEN(G547))</f>
        <v>0</v>
      </c>
      <c r="I547" s="117" t="str">
        <f>CONCATENATE(IF(ISNUMBER(INDEX('register map'!K:K,C547)),0,""),IF(ISNUMBER(INDEX('register map'!J:J,C547)),1,""),IF(ISNUMBER(INDEX('register map'!I:I,C547)),2,""),IF(ISNUMBER(INDEX('register map'!H:H,C547)),3,""),IF(ISNUMBER(INDEX('register map'!G:G,C547)),4,""),IF(ISNUMBER(INDEX('register map'!F:F,C547)),5,""),IF(ISNUMBER(INDEX('register map'!E:E,C547)),6,""),IF(ISNUMBER(INDEX('register map'!D:D,C547)),7,""))</f>
        <v>6</v>
      </c>
      <c r="J547" s="117" t="str">
        <f t="shared" si="95"/>
        <v>0</v>
      </c>
      <c r="K547" s="117" t="str">
        <f t="shared" si="88"/>
        <v/>
      </c>
      <c r="L547" s="117" t="str">
        <f t="shared" si="96"/>
        <v/>
      </c>
      <c r="M547" s="117" t="str">
        <f t="shared" si="98"/>
        <v/>
      </c>
      <c r="N547" s="117" t="str">
        <f>IF(ISBLANK(INDEX('register map'!M:M,'Logical Group Generator'!C547)),"No","Yes")</f>
        <v>No</v>
      </c>
      <c r="O547" s="117" t="str">
        <f>IF(NOT(ISBLANK(INDEX('register map'!N:N,'Logical Group Generator'!C547))),"Yes","")</f>
        <v/>
      </c>
      <c r="P547" s="117" t="str">
        <f t="shared" si="89"/>
        <v/>
      </c>
      <c r="Q547" s="117" t="str">
        <f t="shared" si="90"/>
        <v/>
      </c>
      <c r="R547" s="117" t="str">
        <f t="shared" si="91"/>
        <v/>
      </c>
      <c r="S547" s="117" t="str">
        <f t="shared" si="92"/>
        <v>No</v>
      </c>
      <c r="T547" s="117" t="str">
        <f t="shared" si="93"/>
        <v/>
      </c>
      <c r="U547" s="117" t="b">
        <f t="shared" si="97"/>
        <v>0</v>
      </c>
      <c r="V547" s="157" t="b">
        <f>INDEX('register map'!P:P,C547)="yes"</f>
        <v>1</v>
      </c>
      <c r="W547" s="157" t="str">
        <f t="shared" si="94"/>
        <v>FALSE</v>
      </c>
    </row>
    <row r="548" spans="2:23">
      <c r="B548" s="157" t="str">
        <f t="array" ref="B548">IF(ROWS($3:548)&lt;=COUNTA('register map'!$L$5:$L$902),INDEX('register map'!$L$5:$L$902,SMALL(IF('register map'!$L$5:$L$902&lt;&gt;"",ROW('register map'!$L$5:$L$902)-MIN(ROW('register map'!$L$5:$L$902))+1),ROWS($3:548))),"")</f>
        <v>OTP_RSVD_38_2E_7</v>
      </c>
      <c r="C548" s="157">
        <f>IF(B548="PART_NUMBER",IF(COUNTIF($B$1:B547,"PART_NUMBER")=0,6,8),MATCH(B548,'register map'!L:L,0))</f>
        <v>652</v>
      </c>
      <c r="D548" s="117" t="str">
        <f>IF(ISBLANK(INDEX('register map'!C:C,'Logical Group Generator'!C548)),"No","Yes")</f>
        <v>No</v>
      </c>
      <c r="E548" s="117" t="str">
        <f>IF(ISBLANK(INDEX('register map'!A:A,C548)),IF(ISBLANK(INDEX('register map'!A:A,C548-1)),IF(ISBLANK(INDEX('register map'!A:A,C548-2)),IF(ISBLANK(INDEX('register map'!A:A,C548-3)),IF(ISBLANK(INDEX('register map'!A:A,C548-4)),IF(ISBLANK(INDEX('register map'!A:A,C548-5)),IF(ISBLANK(INDEX('register map'!A:A,C548-6)),IF(ISBLANK(INDEX('register map'!A:A,C548-7)),IF(ISBLANK(INDEX('register map'!A:A,C548-8)),"ERROR",INDEX('register map'!A:A,C548-8)),INDEX('register map'!A:A,C548-7)),INDEX('register map'!A:A,C548-6)),INDEX('register map'!A:A,C548-5)),INDEX('register map'!A:A,C548-4)),INDEX('register map'!A:A,C548-3)),INDEX('register map'!A:A,C548-2)),INDEX('register map'!A:A,C548-1)),INDEX('register map'!A:A,C548))</f>
        <v>0x38</v>
      </c>
      <c r="F548" s="117" t="str">
        <f>IF(ISBLANK(INDEX('register map'!B:B,C548)),IF(ISBLANK(INDEX('register map'!B:B,C548-1)),IF(ISBLANK(INDEX('register map'!B:B,C548-2)),IF(ISBLANK(INDEX('register map'!B:B,C548-3)),IF(ISBLANK(INDEX('register map'!B:B,C548-4)),IF(ISBLANK(INDEX('register map'!B:B,C548-5)),IF(ISBLANK(INDEX('register map'!B:B,C548-6)),IF(ISBLANK(INDEX('register map'!B:B,C548-7)),IF(ISBLANK(INDEX('register map'!B:B,C548-8)),"ERROR",INDEX('register map'!B:B,C548-8)),INDEX('register map'!B:B,C548-7)),INDEX('register map'!B:B,C548-6)),INDEX('register map'!B:B,C548-5)),INDEX('register map'!B:B,C548-4)),INDEX('register map'!B:B,C548-3)),INDEX('register map'!B:B,C548-2)),INDEX('register map'!B:B,C548-1)),INDEX('register map'!B:B,C548))</f>
        <v>0x2E</v>
      </c>
      <c r="G548" s="117" t="str">
        <f>CONCATENATE(IF(ISNUMBER(INDEX('register map'!D:D,C548)),7,""),IF(ISNUMBER(INDEX('register map'!E:E,C548)),6,""),IF(ISNUMBER(INDEX('register map'!F:F,C548)),5,""),IF(ISNUMBER(INDEX('register map'!G:G,C548)),4,""),IF(ISNUMBER(INDEX('register map'!H:H,C548)),3,""),IF(ISNUMBER(INDEX('register map'!I:I,C548)),2,""),IF(ISNUMBER(INDEX('register map'!J:J,C548)),1,""),IF(ISNUMBER(INDEX('register map'!K:K,C548)),0,""))</f>
        <v>7</v>
      </c>
      <c r="H548" s="117" t="str">
        <f>RIGHT(INDEX('register map'!V:V,MATCH('Logical Group Generator'!B548,'register map'!L:L,0)),LEN(G548))</f>
        <v>1</v>
      </c>
      <c r="I548" s="117" t="str">
        <f>CONCATENATE(IF(ISNUMBER(INDEX('register map'!K:K,C548)),0,""),IF(ISNUMBER(INDEX('register map'!J:J,C548)),1,""),IF(ISNUMBER(INDEX('register map'!I:I,C548)),2,""),IF(ISNUMBER(INDEX('register map'!H:H,C548)),3,""),IF(ISNUMBER(INDEX('register map'!G:G,C548)),4,""),IF(ISNUMBER(INDEX('register map'!F:F,C548)),5,""),IF(ISNUMBER(INDEX('register map'!E:E,C548)),6,""),IF(ISNUMBER(INDEX('register map'!D:D,C548)),7,""))</f>
        <v>7</v>
      </c>
      <c r="J548" s="117" t="str">
        <f t="shared" si="95"/>
        <v>1</v>
      </c>
      <c r="K548" s="117" t="str">
        <f t="shared" si="88"/>
        <v/>
      </c>
      <c r="L548" s="117" t="str">
        <f t="shared" si="96"/>
        <v/>
      </c>
      <c r="M548" s="117" t="str">
        <f t="shared" si="98"/>
        <v/>
      </c>
      <c r="N548" s="117" t="str">
        <f>IF(ISBLANK(INDEX('register map'!M:M,'Logical Group Generator'!C548)),"No","Yes")</f>
        <v>No</v>
      </c>
      <c r="O548" s="117" t="str">
        <f>IF(NOT(ISBLANK(INDEX('register map'!N:N,'Logical Group Generator'!C548))),"Yes","")</f>
        <v/>
      </c>
      <c r="P548" s="117" t="str">
        <f t="shared" si="89"/>
        <v/>
      </c>
      <c r="Q548" s="117" t="str">
        <f t="shared" si="90"/>
        <v/>
      </c>
      <c r="R548" s="117" t="str">
        <f t="shared" si="91"/>
        <v/>
      </c>
      <c r="S548" s="117" t="str">
        <f t="shared" si="92"/>
        <v>No</v>
      </c>
      <c r="T548" s="117" t="str">
        <f t="shared" si="93"/>
        <v/>
      </c>
      <c r="U548" s="117" t="b">
        <f t="shared" si="97"/>
        <v>0</v>
      </c>
      <c r="V548" s="157" t="b">
        <f>INDEX('register map'!P:P,C548)="yes"</f>
        <v>1</v>
      </c>
      <c r="W548" s="157" t="str">
        <f t="shared" si="94"/>
        <v>FALSE</v>
      </c>
    </row>
    <row r="549" spans="2:23">
      <c r="B549" s="157" t="str">
        <f t="array" ref="B549">IF(ROWS($3:549)&lt;=COUNTA('register map'!$L$5:$L$902),INDEX('register map'!$L$5:$L$902,SMALL(IF('register map'!$L$5:$L$902&lt;&gt;"",ROW('register map'!$L$5:$L$902)-MIN(ROW('register map'!$L$5:$L$902))+1),ROWS($3:549))),"")</f>
        <v>OTP_RSVD_38_2F</v>
      </c>
      <c r="C549" s="157">
        <f>IF(B549="PART_NUMBER",IF(COUNTIF($B$1:B548,"PART_NUMBER")=0,6,8),MATCH(B549,'register map'!L:L,0))</f>
        <v>653</v>
      </c>
      <c r="D549" s="117" t="str">
        <f>IF(ISBLANK(INDEX('register map'!C:C,'Logical Group Generator'!C549)),"No","Yes")</f>
        <v>Yes</v>
      </c>
      <c r="E549" s="117" t="str">
        <f>IF(ISBLANK(INDEX('register map'!A:A,C549)),IF(ISBLANK(INDEX('register map'!A:A,C549-1)),IF(ISBLANK(INDEX('register map'!A:A,C549-2)),IF(ISBLANK(INDEX('register map'!A:A,C549-3)),IF(ISBLANK(INDEX('register map'!A:A,C549-4)),IF(ISBLANK(INDEX('register map'!A:A,C549-5)),IF(ISBLANK(INDEX('register map'!A:A,C549-6)),IF(ISBLANK(INDEX('register map'!A:A,C549-7)),IF(ISBLANK(INDEX('register map'!A:A,C549-8)),"ERROR",INDEX('register map'!A:A,C549-8)),INDEX('register map'!A:A,C549-7)),INDEX('register map'!A:A,C549-6)),INDEX('register map'!A:A,C549-5)),INDEX('register map'!A:A,C549-4)),INDEX('register map'!A:A,C549-3)),INDEX('register map'!A:A,C549-2)),INDEX('register map'!A:A,C549-1)),INDEX('register map'!A:A,C549))</f>
        <v>0x38</v>
      </c>
      <c r="F549" s="117" t="str">
        <f>IF(ISBLANK(INDEX('register map'!B:B,C549)),IF(ISBLANK(INDEX('register map'!B:B,C549-1)),IF(ISBLANK(INDEX('register map'!B:B,C549-2)),IF(ISBLANK(INDEX('register map'!B:B,C549-3)),IF(ISBLANK(INDEX('register map'!B:B,C549-4)),IF(ISBLANK(INDEX('register map'!B:B,C549-5)),IF(ISBLANK(INDEX('register map'!B:B,C549-6)),IF(ISBLANK(INDEX('register map'!B:B,C549-7)),IF(ISBLANK(INDEX('register map'!B:B,C549-8)),"ERROR",INDEX('register map'!B:B,C549-8)),INDEX('register map'!B:B,C549-7)),INDEX('register map'!B:B,C549-6)),INDEX('register map'!B:B,C549-5)),INDEX('register map'!B:B,C549-4)),INDEX('register map'!B:B,C549-3)),INDEX('register map'!B:B,C549-2)),INDEX('register map'!B:B,C549-1)),INDEX('register map'!B:B,C549))</f>
        <v>0x2F</v>
      </c>
      <c r="G549" s="117" t="str">
        <f>CONCATENATE(IF(ISNUMBER(INDEX('register map'!D:D,C549)),7,""),IF(ISNUMBER(INDEX('register map'!E:E,C549)),6,""),IF(ISNUMBER(INDEX('register map'!F:F,C549)),5,""),IF(ISNUMBER(INDEX('register map'!G:G,C549)),4,""),IF(ISNUMBER(INDEX('register map'!H:H,C549)),3,""),IF(ISNUMBER(INDEX('register map'!I:I,C549)),2,""),IF(ISNUMBER(INDEX('register map'!J:J,C549)),1,""),IF(ISNUMBER(INDEX('register map'!K:K,C549)),0,""))</f>
        <v/>
      </c>
      <c r="H549" s="117" t="str">
        <f>RIGHT(INDEX('register map'!V:V,MATCH('Logical Group Generator'!B549,'register map'!L:L,0)),LEN(G549))</f>
        <v/>
      </c>
      <c r="I549" s="117" t="str">
        <f>CONCATENATE(IF(ISNUMBER(INDEX('register map'!K:K,C549)),0,""),IF(ISNUMBER(INDEX('register map'!J:J,C549)),1,""),IF(ISNUMBER(INDEX('register map'!I:I,C549)),2,""),IF(ISNUMBER(INDEX('register map'!H:H,C549)),3,""),IF(ISNUMBER(INDEX('register map'!G:G,C549)),4,""),IF(ISNUMBER(INDEX('register map'!F:F,C549)),5,""),IF(ISNUMBER(INDEX('register map'!E:E,C549)),6,""),IF(ISNUMBER(INDEX('register map'!D:D,C549)),7,""))</f>
        <v/>
      </c>
      <c r="J549" s="117" t="str">
        <f t="shared" si="95"/>
        <v/>
      </c>
      <c r="K549" s="117" t="str">
        <f t="shared" si="88"/>
        <v>01011001</v>
      </c>
      <c r="L549" s="117" t="str">
        <f t="shared" si="96"/>
        <v>10011010</v>
      </c>
      <c r="M549" s="117" t="str">
        <f t="shared" si="98"/>
        <v>9A</v>
      </c>
      <c r="N549" s="117" t="str">
        <f>IF(ISBLANK(INDEX('register map'!M:M,'Logical Group Generator'!C549)),"No","Yes")</f>
        <v>No</v>
      </c>
      <c r="O549" s="117" t="str">
        <f>IF(NOT(ISBLANK(INDEX('register map'!N:N,'Logical Group Generator'!C549))),"Yes","")</f>
        <v/>
      </c>
      <c r="P549" s="117" t="str">
        <f t="shared" si="89"/>
        <v>Yes</v>
      </c>
      <c r="Q549" s="117" t="str">
        <f t="shared" si="90"/>
        <v>Yes</v>
      </c>
      <c r="R549" s="117" t="str">
        <f t="shared" si="91"/>
        <v>No</v>
      </c>
      <c r="S549" s="117" t="str">
        <f t="shared" si="92"/>
        <v/>
      </c>
      <c r="T549" s="117" t="b">
        <f t="shared" si="93"/>
        <v>1</v>
      </c>
      <c r="U549" s="117" t="b">
        <f t="shared" si="97"/>
        <v>0</v>
      </c>
      <c r="V549" s="157" t="b">
        <f>INDEX('register map'!P:P,C549)="yes"</f>
        <v>1</v>
      </c>
      <c r="W549" s="157" t="str">
        <f t="shared" si="94"/>
        <v>FALSE</v>
      </c>
    </row>
    <row r="550" spans="2:23">
      <c r="B550" s="157" t="str">
        <f t="array" ref="B550">IF(ROWS($3:550)&lt;=COUNTA('register map'!$L$5:$L$902),INDEX('register map'!$L$5:$L$902,SMALL(IF('register map'!$L$5:$L$902&lt;&gt;"",ROW('register map'!$L$5:$L$902)-MIN(ROW('register map'!$L$5:$L$902))+1),ROWS($3:550))),"")</f>
        <v>OTP_RSVD_38_2F_0</v>
      </c>
      <c r="C550" s="157">
        <f>IF(B550="PART_NUMBER",IF(COUNTIF($B$1:B549,"PART_NUMBER")=0,6,8),MATCH(B550,'register map'!L:L,0))</f>
        <v>654</v>
      </c>
      <c r="D550" s="117" t="str">
        <f>IF(ISBLANK(INDEX('register map'!C:C,'Logical Group Generator'!C550)),"No","Yes")</f>
        <v>No</v>
      </c>
      <c r="E550" s="117" t="str">
        <f>IF(ISBLANK(INDEX('register map'!A:A,C550)),IF(ISBLANK(INDEX('register map'!A:A,C550-1)),IF(ISBLANK(INDEX('register map'!A:A,C550-2)),IF(ISBLANK(INDEX('register map'!A:A,C550-3)),IF(ISBLANK(INDEX('register map'!A:A,C550-4)),IF(ISBLANK(INDEX('register map'!A:A,C550-5)),IF(ISBLANK(INDEX('register map'!A:A,C550-6)),IF(ISBLANK(INDEX('register map'!A:A,C550-7)),IF(ISBLANK(INDEX('register map'!A:A,C550-8)),"ERROR",INDEX('register map'!A:A,C550-8)),INDEX('register map'!A:A,C550-7)),INDEX('register map'!A:A,C550-6)),INDEX('register map'!A:A,C550-5)),INDEX('register map'!A:A,C550-4)),INDEX('register map'!A:A,C550-3)),INDEX('register map'!A:A,C550-2)),INDEX('register map'!A:A,C550-1)),INDEX('register map'!A:A,C550))</f>
        <v>0x38</v>
      </c>
      <c r="F550" s="117" t="str">
        <f>IF(ISBLANK(INDEX('register map'!B:B,C550)),IF(ISBLANK(INDEX('register map'!B:B,C550-1)),IF(ISBLANK(INDEX('register map'!B:B,C550-2)),IF(ISBLANK(INDEX('register map'!B:B,C550-3)),IF(ISBLANK(INDEX('register map'!B:B,C550-4)),IF(ISBLANK(INDEX('register map'!B:B,C550-5)),IF(ISBLANK(INDEX('register map'!B:B,C550-6)),IF(ISBLANK(INDEX('register map'!B:B,C550-7)),IF(ISBLANK(INDEX('register map'!B:B,C550-8)),"ERROR",INDEX('register map'!B:B,C550-8)),INDEX('register map'!B:B,C550-7)),INDEX('register map'!B:B,C550-6)),INDEX('register map'!B:B,C550-5)),INDEX('register map'!B:B,C550-4)),INDEX('register map'!B:B,C550-3)),INDEX('register map'!B:B,C550-2)),INDEX('register map'!B:B,C550-1)),INDEX('register map'!B:B,C550))</f>
        <v>0x2F</v>
      </c>
      <c r="G550" s="117" t="str">
        <f>CONCATENATE(IF(ISNUMBER(INDEX('register map'!D:D,C550)),7,""),IF(ISNUMBER(INDEX('register map'!E:E,C550)),6,""),IF(ISNUMBER(INDEX('register map'!F:F,C550)),5,""),IF(ISNUMBER(INDEX('register map'!G:G,C550)),4,""),IF(ISNUMBER(INDEX('register map'!H:H,C550)),3,""),IF(ISNUMBER(INDEX('register map'!I:I,C550)),2,""),IF(ISNUMBER(INDEX('register map'!J:J,C550)),1,""),IF(ISNUMBER(INDEX('register map'!K:K,C550)),0,""))</f>
        <v>0</v>
      </c>
      <c r="H550" s="117" t="str">
        <f>RIGHT(INDEX('register map'!V:V,MATCH('Logical Group Generator'!B550,'register map'!L:L,0)),LEN(G550))</f>
        <v>0</v>
      </c>
      <c r="I550" s="117" t="str">
        <f>CONCATENATE(IF(ISNUMBER(INDEX('register map'!K:K,C550)),0,""),IF(ISNUMBER(INDEX('register map'!J:J,C550)),1,""),IF(ISNUMBER(INDEX('register map'!I:I,C550)),2,""),IF(ISNUMBER(INDEX('register map'!H:H,C550)),3,""),IF(ISNUMBER(INDEX('register map'!G:G,C550)),4,""),IF(ISNUMBER(INDEX('register map'!F:F,C550)),5,""),IF(ISNUMBER(INDEX('register map'!E:E,C550)),6,""),IF(ISNUMBER(INDEX('register map'!D:D,C550)),7,""))</f>
        <v>0</v>
      </c>
      <c r="J550" s="117" t="str">
        <f t="shared" si="95"/>
        <v>0</v>
      </c>
      <c r="K550" s="117" t="str">
        <f t="shared" si="88"/>
        <v/>
      </c>
      <c r="L550" s="117" t="str">
        <f t="shared" si="96"/>
        <v/>
      </c>
      <c r="M550" s="117" t="str">
        <f t="shared" si="98"/>
        <v/>
      </c>
      <c r="N550" s="117" t="str">
        <f>IF(ISBLANK(INDEX('register map'!M:M,'Logical Group Generator'!C550)),"No","Yes")</f>
        <v>No</v>
      </c>
      <c r="O550" s="117" t="str">
        <f>IF(NOT(ISBLANK(INDEX('register map'!N:N,'Logical Group Generator'!C550))),"Yes","")</f>
        <v>Yes</v>
      </c>
      <c r="P550" s="117" t="str">
        <f t="shared" si="89"/>
        <v/>
      </c>
      <c r="Q550" s="117" t="str">
        <f t="shared" si="90"/>
        <v/>
      </c>
      <c r="R550" s="117" t="str">
        <f t="shared" si="91"/>
        <v/>
      </c>
      <c r="S550" s="117" t="str">
        <f t="shared" si="92"/>
        <v>No</v>
      </c>
      <c r="T550" s="117" t="str">
        <f t="shared" si="93"/>
        <v/>
      </c>
      <c r="U550" s="117" t="b">
        <f t="shared" si="97"/>
        <v>0</v>
      </c>
      <c r="V550" s="157" t="b">
        <f>INDEX('register map'!P:P,C550)="yes"</f>
        <v>1</v>
      </c>
      <c r="W550" s="157" t="str">
        <f t="shared" si="94"/>
        <v>FALSE</v>
      </c>
    </row>
    <row r="551" spans="2:23">
      <c r="B551" s="157" t="str">
        <f t="array" ref="B551">IF(ROWS($3:551)&lt;=COUNTA('register map'!$L$5:$L$902),INDEX('register map'!$L$5:$L$902,SMALL(IF('register map'!$L$5:$L$902&lt;&gt;"",ROW('register map'!$L$5:$L$902)-MIN(ROW('register map'!$L$5:$L$902))+1),ROWS($3:551))),"")</f>
        <v>OTP_RSVD_38_2F_1</v>
      </c>
      <c r="C551" s="157">
        <f>IF(B551="PART_NUMBER",IF(COUNTIF($B$1:B550,"PART_NUMBER")=0,6,8),MATCH(B551,'register map'!L:L,0))</f>
        <v>655</v>
      </c>
      <c r="D551" s="117" t="str">
        <f>IF(ISBLANK(INDEX('register map'!C:C,'Logical Group Generator'!C551)),"No","Yes")</f>
        <v>No</v>
      </c>
      <c r="E551" s="117" t="str">
        <f>IF(ISBLANK(INDEX('register map'!A:A,C551)),IF(ISBLANK(INDEX('register map'!A:A,C551-1)),IF(ISBLANK(INDEX('register map'!A:A,C551-2)),IF(ISBLANK(INDEX('register map'!A:A,C551-3)),IF(ISBLANK(INDEX('register map'!A:A,C551-4)),IF(ISBLANK(INDEX('register map'!A:A,C551-5)),IF(ISBLANK(INDEX('register map'!A:A,C551-6)),IF(ISBLANK(INDEX('register map'!A:A,C551-7)),IF(ISBLANK(INDEX('register map'!A:A,C551-8)),"ERROR",INDEX('register map'!A:A,C551-8)),INDEX('register map'!A:A,C551-7)),INDEX('register map'!A:A,C551-6)),INDEX('register map'!A:A,C551-5)),INDEX('register map'!A:A,C551-4)),INDEX('register map'!A:A,C551-3)),INDEX('register map'!A:A,C551-2)),INDEX('register map'!A:A,C551-1)),INDEX('register map'!A:A,C551))</f>
        <v>0x38</v>
      </c>
      <c r="F551" s="117" t="str">
        <f>IF(ISBLANK(INDEX('register map'!B:B,C551)),IF(ISBLANK(INDEX('register map'!B:B,C551-1)),IF(ISBLANK(INDEX('register map'!B:B,C551-2)),IF(ISBLANK(INDEX('register map'!B:B,C551-3)),IF(ISBLANK(INDEX('register map'!B:B,C551-4)),IF(ISBLANK(INDEX('register map'!B:B,C551-5)),IF(ISBLANK(INDEX('register map'!B:B,C551-6)),IF(ISBLANK(INDEX('register map'!B:B,C551-7)),IF(ISBLANK(INDEX('register map'!B:B,C551-8)),"ERROR",INDEX('register map'!B:B,C551-8)),INDEX('register map'!B:B,C551-7)),INDEX('register map'!B:B,C551-6)),INDEX('register map'!B:B,C551-5)),INDEX('register map'!B:B,C551-4)),INDEX('register map'!B:B,C551-3)),INDEX('register map'!B:B,C551-2)),INDEX('register map'!B:B,C551-1)),INDEX('register map'!B:B,C551))</f>
        <v>0x2F</v>
      </c>
      <c r="G551" s="117" t="str">
        <f>CONCATENATE(IF(ISNUMBER(INDEX('register map'!D:D,C551)),7,""),IF(ISNUMBER(INDEX('register map'!E:E,C551)),6,""),IF(ISNUMBER(INDEX('register map'!F:F,C551)),5,""),IF(ISNUMBER(INDEX('register map'!G:G,C551)),4,""),IF(ISNUMBER(INDEX('register map'!H:H,C551)),3,""),IF(ISNUMBER(INDEX('register map'!I:I,C551)),2,""),IF(ISNUMBER(INDEX('register map'!J:J,C551)),1,""),IF(ISNUMBER(INDEX('register map'!K:K,C551)),0,""))</f>
        <v>1</v>
      </c>
      <c r="H551" s="117" t="str">
        <f>RIGHT(INDEX('register map'!V:V,MATCH('Logical Group Generator'!B551,'register map'!L:L,0)),LEN(G551))</f>
        <v>1</v>
      </c>
      <c r="I551" s="117" t="str">
        <f>CONCATENATE(IF(ISNUMBER(INDEX('register map'!K:K,C551)),0,""),IF(ISNUMBER(INDEX('register map'!J:J,C551)),1,""),IF(ISNUMBER(INDEX('register map'!I:I,C551)),2,""),IF(ISNUMBER(INDEX('register map'!H:H,C551)),3,""),IF(ISNUMBER(INDEX('register map'!G:G,C551)),4,""),IF(ISNUMBER(INDEX('register map'!F:F,C551)),5,""),IF(ISNUMBER(INDEX('register map'!E:E,C551)),6,""),IF(ISNUMBER(INDEX('register map'!D:D,C551)),7,""))</f>
        <v>1</v>
      </c>
      <c r="J551" s="117" t="str">
        <f t="shared" si="95"/>
        <v>1</v>
      </c>
      <c r="K551" s="117" t="str">
        <f t="shared" si="88"/>
        <v/>
      </c>
      <c r="L551" s="117" t="str">
        <f t="shared" si="96"/>
        <v/>
      </c>
      <c r="M551" s="117" t="str">
        <f t="shared" si="98"/>
        <v/>
      </c>
      <c r="N551" s="117" t="str">
        <f>IF(ISBLANK(INDEX('register map'!M:M,'Logical Group Generator'!C551)),"No","Yes")</f>
        <v>No</v>
      </c>
      <c r="O551" s="117" t="str">
        <f>IF(NOT(ISBLANK(INDEX('register map'!N:N,'Logical Group Generator'!C551))),"Yes","")</f>
        <v>Yes</v>
      </c>
      <c r="P551" s="117" t="str">
        <f t="shared" si="89"/>
        <v/>
      </c>
      <c r="Q551" s="117" t="str">
        <f t="shared" si="90"/>
        <v/>
      </c>
      <c r="R551" s="117" t="str">
        <f t="shared" si="91"/>
        <v/>
      </c>
      <c r="S551" s="117" t="str">
        <f t="shared" si="92"/>
        <v>No</v>
      </c>
      <c r="T551" s="117" t="str">
        <f t="shared" si="93"/>
        <v/>
      </c>
      <c r="U551" s="117" t="b">
        <f t="shared" si="97"/>
        <v>0</v>
      </c>
      <c r="V551" s="157" t="b">
        <f>INDEX('register map'!P:P,C551)="yes"</f>
        <v>1</v>
      </c>
      <c r="W551" s="157" t="str">
        <f t="shared" si="94"/>
        <v>FALSE</v>
      </c>
    </row>
    <row r="552" spans="2:23">
      <c r="B552" s="157" t="str">
        <f t="array" ref="B552">IF(ROWS($3:552)&lt;=COUNTA('register map'!$L$5:$L$902),INDEX('register map'!$L$5:$L$902,SMALL(IF('register map'!$L$5:$L$902&lt;&gt;"",ROW('register map'!$L$5:$L$902)-MIN(ROW('register map'!$L$5:$L$902))+1),ROWS($3:552))),"")</f>
        <v>OTP_RSVD_38_2F_32</v>
      </c>
      <c r="C552" s="157">
        <f>IF(B552="PART_NUMBER",IF(COUNTIF($B$1:B551,"PART_NUMBER")=0,6,8),MATCH(B552,'register map'!L:L,0))</f>
        <v>656</v>
      </c>
      <c r="D552" s="117" t="str">
        <f>IF(ISBLANK(INDEX('register map'!C:C,'Logical Group Generator'!C552)),"No","Yes")</f>
        <v>No</v>
      </c>
      <c r="E552" s="117" t="str">
        <f>IF(ISBLANK(INDEX('register map'!A:A,C552)),IF(ISBLANK(INDEX('register map'!A:A,C552-1)),IF(ISBLANK(INDEX('register map'!A:A,C552-2)),IF(ISBLANK(INDEX('register map'!A:A,C552-3)),IF(ISBLANK(INDEX('register map'!A:A,C552-4)),IF(ISBLANK(INDEX('register map'!A:A,C552-5)),IF(ISBLANK(INDEX('register map'!A:A,C552-6)),IF(ISBLANK(INDEX('register map'!A:A,C552-7)),IF(ISBLANK(INDEX('register map'!A:A,C552-8)),"ERROR",INDEX('register map'!A:A,C552-8)),INDEX('register map'!A:A,C552-7)),INDEX('register map'!A:A,C552-6)),INDEX('register map'!A:A,C552-5)),INDEX('register map'!A:A,C552-4)),INDEX('register map'!A:A,C552-3)),INDEX('register map'!A:A,C552-2)),INDEX('register map'!A:A,C552-1)),INDEX('register map'!A:A,C552))</f>
        <v>0x38</v>
      </c>
      <c r="F552" s="117" t="str">
        <f>IF(ISBLANK(INDEX('register map'!B:B,C552)),IF(ISBLANK(INDEX('register map'!B:B,C552-1)),IF(ISBLANK(INDEX('register map'!B:B,C552-2)),IF(ISBLANK(INDEX('register map'!B:B,C552-3)),IF(ISBLANK(INDEX('register map'!B:B,C552-4)),IF(ISBLANK(INDEX('register map'!B:B,C552-5)),IF(ISBLANK(INDEX('register map'!B:B,C552-6)),IF(ISBLANK(INDEX('register map'!B:B,C552-7)),IF(ISBLANK(INDEX('register map'!B:B,C552-8)),"ERROR",INDEX('register map'!B:B,C552-8)),INDEX('register map'!B:B,C552-7)),INDEX('register map'!B:B,C552-6)),INDEX('register map'!B:B,C552-5)),INDEX('register map'!B:B,C552-4)),INDEX('register map'!B:B,C552-3)),INDEX('register map'!B:B,C552-2)),INDEX('register map'!B:B,C552-1)),INDEX('register map'!B:B,C552))</f>
        <v>0x2F</v>
      </c>
      <c r="G552" s="117" t="str">
        <f>CONCATENATE(IF(ISNUMBER(INDEX('register map'!D:D,C552)),7,""),IF(ISNUMBER(INDEX('register map'!E:E,C552)),6,""),IF(ISNUMBER(INDEX('register map'!F:F,C552)),5,""),IF(ISNUMBER(INDEX('register map'!G:G,C552)),4,""),IF(ISNUMBER(INDEX('register map'!H:H,C552)),3,""),IF(ISNUMBER(INDEX('register map'!I:I,C552)),2,""),IF(ISNUMBER(INDEX('register map'!J:J,C552)),1,""),IF(ISNUMBER(INDEX('register map'!K:K,C552)),0,""))</f>
        <v>32</v>
      </c>
      <c r="H552" s="117" t="str">
        <f>RIGHT(INDEX('register map'!V:V,MATCH('Logical Group Generator'!B552,'register map'!L:L,0)),LEN(G552))</f>
        <v>10</v>
      </c>
      <c r="I552" s="117" t="str">
        <f>CONCATENATE(IF(ISNUMBER(INDEX('register map'!K:K,C552)),0,""),IF(ISNUMBER(INDEX('register map'!J:J,C552)),1,""),IF(ISNUMBER(INDEX('register map'!I:I,C552)),2,""),IF(ISNUMBER(INDEX('register map'!H:H,C552)),3,""),IF(ISNUMBER(INDEX('register map'!G:G,C552)),4,""),IF(ISNUMBER(INDEX('register map'!F:F,C552)),5,""),IF(ISNUMBER(INDEX('register map'!E:E,C552)),6,""),IF(ISNUMBER(INDEX('register map'!D:D,C552)),7,""))</f>
        <v>23</v>
      </c>
      <c r="J552" s="117" t="str">
        <f t="shared" si="95"/>
        <v>01</v>
      </c>
      <c r="K552" s="117" t="str">
        <f t="shared" si="88"/>
        <v/>
      </c>
      <c r="L552" s="117" t="str">
        <f t="shared" si="96"/>
        <v/>
      </c>
      <c r="M552" s="117" t="str">
        <f t="shared" si="98"/>
        <v/>
      </c>
      <c r="N552" s="117" t="str">
        <f>IF(ISBLANK(INDEX('register map'!M:M,'Logical Group Generator'!C552)),"No","Yes")</f>
        <v>Yes</v>
      </c>
      <c r="O552" s="117" t="str">
        <f>IF(NOT(ISBLANK(INDEX('register map'!N:N,'Logical Group Generator'!C552))),"Yes","")</f>
        <v/>
      </c>
      <c r="P552" s="117" t="str">
        <f t="shared" si="89"/>
        <v/>
      </c>
      <c r="Q552" s="117" t="str">
        <f t="shared" si="90"/>
        <v/>
      </c>
      <c r="R552" s="117" t="str">
        <f t="shared" si="91"/>
        <v/>
      </c>
      <c r="S552" s="117" t="str">
        <f t="shared" si="92"/>
        <v>No</v>
      </c>
      <c r="T552" s="117" t="str">
        <f t="shared" si="93"/>
        <v/>
      </c>
      <c r="U552" s="117" t="b">
        <f t="shared" si="97"/>
        <v>0</v>
      </c>
      <c r="V552" s="157" t="b">
        <f>INDEX('register map'!P:P,C552)="yes"</f>
        <v>1</v>
      </c>
      <c r="W552" s="157" t="str">
        <f t="shared" si="94"/>
        <v>FALSE</v>
      </c>
    </row>
    <row r="553" spans="2:23">
      <c r="B553" s="157" t="str">
        <f t="array" ref="B553">IF(ROWS($3:553)&lt;=COUNTA('register map'!$L$5:$L$902),INDEX('register map'!$L$5:$L$902,SMALL(IF('register map'!$L$5:$L$902&lt;&gt;"",ROW('register map'!$L$5:$L$902)-MIN(ROW('register map'!$L$5:$L$902))+1),ROWS($3:553))),"")</f>
        <v>OTP_RSVD_38_2F_4</v>
      </c>
      <c r="C553" s="157">
        <f>IF(B553="PART_NUMBER",IF(COUNTIF($B$1:B552,"PART_NUMBER")=0,6,8),MATCH(B553,'register map'!L:L,0))</f>
        <v>657</v>
      </c>
      <c r="D553" s="117" t="str">
        <f>IF(ISBLANK(INDEX('register map'!C:C,'Logical Group Generator'!C553)),"No","Yes")</f>
        <v>No</v>
      </c>
      <c r="E553" s="117" t="str">
        <f>IF(ISBLANK(INDEX('register map'!A:A,C553)),IF(ISBLANK(INDEX('register map'!A:A,C553-1)),IF(ISBLANK(INDEX('register map'!A:A,C553-2)),IF(ISBLANK(INDEX('register map'!A:A,C553-3)),IF(ISBLANK(INDEX('register map'!A:A,C553-4)),IF(ISBLANK(INDEX('register map'!A:A,C553-5)),IF(ISBLANK(INDEX('register map'!A:A,C553-6)),IF(ISBLANK(INDEX('register map'!A:A,C553-7)),IF(ISBLANK(INDEX('register map'!A:A,C553-8)),"ERROR",INDEX('register map'!A:A,C553-8)),INDEX('register map'!A:A,C553-7)),INDEX('register map'!A:A,C553-6)),INDEX('register map'!A:A,C553-5)),INDEX('register map'!A:A,C553-4)),INDEX('register map'!A:A,C553-3)),INDEX('register map'!A:A,C553-2)),INDEX('register map'!A:A,C553-1)),INDEX('register map'!A:A,C553))</f>
        <v>0x38</v>
      </c>
      <c r="F553" s="117" t="str">
        <f>IF(ISBLANK(INDEX('register map'!B:B,C553)),IF(ISBLANK(INDEX('register map'!B:B,C553-1)),IF(ISBLANK(INDEX('register map'!B:B,C553-2)),IF(ISBLANK(INDEX('register map'!B:B,C553-3)),IF(ISBLANK(INDEX('register map'!B:B,C553-4)),IF(ISBLANK(INDEX('register map'!B:B,C553-5)),IF(ISBLANK(INDEX('register map'!B:B,C553-6)),IF(ISBLANK(INDEX('register map'!B:B,C553-7)),IF(ISBLANK(INDEX('register map'!B:B,C553-8)),"ERROR",INDEX('register map'!B:B,C553-8)),INDEX('register map'!B:B,C553-7)),INDEX('register map'!B:B,C553-6)),INDEX('register map'!B:B,C553-5)),INDEX('register map'!B:B,C553-4)),INDEX('register map'!B:B,C553-3)),INDEX('register map'!B:B,C553-2)),INDEX('register map'!B:B,C553-1)),INDEX('register map'!B:B,C553))</f>
        <v>0x2F</v>
      </c>
      <c r="G553" s="117" t="str">
        <f>CONCATENATE(IF(ISNUMBER(INDEX('register map'!D:D,C553)),7,""),IF(ISNUMBER(INDEX('register map'!E:E,C553)),6,""),IF(ISNUMBER(INDEX('register map'!F:F,C553)),5,""),IF(ISNUMBER(INDEX('register map'!G:G,C553)),4,""),IF(ISNUMBER(INDEX('register map'!H:H,C553)),3,""),IF(ISNUMBER(INDEX('register map'!I:I,C553)),2,""),IF(ISNUMBER(INDEX('register map'!J:J,C553)),1,""),IF(ISNUMBER(INDEX('register map'!K:K,C553)),0,""))</f>
        <v>4</v>
      </c>
      <c r="H553" s="117" t="str">
        <f>RIGHT(INDEX('register map'!V:V,MATCH('Logical Group Generator'!B553,'register map'!L:L,0)),LEN(G553))</f>
        <v>1</v>
      </c>
      <c r="I553" s="117" t="str">
        <f>CONCATENATE(IF(ISNUMBER(INDEX('register map'!K:K,C553)),0,""),IF(ISNUMBER(INDEX('register map'!J:J,C553)),1,""),IF(ISNUMBER(INDEX('register map'!I:I,C553)),2,""),IF(ISNUMBER(INDEX('register map'!H:H,C553)),3,""),IF(ISNUMBER(INDEX('register map'!G:G,C553)),4,""),IF(ISNUMBER(INDEX('register map'!F:F,C553)),5,""),IF(ISNUMBER(INDEX('register map'!E:E,C553)),6,""),IF(ISNUMBER(INDEX('register map'!D:D,C553)),7,""))</f>
        <v>4</v>
      </c>
      <c r="J553" s="117" t="str">
        <f t="shared" si="95"/>
        <v>1</v>
      </c>
      <c r="K553" s="117" t="str">
        <f t="shared" si="88"/>
        <v/>
      </c>
      <c r="L553" s="117" t="str">
        <f t="shared" si="96"/>
        <v/>
      </c>
      <c r="M553" s="117" t="str">
        <f t="shared" si="98"/>
        <v/>
      </c>
      <c r="N553" s="117" t="str">
        <f>IF(ISBLANK(INDEX('register map'!M:M,'Logical Group Generator'!C553)),"No","Yes")</f>
        <v>No</v>
      </c>
      <c r="O553" s="117" t="str">
        <f>IF(NOT(ISBLANK(INDEX('register map'!N:N,'Logical Group Generator'!C553))),"Yes","")</f>
        <v>Yes</v>
      </c>
      <c r="P553" s="117" t="str">
        <f t="shared" si="89"/>
        <v/>
      </c>
      <c r="Q553" s="117" t="str">
        <f t="shared" si="90"/>
        <v/>
      </c>
      <c r="R553" s="117" t="str">
        <f t="shared" si="91"/>
        <v/>
      </c>
      <c r="S553" s="117" t="str">
        <f t="shared" si="92"/>
        <v>No</v>
      </c>
      <c r="T553" s="117" t="str">
        <f t="shared" si="93"/>
        <v/>
      </c>
      <c r="U553" s="117" t="b">
        <f t="shared" si="97"/>
        <v>0</v>
      </c>
      <c r="V553" s="157" t="b">
        <f>INDEX('register map'!P:P,C553)="yes"</f>
        <v>1</v>
      </c>
      <c r="W553" s="157" t="str">
        <f t="shared" si="94"/>
        <v>FALSE</v>
      </c>
    </row>
    <row r="554" spans="2:23">
      <c r="B554" s="157" t="str">
        <f t="array" ref="B554">IF(ROWS($3:554)&lt;=COUNTA('register map'!$L$5:$L$902),INDEX('register map'!$L$5:$L$902,SMALL(IF('register map'!$L$5:$L$902&lt;&gt;"",ROW('register map'!$L$5:$L$902)-MIN(ROW('register map'!$L$5:$L$902))+1),ROWS($3:554))),"")</f>
        <v>OTP_RSVD_38_2F_65</v>
      </c>
      <c r="C554" s="157">
        <f>IF(B554="PART_NUMBER",IF(COUNTIF($B$1:B553,"PART_NUMBER")=0,6,8),MATCH(B554,'register map'!L:L,0))</f>
        <v>658</v>
      </c>
      <c r="D554" s="117" t="str">
        <f>IF(ISBLANK(INDEX('register map'!C:C,'Logical Group Generator'!C554)),"No","Yes")</f>
        <v>No</v>
      </c>
      <c r="E554" s="117" t="str">
        <f>IF(ISBLANK(INDEX('register map'!A:A,C554)),IF(ISBLANK(INDEX('register map'!A:A,C554-1)),IF(ISBLANK(INDEX('register map'!A:A,C554-2)),IF(ISBLANK(INDEX('register map'!A:A,C554-3)),IF(ISBLANK(INDEX('register map'!A:A,C554-4)),IF(ISBLANK(INDEX('register map'!A:A,C554-5)),IF(ISBLANK(INDEX('register map'!A:A,C554-6)),IF(ISBLANK(INDEX('register map'!A:A,C554-7)),IF(ISBLANK(INDEX('register map'!A:A,C554-8)),"ERROR",INDEX('register map'!A:A,C554-8)),INDEX('register map'!A:A,C554-7)),INDEX('register map'!A:A,C554-6)),INDEX('register map'!A:A,C554-5)),INDEX('register map'!A:A,C554-4)),INDEX('register map'!A:A,C554-3)),INDEX('register map'!A:A,C554-2)),INDEX('register map'!A:A,C554-1)),INDEX('register map'!A:A,C554))</f>
        <v>0x38</v>
      </c>
      <c r="F554" s="117" t="str">
        <f>IF(ISBLANK(INDEX('register map'!B:B,C554)),IF(ISBLANK(INDEX('register map'!B:B,C554-1)),IF(ISBLANK(INDEX('register map'!B:B,C554-2)),IF(ISBLANK(INDEX('register map'!B:B,C554-3)),IF(ISBLANK(INDEX('register map'!B:B,C554-4)),IF(ISBLANK(INDEX('register map'!B:B,C554-5)),IF(ISBLANK(INDEX('register map'!B:B,C554-6)),IF(ISBLANK(INDEX('register map'!B:B,C554-7)),IF(ISBLANK(INDEX('register map'!B:B,C554-8)),"ERROR",INDEX('register map'!B:B,C554-8)),INDEX('register map'!B:B,C554-7)),INDEX('register map'!B:B,C554-6)),INDEX('register map'!B:B,C554-5)),INDEX('register map'!B:B,C554-4)),INDEX('register map'!B:B,C554-3)),INDEX('register map'!B:B,C554-2)),INDEX('register map'!B:B,C554-1)),INDEX('register map'!B:B,C554))</f>
        <v>0x2F</v>
      </c>
      <c r="G554" s="117" t="str">
        <f>CONCATENATE(IF(ISNUMBER(INDEX('register map'!D:D,C554)),7,""),IF(ISNUMBER(INDEX('register map'!E:E,C554)),6,""),IF(ISNUMBER(INDEX('register map'!F:F,C554)),5,""),IF(ISNUMBER(INDEX('register map'!G:G,C554)),4,""),IF(ISNUMBER(INDEX('register map'!H:H,C554)),3,""),IF(ISNUMBER(INDEX('register map'!I:I,C554)),2,""),IF(ISNUMBER(INDEX('register map'!J:J,C554)),1,""),IF(ISNUMBER(INDEX('register map'!K:K,C554)),0,""))</f>
        <v>65</v>
      </c>
      <c r="H554" s="117" t="str">
        <f>RIGHT(INDEX('register map'!V:V,MATCH('Logical Group Generator'!B554,'register map'!L:L,0)),LEN(G554))</f>
        <v>00</v>
      </c>
      <c r="I554" s="117" t="str">
        <f>CONCATENATE(IF(ISNUMBER(INDEX('register map'!K:K,C554)),0,""),IF(ISNUMBER(INDEX('register map'!J:J,C554)),1,""),IF(ISNUMBER(INDEX('register map'!I:I,C554)),2,""),IF(ISNUMBER(INDEX('register map'!H:H,C554)),3,""),IF(ISNUMBER(INDEX('register map'!G:G,C554)),4,""),IF(ISNUMBER(INDEX('register map'!F:F,C554)),5,""),IF(ISNUMBER(INDEX('register map'!E:E,C554)),6,""),IF(ISNUMBER(INDEX('register map'!D:D,C554)),7,""))</f>
        <v>56</v>
      </c>
      <c r="J554" s="117" t="str">
        <f t="shared" si="95"/>
        <v>00</v>
      </c>
      <c r="K554" s="117" t="str">
        <f t="shared" si="88"/>
        <v/>
      </c>
      <c r="L554" s="117" t="str">
        <f t="shared" si="96"/>
        <v/>
      </c>
      <c r="M554" s="117" t="str">
        <f t="shared" si="98"/>
        <v/>
      </c>
      <c r="N554" s="117" t="str">
        <f>IF(ISBLANK(INDEX('register map'!M:M,'Logical Group Generator'!C554)),"No","Yes")</f>
        <v>No</v>
      </c>
      <c r="O554" s="117" t="str">
        <f>IF(NOT(ISBLANK(INDEX('register map'!N:N,'Logical Group Generator'!C554))),"Yes","")</f>
        <v>Yes</v>
      </c>
      <c r="P554" s="117" t="str">
        <f t="shared" si="89"/>
        <v/>
      </c>
      <c r="Q554" s="117" t="str">
        <f t="shared" si="90"/>
        <v/>
      </c>
      <c r="R554" s="117" t="str">
        <f t="shared" si="91"/>
        <v/>
      </c>
      <c r="S554" s="117" t="str">
        <f t="shared" si="92"/>
        <v>No</v>
      </c>
      <c r="T554" s="117" t="str">
        <f t="shared" si="93"/>
        <v/>
      </c>
      <c r="U554" s="117" t="b">
        <f t="shared" si="97"/>
        <v>0</v>
      </c>
      <c r="V554" s="157" t="b">
        <f>INDEX('register map'!P:P,C554)="yes"</f>
        <v>1</v>
      </c>
      <c r="W554" s="157" t="str">
        <f t="shared" si="94"/>
        <v>FALSE</v>
      </c>
    </row>
    <row r="555" spans="2:23">
      <c r="B555" s="157" t="str">
        <f t="array" ref="B555">IF(ROWS($3:555)&lt;=COUNTA('register map'!$L$5:$L$902),INDEX('register map'!$L$5:$L$902,SMALL(IF('register map'!$L$5:$L$902&lt;&gt;"",ROW('register map'!$L$5:$L$902)-MIN(ROW('register map'!$L$5:$L$902))+1),ROWS($3:555))),"")</f>
        <v>OTP_RSVD_38_2F_7</v>
      </c>
      <c r="C555" s="157">
        <f>IF(B555="PART_NUMBER",IF(COUNTIF($B$1:B554,"PART_NUMBER")=0,6,8),MATCH(B555,'register map'!L:L,0))</f>
        <v>659</v>
      </c>
      <c r="D555" s="117" t="str">
        <f>IF(ISBLANK(INDEX('register map'!C:C,'Logical Group Generator'!C555)),"No","Yes")</f>
        <v>No</v>
      </c>
      <c r="E555" s="117" t="str">
        <f>IF(ISBLANK(INDEX('register map'!A:A,C555)),IF(ISBLANK(INDEX('register map'!A:A,C555-1)),IF(ISBLANK(INDEX('register map'!A:A,C555-2)),IF(ISBLANK(INDEX('register map'!A:A,C555-3)),IF(ISBLANK(INDEX('register map'!A:A,C555-4)),IF(ISBLANK(INDEX('register map'!A:A,C555-5)),IF(ISBLANK(INDEX('register map'!A:A,C555-6)),IF(ISBLANK(INDEX('register map'!A:A,C555-7)),IF(ISBLANK(INDEX('register map'!A:A,C555-8)),"ERROR",INDEX('register map'!A:A,C555-8)),INDEX('register map'!A:A,C555-7)),INDEX('register map'!A:A,C555-6)),INDEX('register map'!A:A,C555-5)),INDEX('register map'!A:A,C555-4)),INDEX('register map'!A:A,C555-3)),INDEX('register map'!A:A,C555-2)),INDEX('register map'!A:A,C555-1)),INDEX('register map'!A:A,C555))</f>
        <v>0x38</v>
      </c>
      <c r="F555" s="117" t="str">
        <f>IF(ISBLANK(INDEX('register map'!B:B,C555)),IF(ISBLANK(INDEX('register map'!B:B,C555-1)),IF(ISBLANK(INDEX('register map'!B:B,C555-2)),IF(ISBLANK(INDEX('register map'!B:B,C555-3)),IF(ISBLANK(INDEX('register map'!B:B,C555-4)),IF(ISBLANK(INDEX('register map'!B:B,C555-5)),IF(ISBLANK(INDEX('register map'!B:B,C555-6)),IF(ISBLANK(INDEX('register map'!B:B,C555-7)),IF(ISBLANK(INDEX('register map'!B:B,C555-8)),"ERROR",INDEX('register map'!B:B,C555-8)),INDEX('register map'!B:B,C555-7)),INDEX('register map'!B:B,C555-6)),INDEX('register map'!B:B,C555-5)),INDEX('register map'!B:B,C555-4)),INDEX('register map'!B:B,C555-3)),INDEX('register map'!B:B,C555-2)),INDEX('register map'!B:B,C555-1)),INDEX('register map'!B:B,C555))</f>
        <v>0x2F</v>
      </c>
      <c r="G555" s="117" t="str">
        <f>CONCATENATE(IF(ISNUMBER(INDEX('register map'!D:D,C555)),7,""),IF(ISNUMBER(INDEX('register map'!E:E,C555)),6,""),IF(ISNUMBER(INDEX('register map'!F:F,C555)),5,""),IF(ISNUMBER(INDEX('register map'!G:G,C555)),4,""),IF(ISNUMBER(INDEX('register map'!H:H,C555)),3,""),IF(ISNUMBER(INDEX('register map'!I:I,C555)),2,""),IF(ISNUMBER(INDEX('register map'!J:J,C555)),1,""),IF(ISNUMBER(INDEX('register map'!K:K,C555)),0,""))</f>
        <v>7</v>
      </c>
      <c r="H555" s="117" t="str">
        <f>RIGHT(INDEX('register map'!V:V,MATCH('Logical Group Generator'!B555,'register map'!L:L,0)),LEN(G555))</f>
        <v>1</v>
      </c>
      <c r="I555" s="117" t="str">
        <f>CONCATENATE(IF(ISNUMBER(INDEX('register map'!K:K,C555)),0,""),IF(ISNUMBER(INDEX('register map'!J:J,C555)),1,""),IF(ISNUMBER(INDEX('register map'!I:I,C555)),2,""),IF(ISNUMBER(INDEX('register map'!H:H,C555)),3,""),IF(ISNUMBER(INDEX('register map'!G:G,C555)),4,""),IF(ISNUMBER(INDEX('register map'!F:F,C555)),5,""),IF(ISNUMBER(INDEX('register map'!E:E,C555)),6,""),IF(ISNUMBER(INDEX('register map'!D:D,C555)),7,""))</f>
        <v>7</v>
      </c>
      <c r="J555" s="117" t="str">
        <f t="shared" si="95"/>
        <v>1</v>
      </c>
      <c r="K555" s="117" t="str">
        <f t="shared" si="88"/>
        <v/>
      </c>
      <c r="L555" s="117" t="str">
        <f t="shared" si="96"/>
        <v/>
      </c>
      <c r="M555" s="117" t="str">
        <f t="shared" si="98"/>
        <v/>
      </c>
      <c r="N555" s="117" t="str">
        <f>IF(ISBLANK(INDEX('register map'!M:M,'Logical Group Generator'!C555)),"No","Yes")</f>
        <v>No</v>
      </c>
      <c r="O555" s="117" t="str">
        <f>IF(NOT(ISBLANK(INDEX('register map'!N:N,'Logical Group Generator'!C555))),"Yes","")</f>
        <v>Yes</v>
      </c>
      <c r="P555" s="117" t="str">
        <f t="shared" si="89"/>
        <v/>
      </c>
      <c r="Q555" s="117" t="str">
        <f t="shared" si="90"/>
        <v/>
      </c>
      <c r="R555" s="117" t="str">
        <f t="shared" si="91"/>
        <v/>
      </c>
      <c r="S555" s="117" t="str">
        <f t="shared" si="92"/>
        <v>No</v>
      </c>
      <c r="T555" s="117" t="str">
        <f t="shared" si="93"/>
        <v/>
      </c>
      <c r="U555" s="117" t="b">
        <f t="shared" si="97"/>
        <v>0</v>
      </c>
      <c r="V555" s="157" t="b">
        <f>INDEX('register map'!P:P,C555)="yes"</f>
        <v>1</v>
      </c>
      <c r="W555" s="157" t="str">
        <f t="shared" si="94"/>
        <v>FALSE</v>
      </c>
    </row>
    <row r="556" spans="2:23">
      <c r="B556" s="157" t="str">
        <f t="array" ref="B556">IF(ROWS($3:556)&lt;=COUNTA('register map'!$L$5:$L$902),INDEX('register map'!$L$5:$L$902,SMALL(IF('register map'!$L$5:$L$902&lt;&gt;"",ROW('register map'!$L$5:$L$902)-MIN(ROW('register map'!$L$5:$L$902))+1),ROWS($3:556))),"")</f>
        <v>OTP_RSVD_38_30</v>
      </c>
      <c r="C556" s="157">
        <f>IF(B556="PART_NUMBER",IF(COUNTIF($B$1:B555,"PART_NUMBER")=0,6,8),MATCH(B556,'register map'!L:L,0))</f>
        <v>660</v>
      </c>
      <c r="D556" s="117" t="str">
        <f>IF(ISBLANK(INDEX('register map'!C:C,'Logical Group Generator'!C556)),"No","Yes")</f>
        <v>Yes</v>
      </c>
      <c r="E556" s="117" t="str">
        <f>IF(ISBLANK(INDEX('register map'!A:A,C556)),IF(ISBLANK(INDEX('register map'!A:A,C556-1)),IF(ISBLANK(INDEX('register map'!A:A,C556-2)),IF(ISBLANK(INDEX('register map'!A:A,C556-3)),IF(ISBLANK(INDEX('register map'!A:A,C556-4)),IF(ISBLANK(INDEX('register map'!A:A,C556-5)),IF(ISBLANK(INDEX('register map'!A:A,C556-6)),IF(ISBLANK(INDEX('register map'!A:A,C556-7)),IF(ISBLANK(INDEX('register map'!A:A,C556-8)),"ERROR",INDEX('register map'!A:A,C556-8)),INDEX('register map'!A:A,C556-7)),INDEX('register map'!A:A,C556-6)),INDEX('register map'!A:A,C556-5)),INDEX('register map'!A:A,C556-4)),INDEX('register map'!A:A,C556-3)),INDEX('register map'!A:A,C556-2)),INDEX('register map'!A:A,C556-1)),INDEX('register map'!A:A,C556))</f>
        <v>0x38</v>
      </c>
      <c r="F556" s="117" t="str">
        <f>IF(ISBLANK(INDEX('register map'!B:B,C556)),IF(ISBLANK(INDEX('register map'!B:B,C556-1)),IF(ISBLANK(INDEX('register map'!B:B,C556-2)),IF(ISBLANK(INDEX('register map'!B:B,C556-3)),IF(ISBLANK(INDEX('register map'!B:B,C556-4)),IF(ISBLANK(INDEX('register map'!B:B,C556-5)),IF(ISBLANK(INDEX('register map'!B:B,C556-6)),IF(ISBLANK(INDEX('register map'!B:B,C556-7)),IF(ISBLANK(INDEX('register map'!B:B,C556-8)),"ERROR",INDEX('register map'!B:B,C556-8)),INDEX('register map'!B:B,C556-7)),INDEX('register map'!B:B,C556-6)),INDEX('register map'!B:B,C556-5)),INDEX('register map'!B:B,C556-4)),INDEX('register map'!B:B,C556-3)),INDEX('register map'!B:B,C556-2)),INDEX('register map'!B:B,C556-1)),INDEX('register map'!B:B,C556))</f>
        <v>0x30</v>
      </c>
      <c r="G556" s="117" t="str">
        <f>CONCATENATE(IF(ISNUMBER(INDEX('register map'!D:D,C556)),7,""),IF(ISNUMBER(INDEX('register map'!E:E,C556)),6,""),IF(ISNUMBER(INDEX('register map'!F:F,C556)),5,""),IF(ISNUMBER(INDEX('register map'!G:G,C556)),4,""),IF(ISNUMBER(INDEX('register map'!H:H,C556)),3,""),IF(ISNUMBER(INDEX('register map'!I:I,C556)),2,""),IF(ISNUMBER(INDEX('register map'!J:J,C556)),1,""),IF(ISNUMBER(INDEX('register map'!K:K,C556)),0,""))</f>
        <v/>
      </c>
      <c r="H556" s="117" t="str">
        <f>RIGHT(INDEX('register map'!V:V,MATCH('Logical Group Generator'!B556,'register map'!L:L,0)),LEN(G556))</f>
        <v/>
      </c>
      <c r="I556" s="117" t="str">
        <f>CONCATENATE(IF(ISNUMBER(INDEX('register map'!K:K,C556)),0,""),IF(ISNUMBER(INDEX('register map'!J:J,C556)),1,""),IF(ISNUMBER(INDEX('register map'!I:I,C556)),2,""),IF(ISNUMBER(INDEX('register map'!H:H,C556)),3,""),IF(ISNUMBER(INDEX('register map'!G:G,C556)),4,""),IF(ISNUMBER(INDEX('register map'!F:F,C556)),5,""),IF(ISNUMBER(INDEX('register map'!E:E,C556)),6,""),IF(ISNUMBER(INDEX('register map'!D:D,C556)),7,""))</f>
        <v/>
      </c>
      <c r="J556" s="117" t="str">
        <f t="shared" si="95"/>
        <v/>
      </c>
      <c r="K556" s="117" t="str">
        <f t="shared" si="88"/>
        <v>b71</v>
      </c>
      <c r="L556" s="117" t="str">
        <f t="shared" si="96"/>
        <v>17b</v>
      </c>
      <c r="M556" s="117" t="e">
        <f t="shared" si="98"/>
        <v>#NUM!</v>
      </c>
      <c r="N556" s="117" t="str">
        <f>IF(ISBLANK(INDEX('register map'!M:M,'Logical Group Generator'!C556)),"No","Yes")</f>
        <v>No</v>
      </c>
      <c r="O556" s="117" t="str">
        <f>IF(NOT(ISBLANK(INDEX('register map'!N:N,'Logical Group Generator'!C556))),"Yes","")</f>
        <v/>
      </c>
      <c r="P556" s="117" t="str">
        <f t="shared" si="89"/>
        <v>No</v>
      </c>
      <c r="Q556" s="117" t="str">
        <f t="shared" si="90"/>
        <v>No</v>
      </c>
      <c r="R556" s="117" t="str">
        <f t="shared" si="91"/>
        <v>No</v>
      </c>
      <c r="S556" s="117" t="str">
        <f t="shared" si="92"/>
        <v/>
      </c>
      <c r="T556" s="117" t="b">
        <f t="shared" si="93"/>
        <v>0</v>
      </c>
      <c r="U556" s="117" t="b">
        <f t="shared" si="97"/>
        <v>1</v>
      </c>
      <c r="V556" s="157" t="b">
        <f>INDEX('register map'!P:P,C556)="yes"</f>
        <v>1</v>
      </c>
      <c r="W556" s="157" t="str">
        <f t="shared" si="94"/>
        <v>REGISTER</v>
      </c>
    </row>
    <row r="557" spans="2:23">
      <c r="B557" s="157" t="str">
        <f t="array" ref="B557">IF(ROWS($3:557)&lt;=COUNTA('register map'!$L$5:$L$902),INDEX('register map'!$L$5:$L$902,SMALL(IF('register map'!$L$5:$L$902&lt;&gt;"",ROW('register map'!$L$5:$L$902)-MIN(ROW('register map'!$L$5:$L$902))+1),ROWS($3:557))),"")</f>
        <v>OTP_RSVD_38_30_6543210</v>
      </c>
      <c r="C557" s="157">
        <f>IF(B557="PART_NUMBER",IF(COUNTIF($B$1:B556,"PART_NUMBER")=0,6,8),MATCH(B557,'register map'!L:L,0))</f>
        <v>661</v>
      </c>
      <c r="D557" s="117" t="str">
        <f>IF(ISBLANK(INDEX('register map'!C:C,'Logical Group Generator'!C557)),"No","Yes")</f>
        <v>No</v>
      </c>
      <c r="E557" s="117" t="str">
        <f>IF(ISBLANK(INDEX('register map'!A:A,C557)),IF(ISBLANK(INDEX('register map'!A:A,C557-1)),IF(ISBLANK(INDEX('register map'!A:A,C557-2)),IF(ISBLANK(INDEX('register map'!A:A,C557-3)),IF(ISBLANK(INDEX('register map'!A:A,C557-4)),IF(ISBLANK(INDEX('register map'!A:A,C557-5)),IF(ISBLANK(INDEX('register map'!A:A,C557-6)),IF(ISBLANK(INDEX('register map'!A:A,C557-7)),IF(ISBLANK(INDEX('register map'!A:A,C557-8)),"ERROR",INDEX('register map'!A:A,C557-8)),INDEX('register map'!A:A,C557-7)),INDEX('register map'!A:A,C557-6)),INDEX('register map'!A:A,C557-5)),INDEX('register map'!A:A,C557-4)),INDEX('register map'!A:A,C557-3)),INDEX('register map'!A:A,C557-2)),INDEX('register map'!A:A,C557-1)),INDEX('register map'!A:A,C557))</f>
        <v>0x38</v>
      </c>
      <c r="F557" s="117" t="str">
        <f>IF(ISBLANK(INDEX('register map'!B:B,C557)),IF(ISBLANK(INDEX('register map'!B:B,C557-1)),IF(ISBLANK(INDEX('register map'!B:B,C557-2)),IF(ISBLANK(INDEX('register map'!B:B,C557-3)),IF(ISBLANK(INDEX('register map'!B:B,C557-4)),IF(ISBLANK(INDEX('register map'!B:B,C557-5)),IF(ISBLANK(INDEX('register map'!B:B,C557-6)),IF(ISBLANK(INDEX('register map'!B:B,C557-7)),IF(ISBLANK(INDEX('register map'!B:B,C557-8)),"ERROR",INDEX('register map'!B:B,C557-8)),INDEX('register map'!B:B,C557-7)),INDEX('register map'!B:B,C557-6)),INDEX('register map'!B:B,C557-5)),INDEX('register map'!B:B,C557-4)),INDEX('register map'!B:B,C557-3)),INDEX('register map'!B:B,C557-2)),INDEX('register map'!B:B,C557-1)),INDEX('register map'!B:B,C557))</f>
        <v>0x30</v>
      </c>
      <c r="G557" s="117" t="str">
        <f>CONCATENATE(IF(ISNUMBER(INDEX('register map'!D:D,C557)),7,""),IF(ISNUMBER(INDEX('register map'!E:E,C557)),6,""),IF(ISNUMBER(INDEX('register map'!F:F,C557)),5,""),IF(ISNUMBER(INDEX('register map'!G:G,C557)),4,""),IF(ISNUMBER(INDEX('register map'!H:H,C557)),3,""),IF(ISNUMBER(INDEX('register map'!I:I,C557)),2,""),IF(ISNUMBER(INDEX('register map'!J:J,C557)),1,""),IF(ISNUMBER(INDEX('register map'!K:K,C557)),0,""))</f>
        <v>6543210</v>
      </c>
      <c r="H557" s="117" t="str">
        <f>RIGHT(INDEX('register map'!V:V,MATCH('Logical Group Generator'!B557,'register map'!L:L,0)),LEN(G557))</f>
        <v>7b</v>
      </c>
      <c r="I557" s="117" t="str">
        <f>CONCATENATE(IF(ISNUMBER(INDEX('register map'!K:K,C557)),0,""),IF(ISNUMBER(INDEX('register map'!J:J,C557)),1,""),IF(ISNUMBER(INDEX('register map'!I:I,C557)),2,""),IF(ISNUMBER(INDEX('register map'!H:H,C557)),3,""),IF(ISNUMBER(INDEX('register map'!G:G,C557)),4,""),IF(ISNUMBER(INDEX('register map'!F:F,C557)),5,""),IF(ISNUMBER(INDEX('register map'!E:E,C557)),6,""),IF(ISNUMBER(INDEX('register map'!D:D,C557)),7,""))</f>
        <v>0123456</v>
      </c>
      <c r="J557" s="117" t="str">
        <f t="shared" si="95"/>
        <v>b7</v>
      </c>
      <c r="K557" s="117" t="str">
        <f t="shared" si="88"/>
        <v/>
      </c>
      <c r="L557" s="117" t="str">
        <f t="shared" si="96"/>
        <v/>
      </c>
      <c r="M557" s="117" t="str">
        <f t="shared" si="98"/>
        <v/>
      </c>
      <c r="N557" s="117" t="str">
        <f>IF(ISBLANK(INDEX('register map'!M:M,'Logical Group Generator'!C557)),"No","Yes")</f>
        <v>No</v>
      </c>
      <c r="O557" s="117" t="str">
        <f>IF(NOT(ISBLANK(INDEX('register map'!N:N,'Logical Group Generator'!C557))),"Yes","")</f>
        <v/>
      </c>
      <c r="P557" s="117" t="str">
        <f t="shared" si="89"/>
        <v/>
      </c>
      <c r="Q557" s="117" t="str">
        <f t="shared" si="90"/>
        <v/>
      </c>
      <c r="R557" s="117" t="str">
        <f t="shared" si="91"/>
        <v/>
      </c>
      <c r="S557" s="117" t="str">
        <f t="shared" si="92"/>
        <v>No</v>
      </c>
      <c r="T557" s="117" t="str">
        <f t="shared" si="93"/>
        <v/>
      </c>
      <c r="U557" s="117" t="b">
        <f t="shared" si="97"/>
        <v>0</v>
      </c>
      <c r="V557" s="157" t="b">
        <f>INDEX('register map'!P:P,C557)="yes"</f>
        <v>1</v>
      </c>
      <c r="W557" s="157" t="str">
        <f t="shared" si="94"/>
        <v>FALSE</v>
      </c>
    </row>
    <row r="558" spans="2:23">
      <c r="B558" s="157" t="str">
        <f t="array" ref="B558">IF(ROWS($3:558)&lt;=COUNTA('register map'!$L$5:$L$902),INDEX('register map'!$L$5:$L$902,SMALL(IF('register map'!$L$5:$L$902&lt;&gt;"",ROW('register map'!$L$5:$L$902)-MIN(ROW('register map'!$L$5:$L$902))+1),ROWS($3:558))),"")</f>
        <v>OTP_RSVD_38_30_7</v>
      </c>
      <c r="C558" s="157">
        <f>IF(B558="PART_NUMBER",IF(COUNTIF($B$1:B557,"PART_NUMBER")=0,6,8),MATCH(B558,'register map'!L:L,0))</f>
        <v>662</v>
      </c>
      <c r="D558" s="117" t="str">
        <f>IF(ISBLANK(INDEX('register map'!C:C,'Logical Group Generator'!C558)),"No","Yes")</f>
        <v>No</v>
      </c>
      <c r="E558" s="117" t="str">
        <f>IF(ISBLANK(INDEX('register map'!A:A,C558)),IF(ISBLANK(INDEX('register map'!A:A,C558-1)),IF(ISBLANK(INDEX('register map'!A:A,C558-2)),IF(ISBLANK(INDEX('register map'!A:A,C558-3)),IF(ISBLANK(INDEX('register map'!A:A,C558-4)),IF(ISBLANK(INDEX('register map'!A:A,C558-5)),IF(ISBLANK(INDEX('register map'!A:A,C558-6)),IF(ISBLANK(INDEX('register map'!A:A,C558-7)),IF(ISBLANK(INDEX('register map'!A:A,C558-8)),"ERROR",INDEX('register map'!A:A,C558-8)),INDEX('register map'!A:A,C558-7)),INDEX('register map'!A:A,C558-6)),INDEX('register map'!A:A,C558-5)),INDEX('register map'!A:A,C558-4)),INDEX('register map'!A:A,C558-3)),INDEX('register map'!A:A,C558-2)),INDEX('register map'!A:A,C558-1)),INDEX('register map'!A:A,C558))</f>
        <v>0x38</v>
      </c>
      <c r="F558" s="117" t="str">
        <f>IF(ISBLANK(INDEX('register map'!B:B,C558)),IF(ISBLANK(INDEX('register map'!B:B,C558-1)),IF(ISBLANK(INDEX('register map'!B:B,C558-2)),IF(ISBLANK(INDEX('register map'!B:B,C558-3)),IF(ISBLANK(INDEX('register map'!B:B,C558-4)),IF(ISBLANK(INDEX('register map'!B:B,C558-5)),IF(ISBLANK(INDEX('register map'!B:B,C558-6)),IF(ISBLANK(INDEX('register map'!B:B,C558-7)),IF(ISBLANK(INDEX('register map'!B:B,C558-8)),"ERROR",INDEX('register map'!B:B,C558-8)),INDEX('register map'!B:B,C558-7)),INDEX('register map'!B:B,C558-6)),INDEX('register map'!B:B,C558-5)),INDEX('register map'!B:B,C558-4)),INDEX('register map'!B:B,C558-3)),INDEX('register map'!B:B,C558-2)),INDEX('register map'!B:B,C558-1)),INDEX('register map'!B:B,C558))</f>
        <v>0x30</v>
      </c>
      <c r="G558" s="117" t="str">
        <f>CONCATENATE(IF(ISNUMBER(INDEX('register map'!D:D,C558)),7,""),IF(ISNUMBER(INDEX('register map'!E:E,C558)),6,""),IF(ISNUMBER(INDEX('register map'!F:F,C558)),5,""),IF(ISNUMBER(INDEX('register map'!G:G,C558)),4,""),IF(ISNUMBER(INDEX('register map'!H:H,C558)),3,""),IF(ISNUMBER(INDEX('register map'!I:I,C558)),2,""),IF(ISNUMBER(INDEX('register map'!J:J,C558)),1,""),IF(ISNUMBER(INDEX('register map'!K:K,C558)),0,""))</f>
        <v>7</v>
      </c>
      <c r="H558" s="117" t="str">
        <f>RIGHT(INDEX('register map'!V:V,MATCH('Logical Group Generator'!B558,'register map'!L:L,0)),LEN(G558))</f>
        <v>1</v>
      </c>
      <c r="I558" s="117" t="str">
        <f>CONCATENATE(IF(ISNUMBER(INDEX('register map'!K:K,C558)),0,""),IF(ISNUMBER(INDEX('register map'!J:J,C558)),1,""),IF(ISNUMBER(INDEX('register map'!I:I,C558)),2,""),IF(ISNUMBER(INDEX('register map'!H:H,C558)),3,""),IF(ISNUMBER(INDEX('register map'!G:G,C558)),4,""),IF(ISNUMBER(INDEX('register map'!F:F,C558)),5,""),IF(ISNUMBER(INDEX('register map'!E:E,C558)),6,""),IF(ISNUMBER(INDEX('register map'!D:D,C558)),7,""))</f>
        <v>7</v>
      </c>
      <c r="J558" s="117" t="str">
        <f t="shared" si="95"/>
        <v>1</v>
      </c>
      <c r="K558" s="117" t="str">
        <f t="shared" si="88"/>
        <v/>
      </c>
      <c r="L558" s="117" t="str">
        <f t="shared" si="96"/>
        <v/>
      </c>
      <c r="M558" s="117" t="str">
        <f t="shared" si="98"/>
        <v/>
      </c>
      <c r="N558" s="117" t="str">
        <f>IF(ISBLANK(INDEX('register map'!M:M,'Logical Group Generator'!C558)),"No","Yes")</f>
        <v>No</v>
      </c>
      <c r="O558" s="117" t="str">
        <f>IF(NOT(ISBLANK(INDEX('register map'!N:N,'Logical Group Generator'!C558))),"Yes","")</f>
        <v>Yes</v>
      </c>
      <c r="P558" s="117" t="str">
        <f t="shared" si="89"/>
        <v/>
      </c>
      <c r="Q558" s="117" t="str">
        <f t="shared" si="90"/>
        <v/>
      </c>
      <c r="R558" s="117" t="str">
        <f t="shared" si="91"/>
        <v/>
      </c>
      <c r="S558" s="117" t="str">
        <f t="shared" si="92"/>
        <v>No</v>
      </c>
      <c r="T558" s="117" t="str">
        <f t="shared" si="93"/>
        <v/>
      </c>
      <c r="U558" s="117" t="b">
        <f t="shared" si="97"/>
        <v>0</v>
      </c>
      <c r="V558" s="157" t="b">
        <f>INDEX('register map'!P:P,C558)="yes"</f>
        <v>1</v>
      </c>
      <c r="W558" s="157" t="str">
        <f t="shared" si="94"/>
        <v>FALSE</v>
      </c>
    </row>
    <row r="559" spans="2:23">
      <c r="B559" s="157" t="str">
        <f t="array" ref="B559">IF(ROWS($3:559)&lt;=COUNTA('register map'!$L$5:$L$902),INDEX('register map'!$L$5:$L$902,SMALL(IF('register map'!$L$5:$L$902&lt;&gt;"",ROW('register map'!$L$5:$L$902)-MIN(ROW('register map'!$L$5:$L$902))+1),ROWS($3:559))),"")</f>
        <v>OTP_RSVD_38_31</v>
      </c>
      <c r="C559" s="157">
        <f>IF(B559="PART_NUMBER",IF(COUNTIF($B$1:B558,"PART_NUMBER")=0,6,8),MATCH(B559,'register map'!L:L,0))</f>
        <v>663</v>
      </c>
      <c r="D559" s="117" t="str">
        <f>IF(ISBLANK(INDEX('register map'!C:C,'Logical Group Generator'!C559)),"No","Yes")</f>
        <v>Yes</v>
      </c>
      <c r="E559" s="117" t="str">
        <f>IF(ISBLANK(INDEX('register map'!A:A,C559)),IF(ISBLANK(INDEX('register map'!A:A,C559-1)),IF(ISBLANK(INDEX('register map'!A:A,C559-2)),IF(ISBLANK(INDEX('register map'!A:A,C559-3)),IF(ISBLANK(INDEX('register map'!A:A,C559-4)),IF(ISBLANK(INDEX('register map'!A:A,C559-5)),IF(ISBLANK(INDEX('register map'!A:A,C559-6)),IF(ISBLANK(INDEX('register map'!A:A,C559-7)),IF(ISBLANK(INDEX('register map'!A:A,C559-8)),"ERROR",INDEX('register map'!A:A,C559-8)),INDEX('register map'!A:A,C559-7)),INDEX('register map'!A:A,C559-6)),INDEX('register map'!A:A,C559-5)),INDEX('register map'!A:A,C559-4)),INDEX('register map'!A:A,C559-3)),INDEX('register map'!A:A,C559-2)),INDEX('register map'!A:A,C559-1)),INDEX('register map'!A:A,C559))</f>
        <v>0x38</v>
      </c>
      <c r="F559" s="117" t="str">
        <f>IF(ISBLANK(INDEX('register map'!B:B,C559)),IF(ISBLANK(INDEX('register map'!B:B,C559-1)),IF(ISBLANK(INDEX('register map'!B:B,C559-2)),IF(ISBLANK(INDEX('register map'!B:B,C559-3)),IF(ISBLANK(INDEX('register map'!B:B,C559-4)),IF(ISBLANK(INDEX('register map'!B:B,C559-5)),IF(ISBLANK(INDEX('register map'!B:B,C559-6)),IF(ISBLANK(INDEX('register map'!B:B,C559-7)),IF(ISBLANK(INDEX('register map'!B:B,C559-8)),"ERROR",INDEX('register map'!B:B,C559-8)),INDEX('register map'!B:B,C559-7)),INDEX('register map'!B:B,C559-6)),INDEX('register map'!B:B,C559-5)),INDEX('register map'!B:B,C559-4)),INDEX('register map'!B:B,C559-3)),INDEX('register map'!B:B,C559-2)),INDEX('register map'!B:B,C559-1)),INDEX('register map'!B:B,C559))</f>
        <v>0x31</v>
      </c>
      <c r="G559" s="117" t="str">
        <f>CONCATENATE(IF(ISNUMBER(INDEX('register map'!D:D,C559)),7,""),IF(ISNUMBER(INDEX('register map'!E:E,C559)),6,""),IF(ISNUMBER(INDEX('register map'!F:F,C559)),5,""),IF(ISNUMBER(INDEX('register map'!G:G,C559)),4,""),IF(ISNUMBER(INDEX('register map'!H:H,C559)),3,""),IF(ISNUMBER(INDEX('register map'!I:I,C559)),2,""),IF(ISNUMBER(INDEX('register map'!J:J,C559)),1,""),IF(ISNUMBER(INDEX('register map'!K:K,C559)),0,""))</f>
        <v/>
      </c>
      <c r="H559" s="117" t="str">
        <f>RIGHT(INDEX('register map'!V:V,MATCH('Logical Group Generator'!B559,'register map'!L:L,0)),LEN(G559))</f>
        <v/>
      </c>
      <c r="I559" s="117" t="str">
        <f>CONCATENATE(IF(ISNUMBER(INDEX('register map'!K:K,C559)),0,""),IF(ISNUMBER(INDEX('register map'!J:J,C559)),1,""),IF(ISNUMBER(INDEX('register map'!I:I,C559)),2,""),IF(ISNUMBER(INDEX('register map'!H:H,C559)),3,""),IF(ISNUMBER(INDEX('register map'!G:G,C559)),4,""),IF(ISNUMBER(INDEX('register map'!F:F,C559)),5,""),IF(ISNUMBER(INDEX('register map'!E:E,C559)),6,""),IF(ISNUMBER(INDEX('register map'!D:D,C559)),7,""))</f>
        <v/>
      </c>
      <c r="J559" s="117" t="str">
        <f t="shared" si="95"/>
        <v/>
      </c>
      <c r="K559" s="117" t="str">
        <f t="shared" si="88"/>
        <v>10100001</v>
      </c>
      <c r="L559" s="117" t="str">
        <f t="shared" si="96"/>
        <v>10000101</v>
      </c>
      <c r="M559" s="117" t="str">
        <f t="shared" si="98"/>
        <v>85</v>
      </c>
      <c r="N559" s="117" t="str">
        <f>IF(ISBLANK(INDEX('register map'!M:M,'Logical Group Generator'!C559)),"No","Yes")</f>
        <v>No</v>
      </c>
      <c r="O559" s="117" t="str">
        <f>IF(NOT(ISBLANK(INDEX('register map'!N:N,'Logical Group Generator'!C559))),"Yes","")</f>
        <v/>
      </c>
      <c r="P559" s="117" t="str">
        <f t="shared" si="89"/>
        <v>Yes</v>
      </c>
      <c r="Q559" s="117" t="str">
        <f t="shared" si="90"/>
        <v>Yes</v>
      </c>
      <c r="R559" s="117" t="str">
        <f t="shared" si="91"/>
        <v>No</v>
      </c>
      <c r="S559" s="117" t="str">
        <f t="shared" si="92"/>
        <v/>
      </c>
      <c r="T559" s="117" t="b">
        <f t="shared" si="93"/>
        <v>1</v>
      </c>
      <c r="U559" s="117" t="b">
        <f t="shared" si="97"/>
        <v>0</v>
      </c>
      <c r="V559" s="157" t="b">
        <f>INDEX('register map'!P:P,C559)="yes"</f>
        <v>1</v>
      </c>
      <c r="W559" s="157" t="str">
        <f t="shared" si="94"/>
        <v>FALSE</v>
      </c>
    </row>
    <row r="560" spans="2:23">
      <c r="B560" s="157" t="str">
        <f t="array" ref="B560">IF(ROWS($3:560)&lt;=COUNTA('register map'!$L$5:$L$902),INDEX('register map'!$L$5:$L$902,SMALL(IF('register map'!$L$5:$L$902&lt;&gt;"",ROW('register map'!$L$5:$L$902)-MIN(ROW('register map'!$L$5:$L$902))+1),ROWS($3:560))),"")</f>
        <v>OTP_RSVD_38_31_3210</v>
      </c>
      <c r="C560" s="157">
        <f>IF(B560="PART_NUMBER",IF(COUNTIF($B$1:B559,"PART_NUMBER")=0,6,8),MATCH(B560,'register map'!L:L,0))</f>
        <v>664</v>
      </c>
      <c r="D560" s="117" t="str">
        <f>IF(ISBLANK(INDEX('register map'!C:C,'Logical Group Generator'!C560)),"No","Yes")</f>
        <v>No</v>
      </c>
      <c r="E560" s="117" t="str">
        <f>IF(ISBLANK(INDEX('register map'!A:A,C560)),IF(ISBLANK(INDEX('register map'!A:A,C560-1)),IF(ISBLANK(INDEX('register map'!A:A,C560-2)),IF(ISBLANK(INDEX('register map'!A:A,C560-3)),IF(ISBLANK(INDEX('register map'!A:A,C560-4)),IF(ISBLANK(INDEX('register map'!A:A,C560-5)),IF(ISBLANK(INDEX('register map'!A:A,C560-6)),IF(ISBLANK(INDEX('register map'!A:A,C560-7)),IF(ISBLANK(INDEX('register map'!A:A,C560-8)),"ERROR",INDEX('register map'!A:A,C560-8)),INDEX('register map'!A:A,C560-7)),INDEX('register map'!A:A,C560-6)),INDEX('register map'!A:A,C560-5)),INDEX('register map'!A:A,C560-4)),INDEX('register map'!A:A,C560-3)),INDEX('register map'!A:A,C560-2)),INDEX('register map'!A:A,C560-1)),INDEX('register map'!A:A,C560))</f>
        <v>0x38</v>
      </c>
      <c r="F560" s="117" t="str">
        <f>IF(ISBLANK(INDEX('register map'!B:B,C560)),IF(ISBLANK(INDEX('register map'!B:B,C560-1)),IF(ISBLANK(INDEX('register map'!B:B,C560-2)),IF(ISBLANK(INDEX('register map'!B:B,C560-3)),IF(ISBLANK(INDEX('register map'!B:B,C560-4)),IF(ISBLANK(INDEX('register map'!B:B,C560-5)),IF(ISBLANK(INDEX('register map'!B:B,C560-6)),IF(ISBLANK(INDEX('register map'!B:B,C560-7)),IF(ISBLANK(INDEX('register map'!B:B,C560-8)),"ERROR",INDEX('register map'!B:B,C560-8)),INDEX('register map'!B:B,C560-7)),INDEX('register map'!B:B,C560-6)),INDEX('register map'!B:B,C560-5)),INDEX('register map'!B:B,C560-4)),INDEX('register map'!B:B,C560-3)),INDEX('register map'!B:B,C560-2)),INDEX('register map'!B:B,C560-1)),INDEX('register map'!B:B,C560))</f>
        <v>0x31</v>
      </c>
      <c r="G560" s="117" t="str">
        <f>CONCATENATE(IF(ISNUMBER(INDEX('register map'!D:D,C560)),7,""),IF(ISNUMBER(INDEX('register map'!E:E,C560)),6,""),IF(ISNUMBER(INDEX('register map'!F:F,C560)),5,""),IF(ISNUMBER(INDEX('register map'!G:G,C560)),4,""),IF(ISNUMBER(INDEX('register map'!H:H,C560)),3,""),IF(ISNUMBER(INDEX('register map'!I:I,C560)),2,""),IF(ISNUMBER(INDEX('register map'!J:J,C560)),1,""),IF(ISNUMBER(INDEX('register map'!K:K,C560)),0,""))</f>
        <v>3210</v>
      </c>
      <c r="H560" s="117" t="str">
        <f>RIGHT(INDEX('register map'!V:V,MATCH('Logical Group Generator'!B560,'register map'!L:L,0)),LEN(G560))</f>
        <v>0101</v>
      </c>
      <c r="I560" s="117" t="str">
        <f>CONCATENATE(IF(ISNUMBER(INDEX('register map'!K:K,C560)),0,""),IF(ISNUMBER(INDEX('register map'!J:J,C560)),1,""),IF(ISNUMBER(INDEX('register map'!I:I,C560)),2,""),IF(ISNUMBER(INDEX('register map'!H:H,C560)),3,""),IF(ISNUMBER(INDEX('register map'!G:G,C560)),4,""),IF(ISNUMBER(INDEX('register map'!F:F,C560)),5,""),IF(ISNUMBER(INDEX('register map'!E:E,C560)),6,""),IF(ISNUMBER(INDEX('register map'!D:D,C560)),7,""))</f>
        <v>0123</v>
      </c>
      <c r="J560" s="117" t="str">
        <f t="shared" si="95"/>
        <v>1010</v>
      </c>
      <c r="K560" s="117" t="str">
        <f t="shared" si="88"/>
        <v/>
      </c>
      <c r="L560" s="117" t="str">
        <f t="shared" si="96"/>
        <v/>
      </c>
      <c r="M560" s="117" t="str">
        <f t="shared" si="98"/>
        <v/>
      </c>
      <c r="N560" s="117" t="str">
        <f>IF(ISBLANK(INDEX('register map'!M:M,'Logical Group Generator'!C560)),"No","Yes")</f>
        <v>Yes</v>
      </c>
      <c r="O560" s="117" t="str">
        <f>IF(NOT(ISBLANK(INDEX('register map'!N:N,'Logical Group Generator'!C560))),"Yes","")</f>
        <v/>
      </c>
      <c r="P560" s="117" t="str">
        <f t="shared" si="89"/>
        <v/>
      </c>
      <c r="Q560" s="117" t="str">
        <f t="shared" si="90"/>
        <v/>
      </c>
      <c r="R560" s="117" t="str">
        <f t="shared" si="91"/>
        <v/>
      </c>
      <c r="S560" s="117" t="str">
        <f t="shared" si="92"/>
        <v>No</v>
      </c>
      <c r="T560" s="117" t="str">
        <f t="shared" si="93"/>
        <v/>
      </c>
      <c r="U560" s="117" t="b">
        <f t="shared" si="97"/>
        <v>0</v>
      </c>
      <c r="V560" s="157" t="b">
        <f>INDEX('register map'!P:P,C560)="yes"</f>
        <v>1</v>
      </c>
      <c r="W560" s="157" t="str">
        <f t="shared" si="94"/>
        <v>FALSE</v>
      </c>
    </row>
    <row r="561" spans="2:23">
      <c r="B561" s="157" t="str">
        <f t="array" ref="B561">IF(ROWS($3:561)&lt;=COUNTA('register map'!$L$5:$L$902),INDEX('register map'!$L$5:$L$902,SMALL(IF('register map'!$L$5:$L$902&lt;&gt;"",ROW('register map'!$L$5:$L$902)-MIN(ROW('register map'!$L$5:$L$902))+1),ROWS($3:561))),"")</f>
        <v>OTP_RSVD_38_31_7654</v>
      </c>
      <c r="C561" s="157">
        <f>IF(B561="PART_NUMBER",IF(COUNTIF($B$1:B560,"PART_NUMBER")=0,6,8),MATCH(B561,'register map'!L:L,0))</f>
        <v>665</v>
      </c>
      <c r="D561" s="117" t="str">
        <f>IF(ISBLANK(INDEX('register map'!C:C,'Logical Group Generator'!C561)),"No","Yes")</f>
        <v>No</v>
      </c>
      <c r="E561" s="117" t="str">
        <f>IF(ISBLANK(INDEX('register map'!A:A,C561)),IF(ISBLANK(INDEX('register map'!A:A,C561-1)),IF(ISBLANK(INDEX('register map'!A:A,C561-2)),IF(ISBLANK(INDEX('register map'!A:A,C561-3)),IF(ISBLANK(INDEX('register map'!A:A,C561-4)),IF(ISBLANK(INDEX('register map'!A:A,C561-5)),IF(ISBLANK(INDEX('register map'!A:A,C561-6)),IF(ISBLANK(INDEX('register map'!A:A,C561-7)),IF(ISBLANK(INDEX('register map'!A:A,C561-8)),"ERROR",INDEX('register map'!A:A,C561-8)),INDEX('register map'!A:A,C561-7)),INDEX('register map'!A:A,C561-6)),INDEX('register map'!A:A,C561-5)),INDEX('register map'!A:A,C561-4)),INDEX('register map'!A:A,C561-3)),INDEX('register map'!A:A,C561-2)),INDEX('register map'!A:A,C561-1)),INDEX('register map'!A:A,C561))</f>
        <v>0x38</v>
      </c>
      <c r="F561" s="117" t="str">
        <f>IF(ISBLANK(INDEX('register map'!B:B,C561)),IF(ISBLANK(INDEX('register map'!B:B,C561-1)),IF(ISBLANK(INDEX('register map'!B:B,C561-2)),IF(ISBLANK(INDEX('register map'!B:B,C561-3)),IF(ISBLANK(INDEX('register map'!B:B,C561-4)),IF(ISBLANK(INDEX('register map'!B:B,C561-5)),IF(ISBLANK(INDEX('register map'!B:B,C561-6)),IF(ISBLANK(INDEX('register map'!B:B,C561-7)),IF(ISBLANK(INDEX('register map'!B:B,C561-8)),"ERROR",INDEX('register map'!B:B,C561-8)),INDEX('register map'!B:B,C561-7)),INDEX('register map'!B:B,C561-6)),INDEX('register map'!B:B,C561-5)),INDEX('register map'!B:B,C561-4)),INDEX('register map'!B:B,C561-3)),INDEX('register map'!B:B,C561-2)),INDEX('register map'!B:B,C561-1)),INDEX('register map'!B:B,C561))</f>
        <v>0x31</v>
      </c>
      <c r="G561" s="117" t="str">
        <f>CONCATENATE(IF(ISNUMBER(INDEX('register map'!D:D,C561)),7,""),IF(ISNUMBER(INDEX('register map'!E:E,C561)),6,""),IF(ISNUMBER(INDEX('register map'!F:F,C561)),5,""),IF(ISNUMBER(INDEX('register map'!G:G,C561)),4,""),IF(ISNUMBER(INDEX('register map'!H:H,C561)),3,""),IF(ISNUMBER(INDEX('register map'!I:I,C561)),2,""),IF(ISNUMBER(INDEX('register map'!J:J,C561)),1,""),IF(ISNUMBER(INDEX('register map'!K:K,C561)),0,""))</f>
        <v>7654</v>
      </c>
      <c r="H561" s="117" t="str">
        <f>RIGHT(INDEX('register map'!V:V,MATCH('Logical Group Generator'!B561,'register map'!L:L,0)),LEN(G561))</f>
        <v>1000</v>
      </c>
      <c r="I561" s="117" t="str">
        <f>CONCATENATE(IF(ISNUMBER(INDEX('register map'!K:K,C561)),0,""),IF(ISNUMBER(INDEX('register map'!J:J,C561)),1,""),IF(ISNUMBER(INDEX('register map'!I:I,C561)),2,""),IF(ISNUMBER(INDEX('register map'!H:H,C561)),3,""),IF(ISNUMBER(INDEX('register map'!G:G,C561)),4,""),IF(ISNUMBER(INDEX('register map'!F:F,C561)),5,""),IF(ISNUMBER(INDEX('register map'!E:E,C561)),6,""),IF(ISNUMBER(INDEX('register map'!D:D,C561)),7,""))</f>
        <v>4567</v>
      </c>
      <c r="J561" s="117" t="str">
        <f t="shared" si="95"/>
        <v>0001</v>
      </c>
      <c r="K561" s="117" t="str">
        <f t="shared" si="88"/>
        <v/>
      </c>
      <c r="L561" s="117" t="str">
        <f t="shared" si="96"/>
        <v/>
      </c>
      <c r="M561" s="117" t="str">
        <f t="shared" si="98"/>
        <v/>
      </c>
      <c r="N561" s="117" t="str">
        <f>IF(ISBLANK(INDEX('register map'!M:M,'Logical Group Generator'!C561)),"No","Yes")</f>
        <v>Yes</v>
      </c>
      <c r="O561" s="117" t="str">
        <f>IF(NOT(ISBLANK(INDEX('register map'!N:N,'Logical Group Generator'!C561))),"Yes","")</f>
        <v/>
      </c>
      <c r="P561" s="117" t="str">
        <f t="shared" si="89"/>
        <v/>
      </c>
      <c r="Q561" s="117" t="str">
        <f t="shared" si="90"/>
        <v/>
      </c>
      <c r="R561" s="117" t="str">
        <f t="shared" si="91"/>
        <v/>
      </c>
      <c r="S561" s="117" t="str">
        <f t="shared" si="92"/>
        <v>No</v>
      </c>
      <c r="T561" s="117" t="str">
        <f t="shared" si="93"/>
        <v/>
      </c>
      <c r="U561" s="117" t="b">
        <f t="shared" si="97"/>
        <v>0</v>
      </c>
      <c r="V561" s="157" t="b">
        <f>INDEX('register map'!P:P,C561)="yes"</f>
        <v>1</v>
      </c>
      <c r="W561" s="157" t="str">
        <f t="shared" si="94"/>
        <v>FALSE</v>
      </c>
    </row>
    <row r="562" spans="2:23">
      <c r="B562" s="157" t="str">
        <f t="array" ref="B562">IF(ROWS($3:562)&lt;=COUNTA('register map'!$L$5:$L$902),INDEX('register map'!$L$5:$L$902,SMALL(IF('register map'!$L$5:$L$902&lt;&gt;"",ROW('register map'!$L$5:$L$902)-MIN(ROW('register map'!$L$5:$L$902))+1),ROWS($3:562))),"")</f>
        <v>OTP_RSVD_38_32</v>
      </c>
      <c r="C562" s="157">
        <f>IF(B562="PART_NUMBER",IF(COUNTIF($B$1:B561,"PART_NUMBER")=0,6,8),MATCH(B562,'register map'!L:L,0))</f>
        <v>666</v>
      </c>
      <c r="D562" s="117" t="str">
        <f>IF(ISBLANK(INDEX('register map'!C:C,'Logical Group Generator'!C562)),"No","Yes")</f>
        <v>Yes</v>
      </c>
      <c r="E562" s="117" t="str">
        <f>IF(ISBLANK(INDEX('register map'!A:A,C562)),IF(ISBLANK(INDEX('register map'!A:A,C562-1)),IF(ISBLANK(INDEX('register map'!A:A,C562-2)),IF(ISBLANK(INDEX('register map'!A:A,C562-3)),IF(ISBLANK(INDEX('register map'!A:A,C562-4)),IF(ISBLANK(INDEX('register map'!A:A,C562-5)),IF(ISBLANK(INDEX('register map'!A:A,C562-6)),IF(ISBLANK(INDEX('register map'!A:A,C562-7)),IF(ISBLANK(INDEX('register map'!A:A,C562-8)),"ERROR",INDEX('register map'!A:A,C562-8)),INDEX('register map'!A:A,C562-7)),INDEX('register map'!A:A,C562-6)),INDEX('register map'!A:A,C562-5)),INDEX('register map'!A:A,C562-4)),INDEX('register map'!A:A,C562-3)),INDEX('register map'!A:A,C562-2)),INDEX('register map'!A:A,C562-1)),INDEX('register map'!A:A,C562))</f>
        <v>0x38</v>
      </c>
      <c r="F562" s="117" t="str">
        <f>IF(ISBLANK(INDEX('register map'!B:B,C562)),IF(ISBLANK(INDEX('register map'!B:B,C562-1)),IF(ISBLANK(INDEX('register map'!B:B,C562-2)),IF(ISBLANK(INDEX('register map'!B:B,C562-3)),IF(ISBLANK(INDEX('register map'!B:B,C562-4)),IF(ISBLANK(INDEX('register map'!B:B,C562-5)),IF(ISBLANK(INDEX('register map'!B:B,C562-6)),IF(ISBLANK(INDEX('register map'!B:B,C562-7)),IF(ISBLANK(INDEX('register map'!B:B,C562-8)),"ERROR",INDEX('register map'!B:B,C562-8)),INDEX('register map'!B:B,C562-7)),INDEX('register map'!B:B,C562-6)),INDEX('register map'!B:B,C562-5)),INDEX('register map'!B:B,C562-4)),INDEX('register map'!B:B,C562-3)),INDEX('register map'!B:B,C562-2)),INDEX('register map'!B:B,C562-1)),INDEX('register map'!B:B,C562))</f>
        <v>0x32</v>
      </c>
      <c r="G562" s="117" t="str">
        <f>CONCATENATE(IF(ISNUMBER(INDEX('register map'!D:D,C562)),7,""),IF(ISNUMBER(INDEX('register map'!E:E,C562)),6,""),IF(ISNUMBER(INDEX('register map'!F:F,C562)),5,""),IF(ISNUMBER(INDEX('register map'!G:G,C562)),4,""),IF(ISNUMBER(INDEX('register map'!H:H,C562)),3,""),IF(ISNUMBER(INDEX('register map'!I:I,C562)),2,""),IF(ISNUMBER(INDEX('register map'!J:J,C562)),1,""),IF(ISNUMBER(INDEX('register map'!K:K,C562)),0,""))</f>
        <v/>
      </c>
      <c r="H562" s="117" t="str">
        <f>RIGHT(INDEX('register map'!V:V,MATCH('Logical Group Generator'!B562,'register map'!L:L,0)),LEN(G562))</f>
        <v/>
      </c>
      <c r="I562" s="117" t="str">
        <f>CONCATENATE(IF(ISNUMBER(INDEX('register map'!K:K,C562)),0,""),IF(ISNUMBER(INDEX('register map'!J:J,C562)),1,""),IF(ISNUMBER(INDEX('register map'!I:I,C562)),2,""),IF(ISNUMBER(INDEX('register map'!H:H,C562)),3,""),IF(ISNUMBER(INDEX('register map'!G:G,C562)),4,""),IF(ISNUMBER(INDEX('register map'!F:F,C562)),5,""),IF(ISNUMBER(INDEX('register map'!E:E,C562)),6,""),IF(ISNUMBER(INDEX('register map'!D:D,C562)),7,""))</f>
        <v/>
      </c>
      <c r="J562" s="117" t="str">
        <f t="shared" si="95"/>
        <v/>
      </c>
      <c r="K562" s="117" t="str">
        <f t="shared" si="88"/>
        <v>10000110</v>
      </c>
      <c r="L562" s="117" t="str">
        <f t="shared" si="96"/>
        <v>01100001</v>
      </c>
      <c r="M562" s="117" t="str">
        <f t="shared" si="98"/>
        <v>61</v>
      </c>
      <c r="N562" s="117" t="str">
        <f>IF(ISBLANK(INDEX('register map'!M:M,'Logical Group Generator'!C562)),"No","Yes")</f>
        <v>No</v>
      </c>
      <c r="O562" s="117" t="str">
        <f>IF(NOT(ISBLANK(INDEX('register map'!N:N,'Logical Group Generator'!C562))),"Yes","")</f>
        <v/>
      </c>
      <c r="P562" s="117" t="str">
        <f t="shared" si="89"/>
        <v>No</v>
      </c>
      <c r="Q562" s="117" t="str">
        <f t="shared" si="90"/>
        <v>No</v>
      </c>
      <c r="R562" s="117" t="str">
        <f t="shared" si="91"/>
        <v>No</v>
      </c>
      <c r="S562" s="117" t="str">
        <f t="shared" si="92"/>
        <v/>
      </c>
      <c r="T562" s="117" t="b">
        <f t="shared" si="93"/>
        <v>1</v>
      </c>
      <c r="U562" s="117" t="b">
        <f t="shared" si="97"/>
        <v>1</v>
      </c>
      <c r="V562" s="157" t="b">
        <f>INDEX('register map'!P:P,C562)="yes"</f>
        <v>1</v>
      </c>
      <c r="W562" s="157" t="str">
        <f t="shared" si="94"/>
        <v>REGISTER</v>
      </c>
    </row>
    <row r="563" spans="2:23">
      <c r="B563" s="157" t="str">
        <f t="array" ref="B563">IF(ROWS($3:563)&lt;=COUNTA('register map'!$L$5:$L$902),INDEX('register map'!$L$5:$L$902,SMALL(IF('register map'!$L$5:$L$902&lt;&gt;"",ROW('register map'!$L$5:$L$902)-MIN(ROW('register map'!$L$5:$L$902))+1),ROWS($3:563))),"")</f>
        <v>OTP_RSVD_38_32_10</v>
      </c>
      <c r="C563" s="157">
        <f>IF(B563="PART_NUMBER",IF(COUNTIF($B$1:B562,"PART_NUMBER")=0,6,8),MATCH(B563,'register map'!L:L,0))</f>
        <v>667</v>
      </c>
      <c r="D563" s="117" t="str">
        <f>IF(ISBLANK(INDEX('register map'!C:C,'Logical Group Generator'!C563)),"No","Yes")</f>
        <v>No</v>
      </c>
      <c r="E563" s="117" t="str">
        <f>IF(ISBLANK(INDEX('register map'!A:A,C563)),IF(ISBLANK(INDEX('register map'!A:A,C563-1)),IF(ISBLANK(INDEX('register map'!A:A,C563-2)),IF(ISBLANK(INDEX('register map'!A:A,C563-3)),IF(ISBLANK(INDEX('register map'!A:A,C563-4)),IF(ISBLANK(INDEX('register map'!A:A,C563-5)),IF(ISBLANK(INDEX('register map'!A:A,C563-6)),IF(ISBLANK(INDEX('register map'!A:A,C563-7)),IF(ISBLANK(INDEX('register map'!A:A,C563-8)),"ERROR",INDEX('register map'!A:A,C563-8)),INDEX('register map'!A:A,C563-7)),INDEX('register map'!A:A,C563-6)),INDEX('register map'!A:A,C563-5)),INDEX('register map'!A:A,C563-4)),INDEX('register map'!A:A,C563-3)),INDEX('register map'!A:A,C563-2)),INDEX('register map'!A:A,C563-1)),INDEX('register map'!A:A,C563))</f>
        <v>0x38</v>
      </c>
      <c r="F563" s="117" t="str">
        <f>IF(ISBLANK(INDEX('register map'!B:B,C563)),IF(ISBLANK(INDEX('register map'!B:B,C563-1)),IF(ISBLANK(INDEX('register map'!B:B,C563-2)),IF(ISBLANK(INDEX('register map'!B:B,C563-3)),IF(ISBLANK(INDEX('register map'!B:B,C563-4)),IF(ISBLANK(INDEX('register map'!B:B,C563-5)),IF(ISBLANK(INDEX('register map'!B:B,C563-6)),IF(ISBLANK(INDEX('register map'!B:B,C563-7)),IF(ISBLANK(INDEX('register map'!B:B,C563-8)),"ERROR",INDEX('register map'!B:B,C563-8)),INDEX('register map'!B:B,C563-7)),INDEX('register map'!B:B,C563-6)),INDEX('register map'!B:B,C563-5)),INDEX('register map'!B:B,C563-4)),INDEX('register map'!B:B,C563-3)),INDEX('register map'!B:B,C563-2)),INDEX('register map'!B:B,C563-1)),INDEX('register map'!B:B,C563))</f>
        <v>0x32</v>
      </c>
      <c r="G563" s="117" t="str">
        <f>CONCATENATE(IF(ISNUMBER(INDEX('register map'!D:D,C563)),7,""),IF(ISNUMBER(INDEX('register map'!E:E,C563)),6,""),IF(ISNUMBER(INDEX('register map'!F:F,C563)),5,""),IF(ISNUMBER(INDEX('register map'!G:G,C563)),4,""),IF(ISNUMBER(INDEX('register map'!H:H,C563)),3,""),IF(ISNUMBER(INDEX('register map'!I:I,C563)),2,""),IF(ISNUMBER(INDEX('register map'!J:J,C563)),1,""),IF(ISNUMBER(INDEX('register map'!K:K,C563)),0,""))</f>
        <v>10</v>
      </c>
      <c r="H563" s="117" t="str">
        <f>RIGHT(INDEX('register map'!V:V,MATCH('Logical Group Generator'!B563,'register map'!L:L,0)),LEN(G563))</f>
        <v>01</v>
      </c>
      <c r="I563" s="117" t="str">
        <f>CONCATENATE(IF(ISNUMBER(INDEX('register map'!K:K,C563)),0,""),IF(ISNUMBER(INDEX('register map'!J:J,C563)),1,""),IF(ISNUMBER(INDEX('register map'!I:I,C563)),2,""),IF(ISNUMBER(INDEX('register map'!H:H,C563)),3,""),IF(ISNUMBER(INDEX('register map'!G:G,C563)),4,""),IF(ISNUMBER(INDEX('register map'!F:F,C563)),5,""),IF(ISNUMBER(INDEX('register map'!E:E,C563)),6,""),IF(ISNUMBER(INDEX('register map'!D:D,C563)),7,""))</f>
        <v>01</v>
      </c>
      <c r="J563" s="117" t="str">
        <f t="shared" si="95"/>
        <v>10</v>
      </c>
      <c r="K563" s="117" t="str">
        <f t="shared" si="88"/>
        <v/>
      </c>
      <c r="L563" s="117" t="str">
        <f t="shared" si="96"/>
        <v/>
      </c>
      <c r="M563" s="117" t="str">
        <f t="shared" si="98"/>
        <v/>
      </c>
      <c r="N563" s="117" t="str">
        <f>IF(ISBLANK(INDEX('register map'!M:M,'Logical Group Generator'!C563)),"No","Yes")</f>
        <v>No</v>
      </c>
      <c r="O563" s="117" t="str">
        <f>IF(NOT(ISBLANK(INDEX('register map'!N:N,'Logical Group Generator'!C563))),"Yes","")</f>
        <v/>
      </c>
      <c r="P563" s="117" t="str">
        <f t="shared" si="89"/>
        <v/>
      </c>
      <c r="Q563" s="117" t="str">
        <f t="shared" si="90"/>
        <v/>
      </c>
      <c r="R563" s="117" t="str">
        <f t="shared" si="91"/>
        <v/>
      </c>
      <c r="S563" s="117" t="str">
        <f t="shared" si="92"/>
        <v>No</v>
      </c>
      <c r="T563" s="117" t="str">
        <f t="shared" si="93"/>
        <v/>
      </c>
      <c r="U563" s="117" t="b">
        <f t="shared" si="97"/>
        <v>0</v>
      </c>
      <c r="V563" s="157" t="b">
        <f>INDEX('register map'!P:P,C563)="yes"</f>
        <v>1</v>
      </c>
      <c r="W563" s="157" t="str">
        <f t="shared" si="94"/>
        <v>FALSE</v>
      </c>
    </row>
    <row r="564" spans="2:23">
      <c r="B564" s="157" t="str">
        <f t="array" ref="B564">IF(ROWS($3:564)&lt;=COUNTA('register map'!$L$5:$L$902),INDEX('register map'!$L$5:$L$902,SMALL(IF('register map'!$L$5:$L$902&lt;&gt;"",ROW('register map'!$L$5:$L$902)-MIN(ROW('register map'!$L$5:$L$902))+1),ROWS($3:564))),"")</f>
        <v>OTP_RSVD_38_32_2</v>
      </c>
      <c r="C564" s="157">
        <f>IF(B564="PART_NUMBER",IF(COUNTIF($B$1:B563,"PART_NUMBER")=0,6,8),MATCH(B564,'register map'!L:L,0))</f>
        <v>668</v>
      </c>
      <c r="D564" s="117" t="str">
        <f>IF(ISBLANK(INDEX('register map'!C:C,'Logical Group Generator'!C564)),"No","Yes")</f>
        <v>No</v>
      </c>
      <c r="E564" s="117" t="str">
        <f>IF(ISBLANK(INDEX('register map'!A:A,C564)),IF(ISBLANK(INDEX('register map'!A:A,C564-1)),IF(ISBLANK(INDEX('register map'!A:A,C564-2)),IF(ISBLANK(INDEX('register map'!A:A,C564-3)),IF(ISBLANK(INDEX('register map'!A:A,C564-4)),IF(ISBLANK(INDEX('register map'!A:A,C564-5)),IF(ISBLANK(INDEX('register map'!A:A,C564-6)),IF(ISBLANK(INDEX('register map'!A:A,C564-7)),IF(ISBLANK(INDEX('register map'!A:A,C564-8)),"ERROR",INDEX('register map'!A:A,C564-8)),INDEX('register map'!A:A,C564-7)),INDEX('register map'!A:A,C564-6)),INDEX('register map'!A:A,C564-5)),INDEX('register map'!A:A,C564-4)),INDEX('register map'!A:A,C564-3)),INDEX('register map'!A:A,C564-2)),INDEX('register map'!A:A,C564-1)),INDEX('register map'!A:A,C564))</f>
        <v>0x38</v>
      </c>
      <c r="F564" s="117" t="str">
        <f>IF(ISBLANK(INDEX('register map'!B:B,C564)),IF(ISBLANK(INDEX('register map'!B:B,C564-1)),IF(ISBLANK(INDEX('register map'!B:B,C564-2)),IF(ISBLANK(INDEX('register map'!B:B,C564-3)),IF(ISBLANK(INDEX('register map'!B:B,C564-4)),IF(ISBLANK(INDEX('register map'!B:B,C564-5)),IF(ISBLANK(INDEX('register map'!B:B,C564-6)),IF(ISBLANK(INDEX('register map'!B:B,C564-7)),IF(ISBLANK(INDEX('register map'!B:B,C564-8)),"ERROR",INDEX('register map'!B:B,C564-8)),INDEX('register map'!B:B,C564-7)),INDEX('register map'!B:B,C564-6)),INDEX('register map'!B:B,C564-5)),INDEX('register map'!B:B,C564-4)),INDEX('register map'!B:B,C564-3)),INDEX('register map'!B:B,C564-2)),INDEX('register map'!B:B,C564-1)),INDEX('register map'!B:B,C564))</f>
        <v>0x32</v>
      </c>
      <c r="G564" s="117" t="str">
        <f>CONCATENATE(IF(ISNUMBER(INDEX('register map'!D:D,C564)),7,""),IF(ISNUMBER(INDEX('register map'!E:E,C564)),6,""),IF(ISNUMBER(INDEX('register map'!F:F,C564)),5,""),IF(ISNUMBER(INDEX('register map'!G:G,C564)),4,""),IF(ISNUMBER(INDEX('register map'!H:H,C564)),3,""),IF(ISNUMBER(INDEX('register map'!I:I,C564)),2,""),IF(ISNUMBER(INDEX('register map'!J:J,C564)),1,""),IF(ISNUMBER(INDEX('register map'!K:K,C564)),0,""))</f>
        <v>2</v>
      </c>
      <c r="H564" s="117" t="str">
        <f>RIGHT(INDEX('register map'!V:V,MATCH('Logical Group Generator'!B564,'register map'!L:L,0)),LEN(G564))</f>
        <v>0</v>
      </c>
      <c r="I564" s="117" t="str">
        <f>CONCATENATE(IF(ISNUMBER(INDEX('register map'!K:K,C564)),0,""),IF(ISNUMBER(INDEX('register map'!J:J,C564)),1,""),IF(ISNUMBER(INDEX('register map'!I:I,C564)),2,""),IF(ISNUMBER(INDEX('register map'!H:H,C564)),3,""),IF(ISNUMBER(INDEX('register map'!G:G,C564)),4,""),IF(ISNUMBER(INDEX('register map'!F:F,C564)),5,""),IF(ISNUMBER(INDEX('register map'!E:E,C564)),6,""),IF(ISNUMBER(INDEX('register map'!D:D,C564)),7,""))</f>
        <v>2</v>
      </c>
      <c r="J564" s="117" t="str">
        <f t="shared" si="95"/>
        <v>0</v>
      </c>
      <c r="K564" s="117" t="str">
        <f t="shared" si="88"/>
        <v/>
      </c>
      <c r="L564" s="117" t="str">
        <f t="shared" si="96"/>
        <v/>
      </c>
      <c r="M564" s="117" t="str">
        <f t="shared" si="98"/>
        <v/>
      </c>
      <c r="N564" s="117" t="str">
        <f>IF(ISBLANK(INDEX('register map'!M:M,'Logical Group Generator'!C564)),"No","Yes")</f>
        <v>No</v>
      </c>
      <c r="O564" s="117" t="str">
        <f>IF(NOT(ISBLANK(INDEX('register map'!N:N,'Logical Group Generator'!C564))),"Yes","")</f>
        <v/>
      </c>
      <c r="P564" s="117" t="str">
        <f t="shared" si="89"/>
        <v/>
      </c>
      <c r="Q564" s="117" t="str">
        <f t="shared" si="90"/>
        <v/>
      </c>
      <c r="R564" s="117" t="str">
        <f t="shared" si="91"/>
        <v/>
      </c>
      <c r="S564" s="117" t="str">
        <f t="shared" si="92"/>
        <v>No</v>
      </c>
      <c r="T564" s="117" t="str">
        <f t="shared" si="93"/>
        <v/>
      </c>
      <c r="U564" s="117" t="b">
        <f t="shared" si="97"/>
        <v>0</v>
      </c>
      <c r="V564" s="157" t="b">
        <f>INDEX('register map'!P:P,C564)="yes"</f>
        <v>1</v>
      </c>
      <c r="W564" s="157" t="str">
        <f t="shared" si="94"/>
        <v>FALSE</v>
      </c>
    </row>
    <row r="565" spans="2:23">
      <c r="B565" s="157" t="str">
        <f t="array" ref="B565">IF(ROWS($3:565)&lt;=COUNTA('register map'!$L$5:$L$902),INDEX('register map'!$L$5:$L$902,SMALL(IF('register map'!$L$5:$L$902&lt;&gt;"",ROW('register map'!$L$5:$L$902)-MIN(ROW('register map'!$L$5:$L$902))+1),ROWS($3:565))),"")</f>
        <v>OTP_RSVD_38_32_3</v>
      </c>
      <c r="C565" s="157">
        <f>IF(B565="PART_NUMBER",IF(COUNTIF($B$1:B564,"PART_NUMBER")=0,6,8),MATCH(B565,'register map'!L:L,0))</f>
        <v>669</v>
      </c>
      <c r="D565" s="117" t="str">
        <f>IF(ISBLANK(INDEX('register map'!C:C,'Logical Group Generator'!C565)),"No","Yes")</f>
        <v>No</v>
      </c>
      <c r="E565" s="117" t="str">
        <f>IF(ISBLANK(INDEX('register map'!A:A,C565)),IF(ISBLANK(INDEX('register map'!A:A,C565-1)),IF(ISBLANK(INDEX('register map'!A:A,C565-2)),IF(ISBLANK(INDEX('register map'!A:A,C565-3)),IF(ISBLANK(INDEX('register map'!A:A,C565-4)),IF(ISBLANK(INDEX('register map'!A:A,C565-5)),IF(ISBLANK(INDEX('register map'!A:A,C565-6)),IF(ISBLANK(INDEX('register map'!A:A,C565-7)),IF(ISBLANK(INDEX('register map'!A:A,C565-8)),"ERROR",INDEX('register map'!A:A,C565-8)),INDEX('register map'!A:A,C565-7)),INDEX('register map'!A:A,C565-6)),INDEX('register map'!A:A,C565-5)),INDEX('register map'!A:A,C565-4)),INDEX('register map'!A:A,C565-3)),INDEX('register map'!A:A,C565-2)),INDEX('register map'!A:A,C565-1)),INDEX('register map'!A:A,C565))</f>
        <v>0x38</v>
      </c>
      <c r="F565" s="117" t="str">
        <f>IF(ISBLANK(INDEX('register map'!B:B,C565)),IF(ISBLANK(INDEX('register map'!B:B,C565-1)),IF(ISBLANK(INDEX('register map'!B:B,C565-2)),IF(ISBLANK(INDEX('register map'!B:B,C565-3)),IF(ISBLANK(INDEX('register map'!B:B,C565-4)),IF(ISBLANK(INDEX('register map'!B:B,C565-5)),IF(ISBLANK(INDEX('register map'!B:B,C565-6)),IF(ISBLANK(INDEX('register map'!B:B,C565-7)),IF(ISBLANK(INDEX('register map'!B:B,C565-8)),"ERROR",INDEX('register map'!B:B,C565-8)),INDEX('register map'!B:B,C565-7)),INDEX('register map'!B:B,C565-6)),INDEX('register map'!B:B,C565-5)),INDEX('register map'!B:B,C565-4)),INDEX('register map'!B:B,C565-3)),INDEX('register map'!B:B,C565-2)),INDEX('register map'!B:B,C565-1)),INDEX('register map'!B:B,C565))</f>
        <v>0x32</v>
      </c>
      <c r="G565" s="117" t="str">
        <f>CONCATENATE(IF(ISNUMBER(INDEX('register map'!D:D,C565)),7,""),IF(ISNUMBER(INDEX('register map'!E:E,C565)),6,""),IF(ISNUMBER(INDEX('register map'!F:F,C565)),5,""),IF(ISNUMBER(INDEX('register map'!G:G,C565)),4,""),IF(ISNUMBER(INDEX('register map'!H:H,C565)),3,""),IF(ISNUMBER(INDEX('register map'!I:I,C565)),2,""),IF(ISNUMBER(INDEX('register map'!J:J,C565)),1,""),IF(ISNUMBER(INDEX('register map'!K:K,C565)),0,""))</f>
        <v>3</v>
      </c>
      <c r="H565" s="117" t="str">
        <f>RIGHT(INDEX('register map'!V:V,MATCH('Logical Group Generator'!B565,'register map'!L:L,0)),LEN(G565))</f>
        <v>0</v>
      </c>
      <c r="I565" s="117" t="str">
        <f>CONCATENATE(IF(ISNUMBER(INDEX('register map'!K:K,C565)),0,""),IF(ISNUMBER(INDEX('register map'!J:J,C565)),1,""),IF(ISNUMBER(INDEX('register map'!I:I,C565)),2,""),IF(ISNUMBER(INDEX('register map'!H:H,C565)),3,""),IF(ISNUMBER(INDEX('register map'!G:G,C565)),4,""),IF(ISNUMBER(INDEX('register map'!F:F,C565)),5,""),IF(ISNUMBER(INDEX('register map'!E:E,C565)),6,""),IF(ISNUMBER(INDEX('register map'!D:D,C565)),7,""))</f>
        <v>3</v>
      </c>
      <c r="J565" s="117" t="str">
        <f t="shared" si="95"/>
        <v>0</v>
      </c>
      <c r="K565" s="117" t="str">
        <f t="shared" si="88"/>
        <v/>
      </c>
      <c r="L565" s="117" t="str">
        <f t="shared" si="96"/>
        <v/>
      </c>
      <c r="M565" s="117" t="str">
        <f t="shared" si="98"/>
        <v/>
      </c>
      <c r="N565" s="117" t="str">
        <f>IF(ISBLANK(INDEX('register map'!M:M,'Logical Group Generator'!C565)),"No","Yes")</f>
        <v>No</v>
      </c>
      <c r="O565" s="117" t="str">
        <f>IF(NOT(ISBLANK(INDEX('register map'!N:N,'Logical Group Generator'!C565))),"Yes","")</f>
        <v/>
      </c>
      <c r="P565" s="117" t="str">
        <f t="shared" si="89"/>
        <v/>
      </c>
      <c r="Q565" s="117" t="str">
        <f t="shared" si="90"/>
        <v/>
      </c>
      <c r="R565" s="117" t="str">
        <f t="shared" si="91"/>
        <v/>
      </c>
      <c r="S565" s="117" t="str">
        <f t="shared" si="92"/>
        <v>No</v>
      </c>
      <c r="T565" s="117" t="str">
        <f t="shared" si="93"/>
        <v/>
      </c>
      <c r="U565" s="117" t="b">
        <f t="shared" si="97"/>
        <v>0</v>
      </c>
      <c r="V565" s="157" t="b">
        <f>INDEX('register map'!P:P,C565)="yes"</f>
        <v>1</v>
      </c>
      <c r="W565" s="157" t="str">
        <f t="shared" si="94"/>
        <v>FALSE</v>
      </c>
    </row>
    <row r="566" spans="2:23">
      <c r="B566" s="157" t="str">
        <f t="array" ref="B566">IF(ROWS($3:566)&lt;=COUNTA('register map'!$L$5:$L$902),INDEX('register map'!$L$5:$L$902,SMALL(IF('register map'!$L$5:$L$902&lt;&gt;"",ROW('register map'!$L$5:$L$902)-MIN(ROW('register map'!$L$5:$L$902))+1),ROWS($3:566))),"")</f>
        <v>OTP_RSVD_38_32_4</v>
      </c>
      <c r="C566" s="157">
        <f>IF(B566="PART_NUMBER",IF(COUNTIF($B$1:B565,"PART_NUMBER")=0,6,8),MATCH(B566,'register map'!L:L,0))</f>
        <v>670</v>
      </c>
      <c r="D566" s="117" t="str">
        <f>IF(ISBLANK(INDEX('register map'!C:C,'Logical Group Generator'!C566)),"No","Yes")</f>
        <v>No</v>
      </c>
      <c r="E566" s="117" t="str">
        <f>IF(ISBLANK(INDEX('register map'!A:A,C566)),IF(ISBLANK(INDEX('register map'!A:A,C566-1)),IF(ISBLANK(INDEX('register map'!A:A,C566-2)),IF(ISBLANK(INDEX('register map'!A:A,C566-3)),IF(ISBLANK(INDEX('register map'!A:A,C566-4)),IF(ISBLANK(INDEX('register map'!A:A,C566-5)),IF(ISBLANK(INDEX('register map'!A:A,C566-6)),IF(ISBLANK(INDEX('register map'!A:A,C566-7)),IF(ISBLANK(INDEX('register map'!A:A,C566-8)),"ERROR",INDEX('register map'!A:A,C566-8)),INDEX('register map'!A:A,C566-7)),INDEX('register map'!A:A,C566-6)),INDEX('register map'!A:A,C566-5)),INDEX('register map'!A:A,C566-4)),INDEX('register map'!A:A,C566-3)),INDEX('register map'!A:A,C566-2)),INDEX('register map'!A:A,C566-1)),INDEX('register map'!A:A,C566))</f>
        <v>0x38</v>
      </c>
      <c r="F566" s="117" t="str">
        <f>IF(ISBLANK(INDEX('register map'!B:B,C566)),IF(ISBLANK(INDEX('register map'!B:B,C566-1)),IF(ISBLANK(INDEX('register map'!B:B,C566-2)),IF(ISBLANK(INDEX('register map'!B:B,C566-3)),IF(ISBLANK(INDEX('register map'!B:B,C566-4)),IF(ISBLANK(INDEX('register map'!B:B,C566-5)),IF(ISBLANK(INDEX('register map'!B:B,C566-6)),IF(ISBLANK(INDEX('register map'!B:B,C566-7)),IF(ISBLANK(INDEX('register map'!B:B,C566-8)),"ERROR",INDEX('register map'!B:B,C566-8)),INDEX('register map'!B:B,C566-7)),INDEX('register map'!B:B,C566-6)),INDEX('register map'!B:B,C566-5)),INDEX('register map'!B:B,C566-4)),INDEX('register map'!B:B,C566-3)),INDEX('register map'!B:B,C566-2)),INDEX('register map'!B:B,C566-1)),INDEX('register map'!B:B,C566))</f>
        <v>0x32</v>
      </c>
      <c r="G566" s="117" t="str">
        <f>CONCATENATE(IF(ISNUMBER(INDEX('register map'!D:D,C566)),7,""),IF(ISNUMBER(INDEX('register map'!E:E,C566)),6,""),IF(ISNUMBER(INDEX('register map'!F:F,C566)),5,""),IF(ISNUMBER(INDEX('register map'!G:G,C566)),4,""),IF(ISNUMBER(INDEX('register map'!H:H,C566)),3,""),IF(ISNUMBER(INDEX('register map'!I:I,C566)),2,""),IF(ISNUMBER(INDEX('register map'!J:J,C566)),1,""),IF(ISNUMBER(INDEX('register map'!K:K,C566)),0,""))</f>
        <v>4</v>
      </c>
      <c r="H566" s="117" t="str">
        <f>RIGHT(INDEX('register map'!V:V,MATCH('Logical Group Generator'!B566,'register map'!L:L,0)),LEN(G566))</f>
        <v>0</v>
      </c>
      <c r="I566" s="117" t="str">
        <f>CONCATENATE(IF(ISNUMBER(INDEX('register map'!K:K,C566)),0,""),IF(ISNUMBER(INDEX('register map'!J:J,C566)),1,""),IF(ISNUMBER(INDEX('register map'!I:I,C566)),2,""),IF(ISNUMBER(INDEX('register map'!H:H,C566)),3,""),IF(ISNUMBER(INDEX('register map'!G:G,C566)),4,""),IF(ISNUMBER(INDEX('register map'!F:F,C566)),5,""),IF(ISNUMBER(INDEX('register map'!E:E,C566)),6,""),IF(ISNUMBER(INDEX('register map'!D:D,C566)),7,""))</f>
        <v>4</v>
      </c>
      <c r="J566" s="117" t="str">
        <f t="shared" si="95"/>
        <v>0</v>
      </c>
      <c r="K566" s="117" t="str">
        <f t="shared" si="88"/>
        <v/>
      </c>
      <c r="L566" s="117" t="str">
        <f t="shared" si="96"/>
        <v/>
      </c>
      <c r="M566" s="117" t="str">
        <f t="shared" si="98"/>
        <v/>
      </c>
      <c r="N566" s="117" t="str">
        <f>IF(ISBLANK(INDEX('register map'!M:M,'Logical Group Generator'!C566)),"No","Yes")</f>
        <v>No</v>
      </c>
      <c r="O566" s="117" t="str">
        <f>IF(NOT(ISBLANK(INDEX('register map'!N:N,'Logical Group Generator'!C566))),"Yes","")</f>
        <v/>
      </c>
      <c r="P566" s="117" t="str">
        <f t="shared" si="89"/>
        <v/>
      </c>
      <c r="Q566" s="117" t="str">
        <f t="shared" si="90"/>
        <v/>
      </c>
      <c r="R566" s="117" t="str">
        <f t="shared" si="91"/>
        <v/>
      </c>
      <c r="S566" s="117" t="str">
        <f t="shared" si="92"/>
        <v>No</v>
      </c>
      <c r="T566" s="117" t="str">
        <f t="shared" si="93"/>
        <v/>
      </c>
      <c r="U566" s="117" t="b">
        <f t="shared" si="97"/>
        <v>0</v>
      </c>
      <c r="V566" s="157" t="b">
        <f>INDEX('register map'!P:P,C566)="yes"</f>
        <v>1</v>
      </c>
      <c r="W566" s="157" t="str">
        <f t="shared" si="94"/>
        <v>FALSE</v>
      </c>
    </row>
    <row r="567" spans="2:23">
      <c r="B567" s="157" t="str">
        <f t="array" ref="B567">IF(ROWS($3:567)&lt;=COUNTA('register map'!$L$5:$L$902),INDEX('register map'!$L$5:$L$902,SMALL(IF('register map'!$L$5:$L$902&lt;&gt;"",ROW('register map'!$L$5:$L$902)-MIN(ROW('register map'!$L$5:$L$902))+1),ROWS($3:567))),"")</f>
        <v>OTP_RSVD_38_32_5</v>
      </c>
      <c r="C567" s="157">
        <f>IF(B567="PART_NUMBER",IF(COUNTIF($B$1:B566,"PART_NUMBER")=0,6,8),MATCH(B567,'register map'!L:L,0))</f>
        <v>671</v>
      </c>
      <c r="D567" s="117" t="str">
        <f>IF(ISBLANK(INDEX('register map'!C:C,'Logical Group Generator'!C567)),"No","Yes")</f>
        <v>No</v>
      </c>
      <c r="E567" s="117" t="str">
        <f>IF(ISBLANK(INDEX('register map'!A:A,C567)),IF(ISBLANK(INDEX('register map'!A:A,C567-1)),IF(ISBLANK(INDEX('register map'!A:A,C567-2)),IF(ISBLANK(INDEX('register map'!A:A,C567-3)),IF(ISBLANK(INDEX('register map'!A:A,C567-4)),IF(ISBLANK(INDEX('register map'!A:A,C567-5)),IF(ISBLANK(INDEX('register map'!A:A,C567-6)),IF(ISBLANK(INDEX('register map'!A:A,C567-7)),IF(ISBLANK(INDEX('register map'!A:A,C567-8)),"ERROR",INDEX('register map'!A:A,C567-8)),INDEX('register map'!A:A,C567-7)),INDEX('register map'!A:A,C567-6)),INDEX('register map'!A:A,C567-5)),INDEX('register map'!A:A,C567-4)),INDEX('register map'!A:A,C567-3)),INDEX('register map'!A:A,C567-2)),INDEX('register map'!A:A,C567-1)),INDEX('register map'!A:A,C567))</f>
        <v>0x38</v>
      </c>
      <c r="F567" s="117" t="str">
        <f>IF(ISBLANK(INDEX('register map'!B:B,C567)),IF(ISBLANK(INDEX('register map'!B:B,C567-1)),IF(ISBLANK(INDEX('register map'!B:B,C567-2)),IF(ISBLANK(INDEX('register map'!B:B,C567-3)),IF(ISBLANK(INDEX('register map'!B:B,C567-4)),IF(ISBLANK(INDEX('register map'!B:B,C567-5)),IF(ISBLANK(INDEX('register map'!B:B,C567-6)),IF(ISBLANK(INDEX('register map'!B:B,C567-7)),IF(ISBLANK(INDEX('register map'!B:B,C567-8)),"ERROR",INDEX('register map'!B:B,C567-8)),INDEX('register map'!B:B,C567-7)),INDEX('register map'!B:B,C567-6)),INDEX('register map'!B:B,C567-5)),INDEX('register map'!B:B,C567-4)),INDEX('register map'!B:B,C567-3)),INDEX('register map'!B:B,C567-2)),INDEX('register map'!B:B,C567-1)),INDEX('register map'!B:B,C567))</f>
        <v>0x32</v>
      </c>
      <c r="G567" s="117" t="str">
        <f>CONCATENATE(IF(ISNUMBER(INDEX('register map'!D:D,C567)),7,""),IF(ISNUMBER(INDEX('register map'!E:E,C567)),6,""),IF(ISNUMBER(INDEX('register map'!F:F,C567)),5,""),IF(ISNUMBER(INDEX('register map'!G:G,C567)),4,""),IF(ISNUMBER(INDEX('register map'!H:H,C567)),3,""),IF(ISNUMBER(INDEX('register map'!I:I,C567)),2,""),IF(ISNUMBER(INDEX('register map'!J:J,C567)),1,""),IF(ISNUMBER(INDEX('register map'!K:K,C567)),0,""))</f>
        <v>5</v>
      </c>
      <c r="H567" s="117" t="str">
        <f>RIGHT(INDEX('register map'!V:V,MATCH('Logical Group Generator'!B567,'register map'!L:L,0)),LEN(G567))</f>
        <v>1</v>
      </c>
      <c r="I567" s="117" t="str">
        <f>CONCATENATE(IF(ISNUMBER(INDEX('register map'!K:K,C567)),0,""),IF(ISNUMBER(INDEX('register map'!J:J,C567)),1,""),IF(ISNUMBER(INDEX('register map'!I:I,C567)),2,""),IF(ISNUMBER(INDEX('register map'!H:H,C567)),3,""),IF(ISNUMBER(INDEX('register map'!G:G,C567)),4,""),IF(ISNUMBER(INDEX('register map'!F:F,C567)),5,""),IF(ISNUMBER(INDEX('register map'!E:E,C567)),6,""),IF(ISNUMBER(INDEX('register map'!D:D,C567)),7,""))</f>
        <v>5</v>
      </c>
      <c r="J567" s="117" t="str">
        <f t="shared" si="95"/>
        <v>1</v>
      </c>
      <c r="K567" s="117" t="str">
        <f t="shared" si="88"/>
        <v/>
      </c>
      <c r="L567" s="117" t="str">
        <f t="shared" si="96"/>
        <v/>
      </c>
      <c r="M567" s="117" t="str">
        <f t="shared" si="98"/>
        <v/>
      </c>
      <c r="N567" s="117" t="str">
        <f>IF(ISBLANK(INDEX('register map'!M:M,'Logical Group Generator'!C567)),"No","Yes")</f>
        <v>No</v>
      </c>
      <c r="O567" s="117" t="str">
        <f>IF(NOT(ISBLANK(INDEX('register map'!N:N,'Logical Group Generator'!C567))),"Yes","")</f>
        <v/>
      </c>
      <c r="P567" s="117" t="str">
        <f t="shared" si="89"/>
        <v/>
      </c>
      <c r="Q567" s="117" t="str">
        <f t="shared" si="90"/>
        <v/>
      </c>
      <c r="R567" s="117" t="str">
        <f t="shared" si="91"/>
        <v/>
      </c>
      <c r="S567" s="117" t="str">
        <f t="shared" si="92"/>
        <v>No</v>
      </c>
      <c r="T567" s="117" t="str">
        <f t="shared" si="93"/>
        <v/>
      </c>
      <c r="U567" s="117" t="b">
        <f t="shared" si="97"/>
        <v>0</v>
      </c>
      <c r="V567" s="157" t="b">
        <f>INDEX('register map'!P:P,C567)="yes"</f>
        <v>1</v>
      </c>
      <c r="W567" s="157" t="str">
        <f t="shared" si="94"/>
        <v>FALSE</v>
      </c>
    </row>
    <row r="568" spans="2:23">
      <c r="B568" s="157" t="str">
        <f t="array" ref="B568">IF(ROWS($3:568)&lt;=COUNTA('register map'!$L$5:$L$902),INDEX('register map'!$L$5:$L$902,SMALL(IF('register map'!$L$5:$L$902&lt;&gt;"",ROW('register map'!$L$5:$L$902)-MIN(ROW('register map'!$L$5:$L$902))+1),ROWS($3:568))),"")</f>
        <v>OTP_RSVD_38_32_76</v>
      </c>
      <c r="C568" s="157">
        <f>IF(B568="PART_NUMBER",IF(COUNTIF($B$1:B567,"PART_NUMBER")=0,6,8),MATCH(B568,'register map'!L:L,0))</f>
        <v>672</v>
      </c>
      <c r="D568" s="117" t="str">
        <f>IF(ISBLANK(INDEX('register map'!C:C,'Logical Group Generator'!C568)),"No","Yes")</f>
        <v>No</v>
      </c>
      <c r="E568" s="117" t="str">
        <f>IF(ISBLANK(INDEX('register map'!A:A,C568)),IF(ISBLANK(INDEX('register map'!A:A,C568-1)),IF(ISBLANK(INDEX('register map'!A:A,C568-2)),IF(ISBLANK(INDEX('register map'!A:A,C568-3)),IF(ISBLANK(INDEX('register map'!A:A,C568-4)),IF(ISBLANK(INDEX('register map'!A:A,C568-5)),IF(ISBLANK(INDEX('register map'!A:A,C568-6)),IF(ISBLANK(INDEX('register map'!A:A,C568-7)),IF(ISBLANK(INDEX('register map'!A:A,C568-8)),"ERROR",INDEX('register map'!A:A,C568-8)),INDEX('register map'!A:A,C568-7)),INDEX('register map'!A:A,C568-6)),INDEX('register map'!A:A,C568-5)),INDEX('register map'!A:A,C568-4)),INDEX('register map'!A:A,C568-3)),INDEX('register map'!A:A,C568-2)),INDEX('register map'!A:A,C568-1)),INDEX('register map'!A:A,C568))</f>
        <v>0x38</v>
      </c>
      <c r="F568" s="117" t="str">
        <f>IF(ISBLANK(INDEX('register map'!B:B,C568)),IF(ISBLANK(INDEX('register map'!B:B,C568-1)),IF(ISBLANK(INDEX('register map'!B:B,C568-2)),IF(ISBLANK(INDEX('register map'!B:B,C568-3)),IF(ISBLANK(INDEX('register map'!B:B,C568-4)),IF(ISBLANK(INDEX('register map'!B:B,C568-5)),IF(ISBLANK(INDEX('register map'!B:B,C568-6)),IF(ISBLANK(INDEX('register map'!B:B,C568-7)),IF(ISBLANK(INDEX('register map'!B:B,C568-8)),"ERROR",INDEX('register map'!B:B,C568-8)),INDEX('register map'!B:B,C568-7)),INDEX('register map'!B:B,C568-6)),INDEX('register map'!B:B,C568-5)),INDEX('register map'!B:B,C568-4)),INDEX('register map'!B:B,C568-3)),INDEX('register map'!B:B,C568-2)),INDEX('register map'!B:B,C568-1)),INDEX('register map'!B:B,C568))</f>
        <v>0x32</v>
      </c>
      <c r="G568" s="117" t="str">
        <f>CONCATENATE(IF(ISNUMBER(INDEX('register map'!D:D,C568)),7,""),IF(ISNUMBER(INDEX('register map'!E:E,C568)),6,""),IF(ISNUMBER(INDEX('register map'!F:F,C568)),5,""),IF(ISNUMBER(INDEX('register map'!G:G,C568)),4,""),IF(ISNUMBER(INDEX('register map'!H:H,C568)),3,""),IF(ISNUMBER(INDEX('register map'!I:I,C568)),2,""),IF(ISNUMBER(INDEX('register map'!J:J,C568)),1,""),IF(ISNUMBER(INDEX('register map'!K:K,C568)),0,""))</f>
        <v>76</v>
      </c>
      <c r="H568" s="117" t="str">
        <f>RIGHT(INDEX('register map'!V:V,MATCH('Logical Group Generator'!B568,'register map'!L:L,0)),LEN(G568))</f>
        <v>01</v>
      </c>
      <c r="I568" s="117" t="str">
        <f>CONCATENATE(IF(ISNUMBER(INDEX('register map'!K:K,C568)),0,""),IF(ISNUMBER(INDEX('register map'!J:J,C568)),1,""),IF(ISNUMBER(INDEX('register map'!I:I,C568)),2,""),IF(ISNUMBER(INDEX('register map'!H:H,C568)),3,""),IF(ISNUMBER(INDEX('register map'!G:G,C568)),4,""),IF(ISNUMBER(INDEX('register map'!F:F,C568)),5,""),IF(ISNUMBER(INDEX('register map'!E:E,C568)),6,""),IF(ISNUMBER(INDEX('register map'!D:D,C568)),7,""))</f>
        <v>67</v>
      </c>
      <c r="J568" s="117" t="str">
        <f t="shared" si="95"/>
        <v>10</v>
      </c>
      <c r="K568" s="117" t="str">
        <f t="shared" si="88"/>
        <v/>
      </c>
      <c r="L568" s="117" t="str">
        <f t="shared" si="96"/>
        <v/>
      </c>
      <c r="M568" s="117" t="str">
        <f t="shared" si="98"/>
        <v/>
      </c>
      <c r="N568" s="117" t="str">
        <f>IF(ISBLANK(INDEX('register map'!M:M,'Logical Group Generator'!C568)),"No","Yes")</f>
        <v>No</v>
      </c>
      <c r="O568" s="117" t="str">
        <f>IF(NOT(ISBLANK(INDEX('register map'!N:N,'Logical Group Generator'!C568))),"Yes","")</f>
        <v/>
      </c>
      <c r="P568" s="117" t="str">
        <f t="shared" si="89"/>
        <v/>
      </c>
      <c r="Q568" s="117" t="str">
        <f t="shared" si="90"/>
        <v/>
      </c>
      <c r="R568" s="117" t="str">
        <f t="shared" si="91"/>
        <v/>
      </c>
      <c r="S568" s="117" t="str">
        <f t="shared" si="92"/>
        <v>No</v>
      </c>
      <c r="T568" s="117" t="str">
        <f t="shared" si="93"/>
        <v/>
      </c>
      <c r="U568" s="117" t="b">
        <f t="shared" si="97"/>
        <v>0</v>
      </c>
      <c r="V568" s="157" t="b">
        <f>INDEX('register map'!P:P,C568)="yes"</f>
        <v>1</v>
      </c>
      <c r="W568" s="157" t="str">
        <f t="shared" si="94"/>
        <v>FALSE</v>
      </c>
    </row>
    <row r="569" spans="2:23">
      <c r="B569" s="157" t="str">
        <f t="array" ref="B569">IF(ROWS($3:569)&lt;=COUNTA('register map'!$L$5:$L$902),INDEX('register map'!$L$5:$L$902,SMALL(IF('register map'!$L$5:$L$902&lt;&gt;"",ROW('register map'!$L$5:$L$902)-MIN(ROW('register map'!$L$5:$L$902))+1),ROWS($3:569))),"")</f>
        <v>OTP_RSVD_38_33</v>
      </c>
      <c r="C569" s="157">
        <f>IF(B569="PART_NUMBER",IF(COUNTIF($B$1:B568,"PART_NUMBER")=0,6,8),MATCH(B569,'register map'!L:L,0))</f>
        <v>673</v>
      </c>
      <c r="D569" s="117" t="str">
        <f>IF(ISBLANK(INDEX('register map'!C:C,'Logical Group Generator'!C569)),"No","Yes")</f>
        <v>Yes</v>
      </c>
      <c r="E569" s="117" t="str">
        <f>IF(ISBLANK(INDEX('register map'!A:A,C569)),IF(ISBLANK(INDEX('register map'!A:A,C569-1)),IF(ISBLANK(INDEX('register map'!A:A,C569-2)),IF(ISBLANK(INDEX('register map'!A:A,C569-3)),IF(ISBLANK(INDEX('register map'!A:A,C569-4)),IF(ISBLANK(INDEX('register map'!A:A,C569-5)),IF(ISBLANK(INDEX('register map'!A:A,C569-6)),IF(ISBLANK(INDEX('register map'!A:A,C569-7)),IF(ISBLANK(INDEX('register map'!A:A,C569-8)),"ERROR",INDEX('register map'!A:A,C569-8)),INDEX('register map'!A:A,C569-7)),INDEX('register map'!A:A,C569-6)),INDEX('register map'!A:A,C569-5)),INDEX('register map'!A:A,C569-4)),INDEX('register map'!A:A,C569-3)),INDEX('register map'!A:A,C569-2)),INDEX('register map'!A:A,C569-1)),INDEX('register map'!A:A,C569))</f>
        <v>0x38</v>
      </c>
      <c r="F569" s="117" t="str">
        <f>IF(ISBLANK(INDEX('register map'!B:B,C569)),IF(ISBLANK(INDEX('register map'!B:B,C569-1)),IF(ISBLANK(INDEX('register map'!B:B,C569-2)),IF(ISBLANK(INDEX('register map'!B:B,C569-3)),IF(ISBLANK(INDEX('register map'!B:B,C569-4)),IF(ISBLANK(INDEX('register map'!B:B,C569-5)),IF(ISBLANK(INDEX('register map'!B:B,C569-6)),IF(ISBLANK(INDEX('register map'!B:B,C569-7)),IF(ISBLANK(INDEX('register map'!B:B,C569-8)),"ERROR",INDEX('register map'!B:B,C569-8)),INDEX('register map'!B:B,C569-7)),INDEX('register map'!B:B,C569-6)),INDEX('register map'!B:B,C569-5)),INDEX('register map'!B:B,C569-4)),INDEX('register map'!B:B,C569-3)),INDEX('register map'!B:B,C569-2)),INDEX('register map'!B:B,C569-1)),INDEX('register map'!B:B,C569))</f>
        <v>0x33</v>
      </c>
      <c r="G569" s="117" t="str">
        <f>CONCATENATE(IF(ISNUMBER(INDEX('register map'!D:D,C569)),7,""),IF(ISNUMBER(INDEX('register map'!E:E,C569)),6,""),IF(ISNUMBER(INDEX('register map'!F:F,C569)),5,""),IF(ISNUMBER(INDEX('register map'!G:G,C569)),4,""),IF(ISNUMBER(INDEX('register map'!H:H,C569)),3,""),IF(ISNUMBER(INDEX('register map'!I:I,C569)),2,""),IF(ISNUMBER(INDEX('register map'!J:J,C569)),1,""),IF(ISNUMBER(INDEX('register map'!K:K,C569)),0,""))</f>
        <v/>
      </c>
      <c r="H569" s="117" t="str">
        <f>RIGHT(INDEX('register map'!V:V,MATCH('Logical Group Generator'!B569,'register map'!L:L,0)),LEN(G569))</f>
        <v/>
      </c>
      <c r="I569" s="117" t="str">
        <f>CONCATENATE(IF(ISNUMBER(INDEX('register map'!K:K,C569)),0,""),IF(ISNUMBER(INDEX('register map'!J:J,C569)),1,""),IF(ISNUMBER(INDEX('register map'!I:I,C569)),2,""),IF(ISNUMBER(INDEX('register map'!H:H,C569)),3,""),IF(ISNUMBER(INDEX('register map'!G:G,C569)),4,""),IF(ISNUMBER(INDEX('register map'!F:F,C569)),5,""),IF(ISNUMBER(INDEX('register map'!E:E,C569)),6,""),IF(ISNUMBER(INDEX('register map'!D:D,C569)),7,""))</f>
        <v/>
      </c>
      <c r="J569" s="117" t="str">
        <f t="shared" si="95"/>
        <v/>
      </c>
      <c r="K569" s="117" t="str">
        <f t="shared" si="88"/>
        <v>01010001</v>
      </c>
      <c r="L569" s="117" t="str">
        <f t="shared" si="96"/>
        <v>10001010</v>
      </c>
      <c r="M569" s="117" t="str">
        <f t="shared" si="98"/>
        <v>8A</v>
      </c>
      <c r="N569" s="117" t="str">
        <f>IF(ISBLANK(INDEX('register map'!M:M,'Logical Group Generator'!C569)),"No","Yes")</f>
        <v>No</v>
      </c>
      <c r="O569" s="117" t="str">
        <f>IF(NOT(ISBLANK(INDEX('register map'!N:N,'Logical Group Generator'!C569))),"Yes","")</f>
        <v/>
      </c>
      <c r="P569" s="117" t="str">
        <f t="shared" si="89"/>
        <v>Yes</v>
      </c>
      <c r="Q569" s="117" t="str">
        <f t="shared" si="90"/>
        <v>Yes</v>
      </c>
      <c r="R569" s="117" t="str">
        <f t="shared" si="91"/>
        <v>No</v>
      </c>
      <c r="S569" s="117" t="str">
        <f t="shared" si="92"/>
        <v/>
      </c>
      <c r="T569" s="117" t="b">
        <f t="shared" si="93"/>
        <v>1</v>
      </c>
      <c r="U569" s="117" t="b">
        <f t="shared" si="97"/>
        <v>0</v>
      </c>
      <c r="V569" s="157" t="b">
        <f>INDEX('register map'!P:P,C569)="yes"</f>
        <v>1</v>
      </c>
      <c r="W569" s="157" t="str">
        <f t="shared" si="94"/>
        <v>FALSE</v>
      </c>
    </row>
    <row r="570" spans="2:23">
      <c r="B570" s="157" t="str">
        <f t="array" ref="B570">IF(ROWS($3:570)&lt;=COUNTA('register map'!$L$5:$L$902),INDEX('register map'!$L$5:$L$902,SMALL(IF('register map'!$L$5:$L$902&lt;&gt;"",ROW('register map'!$L$5:$L$902)-MIN(ROW('register map'!$L$5:$L$902))+1),ROWS($3:570))),"")</f>
        <v>OTP_RSVD_38_33_210</v>
      </c>
      <c r="C570" s="157">
        <f>IF(B570="PART_NUMBER",IF(COUNTIF($B$1:B569,"PART_NUMBER")=0,6,8),MATCH(B570,'register map'!L:L,0))</f>
        <v>674</v>
      </c>
      <c r="D570" s="117" t="str">
        <f>IF(ISBLANK(INDEX('register map'!C:C,'Logical Group Generator'!C570)),"No","Yes")</f>
        <v>No</v>
      </c>
      <c r="E570" s="117" t="str">
        <f>IF(ISBLANK(INDEX('register map'!A:A,C570)),IF(ISBLANK(INDEX('register map'!A:A,C570-1)),IF(ISBLANK(INDEX('register map'!A:A,C570-2)),IF(ISBLANK(INDEX('register map'!A:A,C570-3)),IF(ISBLANK(INDEX('register map'!A:A,C570-4)),IF(ISBLANK(INDEX('register map'!A:A,C570-5)),IF(ISBLANK(INDEX('register map'!A:A,C570-6)),IF(ISBLANK(INDEX('register map'!A:A,C570-7)),IF(ISBLANK(INDEX('register map'!A:A,C570-8)),"ERROR",INDEX('register map'!A:A,C570-8)),INDEX('register map'!A:A,C570-7)),INDEX('register map'!A:A,C570-6)),INDEX('register map'!A:A,C570-5)),INDEX('register map'!A:A,C570-4)),INDEX('register map'!A:A,C570-3)),INDEX('register map'!A:A,C570-2)),INDEX('register map'!A:A,C570-1)),INDEX('register map'!A:A,C570))</f>
        <v>0x38</v>
      </c>
      <c r="F570" s="117" t="str">
        <f>IF(ISBLANK(INDEX('register map'!B:B,C570)),IF(ISBLANK(INDEX('register map'!B:B,C570-1)),IF(ISBLANK(INDEX('register map'!B:B,C570-2)),IF(ISBLANK(INDEX('register map'!B:B,C570-3)),IF(ISBLANK(INDEX('register map'!B:B,C570-4)),IF(ISBLANK(INDEX('register map'!B:B,C570-5)),IF(ISBLANK(INDEX('register map'!B:B,C570-6)),IF(ISBLANK(INDEX('register map'!B:B,C570-7)),IF(ISBLANK(INDEX('register map'!B:B,C570-8)),"ERROR",INDEX('register map'!B:B,C570-8)),INDEX('register map'!B:B,C570-7)),INDEX('register map'!B:B,C570-6)),INDEX('register map'!B:B,C570-5)),INDEX('register map'!B:B,C570-4)),INDEX('register map'!B:B,C570-3)),INDEX('register map'!B:B,C570-2)),INDEX('register map'!B:B,C570-1)),INDEX('register map'!B:B,C570))</f>
        <v>0x33</v>
      </c>
      <c r="G570" s="117" t="str">
        <f>CONCATENATE(IF(ISNUMBER(INDEX('register map'!D:D,C570)),7,""),IF(ISNUMBER(INDEX('register map'!E:E,C570)),6,""),IF(ISNUMBER(INDEX('register map'!F:F,C570)),5,""),IF(ISNUMBER(INDEX('register map'!G:G,C570)),4,""),IF(ISNUMBER(INDEX('register map'!H:H,C570)),3,""),IF(ISNUMBER(INDEX('register map'!I:I,C570)),2,""),IF(ISNUMBER(INDEX('register map'!J:J,C570)),1,""),IF(ISNUMBER(INDEX('register map'!K:K,C570)),0,""))</f>
        <v>210</v>
      </c>
      <c r="H570" s="117" t="str">
        <f>RIGHT(INDEX('register map'!V:V,MATCH('Logical Group Generator'!B570,'register map'!L:L,0)),LEN(G570))</f>
        <v>010</v>
      </c>
      <c r="I570" s="117" t="str">
        <f>CONCATENATE(IF(ISNUMBER(INDEX('register map'!K:K,C570)),0,""),IF(ISNUMBER(INDEX('register map'!J:J,C570)),1,""),IF(ISNUMBER(INDEX('register map'!I:I,C570)),2,""),IF(ISNUMBER(INDEX('register map'!H:H,C570)),3,""),IF(ISNUMBER(INDEX('register map'!G:G,C570)),4,""),IF(ISNUMBER(INDEX('register map'!F:F,C570)),5,""),IF(ISNUMBER(INDEX('register map'!E:E,C570)),6,""),IF(ISNUMBER(INDEX('register map'!D:D,C570)),7,""))</f>
        <v>012</v>
      </c>
      <c r="J570" s="117" t="str">
        <f t="shared" si="95"/>
        <v>010</v>
      </c>
      <c r="K570" s="117" t="str">
        <f t="shared" si="88"/>
        <v/>
      </c>
      <c r="L570" s="117" t="str">
        <f t="shared" si="96"/>
        <v/>
      </c>
      <c r="M570" s="117" t="str">
        <f t="shared" si="98"/>
        <v/>
      </c>
      <c r="N570" s="117" t="str">
        <f>IF(ISBLANK(INDEX('register map'!M:M,'Logical Group Generator'!C570)),"No","Yes")</f>
        <v>Yes</v>
      </c>
      <c r="O570" s="117" t="str">
        <f>IF(NOT(ISBLANK(INDEX('register map'!N:N,'Logical Group Generator'!C570))),"Yes","")</f>
        <v/>
      </c>
      <c r="P570" s="117" t="str">
        <f t="shared" si="89"/>
        <v/>
      </c>
      <c r="Q570" s="117" t="str">
        <f t="shared" si="90"/>
        <v/>
      </c>
      <c r="R570" s="117" t="str">
        <f t="shared" si="91"/>
        <v/>
      </c>
      <c r="S570" s="117" t="str">
        <f t="shared" si="92"/>
        <v>No</v>
      </c>
      <c r="T570" s="117" t="str">
        <f t="shared" si="93"/>
        <v/>
      </c>
      <c r="U570" s="117" t="b">
        <f t="shared" si="97"/>
        <v>0</v>
      </c>
      <c r="V570" s="157" t="b">
        <f>INDEX('register map'!P:P,C570)="yes"</f>
        <v>1</v>
      </c>
      <c r="W570" s="157" t="str">
        <f t="shared" si="94"/>
        <v>FALSE</v>
      </c>
    </row>
    <row r="571" spans="2:23">
      <c r="B571" s="157" t="str">
        <f t="array" ref="B571">IF(ROWS($3:571)&lt;=COUNTA('register map'!$L$5:$L$902),INDEX('register map'!$L$5:$L$902,SMALL(IF('register map'!$L$5:$L$902&lt;&gt;"",ROW('register map'!$L$5:$L$902)-MIN(ROW('register map'!$L$5:$L$902))+1),ROWS($3:571))),"")</f>
        <v>OTP_RSVD_38_33_3</v>
      </c>
      <c r="C571" s="157">
        <f>IF(B571="PART_NUMBER",IF(COUNTIF($B$1:B570,"PART_NUMBER")=0,6,8),MATCH(B571,'register map'!L:L,0))</f>
        <v>675</v>
      </c>
      <c r="D571" s="117" t="str">
        <f>IF(ISBLANK(INDEX('register map'!C:C,'Logical Group Generator'!C571)),"No","Yes")</f>
        <v>No</v>
      </c>
      <c r="E571" s="117" t="str">
        <f>IF(ISBLANK(INDEX('register map'!A:A,C571)),IF(ISBLANK(INDEX('register map'!A:A,C571-1)),IF(ISBLANK(INDEX('register map'!A:A,C571-2)),IF(ISBLANK(INDEX('register map'!A:A,C571-3)),IF(ISBLANK(INDEX('register map'!A:A,C571-4)),IF(ISBLANK(INDEX('register map'!A:A,C571-5)),IF(ISBLANK(INDEX('register map'!A:A,C571-6)),IF(ISBLANK(INDEX('register map'!A:A,C571-7)),IF(ISBLANK(INDEX('register map'!A:A,C571-8)),"ERROR",INDEX('register map'!A:A,C571-8)),INDEX('register map'!A:A,C571-7)),INDEX('register map'!A:A,C571-6)),INDEX('register map'!A:A,C571-5)),INDEX('register map'!A:A,C571-4)),INDEX('register map'!A:A,C571-3)),INDEX('register map'!A:A,C571-2)),INDEX('register map'!A:A,C571-1)),INDEX('register map'!A:A,C571))</f>
        <v>0x38</v>
      </c>
      <c r="F571" s="117" t="str">
        <f>IF(ISBLANK(INDEX('register map'!B:B,C571)),IF(ISBLANK(INDEX('register map'!B:B,C571-1)),IF(ISBLANK(INDEX('register map'!B:B,C571-2)),IF(ISBLANK(INDEX('register map'!B:B,C571-3)),IF(ISBLANK(INDEX('register map'!B:B,C571-4)),IF(ISBLANK(INDEX('register map'!B:B,C571-5)),IF(ISBLANK(INDEX('register map'!B:B,C571-6)),IF(ISBLANK(INDEX('register map'!B:B,C571-7)),IF(ISBLANK(INDEX('register map'!B:B,C571-8)),"ERROR",INDEX('register map'!B:B,C571-8)),INDEX('register map'!B:B,C571-7)),INDEX('register map'!B:B,C571-6)),INDEX('register map'!B:B,C571-5)),INDEX('register map'!B:B,C571-4)),INDEX('register map'!B:B,C571-3)),INDEX('register map'!B:B,C571-2)),INDEX('register map'!B:B,C571-1)),INDEX('register map'!B:B,C571))</f>
        <v>0x33</v>
      </c>
      <c r="G571" s="117" t="str">
        <f>CONCATENATE(IF(ISNUMBER(INDEX('register map'!D:D,C571)),7,""),IF(ISNUMBER(INDEX('register map'!E:E,C571)),6,""),IF(ISNUMBER(INDEX('register map'!F:F,C571)),5,""),IF(ISNUMBER(INDEX('register map'!G:G,C571)),4,""),IF(ISNUMBER(INDEX('register map'!H:H,C571)),3,""),IF(ISNUMBER(INDEX('register map'!I:I,C571)),2,""),IF(ISNUMBER(INDEX('register map'!J:J,C571)),1,""),IF(ISNUMBER(INDEX('register map'!K:K,C571)),0,""))</f>
        <v>3</v>
      </c>
      <c r="H571" s="117" t="str">
        <f>RIGHT(INDEX('register map'!V:V,MATCH('Logical Group Generator'!B571,'register map'!L:L,0)),LEN(G571))</f>
        <v>1</v>
      </c>
      <c r="I571" s="117" t="str">
        <f>CONCATENATE(IF(ISNUMBER(INDEX('register map'!K:K,C571)),0,""),IF(ISNUMBER(INDEX('register map'!J:J,C571)),1,""),IF(ISNUMBER(INDEX('register map'!I:I,C571)),2,""),IF(ISNUMBER(INDEX('register map'!H:H,C571)),3,""),IF(ISNUMBER(INDEX('register map'!G:G,C571)),4,""),IF(ISNUMBER(INDEX('register map'!F:F,C571)),5,""),IF(ISNUMBER(INDEX('register map'!E:E,C571)),6,""),IF(ISNUMBER(INDEX('register map'!D:D,C571)),7,""))</f>
        <v>3</v>
      </c>
      <c r="J571" s="117" t="str">
        <f t="shared" si="95"/>
        <v>1</v>
      </c>
      <c r="K571" s="117" t="str">
        <f t="shared" si="88"/>
        <v/>
      </c>
      <c r="L571" s="117" t="str">
        <f t="shared" si="96"/>
        <v/>
      </c>
      <c r="M571" s="117" t="str">
        <f t="shared" si="98"/>
        <v/>
      </c>
      <c r="N571" s="117" t="str">
        <f>IF(ISBLANK(INDEX('register map'!M:M,'Logical Group Generator'!C571)),"No","Yes")</f>
        <v>No</v>
      </c>
      <c r="O571" s="117" t="str">
        <f>IF(NOT(ISBLANK(INDEX('register map'!N:N,'Logical Group Generator'!C571))),"Yes","")</f>
        <v>Yes</v>
      </c>
      <c r="P571" s="117" t="str">
        <f t="shared" si="89"/>
        <v/>
      </c>
      <c r="Q571" s="117" t="str">
        <f t="shared" si="90"/>
        <v/>
      </c>
      <c r="R571" s="117" t="str">
        <f t="shared" si="91"/>
        <v/>
      </c>
      <c r="S571" s="117" t="str">
        <f t="shared" si="92"/>
        <v>No</v>
      </c>
      <c r="T571" s="117" t="str">
        <f t="shared" si="93"/>
        <v/>
      </c>
      <c r="U571" s="117" t="b">
        <f t="shared" si="97"/>
        <v>0</v>
      </c>
      <c r="V571" s="157" t="b">
        <f>INDEX('register map'!P:P,C571)="yes"</f>
        <v>1</v>
      </c>
      <c r="W571" s="157" t="str">
        <f t="shared" si="94"/>
        <v>FALSE</v>
      </c>
    </row>
    <row r="572" spans="2:23">
      <c r="B572" s="157" t="str">
        <f t="array" ref="B572">IF(ROWS($3:572)&lt;=COUNTA('register map'!$L$5:$L$902),INDEX('register map'!$L$5:$L$902,SMALL(IF('register map'!$L$5:$L$902&lt;&gt;"",ROW('register map'!$L$5:$L$902)-MIN(ROW('register map'!$L$5:$L$902))+1),ROWS($3:572))),"")</f>
        <v>OTP_RSVD_38_33_7654</v>
      </c>
      <c r="C572" s="157">
        <f>IF(B572="PART_NUMBER",IF(COUNTIF($B$1:B571,"PART_NUMBER")=0,6,8),MATCH(B572,'register map'!L:L,0))</f>
        <v>676</v>
      </c>
      <c r="D572" s="117" t="str">
        <f>IF(ISBLANK(INDEX('register map'!C:C,'Logical Group Generator'!C572)),"No","Yes")</f>
        <v>No</v>
      </c>
      <c r="E572" s="117" t="str">
        <f>IF(ISBLANK(INDEX('register map'!A:A,C572)),IF(ISBLANK(INDEX('register map'!A:A,C572-1)),IF(ISBLANK(INDEX('register map'!A:A,C572-2)),IF(ISBLANK(INDEX('register map'!A:A,C572-3)),IF(ISBLANK(INDEX('register map'!A:A,C572-4)),IF(ISBLANK(INDEX('register map'!A:A,C572-5)),IF(ISBLANK(INDEX('register map'!A:A,C572-6)),IF(ISBLANK(INDEX('register map'!A:A,C572-7)),IF(ISBLANK(INDEX('register map'!A:A,C572-8)),"ERROR",INDEX('register map'!A:A,C572-8)),INDEX('register map'!A:A,C572-7)),INDEX('register map'!A:A,C572-6)),INDEX('register map'!A:A,C572-5)),INDEX('register map'!A:A,C572-4)),INDEX('register map'!A:A,C572-3)),INDEX('register map'!A:A,C572-2)),INDEX('register map'!A:A,C572-1)),INDEX('register map'!A:A,C572))</f>
        <v>0x38</v>
      </c>
      <c r="F572" s="117" t="str">
        <f>IF(ISBLANK(INDEX('register map'!B:B,C572)),IF(ISBLANK(INDEX('register map'!B:B,C572-1)),IF(ISBLANK(INDEX('register map'!B:B,C572-2)),IF(ISBLANK(INDEX('register map'!B:B,C572-3)),IF(ISBLANK(INDEX('register map'!B:B,C572-4)),IF(ISBLANK(INDEX('register map'!B:B,C572-5)),IF(ISBLANK(INDEX('register map'!B:B,C572-6)),IF(ISBLANK(INDEX('register map'!B:B,C572-7)),IF(ISBLANK(INDEX('register map'!B:B,C572-8)),"ERROR",INDEX('register map'!B:B,C572-8)),INDEX('register map'!B:B,C572-7)),INDEX('register map'!B:B,C572-6)),INDEX('register map'!B:B,C572-5)),INDEX('register map'!B:B,C572-4)),INDEX('register map'!B:B,C572-3)),INDEX('register map'!B:B,C572-2)),INDEX('register map'!B:B,C572-1)),INDEX('register map'!B:B,C572))</f>
        <v>0x33</v>
      </c>
      <c r="G572" s="117" t="str">
        <f>CONCATENATE(IF(ISNUMBER(INDEX('register map'!D:D,C572)),7,""),IF(ISNUMBER(INDEX('register map'!E:E,C572)),6,""),IF(ISNUMBER(INDEX('register map'!F:F,C572)),5,""),IF(ISNUMBER(INDEX('register map'!G:G,C572)),4,""),IF(ISNUMBER(INDEX('register map'!H:H,C572)),3,""),IF(ISNUMBER(INDEX('register map'!I:I,C572)),2,""),IF(ISNUMBER(INDEX('register map'!J:J,C572)),1,""),IF(ISNUMBER(INDEX('register map'!K:K,C572)),0,""))</f>
        <v>7654</v>
      </c>
      <c r="H572" s="117" t="str">
        <f>RIGHT(INDEX('register map'!V:V,MATCH('Logical Group Generator'!B572,'register map'!L:L,0)),LEN(G572))</f>
        <v>1000</v>
      </c>
      <c r="I572" s="117" t="str">
        <f>CONCATENATE(IF(ISNUMBER(INDEX('register map'!K:K,C572)),0,""),IF(ISNUMBER(INDEX('register map'!J:J,C572)),1,""),IF(ISNUMBER(INDEX('register map'!I:I,C572)),2,""),IF(ISNUMBER(INDEX('register map'!H:H,C572)),3,""),IF(ISNUMBER(INDEX('register map'!G:G,C572)),4,""),IF(ISNUMBER(INDEX('register map'!F:F,C572)),5,""),IF(ISNUMBER(INDEX('register map'!E:E,C572)),6,""),IF(ISNUMBER(INDEX('register map'!D:D,C572)),7,""))</f>
        <v>4567</v>
      </c>
      <c r="J572" s="117" t="str">
        <f t="shared" si="95"/>
        <v>0001</v>
      </c>
      <c r="K572" s="117" t="str">
        <f t="shared" si="88"/>
        <v/>
      </c>
      <c r="L572" s="117" t="str">
        <f t="shared" si="96"/>
        <v/>
      </c>
      <c r="M572" s="117" t="str">
        <f t="shared" si="98"/>
        <v/>
      </c>
      <c r="N572" s="117" t="str">
        <f>IF(ISBLANK(INDEX('register map'!M:M,'Logical Group Generator'!C572)),"No","Yes")</f>
        <v>Yes</v>
      </c>
      <c r="O572" s="117" t="str">
        <f>IF(NOT(ISBLANK(INDEX('register map'!N:N,'Logical Group Generator'!C572))),"Yes","")</f>
        <v/>
      </c>
      <c r="P572" s="117" t="str">
        <f t="shared" si="89"/>
        <v/>
      </c>
      <c r="Q572" s="117" t="str">
        <f t="shared" si="90"/>
        <v/>
      </c>
      <c r="R572" s="117" t="str">
        <f t="shared" si="91"/>
        <v/>
      </c>
      <c r="S572" s="117" t="str">
        <f t="shared" si="92"/>
        <v>No</v>
      </c>
      <c r="T572" s="117" t="str">
        <f t="shared" si="93"/>
        <v/>
      </c>
      <c r="U572" s="117" t="b">
        <f t="shared" si="97"/>
        <v>0</v>
      </c>
      <c r="V572" s="157" t="b">
        <f>INDEX('register map'!P:P,C572)="yes"</f>
        <v>1</v>
      </c>
      <c r="W572" s="157" t="str">
        <f t="shared" si="94"/>
        <v>FALSE</v>
      </c>
    </row>
    <row r="573" spans="2:23">
      <c r="B573" s="157" t="str">
        <f t="array" ref="B573">IF(ROWS($3:573)&lt;=COUNTA('register map'!$L$5:$L$902),INDEX('register map'!$L$5:$L$902,SMALL(IF('register map'!$L$5:$L$902&lt;&gt;"",ROW('register map'!$L$5:$L$902)-MIN(ROW('register map'!$L$5:$L$902))+1),ROWS($3:573))),"")</f>
        <v>OTP_RSVD_38_34</v>
      </c>
      <c r="C573" s="157">
        <f>IF(B573="PART_NUMBER",IF(COUNTIF($B$1:B572,"PART_NUMBER")=0,6,8),MATCH(B573,'register map'!L:L,0))</f>
        <v>677</v>
      </c>
      <c r="D573" s="117" t="str">
        <f>IF(ISBLANK(INDEX('register map'!C:C,'Logical Group Generator'!C573)),"No","Yes")</f>
        <v>Yes</v>
      </c>
      <c r="E573" s="117" t="str">
        <f>IF(ISBLANK(INDEX('register map'!A:A,C573)),IF(ISBLANK(INDEX('register map'!A:A,C573-1)),IF(ISBLANK(INDEX('register map'!A:A,C573-2)),IF(ISBLANK(INDEX('register map'!A:A,C573-3)),IF(ISBLANK(INDEX('register map'!A:A,C573-4)),IF(ISBLANK(INDEX('register map'!A:A,C573-5)),IF(ISBLANK(INDEX('register map'!A:A,C573-6)),IF(ISBLANK(INDEX('register map'!A:A,C573-7)),IF(ISBLANK(INDEX('register map'!A:A,C573-8)),"ERROR",INDEX('register map'!A:A,C573-8)),INDEX('register map'!A:A,C573-7)),INDEX('register map'!A:A,C573-6)),INDEX('register map'!A:A,C573-5)),INDEX('register map'!A:A,C573-4)),INDEX('register map'!A:A,C573-3)),INDEX('register map'!A:A,C573-2)),INDEX('register map'!A:A,C573-1)),INDEX('register map'!A:A,C573))</f>
        <v>0x38</v>
      </c>
      <c r="F573" s="117" t="str">
        <f>IF(ISBLANK(INDEX('register map'!B:B,C573)),IF(ISBLANK(INDEX('register map'!B:B,C573-1)),IF(ISBLANK(INDEX('register map'!B:B,C573-2)),IF(ISBLANK(INDEX('register map'!B:B,C573-3)),IF(ISBLANK(INDEX('register map'!B:B,C573-4)),IF(ISBLANK(INDEX('register map'!B:B,C573-5)),IF(ISBLANK(INDEX('register map'!B:B,C573-6)),IF(ISBLANK(INDEX('register map'!B:B,C573-7)),IF(ISBLANK(INDEX('register map'!B:B,C573-8)),"ERROR",INDEX('register map'!B:B,C573-8)),INDEX('register map'!B:B,C573-7)),INDEX('register map'!B:B,C573-6)),INDEX('register map'!B:B,C573-5)),INDEX('register map'!B:B,C573-4)),INDEX('register map'!B:B,C573-3)),INDEX('register map'!B:B,C573-2)),INDEX('register map'!B:B,C573-1)),INDEX('register map'!B:B,C573))</f>
        <v>0x34</v>
      </c>
      <c r="G573" s="117" t="str">
        <f>CONCATENATE(IF(ISNUMBER(INDEX('register map'!D:D,C573)),7,""),IF(ISNUMBER(INDEX('register map'!E:E,C573)),6,""),IF(ISNUMBER(INDEX('register map'!F:F,C573)),5,""),IF(ISNUMBER(INDEX('register map'!G:G,C573)),4,""),IF(ISNUMBER(INDEX('register map'!H:H,C573)),3,""),IF(ISNUMBER(INDEX('register map'!I:I,C573)),2,""),IF(ISNUMBER(INDEX('register map'!J:J,C573)),1,""),IF(ISNUMBER(INDEX('register map'!K:K,C573)),0,""))</f>
        <v/>
      </c>
      <c r="H573" s="117" t="str">
        <f>RIGHT(INDEX('register map'!V:V,MATCH('Logical Group Generator'!B573,'register map'!L:L,0)),LEN(G573))</f>
        <v/>
      </c>
      <c r="I573" s="117" t="str">
        <f>CONCATENATE(IF(ISNUMBER(INDEX('register map'!K:K,C573)),0,""),IF(ISNUMBER(INDEX('register map'!J:J,C573)),1,""),IF(ISNUMBER(INDEX('register map'!I:I,C573)),2,""),IF(ISNUMBER(INDEX('register map'!H:H,C573)),3,""),IF(ISNUMBER(INDEX('register map'!G:G,C573)),4,""),IF(ISNUMBER(INDEX('register map'!F:F,C573)),5,""),IF(ISNUMBER(INDEX('register map'!E:E,C573)),6,""),IF(ISNUMBER(INDEX('register map'!D:D,C573)),7,""))</f>
        <v/>
      </c>
      <c r="J573" s="117" t="str">
        <f t="shared" si="95"/>
        <v/>
      </c>
      <c r="K573" s="117" t="str">
        <f t="shared" si="88"/>
        <v>01010101</v>
      </c>
      <c r="L573" s="117" t="str">
        <f t="shared" si="96"/>
        <v>10101010</v>
      </c>
      <c r="M573" s="117" t="str">
        <f t="shared" si="98"/>
        <v>AA</v>
      </c>
      <c r="N573" s="117" t="str">
        <f>IF(ISBLANK(INDEX('register map'!M:M,'Logical Group Generator'!C573)),"No","Yes")</f>
        <v>No</v>
      </c>
      <c r="O573" s="117" t="str">
        <f>IF(NOT(ISBLANK(INDEX('register map'!N:N,'Logical Group Generator'!C573))),"Yes","")</f>
        <v/>
      </c>
      <c r="P573" s="117" t="str">
        <f t="shared" si="89"/>
        <v>No</v>
      </c>
      <c r="Q573" s="117" t="str">
        <f t="shared" si="90"/>
        <v>No</v>
      </c>
      <c r="R573" s="117" t="str">
        <f t="shared" si="91"/>
        <v>No</v>
      </c>
      <c r="S573" s="117" t="str">
        <f t="shared" si="92"/>
        <v/>
      </c>
      <c r="T573" s="117" t="b">
        <f t="shared" si="93"/>
        <v>1</v>
      </c>
      <c r="U573" s="117" t="b">
        <f t="shared" si="97"/>
        <v>1</v>
      </c>
      <c r="V573" s="157" t="b">
        <f>INDEX('register map'!P:P,C573)="yes"</f>
        <v>1</v>
      </c>
      <c r="W573" s="157" t="str">
        <f t="shared" si="94"/>
        <v>REGISTER</v>
      </c>
    </row>
    <row r="574" spans="2:23">
      <c r="B574" s="157" t="str">
        <f t="array" ref="B574">IF(ROWS($3:574)&lt;=COUNTA('register map'!$L$5:$L$902),INDEX('register map'!$L$5:$L$902,SMALL(IF('register map'!$L$5:$L$902&lt;&gt;"",ROW('register map'!$L$5:$L$902)-MIN(ROW('register map'!$L$5:$L$902))+1),ROWS($3:574))),"")</f>
        <v>OTP_RSVD_38_34_0</v>
      </c>
      <c r="C574" s="157">
        <f>IF(B574="PART_NUMBER",IF(COUNTIF($B$1:B573,"PART_NUMBER")=0,6,8),MATCH(B574,'register map'!L:L,0))</f>
        <v>678</v>
      </c>
      <c r="D574" s="117" t="str">
        <f>IF(ISBLANK(INDEX('register map'!C:C,'Logical Group Generator'!C574)),"No","Yes")</f>
        <v>No</v>
      </c>
      <c r="E574" s="117" t="str">
        <f>IF(ISBLANK(INDEX('register map'!A:A,C574)),IF(ISBLANK(INDEX('register map'!A:A,C574-1)),IF(ISBLANK(INDEX('register map'!A:A,C574-2)),IF(ISBLANK(INDEX('register map'!A:A,C574-3)),IF(ISBLANK(INDEX('register map'!A:A,C574-4)),IF(ISBLANK(INDEX('register map'!A:A,C574-5)),IF(ISBLANK(INDEX('register map'!A:A,C574-6)),IF(ISBLANK(INDEX('register map'!A:A,C574-7)),IF(ISBLANK(INDEX('register map'!A:A,C574-8)),"ERROR",INDEX('register map'!A:A,C574-8)),INDEX('register map'!A:A,C574-7)),INDEX('register map'!A:A,C574-6)),INDEX('register map'!A:A,C574-5)),INDEX('register map'!A:A,C574-4)),INDEX('register map'!A:A,C574-3)),INDEX('register map'!A:A,C574-2)),INDEX('register map'!A:A,C574-1)),INDEX('register map'!A:A,C574))</f>
        <v>0x38</v>
      </c>
      <c r="F574" s="117" t="str">
        <f>IF(ISBLANK(INDEX('register map'!B:B,C574)),IF(ISBLANK(INDEX('register map'!B:B,C574-1)),IF(ISBLANK(INDEX('register map'!B:B,C574-2)),IF(ISBLANK(INDEX('register map'!B:B,C574-3)),IF(ISBLANK(INDEX('register map'!B:B,C574-4)),IF(ISBLANK(INDEX('register map'!B:B,C574-5)),IF(ISBLANK(INDEX('register map'!B:B,C574-6)),IF(ISBLANK(INDEX('register map'!B:B,C574-7)),IF(ISBLANK(INDEX('register map'!B:B,C574-8)),"ERROR",INDEX('register map'!B:B,C574-8)),INDEX('register map'!B:B,C574-7)),INDEX('register map'!B:B,C574-6)),INDEX('register map'!B:B,C574-5)),INDEX('register map'!B:B,C574-4)),INDEX('register map'!B:B,C574-3)),INDEX('register map'!B:B,C574-2)),INDEX('register map'!B:B,C574-1)),INDEX('register map'!B:B,C574))</f>
        <v>0x34</v>
      </c>
      <c r="G574" s="117" t="str">
        <f>CONCATENATE(IF(ISNUMBER(INDEX('register map'!D:D,C574)),7,""),IF(ISNUMBER(INDEX('register map'!E:E,C574)),6,""),IF(ISNUMBER(INDEX('register map'!F:F,C574)),5,""),IF(ISNUMBER(INDEX('register map'!G:G,C574)),4,""),IF(ISNUMBER(INDEX('register map'!H:H,C574)),3,""),IF(ISNUMBER(INDEX('register map'!I:I,C574)),2,""),IF(ISNUMBER(INDEX('register map'!J:J,C574)),1,""),IF(ISNUMBER(INDEX('register map'!K:K,C574)),0,""))</f>
        <v>0</v>
      </c>
      <c r="H574" s="117" t="str">
        <f>RIGHT(INDEX('register map'!V:V,MATCH('Logical Group Generator'!B574,'register map'!L:L,0)),LEN(G574))</f>
        <v>0</v>
      </c>
      <c r="I574" s="117" t="str">
        <f>CONCATENATE(IF(ISNUMBER(INDEX('register map'!K:K,C574)),0,""),IF(ISNUMBER(INDEX('register map'!J:J,C574)),1,""),IF(ISNUMBER(INDEX('register map'!I:I,C574)),2,""),IF(ISNUMBER(INDEX('register map'!H:H,C574)),3,""),IF(ISNUMBER(INDEX('register map'!G:G,C574)),4,""),IF(ISNUMBER(INDEX('register map'!F:F,C574)),5,""),IF(ISNUMBER(INDEX('register map'!E:E,C574)),6,""),IF(ISNUMBER(INDEX('register map'!D:D,C574)),7,""))</f>
        <v>0</v>
      </c>
      <c r="J574" s="117" t="str">
        <f t="shared" si="95"/>
        <v>0</v>
      </c>
      <c r="K574" s="117" t="str">
        <f t="shared" si="88"/>
        <v/>
      </c>
      <c r="L574" s="117" t="str">
        <f t="shared" si="96"/>
        <v/>
      </c>
      <c r="M574" s="117" t="str">
        <f t="shared" si="98"/>
        <v/>
      </c>
      <c r="N574" s="117" t="str">
        <f>IF(ISBLANK(INDEX('register map'!M:M,'Logical Group Generator'!C574)),"No","Yes")</f>
        <v>No</v>
      </c>
      <c r="O574" s="117" t="str">
        <f>IF(NOT(ISBLANK(INDEX('register map'!N:N,'Logical Group Generator'!C574))),"Yes","")</f>
        <v/>
      </c>
      <c r="P574" s="117" t="str">
        <f t="shared" si="89"/>
        <v/>
      </c>
      <c r="Q574" s="117" t="str">
        <f t="shared" si="90"/>
        <v/>
      </c>
      <c r="R574" s="117" t="str">
        <f t="shared" si="91"/>
        <v/>
      </c>
      <c r="S574" s="117" t="str">
        <f t="shared" si="92"/>
        <v>No</v>
      </c>
      <c r="T574" s="117" t="str">
        <f t="shared" si="93"/>
        <v/>
      </c>
      <c r="U574" s="117" t="b">
        <f t="shared" si="97"/>
        <v>0</v>
      </c>
      <c r="V574" s="157" t="b">
        <f>INDEX('register map'!P:P,C574)="yes"</f>
        <v>1</v>
      </c>
      <c r="W574" s="157" t="str">
        <f t="shared" si="94"/>
        <v>FALSE</v>
      </c>
    </row>
    <row r="575" spans="2:23">
      <c r="B575" s="157" t="str">
        <f t="array" ref="B575">IF(ROWS($3:575)&lt;=COUNTA('register map'!$L$5:$L$902),INDEX('register map'!$L$5:$L$902,SMALL(IF('register map'!$L$5:$L$902&lt;&gt;"",ROW('register map'!$L$5:$L$902)-MIN(ROW('register map'!$L$5:$L$902))+1),ROWS($3:575))),"")</f>
        <v>OTP_RSVD_38_34_1</v>
      </c>
      <c r="C575" s="157">
        <f>IF(B575="PART_NUMBER",IF(COUNTIF($B$1:B574,"PART_NUMBER")=0,6,8),MATCH(B575,'register map'!L:L,0))</f>
        <v>679</v>
      </c>
      <c r="D575" s="117" t="str">
        <f>IF(ISBLANK(INDEX('register map'!C:C,'Logical Group Generator'!C575)),"No","Yes")</f>
        <v>No</v>
      </c>
      <c r="E575" s="117" t="str">
        <f>IF(ISBLANK(INDEX('register map'!A:A,C575)),IF(ISBLANK(INDEX('register map'!A:A,C575-1)),IF(ISBLANK(INDEX('register map'!A:A,C575-2)),IF(ISBLANK(INDEX('register map'!A:A,C575-3)),IF(ISBLANK(INDEX('register map'!A:A,C575-4)),IF(ISBLANK(INDEX('register map'!A:A,C575-5)),IF(ISBLANK(INDEX('register map'!A:A,C575-6)),IF(ISBLANK(INDEX('register map'!A:A,C575-7)),IF(ISBLANK(INDEX('register map'!A:A,C575-8)),"ERROR",INDEX('register map'!A:A,C575-8)),INDEX('register map'!A:A,C575-7)),INDEX('register map'!A:A,C575-6)),INDEX('register map'!A:A,C575-5)),INDEX('register map'!A:A,C575-4)),INDEX('register map'!A:A,C575-3)),INDEX('register map'!A:A,C575-2)),INDEX('register map'!A:A,C575-1)),INDEX('register map'!A:A,C575))</f>
        <v>0x38</v>
      </c>
      <c r="F575" s="117" t="str">
        <f>IF(ISBLANK(INDEX('register map'!B:B,C575)),IF(ISBLANK(INDEX('register map'!B:B,C575-1)),IF(ISBLANK(INDEX('register map'!B:B,C575-2)),IF(ISBLANK(INDEX('register map'!B:B,C575-3)),IF(ISBLANK(INDEX('register map'!B:B,C575-4)),IF(ISBLANK(INDEX('register map'!B:B,C575-5)),IF(ISBLANK(INDEX('register map'!B:B,C575-6)),IF(ISBLANK(INDEX('register map'!B:B,C575-7)),IF(ISBLANK(INDEX('register map'!B:B,C575-8)),"ERROR",INDEX('register map'!B:B,C575-8)),INDEX('register map'!B:B,C575-7)),INDEX('register map'!B:B,C575-6)),INDEX('register map'!B:B,C575-5)),INDEX('register map'!B:B,C575-4)),INDEX('register map'!B:B,C575-3)),INDEX('register map'!B:B,C575-2)),INDEX('register map'!B:B,C575-1)),INDEX('register map'!B:B,C575))</f>
        <v>0x34</v>
      </c>
      <c r="G575" s="117" t="str">
        <f>CONCATENATE(IF(ISNUMBER(INDEX('register map'!D:D,C575)),7,""),IF(ISNUMBER(INDEX('register map'!E:E,C575)),6,""),IF(ISNUMBER(INDEX('register map'!F:F,C575)),5,""),IF(ISNUMBER(INDEX('register map'!G:G,C575)),4,""),IF(ISNUMBER(INDEX('register map'!H:H,C575)),3,""),IF(ISNUMBER(INDEX('register map'!I:I,C575)),2,""),IF(ISNUMBER(INDEX('register map'!J:J,C575)),1,""),IF(ISNUMBER(INDEX('register map'!K:K,C575)),0,""))</f>
        <v>1</v>
      </c>
      <c r="H575" s="117" t="str">
        <f>RIGHT(INDEX('register map'!V:V,MATCH('Logical Group Generator'!B575,'register map'!L:L,0)),LEN(G575))</f>
        <v>1</v>
      </c>
      <c r="I575" s="117" t="str">
        <f>CONCATENATE(IF(ISNUMBER(INDEX('register map'!K:K,C575)),0,""),IF(ISNUMBER(INDEX('register map'!J:J,C575)),1,""),IF(ISNUMBER(INDEX('register map'!I:I,C575)),2,""),IF(ISNUMBER(INDEX('register map'!H:H,C575)),3,""),IF(ISNUMBER(INDEX('register map'!G:G,C575)),4,""),IF(ISNUMBER(INDEX('register map'!F:F,C575)),5,""),IF(ISNUMBER(INDEX('register map'!E:E,C575)),6,""),IF(ISNUMBER(INDEX('register map'!D:D,C575)),7,""))</f>
        <v>1</v>
      </c>
      <c r="J575" s="117" t="str">
        <f t="shared" si="95"/>
        <v>1</v>
      </c>
      <c r="K575" s="117" t="str">
        <f t="shared" si="88"/>
        <v/>
      </c>
      <c r="L575" s="117" t="str">
        <f t="shared" si="96"/>
        <v/>
      </c>
      <c r="M575" s="117" t="str">
        <f t="shared" si="98"/>
        <v/>
      </c>
      <c r="N575" s="117" t="str">
        <f>IF(ISBLANK(INDEX('register map'!M:M,'Logical Group Generator'!C575)),"No","Yes")</f>
        <v>No</v>
      </c>
      <c r="O575" s="117" t="str">
        <f>IF(NOT(ISBLANK(INDEX('register map'!N:N,'Logical Group Generator'!C575))),"Yes","")</f>
        <v/>
      </c>
      <c r="P575" s="117" t="str">
        <f t="shared" si="89"/>
        <v/>
      </c>
      <c r="Q575" s="117" t="str">
        <f t="shared" si="90"/>
        <v/>
      </c>
      <c r="R575" s="117" t="str">
        <f t="shared" si="91"/>
        <v/>
      </c>
      <c r="S575" s="117" t="str">
        <f t="shared" si="92"/>
        <v>No</v>
      </c>
      <c r="T575" s="117" t="str">
        <f t="shared" si="93"/>
        <v/>
      </c>
      <c r="U575" s="117" t="b">
        <f t="shared" si="97"/>
        <v>0</v>
      </c>
      <c r="V575" s="157" t="b">
        <f>INDEX('register map'!P:P,C575)="yes"</f>
        <v>1</v>
      </c>
      <c r="W575" s="157" t="str">
        <f t="shared" si="94"/>
        <v>FALSE</v>
      </c>
    </row>
    <row r="576" spans="2:23">
      <c r="B576" s="157" t="str">
        <f t="array" ref="B576">IF(ROWS($3:576)&lt;=COUNTA('register map'!$L$5:$L$902),INDEX('register map'!$L$5:$L$902,SMALL(IF('register map'!$L$5:$L$902&lt;&gt;"",ROW('register map'!$L$5:$L$902)-MIN(ROW('register map'!$L$5:$L$902))+1),ROWS($3:576))),"")</f>
        <v>OTP_RSVD_38_34_2</v>
      </c>
      <c r="C576" s="157">
        <f>IF(B576="PART_NUMBER",IF(COUNTIF($B$1:B575,"PART_NUMBER")=0,6,8),MATCH(B576,'register map'!L:L,0))</f>
        <v>680</v>
      </c>
      <c r="D576" s="117" t="str">
        <f>IF(ISBLANK(INDEX('register map'!C:C,'Logical Group Generator'!C576)),"No","Yes")</f>
        <v>No</v>
      </c>
      <c r="E576" s="117" t="str">
        <f>IF(ISBLANK(INDEX('register map'!A:A,C576)),IF(ISBLANK(INDEX('register map'!A:A,C576-1)),IF(ISBLANK(INDEX('register map'!A:A,C576-2)),IF(ISBLANK(INDEX('register map'!A:A,C576-3)),IF(ISBLANK(INDEX('register map'!A:A,C576-4)),IF(ISBLANK(INDEX('register map'!A:A,C576-5)),IF(ISBLANK(INDEX('register map'!A:A,C576-6)),IF(ISBLANK(INDEX('register map'!A:A,C576-7)),IF(ISBLANK(INDEX('register map'!A:A,C576-8)),"ERROR",INDEX('register map'!A:A,C576-8)),INDEX('register map'!A:A,C576-7)),INDEX('register map'!A:A,C576-6)),INDEX('register map'!A:A,C576-5)),INDEX('register map'!A:A,C576-4)),INDEX('register map'!A:A,C576-3)),INDEX('register map'!A:A,C576-2)),INDEX('register map'!A:A,C576-1)),INDEX('register map'!A:A,C576))</f>
        <v>0x38</v>
      </c>
      <c r="F576" s="117" t="str">
        <f>IF(ISBLANK(INDEX('register map'!B:B,C576)),IF(ISBLANK(INDEX('register map'!B:B,C576-1)),IF(ISBLANK(INDEX('register map'!B:B,C576-2)),IF(ISBLANK(INDEX('register map'!B:B,C576-3)),IF(ISBLANK(INDEX('register map'!B:B,C576-4)),IF(ISBLANK(INDEX('register map'!B:B,C576-5)),IF(ISBLANK(INDEX('register map'!B:B,C576-6)),IF(ISBLANK(INDEX('register map'!B:B,C576-7)),IF(ISBLANK(INDEX('register map'!B:B,C576-8)),"ERROR",INDEX('register map'!B:B,C576-8)),INDEX('register map'!B:B,C576-7)),INDEX('register map'!B:B,C576-6)),INDEX('register map'!B:B,C576-5)),INDEX('register map'!B:B,C576-4)),INDEX('register map'!B:B,C576-3)),INDEX('register map'!B:B,C576-2)),INDEX('register map'!B:B,C576-1)),INDEX('register map'!B:B,C576))</f>
        <v>0x34</v>
      </c>
      <c r="G576" s="117" t="str">
        <f>CONCATENATE(IF(ISNUMBER(INDEX('register map'!D:D,C576)),7,""),IF(ISNUMBER(INDEX('register map'!E:E,C576)),6,""),IF(ISNUMBER(INDEX('register map'!F:F,C576)),5,""),IF(ISNUMBER(INDEX('register map'!G:G,C576)),4,""),IF(ISNUMBER(INDEX('register map'!H:H,C576)),3,""),IF(ISNUMBER(INDEX('register map'!I:I,C576)),2,""),IF(ISNUMBER(INDEX('register map'!J:J,C576)),1,""),IF(ISNUMBER(INDEX('register map'!K:K,C576)),0,""))</f>
        <v>2</v>
      </c>
      <c r="H576" s="117" t="str">
        <f>RIGHT(INDEX('register map'!V:V,MATCH('Logical Group Generator'!B576,'register map'!L:L,0)),LEN(G576))</f>
        <v>0</v>
      </c>
      <c r="I576" s="117" t="str">
        <f>CONCATENATE(IF(ISNUMBER(INDEX('register map'!K:K,C576)),0,""),IF(ISNUMBER(INDEX('register map'!J:J,C576)),1,""),IF(ISNUMBER(INDEX('register map'!I:I,C576)),2,""),IF(ISNUMBER(INDEX('register map'!H:H,C576)),3,""),IF(ISNUMBER(INDEX('register map'!G:G,C576)),4,""),IF(ISNUMBER(INDEX('register map'!F:F,C576)),5,""),IF(ISNUMBER(INDEX('register map'!E:E,C576)),6,""),IF(ISNUMBER(INDEX('register map'!D:D,C576)),7,""))</f>
        <v>2</v>
      </c>
      <c r="J576" s="117" t="str">
        <f t="shared" si="95"/>
        <v>0</v>
      </c>
      <c r="K576" s="117" t="str">
        <f t="shared" si="88"/>
        <v/>
      </c>
      <c r="L576" s="117" t="str">
        <f t="shared" si="96"/>
        <v/>
      </c>
      <c r="M576" s="117" t="str">
        <f t="shared" si="98"/>
        <v/>
      </c>
      <c r="N576" s="117" t="str">
        <f>IF(ISBLANK(INDEX('register map'!M:M,'Logical Group Generator'!C576)),"No","Yes")</f>
        <v>No</v>
      </c>
      <c r="O576" s="117" t="str">
        <f>IF(NOT(ISBLANK(INDEX('register map'!N:N,'Logical Group Generator'!C576))),"Yes","")</f>
        <v/>
      </c>
      <c r="P576" s="117" t="str">
        <f t="shared" si="89"/>
        <v/>
      </c>
      <c r="Q576" s="117" t="str">
        <f t="shared" si="90"/>
        <v/>
      </c>
      <c r="R576" s="117" t="str">
        <f t="shared" si="91"/>
        <v/>
      </c>
      <c r="S576" s="117" t="str">
        <f t="shared" si="92"/>
        <v>No</v>
      </c>
      <c r="T576" s="117" t="str">
        <f t="shared" si="93"/>
        <v/>
      </c>
      <c r="U576" s="117" t="b">
        <f t="shared" si="97"/>
        <v>0</v>
      </c>
      <c r="V576" s="157" t="b">
        <f>INDEX('register map'!P:P,C576)="yes"</f>
        <v>1</v>
      </c>
      <c r="W576" s="157" t="str">
        <f t="shared" si="94"/>
        <v>FALSE</v>
      </c>
    </row>
    <row r="577" spans="2:23">
      <c r="B577" s="157" t="str">
        <f t="array" ref="B577">IF(ROWS($3:577)&lt;=COUNTA('register map'!$L$5:$L$902),INDEX('register map'!$L$5:$L$902,SMALL(IF('register map'!$L$5:$L$902&lt;&gt;"",ROW('register map'!$L$5:$L$902)-MIN(ROW('register map'!$L$5:$L$902))+1),ROWS($3:577))),"")</f>
        <v>OTP_RSVD_38_34_3</v>
      </c>
      <c r="C577" s="157">
        <f>IF(B577="PART_NUMBER",IF(COUNTIF($B$1:B576,"PART_NUMBER")=0,6,8),MATCH(B577,'register map'!L:L,0))</f>
        <v>681</v>
      </c>
      <c r="D577" s="117" t="str">
        <f>IF(ISBLANK(INDEX('register map'!C:C,'Logical Group Generator'!C577)),"No","Yes")</f>
        <v>No</v>
      </c>
      <c r="E577" s="117" t="str">
        <f>IF(ISBLANK(INDEX('register map'!A:A,C577)),IF(ISBLANK(INDEX('register map'!A:A,C577-1)),IF(ISBLANK(INDEX('register map'!A:A,C577-2)),IF(ISBLANK(INDEX('register map'!A:A,C577-3)),IF(ISBLANK(INDEX('register map'!A:A,C577-4)),IF(ISBLANK(INDEX('register map'!A:A,C577-5)),IF(ISBLANK(INDEX('register map'!A:A,C577-6)),IF(ISBLANK(INDEX('register map'!A:A,C577-7)),IF(ISBLANK(INDEX('register map'!A:A,C577-8)),"ERROR",INDEX('register map'!A:A,C577-8)),INDEX('register map'!A:A,C577-7)),INDEX('register map'!A:A,C577-6)),INDEX('register map'!A:A,C577-5)),INDEX('register map'!A:A,C577-4)),INDEX('register map'!A:A,C577-3)),INDEX('register map'!A:A,C577-2)),INDEX('register map'!A:A,C577-1)),INDEX('register map'!A:A,C577))</f>
        <v>0x38</v>
      </c>
      <c r="F577" s="117" t="str">
        <f>IF(ISBLANK(INDEX('register map'!B:B,C577)),IF(ISBLANK(INDEX('register map'!B:B,C577-1)),IF(ISBLANK(INDEX('register map'!B:B,C577-2)),IF(ISBLANK(INDEX('register map'!B:B,C577-3)),IF(ISBLANK(INDEX('register map'!B:B,C577-4)),IF(ISBLANK(INDEX('register map'!B:B,C577-5)),IF(ISBLANK(INDEX('register map'!B:B,C577-6)),IF(ISBLANK(INDEX('register map'!B:B,C577-7)),IF(ISBLANK(INDEX('register map'!B:B,C577-8)),"ERROR",INDEX('register map'!B:B,C577-8)),INDEX('register map'!B:B,C577-7)),INDEX('register map'!B:B,C577-6)),INDEX('register map'!B:B,C577-5)),INDEX('register map'!B:B,C577-4)),INDEX('register map'!B:B,C577-3)),INDEX('register map'!B:B,C577-2)),INDEX('register map'!B:B,C577-1)),INDEX('register map'!B:B,C577))</f>
        <v>0x34</v>
      </c>
      <c r="G577" s="117" t="str">
        <f>CONCATENATE(IF(ISNUMBER(INDEX('register map'!D:D,C577)),7,""),IF(ISNUMBER(INDEX('register map'!E:E,C577)),6,""),IF(ISNUMBER(INDEX('register map'!F:F,C577)),5,""),IF(ISNUMBER(INDEX('register map'!G:G,C577)),4,""),IF(ISNUMBER(INDEX('register map'!H:H,C577)),3,""),IF(ISNUMBER(INDEX('register map'!I:I,C577)),2,""),IF(ISNUMBER(INDEX('register map'!J:J,C577)),1,""),IF(ISNUMBER(INDEX('register map'!K:K,C577)),0,""))</f>
        <v>3</v>
      </c>
      <c r="H577" s="117" t="str">
        <f>RIGHT(INDEX('register map'!V:V,MATCH('Logical Group Generator'!B577,'register map'!L:L,0)),LEN(G577))</f>
        <v>1</v>
      </c>
      <c r="I577" s="117" t="str">
        <f>CONCATENATE(IF(ISNUMBER(INDEX('register map'!K:K,C577)),0,""),IF(ISNUMBER(INDEX('register map'!J:J,C577)),1,""),IF(ISNUMBER(INDEX('register map'!I:I,C577)),2,""),IF(ISNUMBER(INDEX('register map'!H:H,C577)),3,""),IF(ISNUMBER(INDEX('register map'!G:G,C577)),4,""),IF(ISNUMBER(INDEX('register map'!F:F,C577)),5,""),IF(ISNUMBER(INDEX('register map'!E:E,C577)),6,""),IF(ISNUMBER(INDEX('register map'!D:D,C577)),7,""))</f>
        <v>3</v>
      </c>
      <c r="J577" s="117" t="str">
        <f t="shared" si="95"/>
        <v>1</v>
      </c>
      <c r="K577" s="117" t="str">
        <f t="shared" si="88"/>
        <v/>
      </c>
      <c r="L577" s="117" t="str">
        <f t="shared" si="96"/>
        <v/>
      </c>
      <c r="M577" s="117" t="str">
        <f t="shared" si="98"/>
        <v/>
      </c>
      <c r="N577" s="117" t="str">
        <f>IF(ISBLANK(INDEX('register map'!M:M,'Logical Group Generator'!C577)),"No","Yes")</f>
        <v>No</v>
      </c>
      <c r="O577" s="117" t="str">
        <f>IF(NOT(ISBLANK(INDEX('register map'!N:N,'Logical Group Generator'!C577))),"Yes","")</f>
        <v/>
      </c>
      <c r="P577" s="117" t="str">
        <f t="shared" si="89"/>
        <v/>
      </c>
      <c r="Q577" s="117" t="str">
        <f t="shared" si="90"/>
        <v/>
      </c>
      <c r="R577" s="117" t="str">
        <f t="shared" si="91"/>
        <v/>
      </c>
      <c r="S577" s="117" t="str">
        <f t="shared" si="92"/>
        <v>No</v>
      </c>
      <c r="T577" s="117" t="str">
        <f t="shared" si="93"/>
        <v/>
      </c>
      <c r="U577" s="117" t="b">
        <f t="shared" si="97"/>
        <v>0</v>
      </c>
      <c r="V577" s="157" t="b">
        <f>INDEX('register map'!P:P,C577)="yes"</f>
        <v>1</v>
      </c>
      <c r="W577" s="157" t="str">
        <f t="shared" si="94"/>
        <v>FALSE</v>
      </c>
    </row>
    <row r="578" spans="2:23">
      <c r="B578" s="157" t="str">
        <f t="array" ref="B578">IF(ROWS($3:578)&lt;=COUNTA('register map'!$L$5:$L$902),INDEX('register map'!$L$5:$L$902,SMALL(IF('register map'!$L$5:$L$902&lt;&gt;"",ROW('register map'!$L$5:$L$902)-MIN(ROW('register map'!$L$5:$L$902))+1),ROWS($3:578))),"")</f>
        <v>OTP_RSVD_38_34_54</v>
      </c>
      <c r="C578" s="157">
        <f>IF(B578="PART_NUMBER",IF(COUNTIF($B$1:B577,"PART_NUMBER")=0,6,8),MATCH(B578,'register map'!L:L,0))</f>
        <v>682</v>
      </c>
      <c r="D578" s="117" t="str">
        <f>IF(ISBLANK(INDEX('register map'!C:C,'Logical Group Generator'!C578)),"No","Yes")</f>
        <v>No</v>
      </c>
      <c r="E578" s="117" t="str">
        <f>IF(ISBLANK(INDEX('register map'!A:A,C578)),IF(ISBLANK(INDEX('register map'!A:A,C578-1)),IF(ISBLANK(INDEX('register map'!A:A,C578-2)),IF(ISBLANK(INDEX('register map'!A:A,C578-3)),IF(ISBLANK(INDEX('register map'!A:A,C578-4)),IF(ISBLANK(INDEX('register map'!A:A,C578-5)),IF(ISBLANK(INDEX('register map'!A:A,C578-6)),IF(ISBLANK(INDEX('register map'!A:A,C578-7)),IF(ISBLANK(INDEX('register map'!A:A,C578-8)),"ERROR",INDEX('register map'!A:A,C578-8)),INDEX('register map'!A:A,C578-7)),INDEX('register map'!A:A,C578-6)),INDEX('register map'!A:A,C578-5)),INDEX('register map'!A:A,C578-4)),INDEX('register map'!A:A,C578-3)),INDEX('register map'!A:A,C578-2)),INDEX('register map'!A:A,C578-1)),INDEX('register map'!A:A,C578))</f>
        <v>0x38</v>
      </c>
      <c r="F578" s="117" t="str">
        <f>IF(ISBLANK(INDEX('register map'!B:B,C578)),IF(ISBLANK(INDEX('register map'!B:B,C578-1)),IF(ISBLANK(INDEX('register map'!B:B,C578-2)),IF(ISBLANK(INDEX('register map'!B:B,C578-3)),IF(ISBLANK(INDEX('register map'!B:B,C578-4)),IF(ISBLANK(INDEX('register map'!B:B,C578-5)),IF(ISBLANK(INDEX('register map'!B:B,C578-6)),IF(ISBLANK(INDEX('register map'!B:B,C578-7)),IF(ISBLANK(INDEX('register map'!B:B,C578-8)),"ERROR",INDEX('register map'!B:B,C578-8)),INDEX('register map'!B:B,C578-7)),INDEX('register map'!B:B,C578-6)),INDEX('register map'!B:B,C578-5)),INDEX('register map'!B:B,C578-4)),INDEX('register map'!B:B,C578-3)),INDEX('register map'!B:B,C578-2)),INDEX('register map'!B:B,C578-1)),INDEX('register map'!B:B,C578))</f>
        <v>0x34</v>
      </c>
      <c r="G578" s="117" t="str">
        <f>CONCATENATE(IF(ISNUMBER(INDEX('register map'!D:D,C578)),7,""),IF(ISNUMBER(INDEX('register map'!E:E,C578)),6,""),IF(ISNUMBER(INDEX('register map'!F:F,C578)),5,""),IF(ISNUMBER(INDEX('register map'!G:G,C578)),4,""),IF(ISNUMBER(INDEX('register map'!H:H,C578)),3,""),IF(ISNUMBER(INDEX('register map'!I:I,C578)),2,""),IF(ISNUMBER(INDEX('register map'!J:J,C578)),1,""),IF(ISNUMBER(INDEX('register map'!K:K,C578)),0,""))</f>
        <v>54</v>
      </c>
      <c r="H578" s="117" t="str">
        <f>RIGHT(INDEX('register map'!V:V,MATCH('Logical Group Generator'!B578,'register map'!L:L,0)),LEN(G578))</f>
        <v>10</v>
      </c>
      <c r="I578" s="117" t="str">
        <f>CONCATENATE(IF(ISNUMBER(INDEX('register map'!K:K,C578)),0,""),IF(ISNUMBER(INDEX('register map'!J:J,C578)),1,""),IF(ISNUMBER(INDEX('register map'!I:I,C578)),2,""),IF(ISNUMBER(INDEX('register map'!H:H,C578)),3,""),IF(ISNUMBER(INDEX('register map'!G:G,C578)),4,""),IF(ISNUMBER(INDEX('register map'!F:F,C578)),5,""),IF(ISNUMBER(INDEX('register map'!E:E,C578)),6,""),IF(ISNUMBER(INDEX('register map'!D:D,C578)),7,""))</f>
        <v>45</v>
      </c>
      <c r="J578" s="117" t="str">
        <f t="shared" si="95"/>
        <v>01</v>
      </c>
      <c r="K578" s="117" t="str">
        <f t="shared" si="88"/>
        <v/>
      </c>
      <c r="L578" s="117" t="str">
        <f t="shared" si="96"/>
        <v/>
      </c>
      <c r="M578" s="117" t="str">
        <f t="shared" si="98"/>
        <v/>
      </c>
      <c r="N578" s="117" t="str">
        <f>IF(ISBLANK(INDEX('register map'!M:M,'Logical Group Generator'!C578)),"No","Yes")</f>
        <v>No</v>
      </c>
      <c r="O578" s="117" t="str">
        <f>IF(NOT(ISBLANK(INDEX('register map'!N:N,'Logical Group Generator'!C578))),"Yes","")</f>
        <v/>
      </c>
      <c r="P578" s="117" t="str">
        <f t="shared" si="89"/>
        <v/>
      </c>
      <c r="Q578" s="117" t="str">
        <f t="shared" si="90"/>
        <v/>
      </c>
      <c r="R578" s="117" t="str">
        <f t="shared" si="91"/>
        <v/>
      </c>
      <c r="S578" s="117" t="str">
        <f t="shared" si="92"/>
        <v>No</v>
      </c>
      <c r="T578" s="117" t="str">
        <f t="shared" si="93"/>
        <v/>
      </c>
      <c r="U578" s="117" t="b">
        <f t="shared" si="97"/>
        <v>0</v>
      </c>
      <c r="V578" s="157" t="b">
        <f>INDEX('register map'!P:P,C578)="yes"</f>
        <v>1</v>
      </c>
      <c r="W578" s="157" t="str">
        <f t="shared" si="94"/>
        <v>FALSE</v>
      </c>
    </row>
    <row r="579" spans="2:23">
      <c r="B579" s="157" t="str">
        <f t="array" ref="B579">IF(ROWS($3:579)&lt;=COUNTA('register map'!$L$5:$L$902),INDEX('register map'!$L$5:$L$902,SMALL(IF('register map'!$L$5:$L$902&lt;&gt;"",ROW('register map'!$L$5:$L$902)-MIN(ROW('register map'!$L$5:$L$902))+1),ROWS($3:579))),"")</f>
        <v>OTP_RSVD_38_34_6</v>
      </c>
      <c r="C579" s="157">
        <f>IF(B579="PART_NUMBER",IF(COUNTIF($B$1:B578,"PART_NUMBER")=0,6,8),MATCH(B579,'register map'!L:L,0))</f>
        <v>683</v>
      </c>
      <c r="D579" s="117" t="str">
        <f>IF(ISBLANK(INDEX('register map'!C:C,'Logical Group Generator'!C579)),"No","Yes")</f>
        <v>No</v>
      </c>
      <c r="E579" s="117" t="str">
        <f>IF(ISBLANK(INDEX('register map'!A:A,C579)),IF(ISBLANK(INDEX('register map'!A:A,C579-1)),IF(ISBLANK(INDEX('register map'!A:A,C579-2)),IF(ISBLANK(INDEX('register map'!A:A,C579-3)),IF(ISBLANK(INDEX('register map'!A:A,C579-4)),IF(ISBLANK(INDEX('register map'!A:A,C579-5)),IF(ISBLANK(INDEX('register map'!A:A,C579-6)),IF(ISBLANK(INDEX('register map'!A:A,C579-7)),IF(ISBLANK(INDEX('register map'!A:A,C579-8)),"ERROR",INDEX('register map'!A:A,C579-8)),INDEX('register map'!A:A,C579-7)),INDEX('register map'!A:A,C579-6)),INDEX('register map'!A:A,C579-5)),INDEX('register map'!A:A,C579-4)),INDEX('register map'!A:A,C579-3)),INDEX('register map'!A:A,C579-2)),INDEX('register map'!A:A,C579-1)),INDEX('register map'!A:A,C579))</f>
        <v>0x38</v>
      </c>
      <c r="F579" s="117" t="str">
        <f>IF(ISBLANK(INDEX('register map'!B:B,C579)),IF(ISBLANK(INDEX('register map'!B:B,C579-1)),IF(ISBLANK(INDEX('register map'!B:B,C579-2)),IF(ISBLANK(INDEX('register map'!B:B,C579-3)),IF(ISBLANK(INDEX('register map'!B:B,C579-4)),IF(ISBLANK(INDEX('register map'!B:B,C579-5)),IF(ISBLANK(INDEX('register map'!B:B,C579-6)),IF(ISBLANK(INDEX('register map'!B:B,C579-7)),IF(ISBLANK(INDEX('register map'!B:B,C579-8)),"ERROR",INDEX('register map'!B:B,C579-8)),INDEX('register map'!B:B,C579-7)),INDEX('register map'!B:B,C579-6)),INDEX('register map'!B:B,C579-5)),INDEX('register map'!B:B,C579-4)),INDEX('register map'!B:B,C579-3)),INDEX('register map'!B:B,C579-2)),INDEX('register map'!B:B,C579-1)),INDEX('register map'!B:B,C579))</f>
        <v>0x34</v>
      </c>
      <c r="G579" s="117" t="str">
        <f>CONCATENATE(IF(ISNUMBER(INDEX('register map'!D:D,C579)),7,""),IF(ISNUMBER(INDEX('register map'!E:E,C579)),6,""),IF(ISNUMBER(INDEX('register map'!F:F,C579)),5,""),IF(ISNUMBER(INDEX('register map'!G:G,C579)),4,""),IF(ISNUMBER(INDEX('register map'!H:H,C579)),3,""),IF(ISNUMBER(INDEX('register map'!I:I,C579)),2,""),IF(ISNUMBER(INDEX('register map'!J:J,C579)),1,""),IF(ISNUMBER(INDEX('register map'!K:K,C579)),0,""))</f>
        <v>6</v>
      </c>
      <c r="H579" s="117" t="str">
        <f>RIGHT(INDEX('register map'!V:V,MATCH('Logical Group Generator'!B579,'register map'!L:L,0)),LEN(G579))</f>
        <v>0</v>
      </c>
      <c r="I579" s="117" t="str">
        <f>CONCATENATE(IF(ISNUMBER(INDEX('register map'!K:K,C579)),0,""),IF(ISNUMBER(INDEX('register map'!J:J,C579)),1,""),IF(ISNUMBER(INDEX('register map'!I:I,C579)),2,""),IF(ISNUMBER(INDEX('register map'!H:H,C579)),3,""),IF(ISNUMBER(INDEX('register map'!G:G,C579)),4,""),IF(ISNUMBER(INDEX('register map'!F:F,C579)),5,""),IF(ISNUMBER(INDEX('register map'!E:E,C579)),6,""),IF(ISNUMBER(INDEX('register map'!D:D,C579)),7,""))</f>
        <v>6</v>
      </c>
      <c r="J579" s="117" t="str">
        <f t="shared" si="95"/>
        <v>0</v>
      </c>
      <c r="K579" s="117" t="str">
        <f t="shared" ref="K579:K642" si="99">IF(D579="Yes",CONCATENATE(IF(F580=F579,J580,""),IF(F581=F579,J581,""),IF(F582=F579,J582,""),IF(F583=F579,J583,""),IF(F584=F579,J584,""),IF(F585=F579,J585,""),IF(F586=F579,J586,""),IF(F587=F579,J587,"")),"")</f>
        <v/>
      </c>
      <c r="L579" s="117" t="str">
        <f t="shared" si="96"/>
        <v/>
      </c>
      <c r="M579" s="117" t="str">
        <f t="shared" si="98"/>
        <v/>
      </c>
      <c r="N579" s="117" t="str">
        <f>IF(ISBLANK(INDEX('register map'!M:M,'Logical Group Generator'!C579)),"No","Yes")</f>
        <v>No</v>
      </c>
      <c r="O579" s="117" t="str">
        <f>IF(NOT(ISBLANK(INDEX('register map'!N:N,'Logical Group Generator'!C579))),"Yes","")</f>
        <v/>
      </c>
      <c r="P579" s="117" t="str">
        <f t="shared" ref="P579:P642" si="100">IF(D579="Yes",IF(OR(AND(F580=F579,N580="Yes"),AND(F581=F579,N581="Yes"),AND(F582=F579,N582="Yes"),AND(F583=F579,N583="Yes"),AND(F584=F579,N584="Yes"),AND(F585=F579,N585="Yes"),AND(F586=F579,N586="Yes"),AND(F587=F579,N587="Yes")),"Yes","No"),"")</f>
        <v/>
      </c>
      <c r="Q579" s="117" t="str">
        <f t="shared" ref="Q579:Q642" si="101">IF(D579="Yes",IF(AND(IF(F580=F579,OR(N580="Yes",O580="Yes"),TRUE),IF(F581=F579,OR(N581="Yes",O581="Yes"),TRUE),IF(F582=F579,OR(N582="Yes",O582="Yes"),TRUE),IF(F583=F579,OR(N583="Yes",O583="Yes"),TRUE),IF(F584=F579,OR(N584="Yes",O584="Yes"),TRUE),IF(F585=F579,OR(N585="Yes",O585="Yes"),TRUE),IF(F586=F579,OR(N586="Yes",O586="Yes"),TRUE),IF(F587=F579,OR(N587="Yes",O587="Yes"),TRUE)),"Yes","No"),"")</f>
        <v/>
      </c>
      <c r="R579" s="117" t="str">
        <f t="shared" ref="R579:R642" si="102">IF(D579="Yes",IF(AND(P579="Yes",Q579="No"),"Yes","No"),"")</f>
        <v/>
      </c>
      <c r="S579" s="117" t="str">
        <f t="shared" ref="S579:S642" si="103">IF(D579="No",IF(AND(N579="No",NOT(O579="Yes"),INDEX(R:R,MATCH(F579,F:F,0))="Yes"),"Yes","No"),"")</f>
        <v>No</v>
      </c>
      <c r="T579" s="117" t="str">
        <f t="shared" ref="T579:T642" si="104">IF(D579="Yes",LEN(L579)=8,"")</f>
        <v/>
      </c>
      <c r="U579" s="117" t="b">
        <f t="shared" si="97"/>
        <v>0</v>
      </c>
      <c r="V579" s="157" t="b">
        <f>INDEX('register map'!P:P,C579)="yes"</f>
        <v>1</v>
      </c>
      <c r="W579" s="157" t="str">
        <f t="shared" ref="W579:W642" si="105">IF(AND(D579="Yes",P579="No",Q579="No",V579),"REGISTER",IF(AND(D579="No",S579="Yes",V579),"BIT","FALSE"))</f>
        <v>FALSE</v>
      </c>
    </row>
    <row r="580" spans="2:23">
      <c r="B580" s="157" t="str">
        <f t="array" ref="B580">IF(ROWS($3:580)&lt;=COUNTA('register map'!$L$5:$L$902),INDEX('register map'!$L$5:$L$902,SMALL(IF('register map'!$L$5:$L$902&lt;&gt;"",ROW('register map'!$L$5:$L$902)-MIN(ROW('register map'!$L$5:$L$902))+1),ROWS($3:580))),"")</f>
        <v>OTP_RSVD_38_34_7</v>
      </c>
      <c r="C580" s="157">
        <f>IF(B580="PART_NUMBER",IF(COUNTIF($B$1:B579,"PART_NUMBER")=0,6,8),MATCH(B580,'register map'!L:L,0))</f>
        <v>684</v>
      </c>
      <c r="D580" s="117" t="str">
        <f>IF(ISBLANK(INDEX('register map'!C:C,'Logical Group Generator'!C580)),"No","Yes")</f>
        <v>No</v>
      </c>
      <c r="E580" s="117" t="str">
        <f>IF(ISBLANK(INDEX('register map'!A:A,C580)),IF(ISBLANK(INDEX('register map'!A:A,C580-1)),IF(ISBLANK(INDEX('register map'!A:A,C580-2)),IF(ISBLANK(INDEX('register map'!A:A,C580-3)),IF(ISBLANK(INDEX('register map'!A:A,C580-4)),IF(ISBLANK(INDEX('register map'!A:A,C580-5)),IF(ISBLANK(INDEX('register map'!A:A,C580-6)),IF(ISBLANK(INDEX('register map'!A:A,C580-7)),IF(ISBLANK(INDEX('register map'!A:A,C580-8)),"ERROR",INDEX('register map'!A:A,C580-8)),INDEX('register map'!A:A,C580-7)),INDEX('register map'!A:A,C580-6)),INDEX('register map'!A:A,C580-5)),INDEX('register map'!A:A,C580-4)),INDEX('register map'!A:A,C580-3)),INDEX('register map'!A:A,C580-2)),INDEX('register map'!A:A,C580-1)),INDEX('register map'!A:A,C580))</f>
        <v>0x38</v>
      </c>
      <c r="F580" s="117" t="str">
        <f>IF(ISBLANK(INDEX('register map'!B:B,C580)),IF(ISBLANK(INDEX('register map'!B:B,C580-1)),IF(ISBLANK(INDEX('register map'!B:B,C580-2)),IF(ISBLANK(INDEX('register map'!B:B,C580-3)),IF(ISBLANK(INDEX('register map'!B:B,C580-4)),IF(ISBLANK(INDEX('register map'!B:B,C580-5)),IF(ISBLANK(INDEX('register map'!B:B,C580-6)),IF(ISBLANK(INDEX('register map'!B:B,C580-7)),IF(ISBLANK(INDEX('register map'!B:B,C580-8)),"ERROR",INDEX('register map'!B:B,C580-8)),INDEX('register map'!B:B,C580-7)),INDEX('register map'!B:B,C580-6)),INDEX('register map'!B:B,C580-5)),INDEX('register map'!B:B,C580-4)),INDEX('register map'!B:B,C580-3)),INDEX('register map'!B:B,C580-2)),INDEX('register map'!B:B,C580-1)),INDEX('register map'!B:B,C580))</f>
        <v>0x34</v>
      </c>
      <c r="G580" s="117" t="str">
        <f>CONCATENATE(IF(ISNUMBER(INDEX('register map'!D:D,C580)),7,""),IF(ISNUMBER(INDEX('register map'!E:E,C580)),6,""),IF(ISNUMBER(INDEX('register map'!F:F,C580)),5,""),IF(ISNUMBER(INDEX('register map'!G:G,C580)),4,""),IF(ISNUMBER(INDEX('register map'!H:H,C580)),3,""),IF(ISNUMBER(INDEX('register map'!I:I,C580)),2,""),IF(ISNUMBER(INDEX('register map'!J:J,C580)),1,""),IF(ISNUMBER(INDEX('register map'!K:K,C580)),0,""))</f>
        <v>7</v>
      </c>
      <c r="H580" s="117" t="str">
        <f>RIGHT(INDEX('register map'!V:V,MATCH('Logical Group Generator'!B580,'register map'!L:L,0)),LEN(G580))</f>
        <v>1</v>
      </c>
      <c r="I580" s="117" t="str">
        <f>CONCATENATE(IF(ISNUMBER(INDEX('register map'!K:K,C580)),0,""),IF(ISNUMBER(INDEX('register map'!J:J,C580)),1,""),IF(ISNUMBER(INDEX('register map'!I:I,C580)),2,""),IF(ISNUMBER(INDEX('register map'!H:H,C580)),3,""),IF(ISNUMBER(INDEX('register map'!G:G,C580)),4,""),IF(ISNUMBER(INDEX('register map'!F:F,C580)),5,""),IF(ISNUMBER(INDEX('register map'!E:E,C580)),6,""),IF(ISNUMBER(INDEX('register map'!D:D,C580)),7,""))</f>
        <v>7</v>
      </c>
      <c r="J580" s="117" t="str">
        <f t="shared" ref="J580:J643" si="106">MID(H580,20,1) &amp; MID(H580,19,1) &amp; MID(H580,18,1) &amp; MID(H580,17,1) &amp; MID(H580,16,1) &amp; MID(H580,15,1) &amp; MID(H580,14,1) &amp; MID(H580,13,1) &amp; MID(H580,12,1) &amp; MID(H580,11,1) &amp; MID(H580,10,1) &amp; MID(H580,9,1) &amp; MID(H580,8,1) &amp; MID(H580,7,1) &amp; MID(H580,6,1) &amp; MID(H580,5,1) &amp; MID(H580,4,1) &amp; MID(H580,3,1) &amp; MID(H580,2,1) &amp; MID(H580,1,1)</f>
        <v>1</v>
      </c>
      <c r="K580" s="117" t="str">
        <f t="shared" si="99"/>
        <v/>
      </c>
      <c r="L580" s="117" t="str">
        <f t="shared" ref="L580:L643" si="107">MID(K580,20,1) &amp; MID(K580,19,1) &amp; MID(K580,18,1) &amp; MID(K580,17,1) &amp; MID(K580,16,1) &amp; MID(K580,15,1) &amp; MID(K580,14,1) &amp; MID(K580,13,1) &amp; MID(K580,12,1) &amp; MID(K580,11,1) &amp; MID(K580,10,1) &amp; MID(K580,9,1) &amp; MID(K580,8,1) &amp; MID(K580,7,1) &amp; MID(K580,6,1) &amp; MID(K580,5,1) &amp; MID(K580,4,1) &amp; MID(K580,3,1) &amp; MID(K580,2,1) &amp; MID(K580,1,1)</f>
        <v/>
      </c>
      <c r="M580" s="117" t="str">
        <f t="shared" si="98"/>
        <v/>
      </c>
      <c r="N580" s="117" t="str">
        <f>IF(ISBLANK(INDEX('register map'!M:M,'Logical Group Generator'!C580)),"No","Yes")</f>
        <v>No</v>
      </c>
      <c r="O580" s="117" t="str">
        <f>IF(NOT(ISBLANK(INDEX('register map'!N:N,'Logical Group Generator'!C580))),"Yes","")</f>
        <v/>
      </c>
      <c r="P580" s="117" t="str">
        <f t="shared" si="100"/>
        <v/>
      </c>
      <c r="Q580" s="117" t="str">
        <f t="shared" si="101"/>
        <v/>
      </c>
      <c r="R580" s="117" t="str">
        <f t="shared" si="102"/>
        <v/>
      </c>
      <c r="S580" s="117" t="str">
        <f t="shared" si="103"/>
        <v>No</v>
      </c>
      <c r="T580" s="117" t="str">
        <f t="shared" si="104"/>
        <v/>
      </c>
      <c r="U580" s="117" t="b">
        <f t="shared" ref="U580:U643" si="108">OR(P580="No",S580="Yes")</f>
        <v>0</v>
      </c>
      <c r="V580" s="157" t="b">
        <f>INDEX('register map'!P:P,C580)="yes"</f>
        <v>1</v>
      </c>
      <c r="W580" s="157" t="str">
        <f t="shared" si="105"/>
        <v>FALSE</v>
      </c>
    </row>
    <row r="581" spans="2:23">
      <c r="B581" s="157" t="str">
        <f t="array" ref="B581">IF(ROWS($3:581)&lt;=COUNTA('register map'!$L$5:$L$902),INDEX('register map'!$L$5:$L$902,SMALL(IF('register map'!$L$5:$L$902&lt;&gt;"",ROW('register map'!$L$5:$L$902)-MIN(ROW('register map'!$L$5:$L$902))+1),ROWS($3:581))),"")</f>
        <v>OTP_RSVD_38_35</v>
      </c>
      <c r="C581" s="157">
        <f>IF(B581="PART_NUMBER",IF(COUNTIF($B$1:B580,"PART_NUMBER")=0,6,8),MATCH(B581,'register map'!L:L,0))</f>
        <v>685</v>
      </c>
      <c r="D581" s="117" t="str">
        <f>IF(ISBLANK(INDEX('register map'!C:C,'Logical Group Generator'!C581)),"No","Yes")</f>
        <v>Yes</v>
      </c>
      <c r="E581" s="117" t="str">
        <f>IF(ISBLANK(INDEX('register map'!A:A,C581)),IF(ISBLANK(INDEX('register map'!A:A,C581-1)),IF(ISBLANK(INDEX('register map'!A:A,C581-2)),IF(ISBLANK(INDEX('register map'!A:A,C581-3)),IF(ISBLANK(INDEX('register map'!A:A,C581-4)),IF(ISBLANK(INDEX('register map'!A:A,C581-5)),IF(ISBLANK(INDEX('register map'!A:A,C581-6)),IF(ISBLANK(INDEX('register map'!A:A,C581-7)),IF(ISBLANK(INDEX('register map'!A:A,C581-8)),"ERROR",INDEX('register map'!A:A,C581-8)),INDEX('register map'!A:A,C581-7)),INDEX('register map'!A:A,C581-6)),INDEX('register map'!A:A,C581-5)),INDEX('register map'!A:A,C581-4)),INDEX('register map'!A:A,C581-3)),INDEX('register map'!A:A,C581-2)),INDEX('register map'!A:A,C581-1)),INDEX('register map'!A:A,C581))</f>
        <v>0x38</v>
      </c>
      <c r="F581" s="117" t="str">
        <f>IF(ISBLANK(INDEX('register map'!B:B,C581)),IF(ISBLANK(INDEX('register map'!B:B,C581-1)),IF(ISBLANK(INDEX('register map'!B:B,C581-2)),IF(ISBLANK(INDEX('register map'!B:B,C581-3)),IF(ISBLANK(INDEX('register map'!B:B,C581-4)),IF(ISBLANK(INDEX('register map'!B:B,C581-5)),IF(ISBLANK(INDEX('register map'!B:B,C581-6)),IF(ISBLANK(INDEX('register map'!B:B,C581-7)),IF(ISBLANK(INDEX('register map'!B:B,C581-8)),"ERROR",INDEX('register map'!B:B,C581-8)),INDEX('register map'!B:B,C581-7)),INDEX('register map'!B:B,C581-6)),INDEX('register map'!B:B,C581-5)),INDEX('register map'!B:B,C581-4)),INDEX('register map'!B:B,C581-3)),INDEX('register map'!B:B,C581-2)),INDEX('register map'!B:B,C581-1)),INDEX('register map'!B:B,C581))</f>
        <v>0x35</v>
      </c>
      <c r="G581" s="117" t="str">
        <f>CONCATENATE(IF(ISNUMBER(INDEX('register map'!D:D,C581)),7,""),IF(ISNUMBER(INDEX('register map'!E:E,C581)),6,""),IF(ISNUMBER(INDEX('register map'!F:F,C581)),5,""),IF(ISNUMBER(INDEX('register map'!G:G,C581)),4,""),IF(ISNUMBER(INDEX('register map'!H:H,C581)),3,""),IF(ISNUMBER(INDEX('register map'!I:I,C581)),2,""),IF(ISNUMBER(INDEX('register map'!J:J,C581)),1,""),IF(ISNUMBER(INDEX('register map'!K:K,C581)),0,""))</f>
        <v/>
      </c>
      <c r="H581" s="117" t="str">
        <f>RIGHT(INDEX('register map'!V:V,MATCH('Logical Group Generator'!B581,'register map'!L:L,0)),LEN(G581))</f>
        <v/>
      </c>
      <c r="I581" s="117" t="str">
        <f>CONCATENATE(IF(ISNUMBER(INDEX('register map'!K:K,C581)),0,""),IF(ISNUMBER(INDEX('register map'!J:J,C581)),1,""),IF(ISNUMBER(INDEX('register map'!I:I,C581)),2,""),IF(ISNUMBER(INDEX('register map'!H:H,C581)),3,""),IF(ISNUMBER(INDEX('register map'!G:G,C581)),4,""),IF(ISNUMBER(INDEX('register map'!F:F,C581)),5,""),IF(ISNUMBER(INDEX('register map'!E:E,C581)),6,""),IF(ISNUMBER(INDEX('register map'!D:D,C581)),7,""))</f>
        <v/>
      </c>
      <c r="J581" s="117" t="str">
        <f t="shared" si="106"/>
        <v/>
      </c>
      <c r="K581" s="117" t="str">
        <f t="shared" si="99"/>
        <v>01011001</v>
      </c>
      <c r="L581" s="117" t="str">
        <f t="shared" si="107"/>
        <v>10011010</v>
      </c>
      <c r="M581" s="117" t="str">
        <f t="shared" ref="M581:M644" si="109">IF(L581="","",BIN2HEX(L581,2))</f>
        <v>9A</v>
      </c>
      <c r="N581" s="117" t="str">
        <f>IF(ISBLANK(INDEX('register map'!M:M,'Logical Group Generator'!C581)),"No","Yes")</f>
        <v>No</v>
      </c>
      <c r="O581" s="117" t="str">
        <f>IF(NOT(ISBLANK(INDEX('register map'!N:N,'Logical Group Generator'!C581))),"Yes","")</f>
        <v/>
      </c>
      <c r="P581" s="117" t="str">
        <f t="shared" si="100"/>
        <v>Yes</v>
      </c>
      <c r="Q581" s="117" t="str">
        <f t="shared" si="101"/>
        <v>Yes</v>
      </c>
      <c r="R581" s="117" t="str">
        <f t="shared" si="102"/>
        <v>No</v>
      </c>
      <c r="S581" s="117" t="str">
        <f t="shared" si="103"/>
        <v/>
      </c>
      <c r="T581" s="117" t="b">
        <f t="shared" si="104"/>
        <v>1</v>
      </c>
      <c r="U581" s="117" t="b">
        <f t="shared" si="108"/>
        <v>0</v>
      </c>
      <c r="V581" s="157" t="b">
        <f>INDEX('register map'!P:P,C581)="yes"</f>
        <v>1</v>
      </c>
      <c r="W581" s="157" t="str">
        <f t="shared" si="105"/>
        <v>FALSE</v>
      </c>
    </row>
    <row r="582" spans="2:23">
      <c r="B582" s="157" t="str">
        <f t="array" ref="B582">IF(ROWS($3:582)&lt;=COUNTA('register map'!$L$5:$L$902),INDEX('register map'!$L$5:$L$902,SMALL(IF('register map'!$L$5:$L$902&lt;&gt;"",ROW('register map'!$L$5:$L$902)-MIN(ROW('register map'!$L$5:$L$902))+1),ROWS($3:582))),"")</f>
        <v>OTP_RSVD_38_35_0</v>
      </c>
      <c r="C582" s="157">
        <f>IF(B582="PART_NUMBER",IF(COUNTIF($B$1:B581,"PART_NUMBER")=0,6,8),MATCH(B582,'register map'!L:L,0))</f>
        <v>686</v>
      </c>
      <c r="D582" s="117" t="str">
        <f>IF(ISBLANK(INDEX('register map'!C:C,'Logical Group Generator'!C582)),"No","Yes")</f>
        <v>No</v>
      </c>
      <c r="E582" s="117" t="str">
        <f>IF(ISBLANK(INDEX('register map'!A:A,C582)),IF(ISBLANK(INDEX('register map'!A:A,C582-1)),IF(ISBLANK(INDEX('register map'!A:A,C582-2)),IF(ISBLANK(INDEX('register map'!A:A,C582-3)),IF(ISBLANK(INDEX('register map'!A:A,C582-4)),IF(ISBLANK(INDEX('register map'!A:A,C582-5)),IF(ISBLANK(INDEX('register map'!A:A,C582-6)),IF(ISBLANK(INDEX('register map'!A:A,C582-7)),IF(ISBLANK(INDEX('register map'!A:A,C582-8)),"ERROR",INDEX('register map'!A:A,C582-8)),INDEX('register map'!A:A,C582-7)),INDEX('register map'!A:A,C582-6)),INDEX('register map'!A:A,C582-5)),INDEX('register map'!A:A,C582-4)),INDEX('register map'!A:A,C582-3)),INDEX('register map'!A:A,C582-2)),INDEX('register map'!A:A,C582-1)),INDEX('register map'!A:A,C582))</f>
        <v>0x38</v>
      </c>
      <c r="F582" s="117" t="str">
        <f>IF(ISBLANK(INDEX('register map'!B:B,C582)),IF(ISBLANK(INDEX('register map'!B:B,C582-1)),IF(ISBLANK(INDEX('register map'!B:B,C582-2)),IF(ISBLANK(INDEX('register map'!B:B,C582-3)),IF(ISBLANK(INDEX('register map'!B:B,C582-4)),IF(ISBLANK(INDEX('register map'!B:B,C582-5)),IF(ISBLANK(INDEX('register map'!B:B,C582-6)),IF(ISBLANK(INDEX('register map'!B:B,C582-7)),IF(ISBLANK(INDEX('register map'!B:B,C582-8)),"ERROR",INDEX('register map'!B:B,C582-8)),INDEX('register map'!B:B,C582-7)),INDEX('register map'!B:B,C582-6)),INDEX('register map'!B:B,C582-5)),INDEX('register map'!B:B,C582-4)),INDEX('register map'!B:B,C582-3)),INDEX('register map'!B:B,C582-2)),INDEX('register map'!B:B,C582-1)),INDEX('register map'!B:B,C582))</f>
        <v>0x35</v>
      </c>
      <c r="G582" s="117" t="str">
        <f>CONCATENATE(IF(ISNUMBER(INDEX('register map'!D:D,C582)),7,""),IF(ISNUMBER(INDEX('register map'!E:E,C582)),6,""),IF(ISNUMBER(INDEX('register map'!F:F,C582)),5,""),IF(ISNUMBER(INDEX('register map'!G:G,C582)),4,""),IF(ISNUMBER(INDEX('register map'!H:H,C582)),3,""),IF(ISNUMBER(INDEX('register map'!I:I,C582)),2,""),IF(ISNUMBER(INDEX('register map'!J:J,C582)),1,""),IF(ISNUMBER(INDEX('register map'!K:K,C582)),0,""))</f>
        <v>0</v>
      </c>
      <c r="H582" s="117" t="str">
        <f>RIGHT(INDEX('register map'!V:V,MATCH('Logical Group Generator'!B582,'register map'!L:L,0)),LEN(G582))</f>
        <v>0</v>
      </c>
      <c r="I582" s="117" t="str">
        <f>CONCATENATE(IF(ISNUMBER(INDEX('register map'!K:K,C582)),0,""),IF(ISNUMBER(INDEX('register map'!J:J,C582)),1,""),IF(ISNUMBER(INDEX('register map'!I:I,C582)),2,""),IF(ISNUMBER(INDEX('register map'!H:H,C582)),3,""),IF(ISNUMBER(INDEX('register map'!G:G,C582)),4,""),IF(ISNUMBER(INDEX('register map'!F:F,C582)),5,""),IF(ISNUMBER(INDEX('register map'!E:E,C582)),6,""),IF(ISNUMBER(INDEX('register map'!D:D,C582)),7,""))</f>
        <v>0</v>
      </c>
      <c r="J582" s="117" t="str">
        <f t="shared" si="106"/>
        <v>0</v>
      </c>
      <c r="K582" s="117" t="str">
        <f t="shared" si="99"/>
        <v/>
      </c>
      <c r="L582" s="117" t="str">
        <f t="shared" si="107"/>
        <v/>
      </c>
      <c r="M582" s="117" t="str">
        <f t="shared" si="109"/>
        <v/>
      </c>
      <c r="N582" s="117" t="str">
        <f>IF(ISBLANK(INDEX('register map'!M:M,'Logical Group Generator'!C582)),"No","Yes")</f>
        <v>No</v>
      </c>
      <c r="O582" s="117" t="str">
        <f>IF(NOT(ISBLANK(INDEX('register map'!N:N,'Logical Group Generator'!C582))),"Yes","")</f>
        <v>Yes</v>
      </c>
      <c r="P582" s="117" t="str">
        <f t="shared" si="100"/>
        <v/>
      </c>
      <c r="Q582" s="117" t="str">
        <f t="shared" si="101"/>
        <v/>
      </c>
      <c r="R582" s="117" t="str">
        <f t="shared" si="102"/>
        <v/>
      </c>
      <c r="S582" s="117" t="str">
        <f t="shared" si="103"/>
        <v>No</v>
      </c>
      <c r="T582" s="117" t="str">
        <f t="shared" si="104"/>
        <v/>
      </c>
      <c r="U582" s="117" t="b">
        <f t="shared" si="108"/>
        <v>0</v>
      </c>
      <c r="V582" s="157" t="b">
        <f>INDEX('register map'!P:P,C582)="yes"</f>
        <v>1</v>
      </c>
      <c r="W582" s="157" t="str">
        <f t="shared" si="105"/>
        <v>FALSE</v>
      </c>
    </row>
    <row r="583" spans="2:23">
      <c r="B583" s="157" t="str">
        <f t="array" ref="B583">IF(ROWS($3:583)&lt;=COUNTA('register map'!$L$5:$L$902),INDEX('register map'!$L$5:$L$902,SMALL(IF('register map'!$L$5:$L$902&lt;&gt;"",ROW('register map'!$L$5:$L$902)-MIN(ROW('register map'!$L$5:$L$902))+1),ROWS($3:583))),"")</f>
        <v>OTP_RSVD_38_35_1</v>
      </c>
      <c r="C583" s="157">
        <f>IF(B583="PART_NUMBER",IF(COUNTIF($B$1:B582,"PART_NUMBER")=0,6,8),MATCH(B583,'register map'!L:L,0))</f>
        <v>687</v>
      </c>
      <c r="D583" s="117" t="str">
        <f>IF(ISBLANK(INDEX('register map'!C:C,'Logical Group Generator'!C583)),"No","Yes")</f>
        <v>No</v>
      </c>
      <c r="E583" s="117" t="str">
        <f>IF(ISBLANK(INDEX('register map'!A:A,C583)),IF(ISBLANK(INDEX('register map'!A:A,C583-1)),IF(ISBLANK(INDEX('register map'!A:A,C583-2)),IF(ISBLANK(INDEX('register map'!A:A,C583-3)),IF(ISBLANK(INDEX('register map'!A:A,C583-4)),IF(ISBLANK(INDEX('register map'!A:A,C583-5)),IF(ISBLANK(INDEX('register map'!A:A,C583-6)),IF(ISBLANK(INDEX('register map'!A:A,C583-7)),IF(ISBLANK(INDEX('register map'!A:A,C583-8)),"ERROR",INDEX('register map'!A:A,C583-8)),INDEX('register map'!A:A,C583-7)),INDEX('register map'!A:A,C583-6)),INDEX('register map'!A:A,C583-5)),INDEX('register map'!A:A,C583-4)),INDEX('register map'!A:A,C583-3)),INDEX('register map'!A:A,C583-2)),INDEX('register map'!A:A,C583-1)),INDEX('register map'!A:A,C583))</f>
        <v>0x38</v>
      </c>
      <c r="F583" s="117" t="str">
        <f>IF(ISBLANK(INDEX('register map'!B:B,C583)),IF(ISBLANK(INDEX('register map'!B:B,C583-1)),IF(ISBLANK(INDEX('register map'!B:B,C583-2)),IF(ISBLANK(INDEX('register map'!B:B,C583-3)),IF(ISBLANK(INDEX('register map'!B:B,C583-4)),IF(ISBLANK(INDEX('register map'!B:B,C583-5)),IF(ISBLANK(INDEX('register map'!B:B,C583-6)),IF(ISBLANK(INDEX('register map'!B:B,C583-7)),IF(ISBLANK(INDEX('register map'!B:B,C583-8)),"ERROR",INDEX('register map'!B:B,C583-8)),INDEX('register map'!B:B,C583-7)),INDEX('register map'!B:B,C583-6)),INDEX('register map'!B:B,C583-5)),INDEX('register map'!B:B,C583-4)),INDEX('register map'!B:B,C583-3)),INDEX('register map'!B:B,C583-2)),INDEX('register map'!B:B,C583-1)),INDEX('register map'!B:B,C583))</f>
        <v>0x35</v>
      </c>
      <c r="G583" s="117" t="str">
        <f>CONCATENATE(IF(ISNUMBER(INDEX('register map'!D:D,C583)),7,""),IF(ISNUMBER(INDEX('register map'!E:E,C583)),6,""),IF(ISNUMBER(INDEX('register map'!F:F,C583)),5,""),IF(ISNUMBER(INDEX('register map'!G:G,C583)),4,""),IF(ISNUMBER(INDEX('register map'!H:H,C583)),3,""),IF(ISNUMBER(INDEX('register map'!I:I,C583)),2,""),IF(ISNUMBER(INDEX('register map'!J:J,C583)),1,""),IF(ISNUMBER(INDEX('register map'!K:K,C583)),0,""))</f>
        <v>1</v>
      </c>
      <c r="H583" s="117" t="str">
        <f>RIGHT(INDEX('register map'!V:V,MATCH('Logical Group Generator'!B583,'register map'!L:L,0)),LEN(G583))</f>
        <v>1</v>
      </c>
      <c r="I583" s="117" t="str">
        <f>CONCATENATE(IF(ISNUMBER(INDEX('register map'!K:K,C583)),0,""),IF(ISNUMBER(INDEX('register map'!J:J,C583)),1,""),IF(ISNUMBER(INDEX('register map'!I:I,C583)),2,""),IF(ISNUMBER(INDEX('register map'!H:H,C583)),3,""),IF(ISNUMBER(INDEX('register map'!G:G,C583)),4,""),IF(ISNUMBER(INDEX('register map'!F:F,C583)),5,""),IF(ISNUMBER(INDEX('register map'!E:E,C583)),6,""),IF(ISNUMBER(INDEX('register map'!D:D,C583)),7,""))</f>
        <v>1</v>
      </c>
      <c r="J583" s="117" t="str">
        <f t="shared" si="106"/>
        <v>1</v>
      </c>
      <c r="K583" s="117" t="str">
        <f t="shared" si="99"/>
        <v/>
      </c>
      <c r="L583" s="117" t="str">
        <f t="shared" si="107"/>
        <v/>
      </c>
      <c r="M583" s="117" t="str">
        <f t="shared" si="109"/>
        <v/>
      </c>
      <c r="N583" s="117" t="str">
        <f>IF(ISBLANK(INDEX('register map'!M:M,'Logical Group Generator'!C583)),"No","Yes")</f>
        <v>No</v>
      </c>
      <c r="O583" s="117" t="str">
        <f>IF(NOT(ISBLANK(INDEX('register map'!N:N,'Logical Group Generator'!C583))),"Yes","")</f>
        <v>Yes</v>
      </c>
      <c r="P583" s="117" t="str">
        <f t="shared" si="100"/>
        <v/>
      </c>
      <c r="Q583" s="117" t="str">
        <f t="shared" si="101"/>
        <v/>
      </c>
      <c r="R583" s="117" t="str">
        <f t="shared" si="102"/>
        <v/>
      </c>
      <c r="S583" s="117" t="str">
        <f t="shared" si="103"/>
        <v>No</v>
      </c>
      <c r="T583" s="117" t="str">
        <f t="shared" si="104"/>
        <v/>
      </c>
      <c r="U583" s="117" t="b">
        <f t="shared" si="108"/>
        <v>0</v>
      </c>
      <c r="V583" s="157" t="b">
        <f>INDEX('register map'!P:P,C583)="yes"</f>
        <v>1</v>
      </c>
      <c r="W583" s="157" t="str">
        <f t="shared" si="105"/>
        <v>FALSE</v>
      </c>
    </row>
    <row r="584" spans="2:23">
      <c r="B584" s="157" t="str">
        <f t="array" ref="B584">IF(ROWS($3:584)&lt;=COUNTA('register map'!$L$5:$L$902),INDEX('register map'!$L$5:$L$902,SMALL(IF('register map'!$L$5:$L$902&lt;&gt;"",ROW('register map'!$L$5:$L$902)-MIN(ROW('register map'!$L$5:$L$902))+1),ROWS($3:584))),"")</f>
        <v>OTP_RSVD_38_35_32</v>
      </c>
      <c r="C584" s="157">
        <f>IF(B584="PART_NUMBER",IF(COUNTIF($B$1:B583,"PART_NUMBER")=0,6,8),MATCH(B584,'register map'!L:L,0))</f>
        <v>688</v>
      </c>
      <c r="D584" s="117" t="str">
        <f>IF(ISBLANK(INDEX('register map'!C:C,'Logical Group Generator'!C584)),"No","Yes")</f>
        <v>No</v>
      </c>
      <c r="E584" s="117" t="str">
        <f>IF(ISBLANK(INDEX('register map'!A:A,C584)),IF(ISBLANK(INDEX('register map'!A:A,C584-1)),IF(ISBLANK(INDEX('register map'!A:A,C584-2)),IF(ISBLANK(INDEX('register map'!A:A,C584-3)),IF(ISBLANK(INDEX('register map'!A:A,C584-4)),IF(ISBLANK(INDEX('register map'!A:A,C584-5)),IF(ISBLANK(INDEX('register map'!A:A,C584-6)),IF(ISBLANK(INDEX('register map'!A:A,C584-7)),IF(ISBLANK(INDEX('register map'!A:A,C584-8)),"ERROR",INDEX('register map'!A:A,C584-8)),INDEX('register map'!A:A,C584-7)),INDEX('register map'!A:A,C584-6)),INDEX('register map'!A:A,C584-5)),INDEX('register map'!A:A,C584-4)),INDEX('register map'!A:A,C584-3)),INDEX('register map'!A:A,C584-2)),INDEX('register map'!A:A,C584-1)),INDEX('register map'!A:A,C584))</f>
        <v>0x38</v>
      </c>
      <c r="F584" s="117" t="str">
        <f>IF(ISBLANK(INDEX('register map'!B:B,C584)),IF(ISBLANK(INDEX('register map'!B:B,C584-1)),IF(ISBLANK(INDEX('register map'!B:B,C584-2)),IF(ISBLANK(INDEX('register map'!B:B,C584-3)),IF(ISBLANK(INDEX('register map'!B:B,C584-4)),IF(ISBLANK(INDEX('register map'!B:B,C584-5)),IF(ISBLANK(INDEX('register map'!B:B,C584-6)),IF(ISBLANK(INDEX('register map'!B:B,C584-7)),IF(ISBLANK(INDEX('register map'!B:B,C584-8)),"ERROR",INDEX('register map'!B:B,C584-8)),INDEX('register map'!B:B,C584-7)),INDEX('register map'!B:B,C584-6)),INDEX('register map'!B:B,C584-5)),INDEX('register map'!B:B,C584-4)),INDEX('register map'!B:B,C584-3)),INDEX('register map'!B:B,C584-2)),INDEX('register map'!B:B,C584-1)),INDEX('register map'!B:B,C584))</f>
        <v>0x35</v>
      </c>
      <c r="G584" s="117" t="str">
        <f>CONCATENATE(IF(ISNUMBER(INDEX('register map'!D:D,C584)),7,""),IF(ISNUMBER(INDEX('register map'!E:E,C584)),6,""),IF(ISNUMBER(INDEX('register map'!F:F,C584)),5,""),IF(ISNUMBER(INDEX('register map'!G:G,C584)),4,""),IF(ISNUMBER(INDEX('register map'!H:H,C584)),3,""),IF(ISNUMBER(INDEX('register map'!I:I,C584)),2,""),IF(ISNUMBER(INDEX('register map'!J:J,C584)),1,""),IF(ISNUMBER(INDEX('register map'!K:K,C584)),0,""))</f>
        <v>32</v>
      </c>
      <c r="H584" s="117" t="str">
        <f>RIGHT(INDEX('register map'!V:V,MATCH('Logical Group Generator'!B584,'register map'!L:L,0)),LEN(G584))</f>
        <v>10</v>
      </c>
      <c r="I584" s="117" t="str">
        <f>CONCATENATE(IF(ISNUMBER(INDEX('register map'!K:K,C584)),0,""),IF(ISNUMBER(INDEX('register map'!J:J,C584)),1,""),IF(ISNUMBER(INDEX('register map'!I:I,C584)),2,""),IF(ISNUMBER(INDEX('register map'!H:H,C584)),3,""),IF(ISNUMBER(INDEX('register map'!G:G,C584)),4,""),IF(ISNUMBER(INDEX('register map'!F:F,C584)),5,""),IF(ISNUMBER(INDEX('register map'!E:E,C584)),6,""),IF(ISNUMBER(INDEX('register map'!D:D,C584)),7,""))</f>
        <v>23</v>
      </c>
      <c r="J584" s="117" t="str">
        <f t="shared" si="106"/>
        <v>01</v>
      </c>
      <c r="K584" s="117" t="str">
        <f t="shared" si="99"/>
        <v/>
      </c>
      <c r="L584" s="117" t="str">
        <f t="shared" si="107"/>
        <v/>
      </c>
      <c r="M584" s="117" t="str">
        <f t="shared" si="109"/>
        <v/>
      </c>
      <c r="N584" s="117" t="str">
        <f>IF(ISBLANK(INDEX('register map'!M:M,'Logical Group Generator'!C584)),"No","Yes")</f>
        <v>Yes</v>
      </c>
      <c r="O584" s="117" t="str">
        <f>IF(NOT(ISBLANK(INDEX('register map'!N:N,'Logical Group Generator'!C584))),"Yes","")</f>
        <v/>
      </c>
      <c r="P584" s="117" t="str">
        <f t="shared" si="100"/>
        <v/>
      </c>
      <c r="Q584" s="117" t="str">
        <f t="shared" si="101"/>
        <v/>
      </c>
      <c r="R584" s="117" t="str">
        <f t="shared" si="102"/>
        <v/>
      </c>
      <c r="S584" s="117" t="str">
        <f t="shared" si="103"/>
        <v>No</v>
      </c>
      <c r="T584" s="117" t="str">
        <f t="shared" si="104"/>
        <v/>
      </c>
      <c r="U584" s="117" t="b">
        <f t="shared" si="108"/>
        <v>0</v>
      </c>
      <c r="V584" s="157" t="b">
        <f>INDEX('register map'!P:P,C584)="yes"</f>
        <v>1</v>
      </c>
      <c r="W584" s="157" t="str">
        <f t="shared" si="105"/>
        <v>FALSE</v>
      </c>
    </row>
    <row r="585" spans="2:23">
      <c r="B585" s="157" t="str">
        <f t="array" ref="B585">IF(ROWS($3:585)&lt;=COUNTA('register map'!$L$5:$L$902),INDEX('register map'!$L$5:$L$902,SMALL(IF('register map'!$L$5:$L$902&lt;&gt;"",ROW('register map'!$L$5:$L$902)-MIN(ROW('register map'!$L$5:$L$902))+1),ROWS($3:585))),"")</f>
        <v>OTP_RSVD_38_35_4</v>
      </c>
      <c r="C585" s="157">
        <f>IF(B585="PART_NUMBER",IF(COUNTIF($B$1:B584,"PART_NUMBER")=0,6,8),MATCH(B585,'register map'!L:L,0))</f>
        <v>689</v>
      </c>
      <c r="D585" s="117" t="str">
        <f>IF(ISBLANK(INDEX('register map'!C:C,'Logical Group Generator'!C585)),"No","Yes")</f>
        <v>No</v>
      </c>
      <c r="E585" s="117" t="str">
        <f>IF(ISBLANK(INDEX('register map'!A:A,C585)),IF(ISBLANK(INDEX('register map'!A:A,C585-1)),IF(ISBLANK(INDEX('register map'!A:A,C585-2)),IF(ISBLANK(INDEX('register map'!A:A,C585-3)),IF(ISBLANK(INDEX('register map'!A:A,C585-4)),IF(ISBLANK(INDEX('register map'!A:A,C585-5)),IF(ISBLANK(INDEX('register map'!A:A,C585-6)),IF(ISBLANK(INDEX('register map'!A:A,C585-7)),IF(ISBLANK(INDEX('register map'!A:A,C585-8)),"ERROR",INDEX('register map'!A:A,C585-8)),INDEX('register map'!A:A,C585-7)),INDEX('register map'!A:A,C585-6)),INDEX('register map'!A:A,C585-5)),INDEX('register map'!A:A,C585-4)),INDEX('register map'!A:A,C585-3)),INDEX('register map'!A:A,C585-2)),INDEX('register map'!A:A,C585-1)),INDEX('register map'!A:A,C585))</f>
        <v>0x38</v>
      </c>
      <c r="F585" s="117" t="str">
        <f>IF(ISBLANK(INDEX('register map'!B:B,C585)),IF(ISBLANK(INDEX('register map'!B:B,C585-1)),IF(ISBLANK(INDEX('register map'!B:B,C585-2)),IF(ISBLANK(INDEX('register map'!B:B,C585-3)),IF(ISBLANK(INDEX('register map'!B:B,C585-4)),IF(ISBLANK(INDEX('register map'!B:B,C585-5)),IF(ISBLANK(INDEX('register map'!B:B,C585-6)),IF(ISBLANK(INDEX('register map'!B:B,C585-7)),IF(ISBLANK(INDEX('register map'!B:B,C585-8)),"ERROR",INDEX('register map'!B:B,C585-8)),INDEX('register map'!B:B,C585-7)),INDEX('register map'!B:B,C585-6)),INDEX('register map'!B:B,C585-5)),INDEX('register map'!B:B,C585-4)),INDEX('register map'!B:B,C585-3)),INDEX('register map'!B:B,C585-2)),INDEX('register map'!B:B,C585-1)),INDEX('register map'!B:B,C585))</f>
        <v>0x35</v>
      </c>
      <c r="G585" s="117" t="str">
        <f>CONCATENATE(IF(ISNUMBER(INDEX('register map'!D:D,C585)),7,""),IF(ISNUMBER(INDEX('register map'!E:E,C585)),6,""),IF(ISNUMBER(INDEX('register map'!F:F,C585)),5,""),IF(ISNUMBER(INDEX('register map'!G:G,C585)),4,""),IF(ISNUMBER(INDEX('register map'!H:H,C585)),3,""),IF(ISNUMBER(INDEX('register map'!I:I,C585)),2,""),IF(ISNUMBER(INDEX('register map'!J:J,C585)),1,""),IF(ISNUMBER(INDEX('register map'!K:K,C585)),0,""))</f>
        <v>4</v>
      </c>
      <c r="H585" s="117" t="str">
        <f>RIGHT(INDEX('register map'!V:V,MATCH('Logical Group Generator'!B585,'register map'!L:L,0)),LEN(G585))</f>
        <v>1</v>
      </c>
      <c r="I585" s="117" t="str">
        <f>CONCATENATE(IF(ISNUMBER(INDEX('register map'!K:K,C585)),0,""),IF(ISNUMBER(INDEX('register map'!J:J,C585)),1,""),IF(ISNUMBER(INDEX('register map'!I:I,C585)),2,""),IF(ISNUMBER(INDEX('register map'!H:H,C585)),3,""),IF(ISNUMBER(INDEX('register map'!G:G,C585)),4,""),IF(ISNUMBER(INDEX('register map'!F:F,C585)),5,""),IF(ISNUMBER(INDEX('register map'!E:E,C585)),6,""),IF(ISNUMBER(INDEX('register map'!D:D,C585)),7,""))</f>
        <v>4</v>
      </c>
      <c r="J585" s="117" t="str">
        <f t="shared" si="106"/>
        <v>1</v>
      </c>
      <c r="K585" s="117" t="str">
        <f t="shared" si="99"/>
        <v/>
      </c>
      <c r="L585" s="117" t="str">
        <f t="shared" si="107"/>
        <v/>
      </c>
      <c r="M585" s="117" t="str">
        <f t="shared" si="109"/>
        <v/>
      </c>
      <c r="N585" s="117" t="str">
        <f>IF(ISBLANK(INDEX('register map'!M:M,'Logical Group Generator'!C585)),"No","Yes")</f>
        <v>No</v>
      </c>
      <c r="O585" s="117" t="str">
        <f>IF(NOT(ISBLANK(INDEX('register map'!N:N,'Logical Group Generator'!C585))),"Yes","")</f>
        <v>Yes</v>
      </c>
      <c r="P585" s="117" t="str">
        <f t="shared" si="100"/>
        <v/>
      </c>
      <c r="Q585" s="117" t="str">
        <f t="shared" si="101"/>
        <v/>
      </c>
      <c r="R585" s="117" t="str">
        <f t="shared" si="102"/>
        <v/>
      </c>
      <c r="S585" s="117" t="str">
        <f t="shared" si="103"/>
        <v>No</v>
      </c>
      <c r="T585" s="117" t="str">
        <f t="shared" si="104"/>
        <v/>
      </c>
      <c r="U585" s="117" t="b">
        <f t="shared" si="108"/>
        <v>0</v>
      </c>
      <c r="V585" s="157" t="b">
        <f>INDEX('register map'!P:P,C585)="yes"</f>
        <v>1</v>
      </c>
      <c r="W585" s="157" t="str">
        <f t="shared" si="105"/>
        <v>FALSE</v>
      </c>
    </row>
    <row r="586" spans="2:23">
      <c r="B586" s="157" t="str">
        <f t="array" ref="B586">IF(ROWS($3:586)&lt;=COUNTA('register map'!$L$5:$L$902),INDEX('register map'!$L$5:$L$902,SMALL(IF('register map'!$L$5:$L$902&lt;&gt;"",ROW('register map'!$L$5:$L$902)-MIN(ROW('register map'!$L$5:$L$902))+1),ROWS($3:586))),"")</f>
        <v>OTP_RSVD_38_35_65</v>
      </c>
      <c r="C586" s="157">
        <f>IF(B586="PART_NUMBER",IF(COUNTIF($B$1:B585,"PART_NUMBER")=0,6,8),MATCH(B586,'register map'!L:L,0))</f>
        <v>690</v>
      </c>
      <c r="D586" s="117" t="str">
        <f>IF(ISBLANK(INDEX('register map'!C:C,'Logical Group Generator'!C586)),"No","Yes")</f>
        <v>No</v>
      </c>
      <c r="E586" s="117" t="str">
        <f>IF(ISBLANK(INDEX('register map'!A:A,C586)),IF(ISBLANK(INDEX('register map'!A:A,C586-1)),IF(ISBLANK(INDEX('register map'!A:A,C586-2)),IF(ISBLANK(INDEX('register map'!A:A,C586-3)),IF(ISBLANK(INDEX('register map'!A:A,C586-4)),IF(ISBLANK(INDEX('register map'!A:A,C586-5)),IF(ISBLANK(INDEX('register map'!A:A,C586-6)),IF(ISBLANK(INDEX('register map'!A:A,C586-7)),IF(ISBLANK(INDEX('register map'!A:A,C586-8)),"ERROR",INDEX('register map'!A:A,C586-8)),INDEX('register map'!A:A,C586-7)),INDEX('register map'!A:A,C586-6)),INDEX('register map'!A:A,C586-5)),INDEX('register map'!A:A,C586-4)),INDEX('register map'!A:A,C586-3)),INDEX('register map'!A:A,C586-2)),INDEX('register map'!A:A,C586-1)),INDEX('register map'!A:A,C586))</f>
        <v>0x38</v>
      </c>
      <c r="F586" s="117" t="str">
        <f>IF(ISBLANK(INDEX('register map'!B:B,C586)),IF(ISBLANK(INDEX('register map'!B:B,C586-1)),IF(ISBLANK(INDEX('register map'!B:B,C586-2)),IF(ISBLANK(INDEX('register map'!B:B,C586-3)),IF(ISBLANK(INDEX('register map'!B:B,C586-4)),IF(ISBLANK(INDEX('register map'!B:B,C586-5)),IF(ISBLANK(INDEX('register map'!B:B,C586-6)),IF(ISBLANK(INDEX('register map'!B:B,C586-7)),IF(ISBLANK(INDEX('register map'!B:B,C586-8)),"ERROR",INDEX('register map'!B:B,C586-8)),INDEX('register map'!B:B,C586-7)),INDEX('register map'!B:B,C586-6)),INDEX('register map'!B:B,C586-5)),INDEX('register map'!B:B,C586-4)),INDEX('register map'!B:B,C586-3)),INDEX('register map'!B:B,C586-2)),INDEX('register map'!B:B,C586-1)),INDEX('register map'!B:B,C586))</f>
        <v>0x35</v>
      </c>
      <c r="G586" s="117" t="str">
        <f>CONCATENATE(IF(ISNUMBER(INDEX('register map'!D:D,C586)),7,""),IF(ISNUMBER(INDEX('register map'!E:E,C586)),6,""),IF(ISNUMBER(INDEX('register map'!F:F,C586)),5,""),IF(ISNUMBER(INDEX('register map'!G:G,C586)),4,""),IF(ISNUMBER(INDEX('register map'!H:H,C586)),3,""),IF(ISNUMBER(INDEX('register map'!I:I,C586)),2,""),IF(ISNUMBER(INDEX('register map'!J:J,C586)),1,""),IF(ISNUMBER(INDEX('register map'!K:K,C586)),0,""))</f>
        <v>65</v>
      </c>
      <c r="H586" s="117" t="str">
        <f>RIGHT(INDEX('register map'!V:V,MATCH('Logical Group Generator'!B586,'register map'!L:L,0)),LEN(G586))</f>
        <v>00</v>
      </c>
      <c r="I586" s="117" t="str">
        <f>CONCATENATE(IF(ISNUMBER(INDEX('register map'!K:K,C586)),0,""),IF(ISNUMBER(INDEX('register map'!J:J,C586)),1,""),IF(ISNUMBER(INDEX('register map'!I:I,C586)),2,""),IF(ISNUMBER(INDEX('register map'!H:H,C586)),3,""),IF(ISNUMBER(INDEX('register map'!G:G,C586)),4,""),IF(ISNUMBER(INDEX('register map'!F:F,C586)),5,""),IF(ISNUMBER(INDEX('register map'!E:E,C586)),6,""),IF(ISNUMBER(INDEX('register map'!D:D,C586)),7,""))</f>
        <v>56</v>
      </c>
      <c r="J586" s="117" t="str">
        <f t="shared" si="106"/>
        <v>00</v>
      </c>
      <c r="K586" s="117" t="str">
        <f t="shared" si="99"/>
        <v/>
      </c>
      <c r="L586" s="117" t="str">
        <f t="shared" si="107"/>
        <v/>
      </c>
      <c r="M586" s="117" t="str">
        <f t="shared" si="109"/>
        <v/>
      </c>
      <c r="N586" s="117" t="str">
        <f>IF(ISBLANK(INDEX('register map'!M:M,'Logical Group Generator'!C586)),"No","Yes")</f>
        <v>No</v>
      </c>
      <c r="O586" s="117" t="str">
        <f>IF(NOT(ISBLANK(INDEX('register map'!N:N,'Logical Group Generator'!C586))),"Yes","")</f>
        <v>Yes</v>
      </c>
      <c r="P586" s="117" t="str">
        <f t="shared" si="100"/>
        <v/>
      </c>
      <c r="Q586" s="117" t="str">
        <f t="shared" si="101"/>
        <v/>
      </c>
      <c r="R586" s="117" t="str">
        <f t="shared" si="102"/>
        <v/>
      </c>
      <c r="S586" s="117" t="str">
        <f t="shared" si="103"/>
        <v>No</v>
      </c>
      <c r="T586" s="117" t="str">
        <f t="shared" si="104"/>
        <v/>
      </c>
      <c r="U586" s="117" t="b">
        <f t="shared" si="108"/>
        <v>0</v>
      </c>
      <c r="V586" s="157" t="b">
        <f>INDEX('register map'!P:P,C586)="yes"</f>
        <v>1</v>
      </c>
      <c r="W586" s="157" t="str">
        <f t="shared" si="105"/>
        <v>FALSE</v>
      </c>
    </row>
    <row r="587" spans="2:23">
      <c r="B587" s="157" t="str">
        <f t="array" ref="B587">IF(ROWS($3:587)&lt;=COUNTA('register map'!$L$5:$L$902),INDEX('register map'!$L$5:$L$902,SMALL(IF('register map'!$L$5:$L$902&lt;&gt;"",ROW('register map'!$L$5:$L$902)-MIN(ROW('register map'!$L$5:$L$902))+1),ROWS($3:587))),"")</f>
        <v>OTP_RSVD_38_35_7</v>
      </c>
      <c r="C587" s="157">
        <f>IF(B587="PART_NUMBER",IF(COUNTIF($B$1:B586,"PART_NUMBER")=0,6,8),MATCH(B587,'register map'!L:L,0))</f>
        <v>691</v>
      </c>
      <c r="D587" s="117" t="str">
        <f>IF(ISBLANK(INDEX('register map'!C:C,'Logical Group Generator'!C587)),"No","Yes")</f>
        <v>No</v>
      </c>
      <c r="E587" s="117" t="str">
        <f>IF(ISBLANK(INDEX('register map'!A:A,C587)),IF(ISBLANK(INDEX('register map'!A:A,C587-1)),IF(ISBLANK(INDEX('register map'!A:A,C587-2)),IF(ISBLANK(INDEX('register map'!A:A,C587-3)),IF(ISBLANK(INDEX('register map'!A:A,C587-4)),IF(ISBLANK(INDEX('register map'!A:A,C587-5)),IF(ISBLANK(INDEX('register map'!A:A,C587-6)),IF(ISBLANK(INDEX('register map'!A:A,C587-7)),IF(ISBLANK(INDEX('register map'!A:A,C587-8)),"ERROR",INDEX('register map'!A:A,C587-8)),INDEX('register map'!A:A,C587-7)),INDEX('register map'!A:A,C587-6)),INDEX('register map'!A:A,C587-5)),INDEX('register map'!A:A,C587-4)),INDEX('register map'!A:A,C587-3)),INDEX('register map'!A:A,C587-2)),INDEX('register map'!A:A,C587-1)),INDEX('register map'!A:A,C587))</f>
        <v>0x38</v>
      </c>
      <c r="F587" s="117" t="str">
        <f>IF(ISBLANK(INDEX('register map'!B:B,C587)),IF(ISBLANK(INDEX('register map'!B:B,C587-1)),IF(ISBLANK(INDEX('register map'!B:B,C587-2)),IF(ISBLANK(INDEX('register map'!B:B,C587-3)),IF(ISBLANK(INDEX('register map'!B:B,C587-4)),IF(ISBLANK(INDEX('register map'!B:B,C587-5)),IF(ISBLANK(INDEX('register map'!B:B,C587-6)),IF(ISBLANK(INDEX('register map'!B:B,C587-7)),IF(ISBLANK(INDEX('register map'!B:B,C587-8)),"ERROR",INDEX('register map'!B:B,C587-8)),INDEX('register map'!B:B,C587-7)),INDEX('register map'!B:B,C587-6)),INDEX('register map'!B:B,C587-5)),INDEX('register map'!B:B,C587-4)),INDEX('register map'!B:B,C587-3)),INDEX('register map'!B:B,C587-2)),INDEX('register map'!B:B,C587-1)),INDEX('register map'!B:B,C587))</f>
        <v>0x35</v>
      </c>
      <c r="G587" s="117" t="str">
        <f>CONCATENATE(IF(ISNUMBER(INDEX('register map'!D:D,C587)),7,""),IF(ISNUMBER(INDEX('register map'!E:E,C587)),6,""),IF(ISNUMBER(INDEX('register map'!F:F,C587)),5,""),IF(ISNUMBER(INDEX('register map'!G:G,C587)),4,""),IF(ISNUMBER(INDEX('register map'!H:H,C587)),3,""),IF(ISNUMBER(INDEX('register map'!I:I,C587)),2,""),IF(ISNUMBER(INDEX('register map'!J:J,C587)),1,""),IF(ISNUMBER(INDEX('register map'!K:K,C587)),0,""))</f>
        <v>7</v>
      </c>
      <c r="H587" s="117" t="str">
        <f>RIGHT(INDEX('register map'!V:V,MATCH('Logical Group Generator'!B587,'register map'!L:L,0)),LEN(G587))</f>
        <v>1</v>
      </c>
      <c r="I587" s="117" t="str">
        <f>CONCATENATE(IF(ISNUMBER(INDEX('register map'!K:K,C587)),0,""),IF(ISNUMBER(INDEX('register map'!J:J,C587)),1,""),IF(ISNUMBER(INDEX('register map'!I:I,C587)),2,""),IF(ISNUMBER(INDEX('register map'!H:H,C587)),3,""),IF(ISNUMBER(INDEX('register map'!G:G,C587)),4,""),IF(ISNUMBER(INDEX('register map'!F:F,C587)),5,""),IF(ISNUMBER(INDEX('register map'!E:E,C587)),6,""),IF(ISNUMBER(INDEX('register map'!D:D,C587)),7,""))</f>
        <v>7</v>
      </c>
      <c r="J587" s="117" t="str">
        <f t="shared" si="106"/>
        <v>1</v>
      </c>
      <c r="K587" s="117" t="str">
        <f t="shared" si="99"/>
        <v/>
      </c>
      <c r="L587" s="117" t="str">
        <f t="shared" si="107"/>
        <v/>
      </c>
      <c r="M587" s="117" t="str">
        <f t="shared" si="109"/>
        <v/>
      </c>
      <c r="N587" s="117" t="str">
        <f>IF(ISBLANK(INDEX('register map'!M:M,'Logical Group Generator'!C587)),"No","Yes")</f>
        <v>No</v>
      </c>
      <c r="O587" s="117" t="str">
        <f>IF(NOT(ISBLANK(INDEX('register map'!N:N,'Logical Group Generator'!C587))),"Yes","")</f>
        <v>Yes</v>
      </c>
      <c r="P587" s="117" t="str">
        <f t="shared" si="100"/>
        <v/>
      </c>
      <c r="Q587" s="117" t="str">
        <f t="shared" si="101"/>
        <v/>
      </c>
      <c r="R587" s="117" t="str">
        <f t="shared" si="102"/>
        <v/>
      </c>
      <c r="S587" s="117" t="str">
        <f t="shared" si="103"/>
        <v>No</v>
      </c>
      <c r="T587" s="117" t="str">
        <f t="shared" si="104"/>
        <v/>
      </c>
      <c r="U587" s="117" t="b">
        <f t="shared" si="108"/>
        <v>0</v>
      </c>
      <c r="V587" s="157" t="b">
        <f>INDEX('register map'!P:P,C587)="yes"</f>
        <v>1</v>
      </c>
      <c r="W587" s="157" t="str">
        <f t="shared" si="105"/>
        <v>FALSE</v>
      </c>
    </row>
    <row r="588" spans="2:23">
      <c r="B588" s="157" t="str">
        <f t="array" ref="B588">IF(ROWS($3:588)&lt;=COUNTA('register map'!$L$5:$L$902),INDEX('register map'!$L$5:$L$902,SMALL(IF('register map'!$L$5:$L$902&lt;&gt;"",ROW('register map'!$L$5:$L$902)-MIN(ROW('register map'!$L$5:$L$902))+1),ROWS($3:588))),"")</f>
        <v>OTP_RSVD_38_36</v>
      </c>
      <c r="C588" s="157">
        <f>IF(B588="PART_NUMBER",IF(COUNTIF($B$1:B587,"PART_NUMBER")=0,6,8),MATCH(B588,'register map'!L:L,0))</f>
        <v>692</v>
      </c>
      <c r="D588" s="117" t="str">
        <f>IF(ISBLANK(INDEX('register map'!C:C,'Logical Group Generator'!C588)),"No","Yes")</f>
        <v>Yes</v>
      </c>
      <c r="E588" s="117" t="str">
        <f>IF(ISBLANK(INDEX('register map'!A:A,C588)),IF(ISBLANK(INDEX('register map'!A:A,C588-1)),IF(ISBLANK(INDEX('register map'!A:A,C588-2)),IF(ISBLANK(INDEX('register map'!A:A,C588-3)),IF(ISBLANK(INDEX('register map'!A:A,C588-4)),IF(ISBLANK(INDEX('register map'!A:A,C588-5)),IF(ISBLANK(INDEX('register map'!A:A,C588-6)),IF(ISBLANK(INDEX('register map'!A:A,C588-7)),IF(ISBLANK(INDEX('register map'!A:A,C588-8)),"ERROR",INDEX('register map'!A:A,C588-8)),INDEX('register map'!A:A,C588-7)),INDEX('register map'!A:A,C588-6)),INDEX('register map'!A:A,C588-5)),INDEX('register map'!A:A,C588-4)),INDEX('register map'!A:A,C588-3)),INDEX('register map'!A:A,C588-2)),INDEX('register map'!A:A,C588-1)),INDEX('register map'!A:A,C588))</f>
        <v>0x38</v>
      </c>
      <c r="F588" s="117" t="str">
        <f>IF(ISBLANK(INDEX('register map'!B:B,C588)),IF(ISBLANK(INDEX('register map'!B:B,C588-1)),IF(ISBLANK(INDEX('register map'!B:B,C588-2)),IF(ISBLANK(INDEX('register map'!B:B,C588-3)),IF(ISBLANK(INDEX('register map'!B:B,C588-4)),IF(ISBLANK(INDEX('register map'!B:B,C588-5)),IF(ISBLANK(INDEX('register map'!B:B,C588-6)),IF(ISBLANK(INDEX('register map'!B:B,C588-7)),IF(ISBLANK(INDEX('register map'!B:B,C588-8)),"ERROR",INDEX('register map'!B:B,C588-8)),INDEX('register map'!B:B,C588-7)),INDEX('register map'!B:B,C588-6)),INDEX('register map'!B:B,C588-5)),INDEX('register map'!B:B,C588-4)),INDEX('register map'!B:B,C588-3)),INDEX('register map'!B:B,C588-2)),INDEX('register map'!B:B,C588-1)),INDEX('register map'!B:B,C588))</f>
        <v>0x36</v>
      </c>
      <c r="G588" s="117" t="str">
        <f>CONCATENATE(IF(ISNUMBER(INDEX('register map'!D:D,C588)),7,""),IF(ISNUMBER(INDEX('register map'!E:E,C588)),6,""),IF(ISNUMBER(INDEX('register map'!F:F,C588)),5,""),IF(ISNUMBER(INDEX('register map'!G:G,C588)),4,""),IF(ISNUMBER(INDEX('register map'!H:H,C588)),3,""),IF(ISNUMBER(INDEX('register map'!I:I,C588)),2,""),IF(ISNUMBER(INDEX('register map'!J:J,C588)),1,""),IF(ISNUMBER(INDEX('register map'!K:K,C588)),0,""))</f>
        <v/>
      </c>
      <c r="H588" s="117" t="str">
        <f>RIGHT(INDEX('register map'!V:V,MATCH('Logical Group Generator'!B588,'register map'!L:L,0)),LEN(G588))</f>
        <v/>
      </c>
      <c r="I588" s="117" t="str">
        <f>CONCATENATE(IF(ISNUMBER(INDEX('register map'!K:K,C588)),0,""),IF(ISNUMBER(INDEX('register map'!J:J,C588)),1,""),IF(ISNUMBER(INDEX('register map'!I:I,C588)),2,""),IF(ISNUMBER(INDEX('register map'!H:H,C588)),3,""),IF(ISNUMBER(INDEX('register map'!G:G,C588)),4,""),IF(ISNUMBER(INDEX('register map'!F:F,C588)),5,""),IF(ISNUMBER(INDEX('register map'!E:E,C588)),6,""),IF(ISNUMBER(INDEX('register map'!D:D,C588)),7,""))</f>
        <v/>
      </c>
      <c r="J588" s="117" t="str">
        <f t="shared" si="106"/>
        <v/>
      </c>
      <c r="K588" s="117" t="str">
        <f t="shared" si="99"/>
        <v>b71</v>
      </c>
      <c r="L588" s="117" t="str">
        <f t="shared" si="107"/>
        <v>17b</v>
      </c>
      <c r="M588" s="117" t="e">
        <f t="shared" si="109"/>
        <v>#NUM!</v>
      </c>
      <c r="N588" s="117" t="str">
        <f>IF(ISBLANK(INDEX('register map'!M:M,'Logical Group Generator'!C588)),"No","Yes")</f>
        <v>No</v>
      </c>
      <c r="O588" s="117" t="str">
        <f>IF(NOT(ISBLANK(INDEX('register map'!N:N,'Logical Group Generator'!C588))),"Yes","")</f>
        <v/>
      </c>
      <c r="P588" s="117" t="str">
        <f t="shared" si="100"/>
        <v>No</v>
      </c>
      <c r="Q588" s="117" t="str">
        <f t="shared" si="101"/>
        <v>No</v>
      </c>
      <c r="R588" s="117" t="str">
        <f t="shared" si="102"/>
        <v>No</v>
      </c>
      <c r="S588" s="117" t="str">
        <f t="shared" si="103"/>
        <v/>
      </c>
      <c r="T588" s="117" t="b">
        <f t="shared" si="104"/>
        <v>0</v>
      </c>
      <c r="U588" s="117" t="b">
        <f t="shared" si="108"/>
        <v>1</v>
      </c>
      <c r="V588" s="157" t="b">
        <f>INDEX('register map'!P:P,C588)="yes"</f>
        <v>1</v>
      </c>
      <c r="W588" s="157" t="str">
        <f t="shared" si="105"/>
        <v>REGISTER</v>
      </c>
    </row>
    <row r="589" spans="2:23">
      <c r="B589" s="157" t="str">
        <f t="array" ref="B589">IF(ROWS($3:589)&lt;=COUNTA('register map'!$L$5:$L$902),INDEX('register map'!$L$5:$L$902,SMALL(IF('register map'!$L$5:$L$902&lt;&gt;"",ROW('register map'!$L$5:$L$902)-MIN(ROW('register map'!$L$5:$L$902))+1),ROWS($3:589))),"")</f>
        <v>OTP_RSVD_38_36_6543210</v>
      </c>
      <c r="C589" s="157">
        <f>IF(B589="PART_NUMBER",IF(COUNTIF($B$1:B588,"PART_NUMBER")=0,6,8),MATCH(B589,'register map'!L:L,0))</f>
        <v>693</v>
      </c>
      <c r="D589" s="117" t="str">
        <f>IF(ISBLANK(INDEX('register map'!C:C,'Logical Group Generator'!C589)),"No","Yes")</f>
        <v>No</v>
      </c>
      <c r="E589" s="117" t="str">
        <f>IF(ISBLANK(INDEX('register map'!A:A,C589)),IF(ISBLANK(INDEX('register map'!A:A,C589-1)),IF(ISBLANK(INDEX('register map'!A:A,C589-2)),IF(ISBLANK(INDEX('register map'!A:A,C589-3)),IF(ISBLANK(INDEX('register map'!A:A,C589-4)),IF(ISBLANK(INDEX('register map'!A:A,C589-5)),IF(ISBLANK(INDEX('register map'!A:A,C589-6)),IF(ISBLANK(INDEX('register map'!A:A,C589-7)),IF(ISBLANK(INDEX('register map'!A:A,C589-8)),"ERROR",INDEX('register map'!A:A,C589-8)),INDEX('register map'!A:A,C589-7)),INDEX('register map'!A:A,C589-6)),INDEX('register map'!A:A,C589-5)),INDEX('register map'!A:A,C589-4)),INDEX('register map'!A:A,C589-3)),INDEX('register map'!A:A,C589-2)),INDEX('register map'!A:A,C589-1)),INDEX('register map'!A:A,C589))</f>
        <v>0x38</v>
      </c>
      <c r="F589" s="117" t="str">
        <f>IF(ISBLANK(INDEX('register map'!B:B,C589)),IF(ISBLANK(INDEX('register map'!B:B,C589-1)),IF(ISBLANK(INDEX('register map'!B:B,C589-2)),IF(ISBLANK(INDEX('register map'!B:B,C589-3)),IF(ISBLANK(INDEX('register map'!B:B,C589-4)),IF(ISBLANK(INDEX('register map'!B:B,C589-5)),IF(ISBLANK(INDEX('register map'!B:B,C589-6)),IF(ISBLANK(INDEX('register map'!B:B,C589-7)),IF(ISBLANK(INDEX('register map'!B:B,C589-8)),"ERROR",INDEX('register map'!B:B,C589-8)),INDEX('register map'!B:B,C589-7)),INDEX('register map'!B:B,C589-6)),INDEX('register map'!B:B,C589-5)),INDEX('register map'!B:B,C589-4)),INDEX('register map'!B:B,C589-3)),INDEX('register map'!B:B,C589-2)),INDEX('register map'!B:B,C589-1)),INDEX('register map'!B:B,C589))</f>
        <v>0x36</v>
      </c>
      <c r="G589" s="117" t="str">
        <f>CONCATENATE(IF(ISNUMBER(INDEX('register map'!D:D,C589)),7,""),IF(ISNUMBER(INDEX('register map'!E:E,C589)),6,""),IF(ISNUMBER(INDEX('register map'!F:F,C589)),5,""),IF(ISNUMBER(INDEX('register map'!G:G,C589)),4,""),IF(ISNUMBER(INDEX('register map'!H:H,C589)),3,""),IF(ISNUMBER(INDEX('register map'!I:I,C589)),2,""),IF(ISNUMBER(INDEX('register map'!J:J,C589)),1,""),IF(ISNUMBER(INDEX('register map'!K:K,C589)),0,""))</f>
        <v>6543210</v>
      </c>
      <c r="H589" s="117" t="str">
        <f>RIGHT(INDEX('register map'!V:V,MATCH('Logical Group Generator'!B589,'register map'!L:L,0)),LEN(G589))</f>
        <v>7b</v>
      </c>
      <c r="I589" s="117" t="str">
        <f>CONCATENATE(IF(ISNUMBER(INDEX('register map'!K:K,C589)),0,""),IF(ISNUMBER(INDEX('register map'!J:J,C589)),1,""),IF(ISNUMBER(INDEX('register map'!I:I,C589)),2,""),IF(ISNUMBER(INDEX('register map'!H:H,C589)),3,""),IF(ISNUMBER(INDEX('register map'!G:G,C589)),4,""),IF(ISNUMBER(INDEX('register map'!F:F,C589)),5,""),IF(ISNUMBER(INDEX('register map'!E:E,C589)),6,""),IF(ISNUMBER(INDEX('register map'!D:D,C589)),7,""))</f>
        <v>0123456</v>
      </c>
      <c r="J589" s="117" t="str">
        <f t="shared" si="106"/>
        <v>b7</v>
      </c>
      <c r="K589" s="117" t="str">
        <f t="shared" si="99"/>
        <v/>
      </c>
      <c r="L589" s="117" t="str">
        <f t="shared" si="107"/>
        <v/>
      </c>
      <c r="M589" s="117" t="str">
        <f t="shared" si="109"/>
        <v/>
      </c>
      <c r="N589" s="117" t="str">
        <f>IF(ISBLANK(INDEX('register map'!M:M,'Logical Group Generator'!C589)),"No","Yes")</f>
        <v>No</v>
      </c>
      <c r="O589" s="117" t="str">
        <f>IF(NOT(ISBLANK(INDEX('register map'!N:N,'Logical Group Generator'!C589))),"Yes","")</f>
        <v/>
      </c>
      <c r="P589" s="117" t="str">
        <f t="shared" si="100"/>
        <v/>
      </c>
      <c r="Q589" s="117" t="str">
        <f t="shared" si="101"/>
        <v/>
      </c>
      <c r="R589" s="117" t="str">
        <f t="shared" si="102"/>
        <v/>
      </c>
      <c r="S589" s="117" t="str">
        <f t="shared" si="103"/>
        <v>No</v>
      </c>
      <c r="T589" s="117" t="str">
        <f t="shared" si="104"/>
        <v/>
      </c>
      <c r="U589" s="117" t="b">
        <f t="shared" si="108"/>
        <v>0</v>
      </c>
      <c r="V589" s="157" t="b">
        <f>INDEX('register map'!P:P,C589)="yes"</f>
        <v>1</v>
      </c>
      <c r="W589" s="157" t="str">
        <f t="shared" si="105"/>
        <v>FALSE</v>
      </c>
    </row>
    <row r="590" spans="2:23">
      <c r="B590" s="157" t="str">
        <f t="array" ref="B590">IF(ROWS($3:590)&lt;=COUNTA('register map'!$L$5:$L$902),INDEX('register map'!$L$5:$L$902,SMALL(IF('register map'!$L$5:$L$902&lt;&gt;"",ROW('register map'!$L$5:$L$902)-MIN(ROW('register map'!$L$5:$L$902))+1),ROWS($3:590))),"")</f>
        <v>OTP_RSVD_38_36_7</v>
      </c>
      <c r="C590" s="157">
        <f>IF(B590="PART_NUMBER",IF(COUNTIF($B$1:B589,"PART_NUMBER")=0,6,8),MATCH(B590,'register map'!L:L,0))</f>
        <v>694</v>
      </c>
      <c r="D590" s="117" t="str">
        <f>IF(ISBLANK(INDEX('register map'!C:C,'Logical Group Generator'!C590)),"No","Yes")</f>
        <v>No</v>
      </c>
      <c r="E590" s="117" t="str">
        <f>IF(ISBLANK(INDEX('register map'!A:A,C590)),IF(ISBLANK(INDEX('register map'!A:A,C590-1)),IF(ISBLANK(INDEX('register map'!A:A,C590-2)),IF(ISBLANK(INDEX('register map'!A:A,C590-3)),IF(ISBLANK(INDEX('register map'!A:A,C590-4)),IF(ISBLANK(INDEX('register map'!A:A,C590-5)),IF(ISBLANK(INDEX('register map'!A:A,C590-6)),IF(ISBLANK(INDEX('register map'!A:A,C590-7)),IF(ISBLANK(INDEX('register map'!A:A,C590-8)),"ERROR",INDEX('register map'!A:A,C590-8)),INDEX('register map'!A:A,C590-7)),INDEX('register map'!A:A,C590-6)),INDEX('register map'!A:A,C590-5)),INDEX('register map'!A:A,C590-4)),INDEX('register map'!A:A,C590-3)),INDEX('register map'!A:A,C590-2)),INDEX('register map'!A:A,C590-1)),INDEX('register map'!A:A,C590))</f>
        <v>0x38</v>
      </c>
      <c r="F590" s="117" t="str">
        <f>IF(ISBLANK(INDEX('register map'!B:B,C590)),IF(ISBLANK(INDEX('register map'!B:B,C590-1)),IF(ISBLANK(INDEX('register map'!B:B,C590-2)),IF(ISBLANK(INDEX('register map'!B:B,C590-3)),IF(ISBLANK(INDEX('register map'!B:B,C590-4)),IF(ISBLANK(INDEX('register map'!B:B,C590-5)),IF(ISBLANK(INDEX('register map'!B:B,C590-6)),IF(ISBLANK(INDEX('register map'!B:B,C590-7)),IF(ISBLANK(INDEX('register map'!B:B,C590-8)),"ERROR",INDEX('register map'!B:B,C590-8)),INDEX('register map'!B:B,C590-7)),INDEX('register map'!B:B,C590-6)),INDEX('register map'!B:B,C590-5)),INDEX('register map'!B:B,C590-4)),INDEX('register map'!B:B,C590-3)),INDEX('register map'!B:B,C590-2)),INDEX('register map'!B:B,C590-1)),INDEX('register map'!B:B,C590))</f>
        <v>0x36</v>
      </c>
      <c r="G590" s="117" t="str">
        <f>CONCATENATE(IF(ISNUMBER(INDEX('register map'!D:D,C590)),7,""),IF(ISNUMBER(INDEX('register map'!E:E,C590)),6,""),IF(ISNUMBER(INDEX('register map'!F:F,C590)),5,""),IF(ISNUMBER(INDEX('register map'!G:G,C590)),4,""),IF(ISNUMBER(INDEX('register map'!H:H,C590)),3,""),IF(ISNUMBER(INDEX('register map'!I:I,C590)),2,""),IF(ISNUMBER(INDEX('register map'!J:J,C590)),1,""),IF(ISNUMBER(INDEX('register map'!K:K,C590)),0,""))</f>
        <v>7</v>
      </c>
      <c r="H590" s="117" t="str">
        <f>RIGHT(INDEX('register map'!V:V,MATCH('Logical Group Generator'!B590,'register map'!L:L,0)),LEN(G590))</f>
        <v>1</v>
      </c>
      <c r="I590" s="117" t="str">
        <f>CONCATENATE(IF(ISNUMBER(INDEX('register map'!K:K,C590)),0,""),IF(ISNUMBER(INDEX('register map'!J:J,C590)),1,""),IF(ISNUMBER(INDEX('register map'!I:I,C590)),2,""),IF(ISNUMBER(INDEX('register map'!H:H,C590)),3,""),IF(ISNUMBER(INDEX('register map'!G:G,C590)),4,""),IF(ISNUMBER(INDEX('register map'!F:F,C590)),5,""),IF(ISNUMBER(INDEX('register map'!E:E,C590)),6,""),IF(ISNUMBER(INDEX('register map'!D:D,C590)),7,""))</f>
        <v>7</v>
      </c>
      <c r="J590" s="117" t="str">
        <f t="shared" si="106"/>
        <v>1</v>
      </c>
      <c r="K590" s="117" t="str">
        <f t="shared" si="99"/>
        <v/>
      </c>
      <c r="L590" s="117" t="str">
        <f t="shared" si="107"/>
        <v/>
      </c>
      <c r="M590" s="117" t="str">
        <f t="shared" si="109"/>
        <v/>
      </c>
      <c r="N590" s="117" t="str">
        <f>IF(ISBLANK(INDEX('register map'!M:M,'Logical Group Generator'!C590)),"No","Yes")</f>
        <v>No</v>
      </c>
      <c r="O590" s="117" t="str">
        <f>IF(NOT(ISBLANK(INDEX('register map'!N:N,'Logical Group Generator'!C590))),"Yes","")</f>
        <v>Yes</v>
      </c>
      <c r="P590" s="117" t="str">
        <f t="shared" si="100"/>
        <v/>
      </c>
      <c r="Q590" s="117" t="str">
        <f t="shared" si="101"/>
        <v/>
      </c>
      <c r="R590" s="117" t="str">
        <f t="shared" si="102"/>
        <v/>
      </c>
      <c r="S590" s="117" t="str">
        <f t="shared" si="103"/>
        <v>No</v>
      </c>
      <c r="T590" s="117" t="str">
        <f t="shared" si="104"/>
        <v/>
      </c>
      <c r="U590" s="117" t="b">
        <f t="shared" si="108"/>
        <v>0</v>
      </c>
      <c r="V590" s="157" t="b">
        <f>INDEX('register map'!P:P,C590)="yes"</f>
        <v>1</v>
      </c>
      <c r="W590" s="157" t="str">
        <f t="shared" si="105"/>
        <v>FALSE</v>
      </c>
    </row>
    <row r="591" spans="2:23">
      <c r="B591" s="157" t="str">
        <f t="array" ref="B591">IF(ROWS($3:591)&lt;=COUNTA('register map'!$L$5:$L$902),INDEX('register map'!$L$5:$L$902,SMALL(IF('register map'!$L$5:$L$902&lt;&gt;"",ROW('register map'!$L$5:$L$902)-MIN(ROW('register map'!$L$5:$L$902))+1),ROWS($3:591))),"")</f>
        <v>OTP_RSVD_38_37</v>
      </c>
      <c r="C591" s="157">
        <f>IF(B591="PART_NUMBER",IF(COUNTIF($B$1:B590,"PART_NUMBER")=0,6,8),MATCH(B591,'register map'!L:L,0))</f>
        <v>695</v>
      </c>
      <c r="D591" s="117" t="str">
        <f>IF(ISBLANK(INDEX('register map'!C:C,'Logical Group Generator'!C591)),"No","Yes")</f>
        <v>Yes</v>
      </c>
      <c r="E591" s="117" t="str">
        <f>IF(ISBLANK(INDEX('register map'!A:A,C591)),IF(ISBLANK(INDEX('register map'!A:A,C591-1)),IF(ISBLANK(INDEX('register map'!A:A,C591-2)),IF(ISBLANK(INDEX('register map'!A:A,C591-3)),IF(ISBLANK(INDEX('register map'!A:A,C591-4)),IF(ISBLANK(INDEX('register map'!A:A,C591-5)),IF(ISBLANK(INDEX('register map'!A:A,C591-6)),IF(ISBLANK(INDEX('register map'!A:A,C591-7)),IF(ISBLANK(INDEX('register map'!A:A,C591-8)),"ERROR",INDEX('register map'!A:A,C591-8)),INDEX('register map'!A:A,C591-7)),INDEX('register map'!A:A,C591-6)),INDEX('register map'!A:A,C591-5)),INDEX('register map'!A:A,C591-4)),INDEX('register map'!A:A,C591-3)),INDEX('register map'!A:A,C591-2)),INDEX('register map'!A:A,C591-1)),INDEX('register map'!A:A,C591))</f>
        <v>0x38</v>
      </c>
      <c r="F591" s="117" t="str">
        <f>IF(ISBLANK(INDEX('register map'!B:B,C591)),IF(ISBLANK(INDEX('register map'!B:B,C591-1)),IF(ISBLANK(INDEX('register map'!B:B,C591-2)),IF(ISBLANK(INDEX('register map'!B:B,C591-3)),IF(ISBLANK(INDEX('register map'!B:B,C591-4)),IF(ISBLANK(INDEX('register map'!B:B,C591-5)),IF(ISBLANK(INDEX('register map'!B:B,C591-6)),IF(ISBLANK(INDEX('register map'!B:B,C591-7)),IF(ISBLANK(INDEX('register map'!B:B,C591-8)),"ERROR",INDEX('register map'!B:B,C591-8)),INDEX('register map'!B:B,C591-7)),INDEX('register map'!B:B,C591-6)),INDEX('register map'!B:B,C591-5)),INDEX('register map'!B:B,C591-4)),INDEX('register map'!B:B,C591-3)),INDEX('register map'!B:B,C591-2)),INDEX('register map'!B:B,C591-1)),INDEX('register map'!B:B,C591))</f>
        <v>0x37</v>
      </c>
      <c r="G591" s="117" t="str">
        <f>CONCATENATE(IF(ISNUMBER(INDEX('register map'!D:D,C591)),7,""),IF(ISNUMBER(INDEX('register map'!E:E,C591)),6,""),IF(ISNUMBER(INDEX('register map'!F:F,C591)),5,""),IF(ISNUMBER(INDEX('register map'!G:G,C591)),4,""),IF(ISNUMBER(INDEX('register map'!H:H,C591)),3,""),IF(ISNUMBER(INDEX('register map'!I:I,C591)),2,""),IF(ISNUMBER(INDEX('register map'!J:J,C591)),1,""),IF(ISNUMBER(INDEX('register map'!K:K,C591)),0,""))</f>
        <v/>
      </c>
      <c r="H591" s="117" t="str">
        <f>RIGHT(INDEX('register map'!V:V,MATCH('Logical Group Generator'!B591,'register map'!L:L,0)),LEN(G591))</f>
        <v/>
      </c>
      <c r="I591" s="117" t="str">
        <f>CONCATENATE(IF(ISNUMBER(INDEX('register map'!K:K,C591)),0,""),IF(ISNUMBER(INDEX('register map'!J:J,C591)),1,""),IF(ISNUMBER(INDEX('register map'!I:I,C591)),2,""),IF(ISNUMBER(INDEX('register map'!H:H,C591)),3,""),IF(ISNUMBER(INDEX('register map'!G:G,C591)),4,""),IF(ISNUMBER(INDEX('register map'!F:F,C591)),5,""),IF(ISNUMBER(INDEX('register map'!E:E,C591)),6,""),IF(ISNUMBER(INDEX('register map'!D:D,C591)),7,""))</f>
        <v/>
      </c>
      <c r="J591" s="117" t="str">
        <f t="shared" si="106"/>
        <v/>
      </c>
      <c r="K591" s="117" t="str">
        <f t="shared" si="99"/>
        <v>10100001</v>
      </c>
      <c r="L591" s="117" t="str">
        <f t="shared" si="107"/>
        <v>10000101</v>
      </c>
      <c r="M591" s="117" t="str">
        <f t="shared" si="109"/>
        <v>85</v>
      </c>
      <c r="N591" s="117" t="str">
        <f>IF(ISBLANK(INDEX('register map'!M:M,'Logical Group Generator'!C591)),"No","Yes")</f>
        <v>No</v>
      </c>
      <c r="O591" s="117" t="str">
        <f>IF(NOT(ISBLANK(INDEX('register map'!N:N,'Logical Group Generator'!C591))),"Yes","")</f>
        <v/>
      </c>
      <c r="P591" s="117" t="str">
        <f t="shared" si="100"/>
        <v>Yes</v>
      </c>
      <c r="Q591" s="117" t="str">
        <f t="shared" si="101"/>
        <v>Yes</v>
      </c>
      <c r="R591" s="117" t="str">
        <f t="shared" si="102"/>
        <v>No</v>
      </c>
      <c r="S591" s="117" t="str">
        <f t="shared" si="103"/>
        <v/>
      </c>
      <c r="T591" s="117" t="b">
        <f t="shared" si="104"/>
        <v>1</v>
      </c>
      <c r="U591" s="117" t="b">
        <f t="shared" si="108"/>
        <v>0</v>
      </c>
      <c r="V591" s="157" t="b">
        <f>INDEX('register map'!P:P,C591)="yes"</f>
        <v>1</v>
      </c>
      <c r="W591" s="157" t="str">
        <f t="shared" si="105"/>
        <v>FALSE</v>
      </c>
    </row>
    <row r="592" spans="2:23">
      <c r="B592" s="157" t="str">
        <f t="array" ref="B592">IF(ROWS($3:592)&lt;=COUNTA('register map'!$L$5:$L$902),INDEX('register map'!$L$5:$L$902,SMALL(IF('register map'!$L$5:$L$902&lt;&gt;"",ROW('register map'!$L$5:$L$902)-MIN(ROW('register map'!$L$5:$L$902))+1),ROWS($3:592))),"")</f>
        <v>OTP_RSVD_38_37_3210</v>
      </c>
      <c r="C592" s="157">
        <f>IF(B592="PART_NUMBER",IF(COUNTIF($B$1:B591,"PART_NUMBER")=0,6,8),MATCH(B592,'register map'!L:L,0))</f>
        <v>696</v>
      </c>
      <c r="D592" s="117" t="str">
        <f>IF(ISBLANK(INDEX('register map'!C:C,'Logical Group Generator'!C592)),"No","Yes")</f>
        <v>No</v>
      </c>
      <c r="E592" s="117" t="str">
        <f>IF(ISBLANK(INDEX('register map'!A:A,C592)),IF(ISBLANK(INDEX('register map'!A:A,C592-1)),IF(ISBLANK(INDEX('register map'!A:A,C592-2)),IF(ISBLANK(INDEX('register map'!A:A,C592-3)),IF(ISBLANK(INDEX('register map'!A:A,C592-4)),IF(ISBLANK(INDEX('register map'!A:A,C592-5)),IF(ISBLANK(INDEX('register map'!A:A,C592-6)),IF(ISBLANK(INDEX('register map'!A:A,C592-7)),IF(ISBLANK(INDEX('register map'!A:A,C592-8)),"ERROR",INDEX('register map'!A:A,C592-8)),INDEX('register map'!A:A,C592-7)),INDEX('register map'!A:A,C592-6)),INDEX('register map'!A:A,C592-5)),INDEX('register map'!A:A,C592-4)),INDEX('register map'!A:A,C592-3)),INDEX('register map'!A:A,C592-2)),INDEX('register map'!A:A,C592-1)),INDEX('register map'!A:A,C592))</f>
        <v>0x38</v>
      </c>
      <c r="F592" s="117" t="str">
        <f>IF(ISBLANK(INDEX('register map'!B:B,C592)),IF(ISBLANK(INDEX('register map'!B:B,C592-1)),IF(ISBLANK(INDEX('register map'!B:B,C592-2)),IF(ISBLANK(INDEX('register map'!B:B,C592-3)),IF(ISBLANK(INDEX('register map'!B:B,C592-4)),IF(ISBLANK(INDEX('register map'!B:B,C592-5)),IF(ISBLANK(INDEX('register map'!B:B,C592-6)),IF(ISBLANK(INDEX('register map'!B:B,C592-7)),IF(ISBLANK(INDEX('register map'!B:B,C592-8)),"ERROR",INDEX('register map'!B:B,C592-8)),INDEX('register map'!B:B,C592-7)),INDEX('register map'!B:B,C592-6)),INDEX('register map'!B:B,C592-5)),INDEX('register map'!B:B,C592-4)),INDEX('register map'!B:B,C592-3)),INDEX('register map'!B:B,C592-2)),INDEX('register map'!B:B,C592-1)),INDEX('register map'!B:B,C592))</f>
        <v>0x37</v>
      </c>
      <c r="G592" s="117" t="str">
        <f>CONCATENATE(IF(ISNUMBER(INDEX('register map'!D:D,C592)),7,""),IF(ISNUMBER(INDEX('register map'!E:E,C592)),6,""),IF(ISNUMBER(INDEX('register map'!F:F,C592)),5,""),IF(ISNUMBER(INDEX('register map'!G:G,C592)),4,""),IF(ISNUMBER(INDEX('register map'!H:H,C592)),3,""),IF(ISNUMBER(INDEX('register map'!I:I,C592)),2,""),IF(ISNUMBER(INDEX('register map'!J:J,C592)),1,""),IF(ISNUMBER(INDEX('register map'!K:K,C592)),0,""))</f>
        <v>3210</v>
      </c>
      <c r="H592" s="117" t="str">
        <f>RIGHT(INDEX('register map'!V:V,MATCH('Logical Group Generator'!B592,'register map'!L:L,0)),LEN(G592))</f>
        <v>0101</v>
      </c>
      <c r="I592" s="117" t="str">
        <f>CONCATENATE(IF(ISNUMBER(INDEX('register map'!K:K,C592)),0,""),IF(ISNUMBER(INDEX('register map'!J:J,C592)),1,""),IF(ISNUMBER(INDEX('register map'!I:I,C592)),2,""),IF(ISNUMBER(INDEX('register map'!H:H,C592)),3,""),IF(ISNUMBER(INDEX('register map'!G:G,C592)),4,""),IF(ISNUMBER(INDEX('register map'!F:F,C592)),5,""),IF(ISNUMBER(INDEX('register map'!E:E,C592)),6,""),IF(ISNUMBER(INDEX('register map'!D:D,C592)),7,""))</f>
        <v>0123</v>
      </c>
      <c r="J592" s="117" t="str">
        <f t="shared" si="106"/>
        <v>1010</v>
      </c>
      <c r="K592" s="117" t="str">
        <f t="shared" si="99"/>
        <v/>
      </c>
      <c r="L592" s="117" t="str">
        <f t="shared" si="107"/>
        <v/>
      </c>
      <c r="M592" s="117" t="str">
        <f t="shared" si="109"/>
        <v/>
      </c>
      <c r="N592" s="117" t="str">
        <f>IF(ISBLANK(INDEX('register map'!M:M,'Logical Group Generator'!C592)),"No","Yes")</f>
        <v>Yes</v>
      </c>
      <c r="O592" s="117" t="str">
        <f>IF(NOT(ISBLANK(INDEX('register map'!N:N,'Logical Group Generator'!C592))),"Yes","")</f>
        <v/>
      </c>
      <c r="P592" s="117" t="str">
        <f t="shared" si="100"/>
        <v/>
      </c>
      <c r="Q592" s="117" t="str">
        <f t="shared" si="101"/>
        <v/>
      </c>
      <c r="R592" s="117" t="str">
        <f t="shared" si="102"/>
        <v/>
      </c>
      <c r="S592" s="117" t="str">
        <f t="shared" si="103"/>
        <v>No</v>
      </c>
      <c r="T592" s="117" t="str">
        <f t="shared" si="104"/>
        <v/>
      </c>
      <c r="U592" s="117" t="b">
        <f t="shared" si="108"/>
        <v>0</v>
      </c>
      <c r="V592" s="157" t="b">
        <f>INDEX('register map'!P:P,C592)="yes"</f>
        <v>1</v>
      </c>
      <c r="W592" s="157" t="str">
        <f t="shared" si="105"/>
        <v>FALSE</v>
      </c>
    </row>
    <row r="593" spans="2:23">
      <c r="B593" s="157" t="str">
        <f t="array" ref="B593">IF(ROWS($3:593)&lt;=COUNTA('register map'!$L$5:$L$902),INDEX('register map'!$L$5:$L$902,SMALL(IF('register map'!$L$5:$L$902&lt;&gt;"",ROW('register map'!$L$5:$L$902)-MIN(ROW('register map'!$L$5:$L$902))+1),ROWS($3:593))),"")</f>
        <v>OTP_RSVD_38_37_7654</v>
      </c>
      <c r="C593" s="157">
        <f>IF(B593="PART_NUMBER",IF(COUNTIF($B$1:B592,"PART_NUMBER")=0,6,8),MATCH(B593,'register map'!L:L,0))</f>
        <v>697</v>
      </c>
      <c r="D593" s="117" t="str">
        <f>IF(ISBLANK(INDEX('register map'!C:C,'Logical Group Generator'!C593)),"No","Yes")</f>
        <v>No</v>
      </c>
      <c r="E593" s="117" t="str">
        <f>IF(ISBLANK(INDEX('register map'!A:A,C593)),IF(ISBLANK(INDEX('register map'!A:A,C593-1)),IF(ISBLANK(INDEX('register map'!A:A,C593-2)),IF(ISBLANK(INDEX('register map'!A:A,C593-3)),IF(ISBLANK(INDEX('register map'!A:A,C593-4)),IF(ISBLANK(INDEX('register map'!A:A,C593-5)),IF(ISBLANK(INDEX('register map'!A:A,C593-6)),IF(ISBLANK(INDEX('register map'!A:A,C593-7)),IF(ISBLANK(INDEX('register map'!A:A,C593-8)),"ERROR",INDEX('register map'!A:A,C593-8)),INDEX('register map'!A:A,C593-7)),INDEX('register map'!A:A,C593-6)),INDEX('register map'!A:A,C593-5)),INDEX('register map'!A:A,C593-4)),INDEX('register map'!A:A,C593-3)),INDEX('register map'!A:A,C593-2)),INDEX('register map'!A:A,C593-1)),INDEX('register map'!A:A,C593))</f>
        <v>0x38</v>
      </c>
      <c r="F593" s="117" t="str">
        <f>IF(ISBLANK(INDEX('register map'!B:B,C593)),IF(ISBLANK(INDEX('register map'!B:B,C593-1)),IF(ISBLANK(INDEX('register map'!B:B,C593-2)),IF(ISBLANK(INDEX('register map'!B:B,C593-3)),IF(ISBLANK(INDEX('register map'!B:B,C593-4)),IF(ISBLANK(INDEX('register map'!B:B,C593-5)),IF(ISBLANK(INDEX('register map'!B:B,C593-6)),IF(ISBLANK(INDEX('register map'!B:B,C593-7)),IF(ISBLANK(INDEX('register map'!B:B,C593-8)),"ERROR",INDEX('register map'!B:B,C593-8)),INDEX('register map'!B:B,C593-7)),INDEX('register map'!B:B,C593-6)),INDEX('register map'!B:B,C593-5)),INDEX('register map'!B:B,C593-4)),INDEX('register map'!B:B,C593-3)),INDEX('register map'!B:B,C593-2)),INDEX('register map'!B:B,C593-1)),INDEX('register map'!B:B,C593))</f>
        <v>0x37</v>
      </c>
      <c r="G593" s="117" t="str">
        <f>CONCATENATE(IF(ISNUMBER(INDEX('register map'!D:D,C593)),7,""),IF(ISNUMBER(INDEX('register map'!E:E,C593)),6,""),IF(ISNUMBER(INDEX('register map'!F:F,C593)),5,""),IF(ISNUMBER(INDEX('register map'!G:G,C593)),4,""),IF(ISNUMBER(INDEX('register map'!H:H,C593)),3,""),IF(ISNUMBER(INDEX('register map'!I:I,C593)),2,""),IF(ISNUMBER(INDEX('register map'!J:J,C593)),1,""),IF(ISNUMBER(INDEX('register map'!K:K,C593)),0,""))</f>
        <v>7654</v>
      </c>
      <c r="H593" s="117" t="str">
        <f>RIGHT(INDEX('register map'!V:V,MATCH('Logical Group Generator'!B593,'register map'!L:L,0)),LEN(G593))</f>
        <v>1000</v>
      </c>
      <c r="I593" s="117" t="str">
        <f>CONCATENATE(IF(ISNUMBER(INDEX('register map'!K:K,C593)),0,""),IF(ISNUMBER(INDEX('register map'!J:J,C593)),1,""),IF(ISNUMBER(INDEX('register map'!I:I,C593)),2,""),IF(ISNUMBER(INDEX('register map'!H:H,C593)),3,""),IF(ISNUMBER(INDEX('register map'!G:G,C593)),4,""),IF(ISNUMBER(INDEX('register map'!F:F,C593)),5,""),IF(ISNUMBER(INDEX('register map'!E:E,C593)),6,""),IF(ISNUMBER(INDEX('register map'!D:D,C593)),7,""))</f>
        <v>4567</v>
      </c>
      <c r="J593" s="117" t="str">
        <f t="shared" si="106"/>
        <v>0001</v>
      </c>
      <c r="K593" s="117" t="str">
        <f t="shared" si="99"/>
        <v/>
      </c>
      <c r="L593" s="117" t="str">
        <f t="shared" si="107"/>
        <v/>
      </c>
      <c r="M593" s="117" t="str">
        <f t="shared" si="109"/>
        <v/>
      </c>
      <c r="N593" s="117" t="str">
        <f>IF(ISBLANK(INDEX('register map'!M:M,'Logical Group Generator'!C593)),"No","Yes")</f>
        <v>Yes</v>
      </c>
      <c r="O593" s="117" t="str">
        <f>IF(NOT(ISBLANK(INDEX('register map'!N:N,'Logical Group Generator'!C593))),"Yes","")</f>
        <v/>
      </c>
      <c r="P593" s="117" t="str">
        <f t="shared" si="100"/>
        <v/>
      </c>
      <c r="Q593" s="117" t="str">
        <f t="shared" si="101"/>
        <v/>
      </c>
      <c r="R593" s="117" t="str">
        <f t="shared" si="102"/>
        <v/>
      </c>
      <c r="S593" s="117" t="str">
        <f t="shared" si="103"/>
        <v>No</v>
      </c>
      <c r="T593" s="117" t="str">
        <f t="shared" si="104"/>
        <v/>
      </c>
      <c r="U593" s="117" t="b">
        <f t="shared" si="108"/>
        <v>0</v>
      </c>
      <c r="V593" s="157" t="b">
        <f>INDEX('register map'!P:P,C593)="yes"</f>
        <v>1</v>
      </c>
      <c r="W593" s="157" t="str">
        <f t="shared" si="105"/>
        <v>FALSE</v>
      </c>
    </row>
    <row r="594" spans="2:23">
      <c r="B594" s="157" t="str">
        <f t="array" ref="B594">IF(ROWS($3:594)&lt;=COUNTA('register map'!$L$5:$L$902),INDEX('register map'!$L$5:$L$902,SMALL(IF('register map'!$L$5:$L$902&lt;&gt;"",ROW('register map'!$L$5:$L$902)-MIN(ROW('register map'!$L$5:$L$902))+1),ROWS($3:594))),"")</f>
        <v>OTP_RSVD_38_38</v>
      </c>
      <c r="C594" s="157">
        <f>IF(B594="PART_NUMBER",IF(COUNTIF($B$1:B593,"PART_NUMBER")=0,6,8),MATCH(B594,'register map'!L:L,0))</f>
        <v>698</v>
      </c>
      <c r="D594" s="117" t="str">
        <f>IF(ISBLANK(INDEX('register map'!C:C,'Logical Group Generator'!C594)),"No","Yes")</f>
        <v>Yes</v>
      </c>
      <c r="E594" s="117" t="str">
        <f>IF(ISBLANK(INDEX('register map'!A:A,C594)),IF(ISBLANK(INDEX('register map'!A:A,C594-1)),IF(ISBLANK(INDEX('register map'!A:A,C594-2)),IF(ISBLANK(INDEX('register map'!A:A,C594-3)),IF(ISBLANK(INDEX('register map'!A:A,C594-4)),IF(ISBLANK(INDEX('register map'!A:A,C594-5)),IF(ISBLANK(INDEX('register map'!A:A,C594-6)),IF(ISBLANK(INDEX('register map'!A:A,C594-7)),IF(ISBLANK(INDEX('register map'!A:A,C594-8)),"ERROR",INDEX('register map'!A:A,C594-8)),INDEX('register map'!A:A,C594-7)),INDEX('register map'!A:A,C594-6)),INDEX('register map'!A:A,C594-5)),INDEX('register map'!A:A,C594-4)),INDEX('register map'!A:A,C594-3)),INDEX('register map'!A:A,C594-2)),INDEX('register map'!A:A,C594-1)),INDEX('register map'!A:A,C594))</f>
        <v>0x38</v>
      </c>
      <c r="F594" s="117" t="str">
        <f>IF(ISBLANK(INDEX('register map'!B:B,C594)),IF(ISBLANK(INDEX('register map'!B:B,C594-1)),IF(ISBLANK(INDEX('register map'!B:B,C594-2)),IF(ISBLANK(INDEX('register map'!B:B,C594-3)),IF(ISBLANK(INDEX('register map'!B:B,C594-4)),IF(ISBLANK(INDEX('register map'!B:B,C594-5)),IF(ISBLANK(INDEX('register map'!B:B,C594-6)),IF(ISBLANK(INDEX('register map'!B:B,C594-7)),IF(ISBLANK(INDEX('register map'!B:B,C594-8)),"ERROR",INDEX('register map'!B:B,C594-8)),INDEX('register map'!B:B,C594-7)),INDEX('register map'!B:B,C594-6)),INDEX('register map'!B:B,C594-5)),INDEX('register map'!B:B,C594-4)),INDEX('register map'!B:B,C594-3)),INDEX('register map'!B:B,C594-2)),INDEX('register map'!B:B,C594-1)),INDEX('register map'!B:B,C594))</f>
        <v>0x38</v>
      </c>
      <c r="G594" s="117" t="str">
        <f>CONCATENATE(IF(ISNUMBER(INDEX('register map'!D:D,C594)),7,""),IF(ISNUMBER(INDEX('register map'!E:E,C594)),6,""),IF(ISNUMBER(INDEX('register map'!F:F,C594)),5,""),IF(ISNUMBER(INDEX('register map'!G:G,C594)),4,""),IF(ISNUMBER(INDEX('register map'!H:H,C594)),3,""),IF(ISNUMBER(INDEX('register map'!I:I,C594)),2,""),IF(ISNUMBER(INDEX('register map'!J:J,C594)),1,""),IF(ISNUMBER(INDEX('register map'!K:K,C594)),0,""))</f>
        <v/>
      </c>
      <c r="H594" s="117" t="str">
        <f>RIGHT(INDEX('register map'!V:V,MATCH('Logical Group Generator'!B594,'register map'!L:L,0)),LEN(G594))</f>
        <v/>
      </c>
      <c r="I594" s="117" t="str">
        <f>CONCATENATE(IF(ISNUMBER(INDEX('register map'!K:K,C594)),0,""),IF(ISNUMBER(INDEX('register map'!J:J,C594)),1,""),IF(ISNUMBER(INDEX('register map'!I:I,C594)),2,""),IF(ISNUMBER(INDEX('register map'!H:H,C594)),3,""),IF(ISNUMBER(INDEX('register map'!G:G,C594)),4,""),IF(ISNUMBER(INDEX('register map'!F:F,C594)),5,""),IF(ISNUMBER(INDEX('register map'!E:E,C594)),6,""),IF(ISNUMBER(INDEX('register map'!D:D,C594)),7,""))</f>
        <v/>
      </c>
      <c r="J594" s="117" t="str">
        <f t="shared" si="106"/>
        <v/>
      </c>
      <c r="K594" s="117" t="str">
        <f t="shared" si="99"/>
        <v>10000110</v>
      </c>
      <c r="L594" s="117" t="str">
        <f t="shared" si="107"/>
        <v>01100001</v>
      </c>
      <c r="M594" s="117" t="str">
        <f t="shared" si="109"/>
        <v>61</v>
      </c>
      <c r="N594" s="117" t="str">
        <f>IF(ISBLANK(INDEX('register map'!M:M,'Logical Group Generator'!C594)),"No","Yes")</f>
        <v>No</v>
      </c>
      <c r="O594" s="117" t="str">
        <f>IF(NOT(ISBLANK(INDEX('register map'!N:N,'Logical Group Generator'!C594))),"Yes","")</f>
        <v/>
      </c>
      <c r="P594" s="117" t="str">
        <f t="shared" si="100"/>
        <v>No</v>
      </c>
      <c r="Q594" s="117" t="str">
        <f t="shared" si="101"/>
        <v>No</v>
      </c>
      <c r="R594" s="117" t="str">
        <f t="shared" si="102"/>
        <v>No</v>
      </c>
      <c r="S594" s="117" t="str">
        <f t="shared" si="103"/>
        <v/>
      </c>
      <c r="T594" s="117" t="b">
        <f t="shared" si="104"/>
        <v>1</v>
      </c>
      <c r="U594" s="117" t="b">
        <f t="shared" si="108"/>
        <v>1</v>
      </c>
      <c r="V594" s="157" t="b">
        <f>INDEX('register map'!P:P,C594)="yes"</f>
        <v>1</v>
      </c>
      <c r="W594" s="157" t="str">
        <f t="shared" si="105"/>
        <v>REGISTER</v>
      </c>
    </row>
    <row r="595" spans="2:23">
      <c r="B595" s="157" t="str">
        <f t="array" ref="B595">IF(ROWS($3:595)&lt;=COUNTA('register map'!$L$5:$L$902),INDEX('register map'!$L$5:$L$902,SMALL(IF('register map'!$L$5:$L$902&lt;&gt;"",ROW('register map'!$L$5:$L$902)-MIN(ROW('register map'!$L$5:$L$902))+1),ROWS($3:595))),"")</f>
        <v>OTP_RSVD_38_38_10</v>
      </c>
      <c r="C595" s="157">
        <f>IF(B595="PART_NUMBER",IF(COUNTIF($B$1:B594,"PART_NUMBER")=0,6,8),MATCH(B595,'register map'!L:L,0))</f>
        <v>699</v>
      </c>
      <c r="D595" s="117" t="str">
        <f>IF(ISBLANK(INDEX('register map'!C:C,'Logical Group Generator'!C595)),"No","Yes")</f>
        <v>No</v>
      </c>
      <c r="E595" s="117" t="str">
        <f>IF(ISBLANK(INDEX('register map'!A:A,C595)),IF(ISBLANK(INDEX('register map'!A:A,C595-1)),IF(ISBLANK(INDEX('register map'!A:A,C595-2)),IF(ISBLANK(INDEX('register map'!A:A,C595-3)),IF(ISBLANK(INDEX('register map'!A:A,C595-4)),IF(ISBLANK(INDEX('register map'!A:A,C595-5)),IF(ISBLANK(INDEX('register map'!A:A,C595-6)),IF(ISBLANK(INDEX('register map'!A:A,C595-7)),IF(ISBLANK(INDEX('register map'!A:A,C595-8)),"ERROR",INDEX('register map'!A:A,C595-8)),INDEX('register map'!A:A,C595-7)),INDEX('register map'!A:A,C595-6)),INDEX('register map'!A:A,C595-5)),INDEX('register map'!A:A,C595-4)),INDEX('register map'!A:A,C595-3)),INDEX('register map'!A:A,C595-2)),INDEX('register map'!A:A,C595-1)),INDEX('register map'!A:A,C595))</f>
        <v>0x38</v>
      </c>
      <c r="F595" s="117" t="str">
        <f>IF(ISBLANK(INDEX('register map'!B:B,C595)),IF(ISBLANK(INDEX('register map'!B:B,C595-1)),IF(ISBLANK(INDEX('register map'!B:B,C595-2)),IF(ISBLANK(INDEX('register map'!B:B,C595-3)),IF(ISBLANK(INDEX('register map'!B:B,C595-4)),IF(ISBLANK(INDEX('register map'!B:B,C595-5)),IF(ISBLANK(INDEX('register map'!B:B,C595-6)),IF(ISBLANK(INDEX('register map'!B:B,C595-7)),IF(ISBLANK(INDEX('register map'!B:B,C595-8)),"ERROR",INDEX('register map'!B:B,C595-8)),INDEX('register map'!B:B,C595-7)),INDEX('register map'!B:B,C595-6)),INDEX('register map'!B:B,C595-5)),INDEX('register map'!B:B,C595-4)),INDEX('register map'!B:B,C595-3)),INDEX('register map'!B:B,C595-2)),INDEX('register map'!B:B,C595-1)),INDEX('register map'!B:B,C595))</f>
        <v>0x38</v>
      </c>
      <c r="G595" s="117" t="str">
        <f>CONCATENATE(IF(ISNUMBER(INDEX('register map'!D:D,C595)),7,""),IF(ISNUMBER(INDEX('register map'!E:E,C595)),6,""),IF(ISNUMBER(INDEX('register map'!F:F,C595)),5,""),IF(ISNUMBER(INDEX('register map'!G:G,C595)),4,""),IF(ISNUMBER(INDEX('register map'!H:H,C595)),3,""),IF(ISNUMBER(INDEX('register map'!I:I,C595)),2,""),IF(ISNUMBER(INDEX('register map'!J:J,C595)),1,""),IF(ISNUMBER(INDEX('register map'!K:K,C595)),0,""))</f>
        <v>10</v>
      </c>
      <c r="H595" s="117" t="str">
        <f>RIGHT(INDEX('register map'!V:V,MATCH('Logical Group Generator'!B595,'register map'!L:L,0)),LEN(G595))</f>
        <v>01</v>
      </c>
      <c r="I595" s="117" t="str">
        <f>CONCATENATE(IF(ISNUMBER(INDEX('register map'!K:K,C595)),0,""),IF(ISNUMBER(INDEX('register map'!J:J,C595)),1,""),IF(ISNUMBER(INDEX('register map'!I:I,C595)),2,""),IF(ISNUMBER(INDEX('register map'!H:H,C595)),3,""),IF(ISNUMBER(INDEX('register map'!G:G,C595)),4,""),IF(ISNUMBER(INDEX('register map'!F:F,C595)),5,""),IF(ISNUMBER(INDEX('register map'!E:E,C595)),6,""),IF(ISNUMBER(INDEX('register map'!D:D,C595)),7,""))</f>
        <v>01</v>
      </c>
      <c r="J595" s="117" t="str">
        <f t="shared" si="106"/>
        <v>10</v>
      </c>
      <c r="K595" s="117" t="str">
        <f t="shared" si="99"/>
        <v/>
      </c>
      <c r="L595" s="117" t="str">
        <f t="shared" si="107"/>
        <v/>
      </c>
      <c r="M595" s="117" t="str">
        <f t="shared" si="109"/>
        <v/>
      </c>
      <c r="N595" s="117" t="str">
        <f>IF(ISBLANK(INDEX('register map'!M:M,'Logical Group Generator'!C595)),"No","Yes")</f>
        <v>No</v>
      </c>
      <c r="O595" s="117" t="str">
        <f>IF(NOT(ISBLANK(INDEX('register map'!N:N,'Logical Group Generator'!C595))),"Yes","")</f>
        <v/>
      </c>
      <c r="P595" s="117" t="str">
        <f t="shared" si="100"/>
        <v/>
      </c>
      <c r="Q595" s="117" t="str">
        <f t="shared" si="101"/>
        <v/>
      </c>
      <c r="R595" s="117" t="str">
        <f t="shared" si="102"/>
        <v/>
      </c>
      <c r="S595" s="117" t="str">
        <f t="shared" si="103"/>
        <v>No</v>
      </c>
      <c r="T595" s="117" t="str">
        <f t="shared" si="104"/>
        <v/>
      </c>
      <c r="U595" s="117" t="b">
        <f t="shared" si="108"/>
        <v>0</v>
      </c>
      <c r="V595" s="157" t="b">
        <f>INDEX('register map'!P:P,C595)="yes"</f>
        <v>1</v>
      </c>
      <c r="W595" s="157" t="str">
        <f t="shared" si="105"/>
        <v>FALSE</v>
      </c>
    </row>
    <row r="596" spans="2:23">
      <c r="B596" s="157" t="str">
        <f t="array" ref="B596">IF(ROWS($3:596)&lt;=COUNTA('register map'!$L$5:$L$902),INDEX('register map'!$L$5:$L$902,SMALL(IF('register map'!$L$5:$L$902&lt;&gt;"",ROW('register map'!$L$5:$L$902)-MIN(ROW('register map'!$L$5:$L$902))+1),ROWS($3:596))),"")</f>
        <v>OTP_RSVD_38_38_2</v>
      </c>
      <c r="C596" s="157">
        <f>IF(B596="PART_NUMBER",IF(COUNTIF($B$1:B595,"PART_NUMBER")=0,6,8),MATCH(B596,'register map'!L:L,0))</f>
        <v>700</v>
      </c>
      <c r="D596" s="117" t="str">
        <f>IF(ISBLANK(INDEX('register map'!C:C,'Logical Group Generator'!C596)),"No","Yes")</f>
        <v>No</v>
      </c>
      <c r="E596" s="117" t="str">
        <f>IF(ISBLANK(INDEX('register map'!A:A,C596)),IF(ISBLANK(INDEX('register map'!A:A,C596-1)),IF(ISBLANK(INDEX('register map'!A:A,C596-2)),IF(ISBLANK(INDEX('register map'!A:A,C596-3)),IF(ISBLANK(INDEX('register map'!A:A,C596-4)),IF(ISBLANK(INDEX('register map'!A:A,C596-5)),IF(ISBLANK(INDEX('register map'!A:A,C596-6)),IF(ISBLANK(INDEX('register map'!A:A,C596-7)),IF(ISBLANK(INDEX('register map'!A:A,C596-8)),"ERROR",INDEX('register map'!A:A,C596-8)),INDEX('register map'!A:A,C596-7)),INDEX('register map'!A:A,C596-6)),INDEX('register map'!A:A,C596-5)),INDEX('register map'!A:A,C596-4)),INDEX('register map'!A:A,C596-3)),INDEX('register map'!A:A,C596-2)),INDEX('register map'!A:A,C596-1)),INDEX('register map'!A:A,C596))</f>
        <v>0x38</v>
      </c>
      <c r="F596" s="117" t="str">
        <f>IF(ISBLANK(INDEX('register map'!B:B,C596)),IF(ISBLANK(INDEX('register map'!B:B,C596-1)),IF(ISBLANK(INDEX('register map'!B:B,C596-2)),IF(ISBLANK(INDEX('register map'!B:B,C596-3)),IF(ISBLANK(INDEX('register map'!B:B,C596-4)),IF(ISBLANK(INDEX('register map'!B:B,C596-5)),IF(ISBLANK(INDEX('register map'!B:B,C596-6)),IF(ISBLANK(INDEX('register map'!B:B,C596-7)),IF(ISBLANK(INDEX('register map'!B:B,C596-8)),"ERROR",INDEX('register map'!B:B,C596-8)),INDEX('register map'!B:B,C596-7)),INDEX('register map'!B:B,C596-6)),INDEX('register map'!B:B,C596-5)),INDEX('register map'!B:B,C596-4)),INDEX('register map'!B:B,C596-3)),INDEX('register map'!B:B,C596-2)),INDEX('register map'!B:B,C596-1)),INDEX('register map'!B:B,C596))</f>
        <v>0x38</v>
      </c>
      <c r="G596" s="117" t="str">
        <f>CONCATENATE(IF(ISNUMBER(INDEX('register map'!D:D,C596)),7,""),IF(ISNUMBER(INDEX('register map'!E:E,C596)),6,""),IF(ISNUMBER(INDEX('register map'!F:F,C596)),5,""),IF(ISNUMBER(INDEX('register map'!G:G,C596)),4,""),IF(ISNUMBER(INDEX('register map'!H:H,C596)),3,""),IF(ISNUMBER(INDEX('register map'!I:I,C596)),2,""),IF(ISNUMBER(INDEX('register map'!J:J,C596)),1,""),IF(ISNUMBER(INDEX('register map'!K:K,C596)),0,""))</f>
        <v>2</v>
      </c>
      <c r="H596" s="117" t="str">
        <f>RIGHT(INDEX('register map'!V:V,MATCH('Logical Group Generator'!B596,'register map'!L:L,0)),LEN(G596))</f>
        <v>0</v>
      </c>
      <c r="I596" s="117" t="str">
        <f>CONCATENATE(IF(ISNUMBER(INDEX('register map'!K:K,C596)),0,""),IF(ISNUMBER(INDEX('register map'!J:J,C596)),1,""),IF(ISNUMBER(INDEX('register map'!I:I,C596)),2,""),IF(ISNUMBER(INDEX('register map'!H:H,C596)),3,""),IF(ISNUMBER(INDEX('register map'!G:G,C596)),4,""),IF(ISNUMBER(INDEX('register map'!F:F,C596)),5,""),IF(ISNUMBER(INDEX('register map'!E:E,C596)),6,""),IF(ISNUMBER(INDEX('register map'!D:D,C596)),7,""))</f>
        <v>2</v>
      </c>
      <c r="J596" s="117" t="str">
        <f t="shared" si="106"/>
        <v>0</v>
      </c>
      <c r="K596" s="117" t="str">
        <f t="shared" si="99"/>
        <v/>
      </c>
      <c r="L596" s="117" t="str">
        <f t="shared" si="107"/>
        <v/>
      </c>
      <c r="M596" s="117" t="str">
        <f t="shared" si="109"/>
        <v/>
      </c>
      <c r="N596" s="117" t="str">
        <f>IF(ISBLANK(INDEX('register map'!M:M,'Logical Group Generator'!C596)),"No","Yes")</f>
        <v>No</v>
      </c>
      <c r="O596" s="117" t="str">
        <f>IF(NOT(ISBLANK(INDEX('register map'!N:N,'Logical Group Generator'!C596))),"Yes","")</f>
        <v/>
      </c>
      <c r="P596" s="117" t="str">
        <f t="shared" si="100"/>
        <v/>
      </c>
      <c r="Q596" s="117" t="str">
        <f t="shared" si="101"/>
        <v/>
      </c>
      <c r="R596" s="117" t="str">
        <f t="shared" si="102"/>
        <v/>
      </c>
      <c r="S596" s="117" t="str">
        <f t="shared" si="103"/>
        <v>No</v>
      </c>
      <c r="T596" s="117" t="str">
        <f t="shared" si="104"/>
        <v/>
      </c>
      <c r="U596" s="117" t="b">
        <f t="shared" si="108"/>
        <v>0</v>
      </c>
      <c r="V596" s="157" t="b">
        <f>INDEX('register map'!P:P,C596)="yes"</f>
        <v>1</v>
      </c>
      <c r="W596" s="157" t="str">
        <f t="shared" si="105"/>
        <v>FALSE</v>
      </c>
    </row>
    <row r="597" spans="2:23">
      <c r="B597" s="157" t="str">
        <f t="array" ref="B597">IF(ROWS($3:597)&lt;=COUNTA('register map'!$L$5:$L$902),INDEX('register map'!$L$5:$L$902,SMALL(IF('register map'!$L$5:$L$902&lt;&gt;"",ROW('register map'!$L$5:$L$902)-MIN(ROW('register map'!$L$5:$L$902))+1),ROWS($3:597))),"")</f>
        <v>OTP_RSVD_38_38_3</v>
      </c>
      <c r="C597" s="157">
        <f>IF(B597="PART_NUMBER",IF(COUNTIF($B$1:B596,"PART_NUMBER")=0,6,8),MATCH(B597,'register map'!L:L,0))</f>
        <v>701</v>
      </c>
      <c r="D597" s="117" t="str">
        <f>IF(ISBLANK(INDEX('register map'!C:C,'Logical Group Generator'!C597)),"No","Yes")</f>
        <v>No</v>
      </c>
      <c r="E597" s="117" t="str">
        <f>IF(ISBLANK(INDEX('register map'!A:A,C597)),IF(ISBLANK(INDEX('register map'!A:A,C597-1)),IF(ISBLANK(INDEX('register map'!A:A,C597-2)),IF(ISBLANK(INDEX('register map'!A:A,C597-3)),IF(ISBLANK(INDEX('register map'!A:A,C597-4)),IF(ISBLANK(INDEX('register map'!A:A,C597-5)),IF(ISBLANK(INDEX('register map'!A:A,C597-6)),IF(ISBLANK(INDEX('register map'!A:A,C597-7)),IF(ISBLANK(INDEX('register map'!A:A,C597-8)),"ERROR",INDEX('register map'!A:A,C597-8)),INDEX('register map'!A:A,C597-7)),INDEX('register map'!A:A,C597-6)),INDEX('register map'!A:A,C597-5)),INDEX('register map'!A:A,C597-4)),INDEX('register map'!A:A,C597-3)),INDEX('register map'!A:A,C597-2)),INDEX('register map'!A:A,C597-1)),INDEX('register map'!A:A,C597))</f>
        <v>0x38</v>
      </c>
      <c r="F597" s="117" t="str">
        <f>IF(ISBLANK(INDEX('register map'!B:B,C597)),IF(ISBLANK(INDEX('register map'!B:B,C597-1)),IF(ISBLANK(INDEX('register map'!B:B,C597-2)),IF(ISBLANK(INDEX('register map'!B:B,C597-3)),IF(ISBLANK(INDEX('register map'!B:B,C597-4)),IF(ISBLANK(INDEX('register map'!B:B,C597-5)),IF(ISBLANK(INDEX('register map'!B:B,C597-6)),IF(ISBLANK(INDEX('register map'!B:B,C597-7)),IF(ISBLANK(INDEX('register map'!B:B,C597-8)),"ERROR",INDEX('register map'!B:B,C597-8)),INDEX('register map'!B:B,C597-7)),INDEX('register map'!B:B,C597-6)),INDEX('register map'!B:B,C597-5)),INDEX('register map'!B:B,C597-4)),INDEX('register map'!B:B,C597-3)),INDEX('register map'!B:B,C597-2)),INDEX('register map'!B:B,C597-1)),INDEX('register map'!B:B,C597))</f>
        <v>0x38</v>
      </c>
      <c r="G597" s="117" t="str">
        <f>CONCATENATE(IF(ISNUMBER(INDEX('register map'!D:D,C597)),7,""),IF(ISNUMBER(INDEX('register map'!E:E,C597)),6,""),IF(ISNUMBER(INDEX('register map'!F:F,C597)),5,""),IF(ISNUMBER(INDEX('register map'!G:G,C597)),4,""),IF(ISNUMBER(INDEX('register map'!H:H,C597)),3,""),IF(ISNUMBER(INDEX('register map'!I:I,C597)),2,""),IF(ISNUMBER(INDEX('register map'!J:J,C597)),1,""),IF(ISNUMBER(INDEX('register map'!K:K,C597)),0,""))</f>
        <v>3</v>
      </c>
      <c r="H597" s="117" t="str">
        <f>RIGHT(INDEX('register map'!V:V,MATCH('Logical Group Generator'!B597,'register map'!L:L,0)),LEN(G597))</f>
        <v>0</v>
      </c>
      <c r="I597" s="117" t="str">
        <f>CONCATENATE(IF(ISNUMBER(INDEX('register map'!K:K,C597)),0,""),IF(ISNUMBER(INDEX('register map'!J:J,C597)),1,""),IF(ISNUMBER(INDEX('register map'!I:I,C597)),2,""),IF(ISNUMBER(INDEX('register map'!H:H,C597)),3,""),IF(ISNUMBER(INDEX('register map'!G:G,C597)),4,""),IF(ISNUMBER(INDEX('register map'!F:F,C597)),5,""),IF(ISNUMBER(INDEX('register map'!E:E,C597)),6,""),IF(ISNUMBER(INDEX('register map'!D:D,C597)),7,""))</f>
        <v>3</v>
      </c>
      <c r="J597" s="117" t="str">
        <f t="shared" si="106"/>
        <v>0</v>
      </c>
      <c r="K597" s="117" t="str">
        <f t="shared" si="99"/>
        <v/>
      </c>
      <c r="L597" s="117" t="str">
        <f t="shared" si="107"/>
        <v/>
      </c>
      <c r="M597" s="117" t="str">
        <f t="shared" si="109"/>
        <v/>
      </c>
      <c r="N597" s="117" t="str">
        <f>IF(ISBLANK(INDEX('register map'!M:M,'Logical Group Generator'!C597)),"No","Yes")</f>
        <v>No</v>
      </c>
      <c r="O597" s="117" t="str">
        <f>IF(NOT(ISBLANK(INDEX('register map'!N:N,'Logical Group Generator'!C597))),"Yes","")</f>
        <v/>
      </c>
      <c r="P597" s="117" t="str">
        <f t="shared" si="100"/>
        <v/>
      </c>
      <c r="Q597" s="117" t="str">
        <f t="shared" si="101"/>
        <v/>
      </c>
      <c r="R597" s="117" t="str">
        <f t="shared" si="102"/>
        <v/>
      </c>
      <c r="S597" s="117" t="str">
        <f t="shared" si="103"/>
        <v>No</v>
      </c>
      <c r="T597" s="117" t="str">
        <f t="shared" si="104"/>
        <v/>
      </c>
      <c r="U597" s="117" t="b">
        <f t="shared" si="108"/>
        <v>0</v>
      </c>
      <c r="V597" s="157" t="b">
        <f>INDEX('register map'!P:P,C597)="yes"</f>
        <v>1</v>
      </c>
      <c r="W597" s="157" t="str">
        <f t="shared" si="105"/>
        <v>FALSE</v>
      </c>
    </row>
    <row r="598" spans="2:23">
      <c r="B598" s="157" t="str">
        <f t="array" ref="B598">IF(ROWS($3:598)&lt;=COUNTA('register map'!$L$5:$L$902),INDEX('register map'!$L$5:$L$902,SMALL(IF('register map'!$L$5:$L$902&lt;&gt;"",ROW('register map'!$L$5:$L$902)-MIN(ROW('register map'!$L$5:$L$902))+1),ROWS($3:598))),"")</f>
        <v>OTP_RSVD_38_38_4</v>
      </c>
      <c r="C598" s="157">
        <f>IF(B598="PART_NUMBER",IF(COUNTIF($B$1:B597,"PART_NUMBER")=0,6,8),MATCH(B598,'register map'!L:L,0))</f>
        <v>702</v>
      </c>
      <c r="D598" s="117" t="str">
        <f>IF(ISBLANK(INDEX('register map'!C:C,'Logical Group Generator'!C598)),"No","Yes")</f>
        <v>No</v>
      </c>
      <c r="E598" s="117" t="str">
        <f>IF(ISBLANK(INDEX('register map'!A:A,C598)),IF(ISBLANK(INDEX('register map'!A:A,C598-1)),IF(ISBLANK(INDEX('register map'!A:A,C598-2)),IF(ISBLANK(INDEX('register map'!A:A,C598-3)),IF(ISBLANK(INDEX('register map'!A:A,C598-4)),IF(ISBLANK(INDEX('register map'!A:A,C598-5)),IF(ISBLANK(INDEX('register map'!A:A,C598-6)),IF(ISBLANK(INDEX('register map'!A:A,C598-7)),IF(ISBLANK(INDEX('register map'!A:A,C598-8)),"ERROR",INDEX('register map'!A:A,C598-8)),INDEX('register map'!A:A,C598-7)),INDEX('register map'!A:A,C598-6)),INDEX('register map'!A:A,C598-5)),INDEX('register map'!A:A,C598-4)),INDEX('register map'!A:A,C598-3)),INDEX('register map'!A:A,C598-2)),INDEX('register map'!A:A,C598-1)),INDEX('register map'!A:A,C598))</f>
        <v>0x38</v>
      </c>
      <c r="F598" s="117" t="str">
        <f>IF(ISBLANK(INDEX('register map'!B:B,C598)),IF(ISBLANK(INDEX('register map'!B:B,C598-1)),IF(ISBLANK(INDEX('register map'!B:B,C598-2)),IF(ISBLANK(INDEX('register map'!B:B,C598-3)),IF(ISBLANK(INDEX('register map'!B:B,C598-4)),IF(ISBLANK(INDEX('register map'!B:B,C598-5)),IF(ISBLANK(INDEX('register map'!B:B,C598-6)),IF(ISBLANK(INDEX('register map'!B:B,C598-7)),IF(ISBLANK(INDEX('register map'!B:B,C598-8)),"ERROR",INDEX('register map'!B:B,C598-8)),INDEX('register map'!B:B,C598-7)),INDEX('register map'!B:B,C598-6)),INDEX('register map'!B:B,C598-5)),INDEX('register map'!B:B,C598-4)),INDEX('register map'!B:B,C598-3)),INDEX('register map'!B:B,C598-2)),INDEX('register map'!B:B,C598-1)),INDEX('register map'!B:B,C598))</f>
        <v>0x38</v>
      </c>
      <c r="G598" s="117" t="str">
        <f>CONCATENATE(IF(ISNUMBER(INDEX('register map'!D:D,C598)),7,""),IF(ISNUMBER(INDEX('register map'!E:E,C598)),6,""),IF(ISNUMBER(INDEX('register map'!F:F,C598)),5,""),IF(ISNUMBER(INDEX('register map'!G:G,C598)),4,""),IF(ISNUMBER(INDEX('register map'!H:H,C598)),3,""),IF(ISNUMBER(INDEX('register map'!I:I,C598)),2,""),IF(ISNUMBER(INDEX('register map'!J:J,C598)),1,""),IF(ISNUMBER(INDEX('register map'!K:K,C598)),0,""))</f>
        <v>4</v>
      </c>
      <c r="H598" s="117" t="str">
        <f>RIGHT(INDEX('register map'!V:V,MATCH('Logical Group Generator'!B598,'register map'!L:L,0)),LEN(G598))</f>
        <v>0</v>
      </c>
      <c r="I598" s="117" t="str">
        <f>CONCATENATE(IF(ISNUMBER(INDEX('register map'!K:K,C598)),0,""),IF(ISNUMBER(INDEX('register map'!J:J,C598)),1,""),IF(ISNUMBER(INDEX('register map'!I:I,C598)),2,""),IF(ISNUMBER(INDEX('register map'!H:H,C598)),3,""),IF(ISNUMBER(INDEX('register map'!G:G,C598)),4,""),IF(ISNUMBER(INDEX('register map'!F:F,C598)),5,""),IF(ISNUMBER(INDEX('register map'!E:E,C598)),6,""),IF(ISNUMBER(INDEX('register map'!D:D,C598)),7,""))</f>
        <v>4</v>
      </c>
      <c r="J598" s="117" t="str">
        <f t="shared" si="106"/>
        <v>0</v>
      </c>
      <c r="K598" s="117" t="str">
        <f t="shared" si="99"/>
        <v/>
      </c>
      <c r="L598" s="117" t="str">
        <f t="shared" si="107"/>
        <v/>
      </c>
      <c r="M598" s="117" t="str">
        <f t="shared" si="109"/>
        <v/>
      </c>
      <c r="N598" s="117" t="str">
        <f>IF(ISBLANK(INDEX('register map'!M:M,'Logical Group Generator'!C598)),"No","Yes")</f>
        <v>No</v>
      </c>
      <c r="O598" s="117" t="str">
        <f>IF(NOT(ISBLANK(INDEX('register map'!N:N,'Logical Group Generator'!C598))),"Yes","")</f>
        <v/>
      </c>
      <c r="P598" s="117" t="str">
        <f t="shared" si="100"/>
        <v/>
      </c>
      <c r="Q598" s="117" t="str">
        <f t="shared" si="101"/>
        <v/>
      </c>
      <c r="R598" s="117" t="str">
        <f t="shared" si="102"/>
        <v/>
      </c>
      <c r="S598" s="117" t="str">
        <f t="shared" si="103"/>
        <v>No</v>
      </c>
      <c r="T598" s="117" t="str">
        <f t="shared" si="104"/>
        <v/>
      </c>
      <c r="U598" s="117" t="b">
        <f t="shared" si="108"/>
        <v>0</v>
      </c>
      <c r="V598" s="157" t="b">
        <f>INDEX('register map'!P:P,C598)="yes"</f>
        <v>1</v>
      </c>
      <c r="W598" s="157" t="str">
        <f t="shared" si="105"/>
        <v>FALSE</v>
      </c>
    </row>
    <row r="599" spans="2:23">
      <c r="B599" s="157" t="str">
        <f t="array" ref="B599">IF(ROWS($3:599)&lt;=COUNTA('register map'!$L$5:$L$902),INDEX('register map'!$L$5:$L$902,SMALL(IF('register map'!$L$5:$L$902&lt;&gt;"",ROW('register map'!$L$5:$L$902)-MIN(ROW('register map'!$L$5:$L$902))+1),ROWS($3:599))),"")</f>
        <v>OTP_RSVD_38_38_5</v>
      </c>
      <c r="C599" s="157">
        <f>IF(B599="PART_NUMBER",IF(COUNTIF($B$1:B598,"PART_NUMBER")=0,6,8),MATCH(B599,'register map'!L:L,0))</f>
        <v>703</v>
      </c>
      <c r="D599" s="117" t="str">
        <f>IF(ISBLANK(INDEX('register map'!C:C,'Logical Group Generator'!C599)),"No","Yes")</f>
        <v>No</v>
      </c>
      <c r="E599" s="117" t="str">
        <f>IF(ISBLANK(INDEX('register map'!A:A,C599)),IF(ISBLANK(INDEX('register map'!A:A,C599-1)),IF(ISBLANK(INDEX('register map'!A:A,C599-2)),IF(ISBLANK(INDEX('register map'!A:A,C599-3)),IF(ISBLANK(INDEX('register map'!A:A,C599-4)),IF(ISBLANK(INDEX('register map'!A:A,C599-5)),IF(ISBLANK(INDEX('register map'!A:A,C599-6)),IF(ISBLANK(INDEX('register map'!A:A,C599-7)),IF(ISBLANK(INDEX('register map'!A:A,C599-8)),"ERROR",INDEX('register map'!A:A,C599-8)),INDEX('register map'!A:A,C599-7)),INDEX('register map'!A:A,C599-6)),INDEX('register map'!A:A,C599-5)),INDEX('register map'!A:A,C599-4)),INDEX('register map'!A:A,C599-3)),INDEX('register map'!A:A,C599-2)),INDEX('register map'!A:A,C599-1)),INDEX('register map'!A:A,C599))</f>
        <v>0x38</v>
      </c>
      <c r="F599" s="117" t="str">
        <f>IF(ISBLANK(INDEX('register map'!B:B,C599)),IF(ISBLANK(INDEX('register map'!B:B,C599-1)),IF(ISBLANK(INDEX('register map'!B:B,C599-2)),IF(ISBLANK(INDEX('register map'!B:B,C599-3)),IF(ISBLANK(INDEX('register map'!B:B,C599-4)),IF(ISBLANK(INDEX('register map'!B:B,C599-5)),IF(ISBLANK(INDEX('register map'!B:B,C599-6)),IF(ISBLANK(INDEX('register map'!B:B,C599-7)),IF(ISBLANK(INDEX('register map'!B:B,C599-8)),"ERROR",INDEX('register map'!B:B,C599-8)),INDEX('register map'!B:B,C599-7)),INDEX('register map'!B:B,C599-6)),INDEX('register map'!B:B,C599-5)),INDEX('register map'!B:B,C599-4)),INDEX('register map'!B:B,C599-3)),INDEX('register map'!B:B,C599-2)),INDEX('register map'!B:B,C599-1)),INDEX('register map'!B:B,C599))</f>
        <v>0x38</v>
      </c>
      <c r="G599" s="117" t="str">
        <f>CONCATENATE(IF(ISNUMBER(INDEX('register map'!D:D,C599)),7,""),IF(ISNUMBER(INDEX('register map'!E:E,C599)),6,""),IF(ISNUMBER(INDEX('register map'!F:F,C599)),5,""),IF(ISNUMBER(INDEX('register map'!G:G,C599)),4,""),IF(ISNUMBER(INDEX('register map'!H:H,C599)),3,""),IF(ISNUMBER(INDEX('register map'!I:I,C599)),2,""),IF(ISNUMBER(INDEX('register map'!J:J,C599)),1,""),IF(ISNUMBER(INDEX('register map'!K:K,C599)),0,""))</f>
        <v>5</v>
      </c>
      <c r="H599" s="117" t="str">
        <f>RIGHT(INDEX('register map'!V:V,MATCH('Logical Group Generator'!B599,'register map'!L:L,0)),LEN(G599))</f>
        <v>1</v>
      </c>
      <c r="I599" s="117" t="str">
        <f>CONCATENATE(IF(ISNUMBER(INDEX('register map'!K:K,C599)),0,""),IF(ISNUMBER(INDEX('register map'!J:J,C599)),1,""),IF(ISNUMBER(INDEX('register map'!I:I,C599)),2,""),IF(ISNUMBER(INDEX('register map'!H:H,C599)),3,""),IF(ISNUMBER(INDEX('register map'!G:G,C599)),4,""),IF(ISNUMBER(INDEX('register map'!F:F,C599)),5,""),IF(ISNUMBER(INDEX('register map'!E:E,C599)),6,""),IF(ISNUMBER(INDEX('register map'!D:D,C599)),7,""))</f>
        <v>5</v>
      </c>
      <c r="J599" s="117" t="str">
        <f t="shared" si="106"/>
        <v>1</v>
      </c>
      <c r="K599" s="117" t="str">
        <f t="shared" si="99"/>
        <v/>
      </c>
      <c r="L599" s="117" t="str">
        <f t="shared" si="107"/>
        <v/>
      </c>
      <c r="M599" s="117" t="str">
        <f t="shared" si="109"/>
        <v/>
      </c>
      <c r="N599" s="117" t="str">
        <f>IF(ISBLANK(INDEX('register map'!M:M,'Logical Group Generator'!C599)),"No","Yes")</f>
        <v>No</v>
      </c>
      <c r="O599" s="117" t="str">
        <f>IF(NOT(ISBLANK(INDEX('register map'!N:N,'Logical Group Generator'!C599))),"Yes","")</f>
        <v/>
      </c>
      <c r="P599" s="117" t="str">
        <f t="shared" si="100"/>
        <v/>
      </c>
      <c r="Q599" s="117" t="str">
        <f t="shared" si="101"/>
        <v/>
      </c>
      <c r="R599" s="117" t="str">
        <f t="shared" si="102"/>
        <v/>
      </c>
      <c r="S599" s="117" t="str">
        <f t="shared" si="103"/>
        <v>No</v>
      </c>
      <c r="T599" s="117" t="str">
        <f t="shared" si="104"/>
        <v/>
      </c>
      <c r="U599" s="117" t="b">
        <f t="shared" si="108"/>
        <v>0</v>
      </c>
      <c r="V599" s="157" t="b">
        <f>INDEX('register map'!P:P,C599)="yes"</f>
        <v>1</v>
      </c>
      <c r="W599" s="157" t="str">
        <f t="shared" si="105"/>
        <v>FALSE</v>
      </c>
    </row>
    <row r="600" spans="2:23">
      <c r="B600" s="157" t="str">
        <f t="array" ref="B600">IF(ROWS($3:600)&lt;=COUNTA('register map'!$L$5:$L$902),INDEX('register map'!$L$5:$L$902,SMALL(IF('register map'!$L$5:$L$902&lt;&gt;"",ROW('register map'!$L$5:$L$902)-MIN(ROW('register map'!$L$5:$L$902))+1),ROWS($3:600))),"")</f>
        <v>OTP_RSVD_38_38_76</v>
      </c>
      <c r="C600" s="157">
        <f>IF(B600="PART_NUMBER",IF(COUNTIF($B$1:B599,"PART_NUMBER")=0,6,8),MATCH(B600,'register map'!L:L,0))</f>
        <v>704</v>
      </c>
      <c r="D600" s="117" t="str">
        <f>IF(ISBLANK(INDEX('register map'!C:C,'Logical Group Generator'!C600)),"No","Yes")</f>
        <v>No</v>
      </c>
      <c r="E600" s="117" t="str">
        <f>IF(ISBLANK(INDEX('register map'!A:A,C600)),IF(ISBLANK(INDEX('register map'!A:A,C600-1)),IF(ISBLANK(INDEX('register map'!A:A,C600-2)),IF(ISBLANK(INDEX('register map'!A:A,C600-3)),IF(ISBLANK(INDEX('register map'!A:A,C600-4)),IF(ISBLANK(INDEX('register map'!A:A,C600-5)),IF(ISBLANK(INDEX('register map'!A:A,C600-6)),IF(ISBLANK(INDEX('register map'!A:A,C600-7)),IF(ISBLANK(INDEX('register map'!A:A,C600-8)),"ERROR",INDEX('register map'!A:A,C600-8)),INDEX('register map'!A:A,C600-7)),INDEX('register map'!A:A,C600-6)),INDEX('register map'!A:A,C600-5)),INDEX('register map'!A:A,C600-4)),INDEX('register map'!A:A,C600-3)),INDEX('register map'!A:A,C600-2)),INDEX('register map'!A:A,C600-1)),INDEX('register map'!A:A,C600))</f>
        <v>0x38</v>
      </c>
      <c r="F600" s="117" t="str">
        <f>IF(ISBLANK(INDEX('register map'!B:B,C600)),IF(ISBLANK(INDEX('register map'!B:B,C600-1)),IF(ISBLANK(INDEX('register map'!B:B,C600-2)),IF(ISBLANK(INDEX('register map'!B:B,C600-3)),IF(ISBLANK(INDEX('register map'!B:B,C600-4)),IF(ISBLANK(INDEX('register map'!B:B,C600-5)),IF(ISBLANK(INDEX('register map'!B:B,C600-6)),IF(ISBLANK(INDEX('register map'!B:B,C600-7)),IF(ISBLANK(INDEX('register map'!B:B,C600-8)),"ERROR",INDEX('register map'!B:B,C600-8)),INDEX('register map'!B:B,C600-7)),INDEX('register map'!B:B,C600-6)),INDEX('register map'!B:B,C600-5)),INDEX('register map'!B:B,C600-4)),INDEX('register map'!B:B,C600-3)),INDEX('register map'!B:B,C600-2)),INDEX('register map'!B:B,C600-1)),INDEX('register map'!B:B,C600))</f>
        <v>0x38</v>
      </c>
      <c r="G600" s="117" t="str">
        <f>CONCATENATE(IF(ISNUMBER(INDEX('register map'!D:D,C600)),7,""),IF(ISNUMBER(INDEX('register map'!E:E,C600)),6,""),IF(ISNUMBER(INDEX('register map'!F:F,C600)),5,""),IF(ISNUMBER(INDEX('register map'!G:G,C600)),4,""),IF(ISNUMBER(INDEX('register map'!H:H,C600)),3,""),IF(ISNUMBER(INDEX('register map'!I:I,C600)),2,""),IF(ISNUMBER(INDEX('register map'!J:J,C600)),1,""),IF(ISNUMBER(INDEX('register map'!K:K,C600)),0,""))</f>
        <v>76</v>
      </c>
      <c r="H600" s="117" t="str">
        <f>RIGHT(INDEX('register map'!V:V,MATCH('Logical Group Generator'!B600,'register map'!L:L,0)),LEN(G600))</f>
        <v>01</v>
      </c>
      <c r="I600" s="117" t="str">
        <f>CONCATENATE(IF(ISNUMBER(INDEX('register map'!K:K,C600)),0,""),IF(ISNUMBER(INDEX('register map'!J:J,C600)),1,""),IF(ISNUMBER(INDEX('register map'!I:I,C600)),2,""),IF(ISNUMBER(INDEX('register map'!H:H,C600)),3,""),IF(ISNUMBER(INDEX('register map'!G:G,C600)),4,""),IF(ISNUMBER(INDEX('register map'!F:F,C600)),5,""),IF(ISNUMBER(INDEX('register map'!E:E,C600)),6,""),IF(ISNUMBER(INDEX('register map'!D:D,C600)),7,""))</f>
        <v>67</v>
      </c>
      <c r="J600" s="117" t="str">
        <f t="shared" si="106"/>
        <v>10</v>
      </c>
      <c r="K600" s="117" t="str">
        <f t="shared" si="99"/>
        <v/>
      </c>
      <c r="L600" s="117" t="str">
        <f t="shared" si="107"/>
        <v/>
      </c>
      <c r="M600" s="117" t="str">
        <f t="shared" si="109"/>
        <v/>
      </c>
      <c r="N600" s="117" t="str">
        <f>IF(ISBLANK(INDEX('register map'!M:M,'Logical Group Generator'!C600)),"No","Yes")</f>
        <v>No</v>
      </c>
      <c r="O600" s="117" t="str">
        <f>IF(NOT(ISBLANK(INDEX('register map'!N:N,'Logical Group Generator'!C600))),"Yes","")</f>
        <v/>
      </c>
      <c r="P600" s="117" t="str">
        <f t="shared" si="100"/>
        <v/>
      </c>
      <c r="Q600" s="117" t="str">
        <f t="shared" si="101"/>
        <v/>
      </c>
      <c r="R600" s="117" t="str">
        <f t="shared" si="102"/>
        <v/>
      </c>
      <c r="S600" s="117" t="str">
        <f t="shared" si="103"/>
        <v>No</v>
      </c>
      <c r="T600" s="117" t="str">
        <f t="shared" si="104"/>
        <v/>
      </c>
      <c r="U600" s="117" t="b">
        <f t="shared" si="108"/>
        <v>0</v>
      </c>
      <c r="V600" s="157" t="b">
        <f>INDEX('register map'!P:P,C600)="yes"</f>
        <v>1</v>
      </c>
      <c r="W600" s="157" t="str">
        <f t="shared" si="105"/>
        <v>FALSE</v>
      </c>
    </row>
    <row r="601" spans="2:23">
      <c r="B601" s="157" t="str">
        <f t="array" ref="B601">IF(ROWS($3:601)&lt;=COUNTA('register map'!$L$5:$L$902),INDEX('register map'!$L$5:$L$902,SMALL(IF('register map'!$L$5:$L$902&lt;&gt;"",ROW('register map'!$L$5:$L$902)-MIN(ROW('register map'!$L$5:$L$902))+1),ROWS($3:601))),"")</f>
        <v>OTP_RSVD_38_39</v>
      </c>
      <c r="C601" s="157">
        <f>IF(B601="PART_NUMBER",IF(COUNTIF($B$1:B600,"PART_NUMBER")=0,6,8),MATCH(B601,'register map'!L:L,0))</f>
        <v>705</v>
      </c>
      <c r="D601" s="117" t="str">
        <f>IF(ISBLANK(INDEX('register map'!C:C,'Logical Group Generator'!C601)),"No","Yes")</f>
        <v>Yes</v>
      </c>
      <c r="E601" s="117" t="str">
        <f>IF(ISBLANK(INDEX('register map'!A:A,C601)),IF(ISBLANK(INDEX('register map'!A:A,C601-1)),IF(ISBLANK(INDEX('register map'!A:A,C601-2)),IF(ISBLANK(INDEX('register map'!A:A,C601-3)),IF(ISBLANK(INDEX('register map'!A:A,C601-4)),IF(ISBLANK(INDEX('register map'!A:A,C601-5)),IF(ISBLANK(INDEX('register map'!A:A,C601-6)),IF(ISBLANK(INDEX('register map'!A:A,C601-7)),IF(ISBLANK(INDEX('register map'!A:A,C601-8)),"ERROR",INDEX('register map'!A:A,C601-8)),INDEX('register map'!A:A,C601-7)),INDEX('register map'!A:A,C601-6)),INDEX('register map'!A:A,C601-5)),INDEX('register map'!A:A,C601-4)),INDEX('register map'!A:A,C601-3)),INDEX('register map'!A:A,C601-2)),INDEX('register map'!A:A,C601-1)),INDEX('register map'!A:A,C601))</f>
        <v>0x38</v>
      </c>
      <c r="F601" s="117" t="str">
        <f>IF(ISBLANK(INDEX('register map'!B:B,C601)),IF(ISBLANK(INDEX('register map'!B:B,C601-1)),IF(ISBLANK(INDEX('register map'!B:B,C601-2)),IF(ISBLANK(INDEX('register map'!B:B,C601-3)),IF(ISBLANK(INDEX('register map'!B:B,C601-4)),IF(ISBLANK(INDEX('register map'!B:B,C601-5)),IF(ISBLANK(INDEX('register map'!B:B,C601-6)),IF(ISBLANK(INDEX('register map'!B:B,C601-7)),IF(ISBLANK(INDEX('register map'!B:B,C601-8)),"ERROR",INDEX('register map'!B:B,C601-8)),INDEX('register map'!B:B,C601-7)),INDEX('register map'!B:B,C601-6)),INDEX('register map'!B:B,C601-5)),INDEX('register map'!B:B,C601-4)),INDEX('register map'!B:B,C601-3)),INDEX('register map'!B:B,C601-2)),INDEX('register map'!B:B,C601-1)),INDEX('register map'!B:B,C601))</f>
        <v>0x39</v>
      </c>
      <c r="G601" s="117" t="str">
        <f>CONCATENATE(IF(ISNUMBER(INDEX('register map'!D:D,C601)),7,""),IF(ISNUMBER(INDEX('register map'!E:E,C601)),6,""),IF(ISNUMBER(INDEX('register map'!F:F,C601)),5,""),IF(ISNUMBER(INDEX('register map'!G:G,C601)),4,""),IF(ISNUMBER(INDEX('register map'!H:H,C601)),3,""),IF(ISNUMBER(INDEX('register map'!I:I,C601)),2,""),IF(ISNUMBER(INDEX('register map'!J:J,C601)),1,""),IF(ISNUMBER(INDEX('register map'!K:K,C601)),0,""))</f>
        <v/>
      </c>
      <c r="H601" s="117" t="str">
        <f>RIGHT(INDEX('register map'!V:V,MATCH('Logical Group Generator'!B601,'register map'!L:L,0)),LEN(G601))</f>
        <v/>
      </c>
      <c r="I601" s="117" t="str">
        <f>CONCATENATE(IF(ISNUMBER(INDEX('register map'!K:K,C601)),0,""),IF(ISNUMBER(INDEX('register map'!J:J,C601)),1,""),IF(ISNUMBER(INDEX('register map'!I:I,C601)),2,""),IF(ISNUMBER(INDEX('register map'!H:H,C601)),3,""),IF(ISNUMBER(INDEX('register map'!G:G,C601)),4,""),IF(ISNUMBER(INDEX('register map'!F:F,C601)),5,""),IF(ISNUMBER(INDEX('register map'!E:E,C601)),6,""),IF(ISNUMBER(INDEX('register map'!D:D,C601)),7,""))</f>
        <v/>
      </c>
      <c r="J601" s="117" t="str">
        <f t="shared" si="106"/>
        <v/>
      </c>
      <c r="K601" s="117" t="str">
        <f t="shared" si="99"/>
        <v>01010001</v>
      </c>
      <c r="L601" s="117" t="str">
        <f t="shared" si="107"/>
        <v>10001010</v>
      </c>
      <c r="M601" s="117" t="str">
        <f t="shared" si="109"/>
        <v>8A</v>
      </c>
      <c r="N601" s="117" t="str">
        <f>IF(ISBLANK(INDEX('register map'!M:M,'Logical Group Generator'!C601)),"No","Yes")</f>
        <v>No</v>
      </c>
      <c r="O601" s="117" t="str">
        <f>IF(NOT(ISBLANK(INDEX('register map'!N:N,'Logical Group Generator'!C601))),"Yes","")</f>
        <v/>
      </c>
      <c r="P601" s="117" t="str">
        <f t="shared" si="100"/>
        <v>Yes</v>
      </c>
      <c r="Q601" s="117" t="str">
        <f t="shared" si="101"/>
        <v>Yes</v>
      </c>
      <c r="R601" s="117" t="str">
        <f t="shared" si="102"/>
        <v>No</v>
      </c>
      <c r="S601" s="117" t="str">
        <f t="shared" si="103"/>
        <v/>
      </c>
      <c r="T601" s="117" t="b">
        <f t="shared" si="104"/>
        <v>1</v>
      </c>
      <c r="U601" s="117" t="b">
        <f t="shared" si="108"/>
        <v>0</v>
      </c>
      <c r="V601" s="157" t="b">
        <f>INDEX('register map'!P:P,C601)="yes"</f>
        <v>1</v>
      </c>
      <c r="W601" s="157" t="str">
        <f t="shared" si="105"/>
        <v>FALSE</v>
      </c>
    </row>
    <row r="602" spans="2:23">
      <c r="B602" s="157" t="str">
        <f t="array" ref="B602">IF(ROWS($3:602)&lt;=COUNTA('register map'!$L$5:$L$902),INDEX('register map'!$L$5:$L$902,SMALL(IF('register map'!$L$5:$L$902&lt;&gt;"",ROW('register map'!$L$5:$L$902)-MIN(ROW('register map'!$L$5:$L$902))+1),ROWS($3:602))),"")</f>
        <v>OTP_RSVD_38_39_210</v>
      </c>
      <c r="C602" s="157">
        <f>IF(B602="PART_NUMBER",IF(COUNTIF($B$1:B601,"PART_NUMBER")=0,6,8),MATCH(B602,'register map'!L:L,0))</f>
        <v>706</v>
      </c>
      <c r="D602" s="117" t="str">
        <f>IF(ISBLANK(INDEX('register map'!C:C,'Logical Group Generator'!C602)),"No","Yes")</f>
        <v>No</v>
      </c>
      <c r="E602" s="117" t="str">
        <f>IF(ISBLANK(INDEX('register map'!A:A,C602)),IF(ISBLANK(INDEX('register map'!A:A,C602-1)),IF(ISBLANK(INDEX('register map'!A:A,C602-2)),IF(ISBLANK(INDEX('register map'!A:A,C602-3)),IF(ISBLANK(INDEX('register map'!A:A,C602-4)),IF(ISBLANK(INDEX('register map'!A:A,C602-5)),IF(ISBLANK(INDEX('register map'!A:A,C602-6)),IF(ISBLANK(INDEX('register map'!A:A,C602-7)),IF(ISBLANK(INDEX('register map'!A:A,C602-8)),"ERROR",INDEX('register map'!A:A,C602-8)),INDEX('register map'!A:A,C602-7)),INDEX('register map'!A:A,C602-6)),INDEX('register map'!A:A,C602-5)),INDEX('register map'!A:A,C602-4)),INDEX('register map'!A:A,C602-3)),INDEX('register map'!A:A,C602-2)),INDEX('register map'!A:A,C602-1)),INDEX('register map'!A:A,C602))</f>
        <v>0x38</v>
      </c>
      <c r="F602" s="117" t="str">
        <f>IF(ISBLANK(INDEX('register map'!B:B,C602)),IF(ISBLANK(INDEX('register map'!B:B,C602-1)),IF(ISBLANK(INDEX('register map'!B:B,C602-2)),IF(ISBLANK(INDEX('register map'!B:B,C602-3)),IF(ISBLANK(INDEX('register map'!B:B,C602-4)),IF(ISBLANK(INDEX('register map'!B:B,C602-5)),IF(ISBLANK(INDEX('register map'!B:B,C602-6)),IF(ISBLANK(INDEX('register map'!B:B,C602-7)),IF(ISBLANK(INDEX('register map'!B:B,C602-8)),"ERROR",INDEX('register map'!B:B,C602-8)),INDEX('register map'!B:B,C602-7)),INDEX('register map'!B:B,C602-6)),INDEX('register map'!B:B,C602-5)),INDEX('register map'!B:B,C602-4)),INDEX('register map'!B:B,C602-3)),INDEX('register map'!B:B,C602-2)),INDEX('register map'!B:B,C602-1)),INDEX('register map'!B:B,C602))</f>
        <v>0x39</v>
      </c>
      <c r="G602" s="117" t="str">
        <f>CONCATENATE(IF(ISNUMBER(INDEX('register map'!D:D,C602)),7,""),IF(ISNUMBER(INDEX('register map'!E:E,C602)),6,""),IF(ISNUMBER(INDEX('register map'!F:F,C602)),5,""),IF(ISNUMBER(INDEX('register map'!G:G,C602)),4,""),IF(ISNUMBER(INDEX('register map'!H:H,C602)),3,""),IF(ISNUMBER(INDEX('register map'!I:I,C602)),2,""),IF(ISNUMBER(INDEX('register map'!J:J,C602)),1,""),IF(ISNUMBER(INDEX('register map'!K:K,C602)),0,""))</f>
        <v>210</v>
      </c>
      <c r="H602" s="117" t="str">
        <f>RIGHT(INDEX('register map'!V:V,MATCH('Logical Group Generator'!B602,'register map'!L:L,0)),LEN(G602))</f>
        <v>010</v>
      </c>
      <c r="I602" s="117" t="str">
        <f>CONCATENATE(IF(ISNUMBER(INDEX('register map'!K:K,C602)),0,""),IF(ISNUMBER(INDEX('register map'!J:J,C602)),1,""),IF(ISNUMBER(INDEX('register map'!I:I,C602)),2,""),IF(ISNUMBER(INDEX('register map'!H:H,C602)),3,""),IF(ISNUMBER(INDEX('register map'!G:G,C602)),4,""),IF(ISNUMBER(INDEX('register map'!F:F,C602)),5,""),IF(ISNUMBER(INDEX('register map'!E:E,C602)),6,""),IF(ISNUMBER(INDEX('register map'!D:D,C602)),7,""))</f>
        <v>012</v>
      </c>
      <c r="J602" s="117" t="str">
        <f t="shared" si="106"/>
        <v>010</v>
      </c>
      <c r="K602" s="117" t="str">
        <f t="shared" si="99"/>
        <v/>
      </c>
      <c r="L602" s="117" t="str">
        <f t="shared" si="107"/>
        <v/>
      </c>
      <c r="M602" s="117" t="str">
        <f t="shared" si="109"/>
        <v/>
      </c>
      <c r="N602" s="117" t="str">
        <f>IF(ISBLANK(INDEX('register map'!M:M,'Logical Group Generator'!C602)),"No","Yes")</f>
        <v>Yes</v>
      </c>
      <c r="O602" s="117" t="str">
        <f>IF(NOT(ISBLANK(INDEX('register map'!N:N,'Logical Group Generator'!C602))),"Yes","")</f>
        <v/>
      </c>
      <c r="P602" s="117" t="str">
        <f t="shared" si="100"/>
        <v/>
      </c>
      <c r="Q602" s="117" t="str">
        <f t="shared" si="101"/>
        <v/>
      </c>
      <c r="R602" s="117" t="str">
        <f t="shared" si="102"/>
        <v/>
      </c>
      <c r="S602" s="117" t="str">
        <f t="shared" si="103"/>
        <v>No</v>
      </c>
      <c r="T602" s="117" t="str">
        <f t="shared" si="104"/>
        <v/>
      </c>
      <c r="U602" s="117" t="b">
        <f t="shared" si="108"/>
        <v>0</v>
      </c>
      <c r="V602" s="157" t="b">
        <f>INDEX('register map'!P:P,C602)="yes"</f>
        <v>1</v>
      </c>
      <c r="W602" s="157" t="str">
        <f t="shared" si="105"/>
        <v>FALSE</v>
      </c>
    </row>
    <row r="603" spans="2:23">
      <c r="B603" s="157" t="str">
        <f t="array" ref="B603">IF(ROWS($3:603)&lt;=COUNTA('register map'!$L$5:$L$902),INDEX('register map'!$L$5:$L$902,SMALL(IF('register map'!$L$5:$L$902&lt;&gt;"",ROW('register map'!$L$5:$L$902)-MIN(ROW('register map'!$L$5:$L$902))+1),ROWS($3:603))),"")</f>
        <v>OTP_RSVD_38_39_3</v>
      </c>
      <c r="C603" s="157">
        <f>IF(B603="PART_NUMBER",IF(COUNTIF($B$1:B602,"PART_NUMBER")=0,6,8),MATCH(B603,'register map'!L:L,0))</f>
        <v>707</v>
      </c>
      <c r="D603" s="117" t="str">
        <f>IF(ISBLANK(INDEX('register map'!C:C,'Logical Group Generator'!C603)),"No","Yes")</f>
        <v>No</v>
      </c>
      <c r="E603" s="117" t="str">
        <f>IF(ISBLANK(INDEX('register map'!A:A,C603)),IF(ISBLANK(INDEX('register map'!A:A,C603-1)),IF(ISBLANK(INDEX('register map'!A:A,C603-2)),IF(ISBLANK(INDEX('register map'!A:A,C603-3)),IF(ISBLANK(INDEX('register map'!A:A,C603-4)),IF(ISBLANK(INDEX('register map'!A:A,C603-5)),IF(ISBLANK(INDEX('register map'!A:A,C603-6)),IF(ISBLANK(INDEX('register map'!A:A,C603-7)),IF(ISBLANK(INDEX('register map'!A:A,C603-8)),"ERROR",INDEX('register map'!A:A,C603-8)),INDEX('register map'!A:A,C603-7)),INDEX('register map'!A:A,C603-6)),INDEX('register map'!A:A,C603-5)),INDEX('register map'!A:A,C603-4)),INDEX('register map'!A:A,C603-3)),INDEX('register map'!A:A,C603-2)),INDEX('register map'!A:A,C603-1)),INDEX('register map'!A:A,C603))</f>
        <v>0x38</v>
      </c>
      <c r="F603" s="117" t="str">
        <f>IF(ISBLANK(INDEX('register map'!B:B,C603)),IF(ISBLANK(INDEX('register map'!B:B,C603-1)),IF(ISBLANK(INDEX('register map'!B:B,C603-2)),IF(ISBLANK(INDEX('register map'!B:B,C603-3)),IF(ISBLANK(INDEX('register map'!B:B,C603-4)),IF(ISBLANK(INDEX('register map'!B:B,C603-5)),IF(ISBLANK(INDEX('register map'!B:B,C603-6)),IF(ISBLANK(INDEX('register map'!B:B,C603-7)),IF(ISBLANK(INDEX('register map'!B:B,C603-8)),"ERROR",INDEX('register map'!B:B,C603-8)),INDEX('register map'!B:B,C603-7)),INDEX('register map'!B:B,C603-6)),INDEX('register map'!B:B,C603-5)),INDEX('register map'!B:B,C603-4)),INDEX('register map'!B:B,C603-3)),INDEX('register map'!B:B,C603-2)),INDEX('register map'!B:B,C603-1)),INDEX('register map'!B:B,C603))</f>
        <v>0x39</v>
      </c>
      <c r="G603" s="117" t="str">
        <f>CONCATENATE(IF(ISNUMBER(INDEX('register map'!D:D,C603)),7,""),IF(ISNUMBER(INDEX('register map'!E:E,C603)),6,""),IF(ISNUMBER(INDEX('register map'!F:F,C603)),5,""),IF(ISNUMBER(INDEX('register map'!G:G,C603)),4,""),IF(ISNUMBER(INDEX('register map'!H:H,C603)),3,""),IF(ISNUMBER(INDEX('register map'!I:I,C603)),2,""),IF(ISNUMBER(INDEX('register map'!J:J,C603)),1,""),IF(ISNUMBER(INDEX('register map'!K:K,C603)),0,""))</f>
        <v>3</v>
      </c>
      <c r="H603" s="117" t="str">
        <f>RIGHT(INDEX('register map'!V:V,MATCH('Logical Group Generator'!B603,'register map'!L:L,0)),LEN(G603))</f>
        <v>1</v>
      </c>
      <c r="I603" s="117" t="str">
        <f>CONCATENATE(IF(ISNUMBER(INDEX('register map'!K:K,C603)),0,""),IF(ISNUMBER(INDEX('register map'!J:J,C603)),1,""),IF(ISNUMBER(INDEX('register map'!I:I,C603)),2,""),IF(ISNUMBER(INDEX('register map'!H:H,C603)),3,""),IF(ISNUMBER(INDEX('register map'!G:G,C603)),4,""),IF(ISNUMBER(INDEX('register map'!F:F,C603)),5,""),IF(ISNUMBER(INDEX('register map'!E:E,C603)),6,""),IF(ISNUMBER(INDEX('register map'!D:D,C603)),7,""))</f>
        <v>3</v>
      </c>
      <c r="J603" s="117" t="str">
        <f t="shared" si="106"/>
        <v>1</v>
      </c>
      <c r="K603" s="117" t="str">
        <f t="shared" si="99"/>
        <v/>
      </c>
      <c r="L603" s="117" t="str">
        <f t="shared" si="107"/>
        <v/>
      </c>
      <c r="M603" s="117" t="str">
        <f t="shared" si="109"/>
        <v/>
      </c>
      <c r="N603" s="117" t="str">
        <f>IF(ISBLANK(INDEX('register map'!M:M,'Logical Group Generator'!C603)),"No","Yes")</f>
        <v>No</v>
      </c>
      <c r="O603" s="117" t="str">
        <f>IF(NOT(ISBLANK(INDEX('register map'!N:N,'Logical Group Generator'!C603))),"Yes","")</f>
        <v>Yes</v>
      </c>
      <c r="P603" s="117" t="str">
        <f t="shared" si="100"/>
        <v/>
      </c>
      <c r="Q603" s="117" t="str">
        <f t="shared" si="101"/>
        <v/>
      </c>
      <c r="R603" s="117" t="str">
        <f t="shared" si="102"/>
        <v/>
      </c>
      <c r="S603" s="117" t="str">
        <f t="shared" si="103"/>
        <v>No</v>
      </c>
      <c r="T603" s="117" t="str">
        <f t="shared" si="104"/>
        <v/>
      </c>
      <c r="U603" s="117" t="b">
        <f t="shared" si="108"/>
        <v>0</v>
      </c>
      <c r="V603" s="157" t="b">
        <f>INDEX('register map'!P:P,C603)="yes"</f>
        <v>1</v>
      </c>
      <c r="W603" s="157" t="str">
        <f t="shared" si="105"/>
        <v>FALSE</v>
      </c>
    </row>
    <row r="604" spans="2:23">
      <c r="B604" s="157" t="str">
        <f t="array" ref="B604">IF(ROWS($3:604)&lt;=COUNTA('register map'!$L$5:$L$902),INDEX('register map'!$L$5:$L$902,SMALL(IF('register map'!$L$5:$L$902&lt;&gt;"",ROW('register map'!$L$5:$L$902)-MIN(ROW('register map'!$L$5:$L$902))+1),ROWS($3:604))),"")</f>
        <v>OTP_RSVD_38_39_7654</v>
      </c>
      <c r="C604" s="157">
        <f>IF(B604="PART_NUMBER",IF(COUNTIF($B$1:B603,"PART_NUMBER")=0,6,8),MATCH(B604,'register map'!L:L,0))</f>
        <v>708</v>
      </c>
      <c r="D604" s="117" t="str">
        <f>IF(ISBLANK(INDEX('register map'!C:C,'Logical Group Generator'!C604)),"No","Yes")</f>
        <v>No</v>
      </c>
      <c r="E604" s="117" t="str">
        <f>IF(ISBLANK(INDEX('register map'!A:A,C604)),IF(ISBLANK(INDEX('register map'!A:A,C604-1)),IF(ISBLANK(INDEX('register map'!A:A,C604-2)),IF(ISBLANK(INDEX('register map'!A:A,C604-3)),IF(ISBLANK(INDEX('register map'!A:A,C604-4)),IF(ISBLANK(INDEX('register map'!A:A,C604-5)),IF(ISBLANK(INDEX('register map'!A:A,C604-6)),IF(ISBLANK(INDEX('register map'!A:A,C604-7)),IF(ISBLANK(INDEX('register map'!A:A,C604-8)),"ERROR",INDEX('register map'!A:A,C604-8)),INDEX('register map'!A:A,C604-7)),INDEX('register map'!A:A,C604-6)),INDEX('register map'!A:A,C604-5)),INDEX('register map'!A:A,C604-4)),INDEX('register map'!A:A,C604-3)),INDEX('register map'!A:A,C604-2)),INDEX('register map'!A:A,C604-1)),INDEX('register map'!A:A,C604))</f>
        <v>0x38</v>
      </c>
      <c r="F604" s="117" t="str">
        <f>IF(ISBLANK(INDEX('register map'!B:B,C604)),IF(ISBLANK(INDEX('register map'!B:B,C604-1)),IF(ISBLANK(INDEX('register map'!B:B,C604-2)),IF(ISBLANK(INDEX('register map'!B:B,C604-3)),IF(ISBLANK(INDEX('register map'!B:B,C604-4)),IF(ISBLANK(INDEX('register map'!B:B,C604-5)),IF(ISBLANK(INDEX('register map'!B:B,C604-6)),IF(ISBLANK(INDEX('register map'!B:B,C604-7)),IF(ISBLANK(INDEX('register map'!B:B,C604-8)),"ERROR",INDEX('register map'!B:B,C604-8)),INDEX('register map'!B:B,C604-7)),INDEX('register map'!B:B,C604-6)),INDEX('register map'!B:B,C604-5)),INDEX('register map'!B:B,C604-4)),INDEX('register map'!B:B,C604-3)),INDEX('register map'!B:B,C604-2)),INDEX('register map'!B:B,C604-1)),INDEX('register map'!B:B,C604))</f>
        <v>0x39</v>
      </c>
      <c r="G604" s="117" t="str">
        <f>CONCATENATE(IF(ISNUMBER(INDEX('register map'!D:D,C604)),7,""),IF(ISNUMBER(INDEX('register map'!E:E,C604)),6,""),IF(ISNUMBER(INDEX('register map'!F:F,C604)),5,""),IF(ISNUMBER(INDEX('register map'!G:G,C604)),4,""),IF(ISNUMBER(INDEX('register map'!H:H,C604)),3,""),IF(ISNUMBER(INDEX('register map'!I:I,C604)),2,""),IF(ISNUMBER(INDEX('register map'!J:J,C604)),1,""),IF(ISNUMBER(INDEX('register map'!K:K,C604)),0,""))</f>
        <v>7654</v>
      </c>
      <c r="H604" s="117" t="str">
        <f>RIGHT(INDEX('register map'!V:V,MATCH('Logical Group Generator'!B604,'register map'!L:L,0)),LEN(G604))</f>
        <v>1000</v>
      </c>
      <c r="I604" s="117" t="str">
        <f>CONCATENATE(IF(ISNUMBER(INDEX('register map'!K:K,C604)),0,""),IF(ISNUMBER(INDEX('register map'!J:J,C604)),1,""),IF(ISNUMBER(INDEX('register map'!I:I,C604)),2,""),IF(ISNUMBER(INDEX('register map'!H:H,C604)),3,""),IF(ISNUMBER(INDEX('register map'!G:G,C604)),4,""),IF(ISNUMBER(INDEX('register map'!F:F,C604)),5,""),IF(ISNUMBER(INDEX('register map'!E:E,C604)),6,""),IF(ISNUMBER(INDEX('register map'!D:D,C604)),7,""))</f>
        <v>4567</v>
      </c>
      <c r="J604" s="117" t="str">
        <f t="shared" si="106"/>
        <v>0001</v>
      </c>
      <c r="K604" s="117" t="str">
        <f t="shared" si="99"/>
        <v/>
      </c>
      <c r="L604" s="117" t="str">
        <f t="shared" si="107"/>
        <v/>
      </c>
      <c r="M604" s="117" t="str">
        <f t="shared" si="109"/>
        <v/>
      </c>
      <c r="N604" s="117" t="str">
        <f>IF(ISBLANK(INDEX('register map'!M:M,'Logical Group Generator'!C604)),"No","Yes")</f>
        <v>Yes</v>
      </c>
      <c r="O604" s="117" t="str">
        <f>IF(NOT(ISBLANK(INDEX('register map'!N:N,'Logical Group Generator'!C604))),"Yes","")</f>
        <v/>
      </c>
      <c r="P604" s="117" t="str">
        <f t="shared" si="100"/>
        <v/>
      </c>
      <c r="Q604" s="117" t="str">
        <f t="shared" si="101"/>
        <v/>
      </c>
      <c r="R604" s="117" t="str">
        <f t="shared" si="102"/>
        <v/>
      </c>
      <c r="S604" s="117" t="str">
        <f t="shared" si="103"/>
        <v>No</v>
      </c>
      <c r="T604" s="117" t="str">
        <f t="shared" si="104"/>
        <v/>
      </c>
      <c r="U604" s="117" t="b">
        <f t="shared" si="108"/>
        <v>0</v>
      </c>
      <c r="V604" s="157" t="b">
        <f>INDEX('register map'!P:P,C604)="yes"</f>
        <v>1</v>
      </c>
      <c r="W604" s="157" t="str">
        <f t="shared" si="105"/>
        <v>FALSE</v>
      </c>
    </row>
    <row r="605" spans="2:23">
      <c r="B605" s="157" t="str">
        <f t="array" ref="B605">IF(ROWS($3:605)&lt;=COUNTA('register map'!$L$5:$L$902),INDEX('register map'!$L$5:$L$902,SMALL(IF('register map'!$L$5:$L$902&lt;&gt;"",ROW('register map'!$L$5:$L$902)-MIN(ROW('register map'!$L$5:$L$902))+1),ROWS($3:605))),"")</f>
        <v>OTP_RSVD_38_3A</v>
      </c>
      <c r="C605" s="157">
        <f>IF(B605="PART_NUMBER",IF(COUNTIF($B$1:B604,"PART_NUMBER")=0,6,8),MATCH(B605,'register map'!L:L,0))</f>
        <v>709</v>
      </c>
      <c r="D605" s="117" t="str">
        <f>IF(ISBLANK(INDEX('register map'!C:C,'Logical Group Generator'!C605)),"No","Yes")</f>
        <v>Yes</v>
      </c>
      <c r="E605" s="117" t="str">
        <f>IF(ISBLANK(INDEX('register map'!A:A,C605)),IF(ISBLANK(INDEX('register map'!A:A,C605-1)),IF(ISBLANK(INDEX('register map'!A:A,C605-2)),IF(ISBLANK(INDEX('register map'!A:A,C605-3)),IF(ISBLANK(INDEX('register map'!A:A,C605-4)),IF(ISBLANK(INDEX('register map'!A:A,C605-5)),IF(ISBLANK(INDEX('register map'!A:A,C605-6)),IF(ISBLANK(INDEX('register map'!A:A,C605-7)),IF(ISBLANK(INDEX('register map'!A:A,C605-8)),"ERROR",INDEX('register map'!A:A,C605-8)),INDEX('register map'!A:A,C605-7)),INDEX('register map'!A:A,C605-6)),INDEX('register map'!A:A,C605-5)),INDEX('register map'!A:A,C605-4)),INDEX('register map'!A:A,C605-3)),INDEX('register map'!A:A,C605-2)),INDEX('register map'!A:A,C605-1)),INDEX('register map'!A:A,C605))</f>
        <v>0x38</v>
      </c>
      <c r="F605" s="117" t="str">
        <f>IF(ISBLANK(INDEX('register map'!B:B,C605)),IF(ISBLANK(INDEX('register map'!B:B,C605-1)),IF(ISBLANK(INDEX('register map'!B:B,C605-2)),IF(ISBLANK(INDEX('register map'!B:B,C605-3)),IF(ISBLANK(INDEX('register map'!B:B,C605-4)),IF(ISBLANK(INDEX('register map'!B:B,C605-5)),IF(ISBLANK(INDEX('register map'!B:B,C605-6)),IF(ISBLANK(INDEX('register map'!B:B,C605-7)),IF(ISBLANK(INDEX('register map'!B:B,C605-8)),"ERROR",INDEX('register map'!B:B,C605-8)),INDEX('register map'!B:B,C605-7)),INDEX('register map'!B:B,C605-6)),INDEX('register map'!B:B,C605-5)),INDEX('register map'!B:B,C605-4)),INDEX('register map'!B:B,C605-3)),INDEX('register map'!B:B,C605-2)),INDEX('register map'!B:B,C605-1)),INDEX('register map'!B:B,C605))</f>
        <v>0x3A</v>
      </c>
      <c r="G605" s="117" t="str">
        <f>CONCATENATE(IF(ISNUMBER(INDEX('register map'!D:D,C605)),7,""),IF(ISNUMBER(INDEX('register map'!E:E,C605)),6,""),IF(ISNUMBER(INDEX('register map'!F:F,C605)),5,""),IF(ISNUMBER(INDEX('register map'!G:G,C605)),4,""),IF(ISNUMBER(INDEX('register map'!H:H,C605)),3,""),IF(ISNUMBER(INDEX('register map'!I:I,C605)),2,""),IF(ISNUMBER(INDEX('register map'!J:J,C605)),1,""),IF(ISNUMBER(INDEX('register map'!K:K,C605)),0,""))</f>
        <v/>
      </c>
      <c r="H605" s="117" t="str">
        <f>RIGHT(INDEX('register map'!V:V,MATCH('Logical Group Generator'!B605,'register map'!L:L,0)),LEN(G605))</f>
        <v/>
      </c>
      <c r="I605" s="117" t="str">
        <f>CONCATENATE(IF(ISNUMBER(INDEX('register map'!K:K,C605)),0,""),IF(ISNUMBER(INDEX('register map'!J:J,C605)),1,""),IF(ISNUMBER(INDEX('register map'!I:I,C605)),2,""),IF(ISNUMBER(INDEX('register map'!H:H,C605)),3,""),IF(ISNUMBER(INDEX('register map'!G:G,C605)),4,""),IF(ISNUMBER(INDEX('register map'!F:F,C605)),5,""),IF(ISNUMBER(INDEX('register map'!E:E,C605)),6,""),IF(ISNUMBER(INDEX('register map'!D:D,C605)),7,""))</f>
        <v/>
      </c>
      <c r="J605" s="117" t="str">
        <f t="shared" si="106"/>
        <v/>
      </c>
      <c r="K605" s="117" t="str">
        <f t="shared" si="99"/>
        <v>01010101</v>
      </c>
      <c r="L605" s="117" t="str">
        <f t="shared" si="107"/>
        <v>10101010</v>
      </c>
      <c r="M605" s="117" t="str">
        <f t="shared" si="109"/>
        <v>AA</v>
      </c>
      <c r="N605" s="117" t="str">
        <f>IF(ISBLANK(INDEX('register map'!M:M,'Logical Group Generator'!C605)),"No","Yes")</f>
        <v>No</v>
      </c>
      <c r="O605" s="117" t="str">
        <f>IF(NOT(ISBLANK(INDEX('register map'!N:N,'Logical Group Generator'!C605))),"Yes","")</f>
        <v/>
      </c>
      <c r="P605" s="117" t="str">
        <f t="shared" si="100"/>
        <v>No</v>
      </c>
      <c r="Q605" s="117" t="str">
        <f t="shared" si="101"/>
        <v>No</v>
      </c>
      <c r="R605" s="117" t="str">
        <f t="shared" si="102"/>
        <v>No</v>
      </c>
      <c r="S605" s="117" t="str">
        <f t="shared" si="103"/>
        <v/>
      </c>
      <c r="T605" s="117" t="b">
        <f t="shared" si="104"/>
        <v>1</v>
      </c>
      <c r="U605" s="117" t="b">
        <f t="shared" si="108"/>
        <v>1</v>
      </c>
      <c r="V605" s="157" t="b">
        <f>INDEX('register map'!P:P,C605)="yes"</f>
        <v>1</v>
      </c>
      <c r="W605" s="157" t="str">
        <f t="shared" si="105"/>
        <v>REGISTER</v>
      </c>
    </row>
    <row r="606" spans="2:23">
      <c r="B606" s="157" t="str">
        <f t="array" ref="B606">IF(ROWS($3:606)&lt;=COUNTA('register map'!$L$5:$L$902),INDEX('register map'!$L$5:$L$902,SMALL(IF('register map'!$L$5:$L$902&lt;&gt;"",ROW('register map'!$L$5:$L$902)-MIN(ROW('register map'!$L$5:$L$902))+1),ROWS($3:606))),"")</f>
        <v>OTP_RSVD_38_3A_0</v>
      </c>
      <c r="C606" s="157">
        <f>IF(B606="PART_NUMBER",IF(COUNTIF($B$1:B605,"PART_NUMBER")=0,6,8),MATCH(B606,'register map'!L:L,0))</f>
        <v>710</v>
      </c>
      <c r="D606" s="117" t="str">
        <f>IF(ISBLANK(INDEX('register map'!C:C,'Logical Group Generator'!C606)),"No","Yes")</f>
        <v>No</v>
      </c>
      <c r="E606" s="117" t="str">
        <f>IF(ISBLANK(INDEX('register map'!A:A,C606)),IF(ISBLANK(INDEX('register map'!A:A,C606-1)),IF(ISBLANK(INDEX('register map'!A:A,C606-2)),IF(ISBLANK(INDEX('register map'!A:A,C606-3)),IF(ISBLANK(INDEX('register map'!A:A,C606-4)),IF(ISBLANK(INDEX('register map'!A:A,C606-5)),IF(ISBLANK(INDEX('register map'!A:A,C606-6)),IF(ISBLANK(INDEX('register map'!A:A,C606-7)),IF(ISBLANK(INDEX('register map'!A:A,C606-8)),"ERROR",INDEX('register map'!A:A,C606-8)),INDEX('register map'!A:A,C606-7)),INDEX('register map'!A:A,C606-6)),INDEX('register map'!A:A,C606-5)),INDEX('register map'!A:A,C606-4)),INDEX('register map'!A:A,C606-3)),INDEX('register map'!A:A,C606-2)),INDEX('register map'!A:A,C606-1)),INDEX('register map'!A:A,C606))</f>
        <v>0x38</v>
      </c>
      <c r="F606" s="117" t="str">
        <f>IF(ISBLANK(INDEX('register map'!B:B,C606)),IF(ISBLANK(INDEX('register map'!B:B,C606-1)),IF(ISBLANK(INDEX('register map'!B:B,C606-2)),IF(ISBLANK(INDEX('register map'!B:B,C606-3)),IF(ISBLANK(INDEX('register map'!B:B,C606-4)),IF(ISBLANK(INDEX('register map'!B:B,C606-5)),IF(ISBLANK(INDEX('register map'!B:B,C606-6)),IF(ISBLANK(INDEX('register map'!B:B,C606-7)),IF(ISBLANK(INDEX('register map'!B:B,C606-8)),"ERROR",INDEX('register map'!B:B,C606-8)),INDEX('register map'!B:B,C606-7)),INDEX('register map'!B:B,C606-6)),INDEX('register map'!B:B,C606-5)),INDEX('register map'!B:B,C606-4)),INDEX('register map'!B:B,C606-3)),INDEX('register map'!B:B,C606-2)),INDEX('register map'!B:B,C606-1)),INDEX('register map'!B:B,C606))</f>
        <v>0x3A</v>
      </c>
      <c r="G606" s="117" t="str">
        <f>CONCATENATE(IF(ISNUMBER(INDEX('register map'!D:D,C606)),7,""),IF(ISNUMBER(INDEX('register map'!E:E,C606)),6,""),IF(ISNUMBER(INDEX('register map'!F:F,C606)),5,""),IF(ISNUMBER(INDEX('register map'!G:G,C606)),4,""),IF(ISNUMBER(INDEX('register map'!H:H,C606)),3,""),IF(ISNUMBER(INDEX('register map'!I:I,C606)),2,""),IF(ISNUMBER(INDEX('register map'!J:J,C606)),1,""),IF(ISNUMBER(INDEX('register map'!K:K,C606)),0,""))</f>
        <v>0</v>
      </c>
      <c r="H606" s="117" t="str">
        <f>RIGHT(INDEX('register map'!V:V,MATCH('Logical Group Generator'!B606,'register map'!L:L,0)),LEN(G606))</f>
        <v>0</v>
      </c>
      <c r="I606" s="117" t="str">
        <f>CONCATENATE(IF(ISNUMBER(INDEX('register map'!K:K,C606)),0,""),IF(ISNUMBER(INDEX('register map'!J:J,C606)),1,""),IF(ISNUMBER(INDEX('register map'!I:I,C606)),2,""),IF(ISNUMBER(INDEX('register map'!H:H,C606)),3,""),IF(ISNUMBER(INDEX('register map'!G:G,C606)),4,""),IF(ISNUMBER(INDEX('register map'!F:F,C606)),5,""),IF(ISNUMBER(INDEX('register map'!E:E,C606)),6,""),IF(ISNUMBER(INDEX('register map'!D:D,C606)),7,""))</f>
        <v>0</v>
      </c>
      <c r="J606" s="117" t="str">
        <f t="shared" si="106"/>
        <v>0</v>
      </c>
      <c r="K606" s="117" t="str">
        <f t="shared" si="99"/>
        <v/>
      </c>
      <c r="L606" s="117" t="str">
        <f t="shared" si="107"/>
        <v/>
      </c>
      <c r="M606" s="117" t="str">
        <f t="shared" si="109"/>
        <v/>
      </c>
      <c r="N606" s="117" t="str">
        <f>IF(ISBLANK(INDEX('register map'!M:M,'Logical Group Generator'!C606)),"No","Yes")</f>
        <v>No</v>
      </c>
      <c r="O606" s="117" t="str">
        <f>IF(NOT(ISBLANK(INDEX('register map'!N:N,'Logical Group Generator'!C606))),"Yes","")</f>
        <v/>
      </c>
      <c r="P606" s="117" t="str">
        <f t="shared" si="100"/>
        <v/>
      </c>
      <c r="Q606" s="117" t="str">
        <f t="shared" si="101"/>
        <v/>
      </c>
      <c r="R606" s="117" t="str">
        <f t="shared" si="102"/>
        <v/>
      </c>
      <c r="S606" s="117" t="str">
        <f t="shared" si="103"/>
        <v>No</v>
      </c>
      <c r="T606" s="117" t="str">
        <f t="shared" si="104"/>
        <v/>
      </c>
      <c r="U606" s="117" t="b">
        <f t="shared" si="108"/>
        <v>0</v>
      </c>
      <c r="V606" s="157" t="b">
        <f>INDEX('register map'!P:P,C606)="yes"</f>
        <v>1</v>
      </c>
      <c r="W606" s="157" t="str">
        <f t="shared" si="105"/>
        <v>FALSE</v>
      </c>
    </row>
    <row r="607" spans="2:23">
      <c r="B607" s="157" t="str">
        <f t="array" ref="B607">IF(ROWS($3:607)&lt;=COUNTA('register map'!$L$5:$L$902),INDEX('register map'!$L$5:$L$902,SMALL(IF('register map'!$L$5:$L$902&lt;&gt;"",ROW('register map'!$L$5:$L$902)-MIN(ROW('register map'!$L$5:$L$902))+1),ROWS($3:607))),"")</f>
        <v>OTP_RSVD_38_3A_1</v>
      </c>
      <c r="C607" s="157">
        <f>IF(B607="PART_NUMBER",IF(COUNTIF($B$1:B606,"PART_NUMBER")=0,6,8),MATCH(B607,'register map'!L:L,0))</f>
        <v>711</v>
      </c>
      <c r="D607" s="117" t="str">
        <f>IF(ISBLANK(INDEX('register map'!C:C,'Logical Group Generator'!C607)),"No","Yes")</f>
        <v>No</v>
      </c>
      <c r="E607" s="117" t="str">
        <f>IF(ISBLANK(INDEX('register map'!A:A,C607)),IF(ISBLANK(INDEX('register map'!A:A,C607-1)),IF(ISBLANK(INDEX('register map'!A:A,C607-2)),IF(ISBLANK(INDEX('register map'!A:A,C607-3)),IF(ISBLANK(INDEX('register map'!A:A,C607-4)),IF(ISBLANK(INDEX('register map'!A:A,C607-5)),IF(ISBLANK(INDEX('register map'!A:A,C607-6)),IF(ISBLANK(INDEX('register map'!A:A,C607-7)),IF(ISBLANK(INDEX('register map'!A:A,C607-8)),"ERROR",INDEX('register map'!A:A,C607-8)),INDEX('register map'!A:A,C607-7)),INDEX('register map'!A:A,C607-6)),INDEX('register map'!A:A,C607-5)),INDEX('register map'!A:A,C607-4)),INDEX('register map'!A:A,C607-3)),INDEX('register map'!A:A,C607-2)),INDEX('register map'!A:A,C607-1)),INDEX('register map'!A:A,C607))</f>
        <v>0x38</v>
      </c>
      <c r="F607" s="117" t="str">
        <f>IF(ISBLANK(INDEX('register map'!B:B,C607)),IF(ISBLANK(INDEX('register map'!B:B,C607-1)),IF(ISBLANK(INDEX('register map'!B:B,C607-2)),IF(ISBLANK(INDEX('register map'!B:B,C607-3)),IF(ISBLANK(INDEX('register map'!B:B,C607-4)),IF(ISBLANK(INDEX('register map'!B:B,C607-5)),IF(ISBLANK(INDEX('register map'!B:B,C607-6)),IF(ISBLANK(INDEX('register map'!B:B,C607-7)),IF(ISBLANK(INDEX('register map'!B:B,C607-8)),"ERROR",INDEX('register map'!B:B,C607-8)),INDEX('register map'!B:B,C607-7)),INDEX('register map'!B:B,C607-6)),INDEX('register map'!B:B,C607-5)),INDEX('register map'!B:B,C607-4)),INDEX('register map'!B:B,C607-3)),INDEX('register map'!B:B,C607-2)),INDEX('register map'!B:B,C607-1)),INDEX('register map'!B:B,C607))</f>
        <v>0x3A</v>
      </c>
      <c r="G607" s="117" t="str">
        <f>CONCATENATE(IF(ISNUMBER(INDEX('register map'!D:D,C607)),7,""),IF(ISNUMBER(INDEX('register map'!E:E,C607)),6,""),IF(ISNUMBER(INDEX('register map'!F:F,C607)),5,""),IF(ISNUMBER(INDEX('register map'!G:G,C607)),4,""),IF(ISNUMBER(INDEX('register map'!H:H,C607)),3,""),IF(ISNUMBER(INDEX('register map'!I:I,C607)),2,""),IF(ISNUMBER(INDEX('register map'!J:J,C607)),1,""),IF(ISNUMBER(INDEX('register map'!K:K,C607)),0,""))</f>
        <v>1</v>
      </c>
      <c r="H607" s="117" t="str">
        <f>RIGHT(INDEX('register map'!V:V,MATCH('Logical Group Generator'!B607,'register map'!L:L,0)),LEN(G607))</f>
        <v>1</v>
      </c>
      <c r="I607" s="117" t="str">
        <f>CONCATENATE(IF(ISNUMBER(INDEX('register map'!K:K,C607)),0,""),IF(ISNUMBER(INDEX('register map'!J:J,C607)),1,""),IF(ISNUMBER(INDEX('register map'!I:I,C607)),2,""),IF(ISNUMBER(INDEX('register map'!H:H,C607)),3,""),IF(ISNUMBER(INDEX('register map'!G:G,C607)),4,""),IF(ISNUMBER(INDEX('register map'!F:F,C607)),5,""),IF(ISNUMBER(INDEX('register map'!E:E,C607)),6,""),IF(ISNUMBER(INDEX('register map'!D:D,C607)),7,""))</f>
        <v>1</v>
      </c>
      <c r="J607" s="117" t="str">
        <f t="shared" si="106"/>
        <v>1</v>
      </c>
      <c r="K607" s="117" t="str">
        <f t="shared" si="99"/>
        <v/>
      </c>
      <c r="L607" s="117" t="str">
        <f t="shared" si="107"/>
        <v/>
      </c>
      <c r="M607" s="117" t="str">
        <f t="shared" si="109"/>
        <v/>
      </c>
      <c r="N607" s="117" t="str">
        <f>IF(ISBLANK(INDEX('register map'!M:M,'Logical Group Generator'!C607)),"No","Yes")</f>
        <v>No</v>
      </c>
      <c r="O607" s="117" t="str">
        <f>IF(NOT(ISBLANK(INDEX('register map'!N:N,'Logical Group Generator'!C607))),"Yes","")</f>
        <v/>
      </c>
      <c r="P607" s="117" t="str">
        <f t="shared" si="100"/>
        <v/>
      </c>
      <c r="Q607" s="117" t="str">
        <f t="shared" si="101"/>
        <v/>
      </c>
      <c r="R607" s="117" t="str">
        <f t="shared" si="102"/>
        <v/>
      </c>
      <c r="S607" s="117" t="str">
        <f t="shared" si="103"/>
        <v>No</v>
      </c>
      <c r="T607" s="117" t="str">
        <f t="shared" si="104"/>
        <v/>
      </c>
      <c r="U607" s="117" t="b">
        <f t="shared" si="108"/>
        <v>0</v>
      </c>
      <c r="V607" s="157" t="b">
        <f>INDEX('register map'!P:P,C607)="yes"</f>
        <v>1</v>
      </c>
      <c r="W607" s="157" t="str">
        <f t="shared" si="105"/>
        <v>FALSE</v>
      </c>
    </row>
    <row r="608" spans="2:23">
      <c r="B608" s="157" t="str">
        <f t="array" ref="B608">IF(ROWS($3:608)&lt;=COUNTA('register map'!$L$5:$L$902),INDEX('register map'!$L$5:$L$902,SMALL(IF('register map'!$L$5:$L$902&lt;&gt;"",ROW('register map'!$L$5:$L$902)-MIN(ROW('register map'!$L$5:$L$902))+1),ROWS($3:608))),"")</f>
        <v>OTP_RSVD_38_3A_2</v>
      </c>
      <c r="C608" s="157">
        <f>IF(B608="PART_NUMBER",IF(COUNTIF($B$1:B607,"PART_NUMBER")=0,6,8),MATCH(B608,'register map'!L:L,0))</f>
        <v>712</v>
      </c>
      <c r="D608" s="117" t="str">
        <f>IF(ISBLANK(INDEX('register map'!C:C,'Logical Group Generator'!C608)),"No","Yes")</f>
        <v>No</v>
      </c>
      <c r="E608" s="117" t="str">
        <f>IF(ISBLANK(INDEX('register map'!A:A,C608)),IF(ISBLANK(INDEX('register map'!A:A,C608-1)),IF(ISBLANK(INDEX('register map'!A:A,C608-2)),IF(ISBLANK(INDEX('register map'!A:A,C608-3)),IF(ISBLANK(INDEX('register map'!A:A,C608-4)),IF(ISBLANK(INDEX('register map'!A:A,C608-5)),IF(ISBLANK(INDEX('register map'!A:A,C608-6)),IF(ISBLANK(INDEX('register map'!A:A,C608-7)),IF(ISBLANK(INDEX('register map'!A:A,C608-8)),"ERROR",INDEX('register map'!A:A,C608-8)),INDEX('register map'!A:A,C608-7)),INDEX('register map'!A:A,C608-6)),INDEX('register map'!A:A,C608-5)),INDEX('register map'!A:A,C608-4)),INDEX('register map'!A:A,C608-3)),INDEX('register map'!A:A,C608-2)),INDEX('register map'!A:A,C608-1)),INDEX('register map'!A:A,C608))</f>
        <v>0x38</v>
      </c>
      <c r="F608" s="117" t="str">
        <f>IF(ISBLANK(INDEX('register map'!B:B,C608)),IF(ISBLANK(INDEX('register map'!B:B,C608-1)),IF(ISBLANK(INDEX('register map'!B:B,C608-2)),IF(ISBLANK(INDEX('register map'!B:B,C608-3)),IF(ISBLANK(INDEX('register map'!B:B,C608-4)),IF(ISBLANK(INDEX('register map'!B:B,C608-5)),IF(ISBLANK(INDEX('register map'!B:B,C608-6)),IF(ISBLANK(INDEX('register map'!B:B,C608-7)),IF(ISBLANK(INDEX('register map'!B:B,C608-8)),"ERROR",INDEX('register map'!B:B,C608-8)),INDEX('register map'!B:B,C608-7)),INDEX('register map'!B:B,C608-6)),INDEX('register map'!B:B,C608-5)),INDEX('register map'!B:B,C608-4)),INDEX('register map'!B:B,C608-3)),INDEX('register map'!B:B,C608-2)),INDEX('register map'!B:B,C608-1)),INDEX('register map'!B:B,C608))</f>
        <v>0x3A</v>
      </c>
      <c r="G608" s="117" t="str">
        <f>CONCATENATE(IF(ISNUMBER(INDEX('register map'!D:D,C608)),7,""),IF(ISNUMBER(INDEX('register map'!E:E,C608)),6,""),IF(ISNUMBER(INDEX('register map'!F:F,C608)),5,""),IF(ISNUMBER(INDEX('register map'!G:G,C608)),4,""),IF(ISNUMBER(INDEX('register map'!H:H,C608)),3,""),IF(ISNUMBER(INDEX('register map'!I:I,C608)),2,""),IF(ISNUMBER(INDEX('register map'!J:J,C608)),1,""),IF(ISNUMBER(INDEX('register map'!K:K,C608)),0,""))</f>
        <v>2</v>
      </c>
      <c r="H608" s="117" t="str">
        <f>RIGHT(INDEX('register map'!V:V,MATCH('Logical Group Generator'!B608,'register map'!L:L,0)),LEN(G608))</f>
        <v>0</v>
      </c>
      <c r="I608" s="117" t="str">
        <f>CONCATENATE(IF(ISNUMBER(INDEX('register map'!K:K,C608)),0,""),IF(ISNUMBER(INDEX('register map'!J:J,C608)),1,""),IF(ISNUMBER(INDEX('register map'!I:I,C608)),2,""),IF(ISNUMBER(INDEX('register map'!H:H,C608)),3,""),IF(ISNUMBER(INDEX('register map'!G:G,C608)),4,""),IF(ISNUMBER(INDEX('register map'!F:F,C608)),5,""),IF(ISNUMBER(INDEX('register map'!E:E,C608)),6,""),IF(ISNUMBER(INDEX('register map'!D:D,C608)),7,""))</f>
        <v>2</v>
      </c>
      <c r="J608" s="117" t="str">
        <f t="shared" si="106"/>
        <v>0</v>
      </c>
      <c r="K608" s="117" t="str">
        <f t="shared" si="99"/>
        <v/>
      </c>
      <c r="L608" s="117" t="str">
        <f t="shared" si="107"/>
        <v/>
      </c>
      <c r="M608" s="117" t="str">
        <f t="shared" si="109"/>
        <v/>
      </c>
      <c r="N608" s="117" t="str">
        <f>IF(ISBLANK(INDEX('register map'!M:M,'Logical Group Generator'!C608)),"No","Yes")</f>
        <v>No</v>
      </c>
      <c r="O608" s="117" t="str">
        <f>IF(NOT(ISBLANK(INDEX('register map'!N:N,'Logical Group Generator'!C608))),"Yes","")</f>
        <v/>
      </c>
      <c r="P608" s="117" t="str">
        <f t="shared" si="100"/>
        <v/>
      </c>
      <c r="Q608" s="117" t="str">
        <f t="shared" si="101"/>
        <v/>
      </c>
      <c r="R608" s="117" t="str">
        <f t="shared" si="102"/>
        <v/>
      </c>
      <c r="S608" s="117" t="str">
        <f t="shared" si="103"/>
        <v>No</v>
      </c>
      <c r="T608" s="117" t="str">
        <f t="shared" si="104"/>
        <v/>
      </c>
      <c r="U608" s="117" t="b">
        <f t="shared" si="108"/>
        <v>0</v>
      </c>
      <c r="V608" s="157" t="b">
        <f>INDEX('register map'!P:P,C608)="yes"</f>
        <v>1</v>
      </c>
      <c r="W608" s="157" t="str">
        <f t="shared" si="105"/>
        <v>FALSE</v>
      </c>
    </row>
    <row r="609" spans="2:23">
      <c r="B609" s="157" t="str">
        <f t="array" ref="B609">IF(ROWS($3:609)&lt;=COUNTA('register map'!$L$5:$L$902),INDEX('register map'!$L$5:$L$902,SMALL(IF('register map'!$L$5:$L$902&lt;&gt;"",ROW('register map'!$L$5:$L$902)-MIN(ROW('register map'!$L$5:$L$902))+1),ROWS($3:609))),"")</f>
        <v>OTP_RSVD_38_3A_3</v>
      </c>
      <c r="C609" s="157">
        <f>IF(B609="PART_NUMBER",IF(COUNTIF($B$1:B608,"PART_NUMBER")=0,6,8),MATCH(B609,'register map'!L:L,0))</f>
        <v>713</v>
      </c>
      <c r="D609" s="117" t="str">
        <f>IF(ISBLANK(INDEX('register map'!C:C,'Logical Group Generator'!C609)),"No","Yes")</f>
        <v>No</v>
      </c>
      <c r="E609" s="117" t="str">
        <f>IF(ISBLANK(INDEX('register map'!A:A,C609)),IF(ISBLANK(INDEX('register map'!A:A,C609-1)),IF(ISBLANK(INDEX('register map'!A:A,C609-2)),IF(ISBLANK(INDEX('register map'!A:A,C609-3)),IF(ISBLANK(INDEX('register map'!A:A,C609-4)),IF(ISBLANK(INDEX('register map'!A:A,C609-5)),IF(ISBLANK(INDEX('register map'!A:A,C609-6)),IF(ISBLANK(INDEX('register map'!A:A,C609-7)),IF(ISBLANK(INDEX('register map'!A:A,C609-8)),"ERROR",INDEX('register map'!A:A,C609-8)),INDEX('register map'!A:A,C609-7)),INDEX('register map'!A:A,C609-6)),INDEX('register map'!A:A,C609-5)),INDEX('register map'!A:A,C609-4)),INDEX('register map'!A:A,C609-3)),INDEX('register map'!A:A,C609-2)),INDEX('register map'!A:A,C609-1)),INDEX('register map'!A:A,C609))</f>
        <v>0x38</v>
      </c>
      <c r="F609" s="117" t="str">
        <f>IF(ISBLANK(INDEX('register map'!B:B,C609)),IF(ISBLANK(INDEX('register map'!B:B,C609-1)),IF(ISBLANK(INDEX('register map'!B:B,C609-2)),IF(ISBLANK(INDEX('register map'!B:B,C609-3)),IF(ISBLANK(INDEX('register map'!B:B,C609-4)),IF(ISBLANK(INDEX('register map'!B:B,C609-5)),IF(ISBLANK(INDEX('register map'!B:B,C609-6)),IF(ISBLANK(INDEX('register map'!B:B,C609-7)),IF(ISBLANK(INDEX('register map'!B:B,C609-8)),"ERROR",INDEX('register map'!B:B,C609-8)),INDEX('register map'!B:B,C609-7)),INDEX('register map'!B:B,C609-6)),INDEX('register map'!B:B,C609-5)),INDEX('register map'!B:B,C609-4)),INDEX('register map'!B:B,C609-3)),INDEX('register map'!B:B,C609-2)),INDEX('register map'!B:B,C609-1)),INDEX('register map'!B:B,C609))</f>
        <v>0x3A</v>
      </c>
      <c r="G609" s="117" t="str">
        <f>CONCATENATE(IF(ISNUMBER(INDEX('register map'!D:D,C609)),7,""),IF(ISNUMBER(INDEX('register map'!E:E,C609)),6,""),IF(ISNUMBER(INDEX('register map'!F:F,C609)),5,""),IF(ISNUMBER(INDEX('register map'!G:G,C609)),4,""),IF(ISNUMBER(INDEX('register map'!H:H,C609)),3,""),IF(ISNUMBER(INDEX('register map'!I:I,C609)),2,""),IF(ISNUMBER(INDEX('register map'!J:J,C609)),1,""),IF(ISNUMBER(INDEX('register map'!K:K,C609)),0,""))</f>
        <v>3</v>
      </c>
      <c r="H609" s="117" t="str">
        <f>RIGHT(INDEX('register map'!V:V,MATCH('Logical Group Generator'!B609,'register map'!L:L,0)),LEN(G609))</f>
        <v>1</v>
      </c>
      <c r="I609" s="117" t="str">
        <f>CONCATENATE(IF(ISNUMBER(INDEX('register map'!K:K,C609)),0,""),IF(ISNUMBER(INDEX('register map'!J:J,C609)),1,""),IF(ISNUMBER(INDEX('register map'!I:I,C609)),2,""),IF(ISNUMBER(INDEX('register map'!H:H,C609)),3,""),IF(ISNUMBER(INDEX('register map'!G:G,C609)),4,""),IF(ISNUMBER(INDEX('register map'!F:F,C609)),5,""),IF(ISNUMBER(INDEX('register map'!E:E,C609)),6,""),IF(ISNUMBER(INDEX('register map'!D:D,C609)),7,""))</f>
        <v>3</v>
      </c>
      <c r="J609" s="117" t="str">
        <f t="shared" si="106"/>
        <v>1</v>
      </c>
      <c r="K609" s="117" t="str">
        <f t="shared" si="99"/>
        <v/>
      </c>
      <c r="L609" s="117" t="str">
        <f t="shared" si="107"/>
        <v/>
      </c>
      <c r="M609" s="117" t="str">
        <f t="shared" si="109"/>
        <v/>
      </c>
      <c r="N609" s="117" t="str">
        <f>IF(ISBLANK(INDEX('register map'!M:M,'Logical Group Generator'!C609)),"No","Yes")</f>
        <v>No</v>
      </c>
      <c r="O609" s="117" t="str">
        <f>IF(NOT(ISBLANK(INDEX('register map'!N:N,'Logical Group Generator'!C609))),"Yes","")</f>
        <v/>
      </c>
      <c r="P609" s="117" t="str">
        <f t="shared" si="100"/>
        <v/>
      </c>
      <c r="Q609" s="117" t="str">
        <f t="shared" si="101"/>
        <v/>
      </c>
      <c r="R609" s="117" t="str">
        <f t="shared" si="102"/>
        <v/>
      </c>
      <c r="S609" s="117" t="str">
        <f t="shared" si="103"/>
        <v>No</v>
      </c>
      <c r="T609" s="117" t="str">
        <f t="shared" si="104"/>
        <v/>
      </c>
      <c r="U609" s="117" t="b">
        <f t="shared" si="108"/>
        <v>0</v>
      </c>
      <c r="V609" s="157" t="b">
        <f>INDEX('register map'!P:P,C609)="yes"</f>
        <v>1</v>
      </c>
      <c r="W609" s="157" t="str">
        <f t="shared" si="105"/>
        <v>FALSE</v>
      </c>
    </row>
    <row r="610" spans="2:23">
      <c r="B610" s="157" t="str">
        <f t="array" ref="B610">IF(ROWS($3:610)&lt;=COUNTA('register map'!$L$5:$L$902),INDEX('register map'!$L$5:$L$902,SMALL(IF('register map'!$L$5:$L$902&lt;&gt;"",ROW('register map'!$L$5:$L$902)-MIN(ROW('register map'!$L$5:$L$902))+1),ROWS($3:610))),"")</f>
        <v>OTP_RSVD_38_3A_54</v>
      </c>
      <c r="C610" s="157">
        <f>IF(B610="PART_NUMBER",IF(COUNTIF($B$1:B609,"PART_NUMBER")=0,6,8),MATCH(B610,'register map'!L:L,0))</f>
        <v>714</v>
      </c>
      <c r="D610" s="117" t="str">
        <f>IF(ISBLANK(INDEX('register map'!C:C,'Logical Group Generator'!C610)),"No","Yes")</f>
        <v>No</v>
      </c>
      <c r="E610" s="117" t="str">
        <f>IF(ISBLANK(INDEX('register map'!A:A,C610)),IF(ISBLANK(INDEX('register map'!A:A,C610-1)),IF(ISBLANK(INDEX('register map'!A:A,C610-2)),IF(ISBLANK(INDEX('register map'!A:A,C610-3)),IF(ISBLANK(INDEX('register map'!A:A,C610-4)),IF(ISBLANK(INDEX('register map'!A:A,C610-5)),IF(ISBLANK(INDEX('register map'!A:A,C610-6)),IF(ISBLANK(INDEX('register map'!A:A,C610-7)),IF(ISBLANK(INDEX('register map'!A:A,C610-8)),"ERROR",INDEX('register map'!A:A,C610-8)),INDEX('register map'!A:A,C610-7)),INDEX('register map'!A:A,C610-6)),INDEX('register map'!A:A,C610-5)),INDEX('register map'!A:A,C610-4)),INDEX('register map'!A:A,C610-3)),INDEX('register map'!A:A,C610-2)),INDEX('register map'!A:A,C610-1)),INDEX('register map'!A:A,C610))</f>
        <v>0x38</v>
      </c>
      <c r="F610" s="117" t="str">
        <f>IF(ISBLANK(INDEX('register map'!B:B,C610)),IF(ISBLANK(INDEX('register map'!B:B,C610-1)),IF(ISBLANK(INDEX('register map'!B:B,C610-2)),IF(ISBLANK(INDEX('register map'!B:B,C610-3)),IF(ISBLANK(INDEX('register map'!B:B,C610-4)),IF(ISBLANK(INDEX('register map'!B:B,C610-5)),IF(ISBLANK(INDEX('register map'!B:B,C610-6)),IF(ISBLANK(INDEX('register map'!B:B,C610-7)),IF(ISBLANK(INDEX('register map'!B:B,C610-8)),"ERROR",INDEX('register map'!B:B,C610-8)),INDEX('register map'!B:B,C610-7)),INDEX('register map'!B:B,C610-6)),INDEX('register map'!B:B,C610-5)),INDEX('register map'!B:B,C610-4)),INDEX('register map'!B:B,C610-3)),INDEX('register map'!B:B,C610-2)),INDEX('register map'!B:B,C610-1)),INDEX('register map'!B:B,C610))</f>
        <v>0x3A</v>
      </c>
      <c r="G610" s="117" t="str">
        <f>CONCATENATE(IF(ISNUMBER(INDEX('register map'!D:D,C610)),7,""),IF(ISNUMBER(INDEX('register map'!E:E,C610)),6,""),IF(ISNUMBER(INDEX('register map'!F:F,C610)),5,""),IF(ISNUMBER(INDEX('register map'!G:G,C610)),4,""),IF(ISNUMBER(INDEX('register map'!H:H,C610)),3,""),IF(ISNUMBER(INDEX('register map'!I:I,C610)),2,""),IF(ISNUMBER(INDEX('register map'!J:J,C610)),1,""),IF(ISNUMBER(INDEX('register map'!K:K,C610)),0,""))</f>
        <v>54</v>
      </c>
      <c r="H610" s="117" t="str">
        <f>RIGHT(INDEX('register map'!V:V,MATCH('Logical Group Generator'!B610,'register map'!L:L,0)),LEN(G610))</f>
        <v>10</v>
      </c>
      <c r="I610" s="117" t="str">
        <f>CONCATENATE(IF(ISNUMBER(INDEX('register map'!K:K,C610)),0,""),IF(ISNUMBER(INDEX('register map'!J:J,C610)),1,""),IF(ISNUMBER(INDEX('register map'!I:I,C610)),2,""),IF(ISNUMBER(INDEX('register map'!H:H,C610)),3,""),IF(ISNUMBER(INDEX('register map'!G:G,C610)),4,""),IF(ISNUMBER(INDEX('register map'!F:F,C610)),5,""),IF(ISNUMBER(INDEX('register map'!E:E,C610)),6,""),IF(ISNUMBER(INDEX('register map'!D:D,C610)),7,""))</f>
        <v>45</v>
      </c>
      <c r="J610" s="117" t="str">
        <f t="shared" si="106"/>
        <v>01</v>
      </c>
      <c r="K610" s="117" t="str">
        <f t="shared" si="99"/>
        <v/>
      </c>
      <c r="L610" s="117" t="str">
        <f t="shared" si="107"/>
        <v/>
      </c>
      <c r="M610" s="117" t="str">
        <f t="shared" si="109"/>
        <v/>
      </c>
      <c r="N610" s="117" t="str">
        <f>IF(ISBLANK(INDEX('register map'!M:M,'Logical Group Generator'!C610)),"No","Yes")</f>
        <v>No</v>
      </c>
      <c r="O610" s="117" t="str">
        <f>IF(NOT(ISBLANK(INDEX('register map'!N:N,'Logical Group Generator'!C610))),"Yes","")</f>
        <v/>
      </c>
      <c r="P610" s="117" t="str">
        <f t="shared" si="100"/>
        <v/>
      </c>
      <c r="Q610" s="117" t="str">
        <f t="shared" si="101"/>
        <v/>
      </c>
      <c r="R610" s="117" t="str">
        <f t="shared" si="102"/>
        <v/>
      </c>
      <c r="S610" s="117" t="str">
        <f t="shared" si="103"/>
        <v>No</v>
      </c>
      <c r="T610" s="117" t="str">
        <f t="shared" si="104"/>
        <v/>
      </c>
      <c r="U610" s="117" t="b">
        <f t="shared" si="108"/>
        <v>0</v>
      </c>
      <c r="V610" s="157" t="b">
        <f>INDEX('register map'!P:P,C610)="yes"</f>
        <v>1</v>
      </c>
      <c r="W610" s="157" t="str">
        <f t="shared" si="105"/>
        <v>FALSE</v>
      </c>
    </row>
    <row r="611" spans="2:23">
      <c r="B611" s="157" t="str">
        <f t="array" ref="B611">IF(ROWS($3:611)&lt;=COUNTA('register map'!$L$5:$L$902),INDEX('register map'!$L$5:$L$902,SMALL(IF('register map'!$L$5:$L$902&lt;&gt;"",ROW('register map'!$L$5:$L$902)-MIN(ROW('register map'!$L$5:$L$902))+1),ROWS($3:611))),"")</f>
        <v>OTP_RSVD_38_3A_6</v>
      </c>
      <c r="C611" s="157">
        <f>IF(B611="PART_NUMBER",IF(COUNTIF($B$1:B610,"PART_NUMBER")=0,6,8),MATCH(B611,'register map'!L:L,0))</f>
        <v>715</v>
      </c>
      <c r="D611" s="117" t="str">
        <f>IF(ISBLANK(INDEX('register map'!C:C,'Logical Group Generator'!C611)),"No","Yes")</f>
        <v>No</v>
      </c>
      <c r="E611" s="117" t="str">
        <f>IF(ISBLANK(INDEX('register map'!A:A,C611)),IF(ISBLANK(INDEX('register map'!A:A,C611-1)),IF(ISBLANK(INDEX('register map'!A:A,C611-2)),IF(ISBLANK(INDEX('register map'!A:A,C611-3)),IF(ISBLANK(INDEX('register map'!A:A,C611-4)),IF(ISBLANK(INDEX('register map'!A:A,C611-5)),IF(ISBLANK(INDEX('register map'!A:A,C611-6)),IF(ISBLANK(INDEX('register map'!A:A,C611-7)),IF(ISBLANK(INDEX('register map'!A:A,C611-8)),"ERROR",INDEX('register map'!A:A,C611-8)),INDEX('register map'!A:A,C611-7)),INDEX('register map'!A:A,C611-6)),INDEX('register map'!A:A,C611-5)),INDEX('register map'!A:A,C611-4)),INDEX('register map'!A:A,C611-3)),INDEX('register map'!A:A,C611-2)),INDEX('register map'!A:A,C611-1)),INDEX('register map'!A:A,C611))</f>
        <v>0x38</v>
      </c>
      <c r="F611" s="117" t="str">
        <f>IF(ISBLANK(INDEX('register map'!B:B,C611)),IF(ISBLANK(INDEX('register map'!B:B,C611-1)),IF(ISBLANK(INDEX('register map'!B:B,C611-2)),IF(ISBLANK(INDEX('register map'!B:B,C611-3)),IF(ISBLANK(INDEX('register map'!B:B,C611-4)),IF(ISBLANK(INDEX('register map'!B:B,C611-5)),IF(ISBLANK(INDEX('register map'!B:B,C611-6)),IF(ISBLANK(INDEX('register map'!B:B,C611-7)),IF(ISBLANK(INDEX('register map'!B:B,C611-8)),"ERROR",INDEX('register map'!B:B,C611-8)),INDEX('register map'!B:B,C611-7)),INDEX('register map'!B:B,C611-6)),INDEX('register map'!B:B,C611-5)),INDEX('register map'!B:B,C611-4)),INDEX('register map'!B:B,C611-3)),INDEX('register map'!B:B,C611-2)),INDEX('register map'!B:B,C611-1)),INDEX('register map'!B:B,C611))</f>
        <v>0x3A</v>
      </c>
      <c r="G611" s="117" t="str">
        <f>CONCATENATE(IF(ISNUMBER(INDEX('register map'!D:D,C611)),7,""),IF(ISNUMBER(INDEX('register map'!E:E,C611)),6,""),IF(ISNUMBER(INDEX('register map'!F:F,C611)),5,""),IF(ISNUMBER(INDEX('register map'!G:G,C611)),4,""),IF(ISNUMBER(INDEX('register map'!H:H,C611)),3,""),IF(ISNUMBER(INDEX('register map'!I:I,C611)),2,""),IF(ISNUMBER(INDEX('register map'!J:J,C611)),1,""),IF(ISNUMBER(INDEX('register map'!K:K,C611)),0,""))</f>
        <v>6</v>
      </c>
      <c r="H611" s="117" t="str">
        <f>RIGHT(INDEX('register map'!V:V,MATCH('Logical Group Generator'!B611,'register map'!L:L,0)),LEN(G611))</f>
        <v>0</v>
      </c>
      <c r="I611" s="117" t="str">
        <f>CONCATENATE(IF(ISNUMBER(INDEX('register map'!K:K,C611)),0,""),IF(ISNUMBER(INDEX('register map'!J:J,C611)),1,""),IF(ISNUMBER(INDEX('register map'!I:I,C611)),2,""),IF(ISNUMBER(INDEX('register map'!H:H,C611)),3,""),IF(ISNUMBER(INDEX('register map'!G:G,C611)),4,""),IF(ISNUMBER(INDEX('register map'!F:F,C611)),5,""),IF(ISNUMBER(INDEX('register map'!E:E,C611)),6,""),IF(ISNUMBER(INDEX('register map'!D:D,C611)),7,""))</f>
        <v>6</v>
      </c>
      <c r="J611" s="117" t="str">
        <f t="shared" si="106"/>
        <v>0</v>
      </c>
      <c r="K611" s="117" t="str">
        <f t="shared" si="99"/>
        <v/>
      </c>
      <c r="L611" s="117" t="str">
        <f t="shared" si="107"/>
        <v/>
      </c>
      <c r="M611" s="117" t="str">
        <f t="shared" si="109"/>
        <v/>
      </c>
      <c r="N611" s="117" t="str">
        <f>IF(ISBLANK(INDEX('register map'!M:M,'Logical Group Generator'!C611)),"No","Yes")</f>
        <v>No</v>
      </c>
      <c r="O611" s="117" t="str">
        <f>IF(NOT(ISBLANK(INDEX('register map'!N:N,'Logical Group Generator'!C611))),"Yes","")</f>
        <v/>
      </c>
      <c r="P611" s="117" t="str">
        <f t="shared" si="100"/>
        <v/>
      </c>
      <c r="Q611" s="117" t="str">
        <f t="shared" si="101"/>
        <v/>
      </c>
      <c r="R611" s="117" t="str">
        <f t="shared" si="102"/>
        <v/>
      </c>
      <c r="S611" s="117" t="str">
        <f t="shared" si="103"/>
        <v>No</v>
      </c>
      <c r="T611" s="117" t="str">
        <f t="shared" si="104"/>
        <v/>
      </c>
      <c r="U611" s="117" t="b">
        <f t="shared" si="108"/>
        <v>0</v>
      </c>
      <c r="V611" s="157" t="b">
        <f>INDEX('register map'!P:P,C611)="yes"</f>
        <v>1</v>
      </c>
      <c r="W611" s="157" t="str">
        <f t="shared" si="105"/>
        <v>FALSE</v>
      </c>
    </row>
    <row r="612" spans="2:23">
      <c r="B612" s="157" t="str">
        <f t="array" ref="B612">IF(ROWS($3:612)&lt;=COUNTA('register map'!$L$5:$L$902),INDEX('register map'!$L$5:$L$902,SMALL(IF('register map'!$L$5:$L$902&lt;&gt;"",ROW('register map'!$L$5:$L$902)-MIN(ROW('register map'!$L$5:$L$902))+1),ROWS($3:612))),"")</f>
        <v>OTP_RSVD_38_3A_7</v>
      </c>
      <c r="C612" s="157">
        <f>IF(B612="PART_NUMBER",IF(COUNTIF($B$1:B611,"PART_NUMBER")=0,6,8),MATCH(B612,'register map'!L:L,0))</f>
        <v>716</v>
      </c>
      <c r="D612" s="117" t="str">
        <f>IF(ISBLANK(INDEX('register map'!C:C,'Logical Group Generator'!C612)),"No","Yes")</f>
        <v>No</v>
      </c>
      <c r="E612" s="117" t="str">
        <f>IF(ISBLANK(INDEX('register map'!A:A,C612)),IF(ISBLANK(INDEX('register map'!A:A,C612-1)),IF(ISBLANK(INDEX('register map'!A:A,C612-2)),IF(ISBLANK(INDEX('register map'!A:A,C612-3)),IF(ISBLANK(INDEX('register map'!A:A,C612-4)),IF(ISBLANK(INDEX('register map'!A:A,C612-5)),IF(ISBLANK(INDEX('register map'!A:A,C612-6)),IF(ISBLANK(INDEX('register map'!A:A,C612-7)),IF(ISBLANK(INDEX('register map'!A:A,C612-8)),"ERROR",INDEX('register map'!A:A,C612-8)),INDEX('register map'!A:A,C612-7)),INDEX('register map'!A:A,C612-6)),INDEX('register map'!A:A,C612-5)),INDEX('register map'!A:A,C612-4)),INDEX('register map'!A:A,C612-3)),INDEX('register map'!A:A,C612-2)),INDEX('register map'!A:A,C612-1)),INDEX('register map'!A:A,C612))</f>
        <v>0x38</v>
      </c>
      <c r="F612" s="117" t="str">
        <f>IF(ISBLANK(INDEX('register map'!B:B,C612)),IF(ISBLANK(INDEX('register map'!B:B,C612-1)),IF(ISBLANK(INDEX('register map'!B:B,C612-2)),IF(ISBLANK(INDEX('register map'!B:B,C612-3)),IF(ISBLANK(INDEX('register map'!B:B,C612-4)),IF(ISBLANK(INDEX('register map'!B:B,C612-5)),IF(ISBLANK(INDEX('register map'!B:B,C612-6)),IF(ISBLANK(INDEX('register map'!B:B,C612-7)),IF(ISBLANK(INDEX('register map'!B:B,C612-8)),"ERROR",INDEX('register map'!B:B,C612-8)),INDEX('register map'!B:B,C612-7)),INDEX('register map'!B:B,C612-6)),INDEX('register map'!B:B,C612-5)),INDEX('register map'!B:B,C612-4)),INDEX('register map'!B:B,C612-3)),INDEX('register map'!B:B,C612-2)),INDEX('register map'!B:B,C612-1)),INDEX('register map'!B:B,C612))</f>
        <v>0x3A</v>
      </c>
      <c r="G612" s="117" t="str">
        <f>CONCATENATE(IF(ISNUMBER(INDEX('register map'!D:D,C612)),7,""),IF(ISNUMBER(INDEX('register map'!E:E,C612)),6,""),IF(ISNUMBER(INDEX('register map'!F:F,C612)),5,""),IF(ISNUMBER(INDEX('register map'!G:G,C612)),4,""),IF(ISNUMBER(INDEX('register map'!H:H,C612)),3,""),IF(ISNUMBER(INDEX('register map'!I:I,C612)),2,""),IF(ISNUMBER(INDEX('register map'!J:J,C612)),1,""),IF(ISNUMBER(INDEX('register map'!K:K,C612)),0,""))</f>
        <v>7</v>
      </c>
      <c r="H612" s="117" t="str">
        <f>RIGHT(INDEX('register map'!V:V,MATCH('Logical Group Generator'!B612,'register map'!L:L,0)),LEN(G612))</f>
        <v>1</v>
      </c>
      <c r="I612" s="117" t="str">
        <f>CONCATENATE(IF(ISNUMBER(INDEX('register map'!K:K,C612)),0,""),IF(ISNUMBER(INDEX('register map'!J:J,C612)),1,""),IF(ISNUMBER(INDEX('register map'!I:I,C612)),2,""),IF(ISNUMBER(INDEX('register map'!H:H,C612)),3,""),IF(ISNUMBER(INDEX('register map'!G:G,C612)),4,""),IF(ISNUMBER(INDEX('register map'!F:F,C612)),5,""),IF(ISNUMBER(INDEX('register map'!E:E,C612)),6,""),IF(ISNUMBER(INDEX('register map'!D:D,C612)),7,""))</f>
        <v>7</v>
      </c>
      <c r="J612" s="117" t="str">
        <f t="shared" si="106"/>
        <v>1</v>
      </c>
      <c r="K612" s="117" t="str">
        <f t="shared" si="99"/>
        <v/>
      </c>
      <c r="L612" s="117" t="str">
        <f t="shared" si="107"/>
        <v/>
      </c>
      <c r="M612" s="117" t="str">
        <f t="shared" si="109"/>
        <v/>
      </c>
      <c r="N612" s="117" t="str">
        <f>IF(ISBLANK(INDEX('register map'!M:M,'Logical Group Generator'!C612)),"No","Yes")</f>
        <v>No</v>
      </c>
      <c r="O612" s="117" t="str">
        <f>IF(NOT(ISBLANK(INDEX('register map'!N:N,'Logical Group Generator'!C612))),"Yes","")</f>
        <v/>
      </c>
      <c r="P612" s="117" t="str">
        <f t="shared" si="100"/>
        <v/>
      </c>
      <c r="Q612" s="117" t="str">
        <f t="shared" si="101"/>
        <v/>
      </c>
      <c r="R612" s="117" t="str">
        <f t="shared" si="102"/>
        <v/>
      </c>
      <c r="S612" s="117" t="str">
        <f t="shared" si="103"/>
        <v>No</v>
      </c>
      <c r="T612" s="117" t="str">
        <f t="shared" si="104"/>
        <v/>
      </c>
      <c r="U612" s="117" t="b">
        <f t="shared" si="108"/>
        <v>0</v>
      </c>
      <c r="V612" s="157" t="b">
        <f>INDEX('register map'!P:P,C612)="yes"</f>
        <v>1</v>
      </c>
      <c r="W612" s="157" t="str">
        <f t="shared" si="105"/>
        <v>FALSE</v>
      </c>
    </row>
    <row r="613" spans="2:23">
      <c r="B613" s="157" t="str">
        <f t="array" ref="B613">IF(ROWS($3:613)&lt;=COUNTA('register map'!$L$5:$L$902),INDEX('register map'!$L$5:$L$902,SMALL(IF('register map'!$L$5:$L$902&lt;&gt;"",ROW('register map'!$L$5:$L$902)-MIN(ROW('register map'!$L$5:$L$902))+1),ROWS($3:613))),"")</f>
        <v>OTP_RSVD_38_3B</v>
      </c>
      <c r="C613" s="157">
        <f>IF(B613="PART_NUMBER",IF(COUNTIF($B$1:B612,"PART_NUMBER")=0,6,8),MATCH(B613,'register map'!L:L,0))</f>
        <v>717</v>
      </c>
      <c r="D613" s="117" t="str">
        <f>IF(ISBLANK(INDEX('register map'!C:C,'Logical Group Generator'!C613)),"No","Yes")</f>
        <v>Yes</v>
      </c>
      <c r="E613" s="117" t="str">
        <f>IF(ISBLANK(INDEX('register map'!A:A,C613)),IF(ISBLANK(INDEX('register map'!A:A,C613-1)),IF(ISBLANK(INDEX('register map'!A:A,C613-2)),IF(ISBLANK(INDEX('register map'!A:A,C613-3)),IF(ISBLANK(INDEX('register map'!A:A,C613-4)),IF(ISBLANK(INDEX('register map'!A:A,C613-5)),IF(ISBLANK(INDEX('register map'!A:A,C613-6)),IF(ISBLANK(INDEX('register map'!A:A,C613-7)),IF(ISBLANK(INDEX('register map'!A:A,C613-8)),"ERROR",INDEX('register map'!A:A,C613-8)),INDEX('register map'!A:A,C613-7)),INDEX('register map'!A:A,C613-6)),INDEX('register map'!A:A,C613-5)),INDEX('register map'!A:A,C613-4)),INDEX('register map'!A:A,C613-3)),INDEX('register map'!A:A,C613-2)),INDEX('register map'!A:A,C613-1)),INDEX('register map'!A:A,C613))</f>
        <v>0x38</v>
      </c>
      <c r="F613" s="117" t="str">
        <f>IF(ISBLANK(INDEX('register map'!B:B,C613)),IF(ISBLANK(INDEX('register map'!B:B,C613-1)),IF(ISBLANK(INDEX('register map'!B:B,C613-2)),IF(ISBLANK(INDEX('register map'!B:B,C613-3)),IF(ISBLANK(INDEX('register map'!B:B,C613-4)),IF(ISBLANK(INDEX('register map'!B:B,C613-5)),IF(ISBLANK(INDEX('register map'!B:B,C613-6)),IF(ISBLANK(INDEX('register map'!B:B,C613-7)),IF(ISBLANK(INDEX('register map'!B:B,C613-8)),"ERROR",INDEX('register map'!B:B,C613-8)),INDEX('register map'!B:B,C613-7)),INDEX('register map'!B:B,C613-6)),INDEX('register map'!B:B,C613-5)),INDEX('register map'!B:B,C613-4)),INDEX('register map'!B:B,C613-3)),INDEX('register map'!B:B,C613-2)),INDEX('register map'!B:B,C613-1)),INDEX('register map'!B:B,C613))</f>
        <v>0x3B</v>
      </c>
      <c r="G613" s="117" t="str">
        <f>CONCATENATE(IF(ISNUMBER(INDEX('register map'!D:D,C613)),7,""),IF(ISNUMBER(INDEX('register map'!E:E,C613)),6,""),IF(ISNUMBER(INDEX('register map'!F:F,C613)),5,""),IF(ISNUMBER(INDEX('register map'!G:G,C613)),4,""),IF(ISNUMBER(INDEX('register map'!H:H,C613)),3,""),IF(ISNUMBER(INDEX('register map'!I:I,C613)),2,""),IF(ISNUMBER(INDEX('register map'!J:J,C613)),1,""),IF(ISNUMBER(INDEX('register map'!K:K,C613)),0,""))</f>
        <v/>
      </c>
      <c r="H613" s="117" t="str">
        <f>RIGHT(INDEX('register map'!V:V,MATCH('Logical Group Generator'!B613,'register map'!L:L,0)),LEN(G613))</f>
        <v/>
      </c>
      <c r="I613" s="117" t="str">
        <f>CONCATENATE(IF(ISNUMBER(INDEX('register map'!K:K,C613)),0,""),IF(ISNUMBER(INDEX('register map'!J:J,C613)),1,""),IF(ISNUMBER(INDEX('register map'!I:I,C613)),2,""),IF(ISNUMBER(INDEX('register map'!H:H,C613)),3,""),IF(ISNUMBER(INDEX('register map'!G:G,C613)),4,""),IF(ISNUMBER(INDEX('register map'!F:F,C613)),5,""),IF(ISNUMBER(INDEX('register map'!E:E,C613)),6,""),IF(ISNUMBER(INDEX('register map'!D:D,C613)),7,""))</f>
        <v/>
      </c>
      <c r="J613" s="117" t="str">
        <f t="shared" si="106"/>
        <v/>
      </c>
      <c r="K613" s="117" t="str">
        <f t="shared" si="99"/>
        <v>01011001</v>
      </c>
      <c r="L613" s="117" t="str">
        <f t="shared" si="107"/>
        <v>10011010</v>
      </c>
      <c r="M613" s="117" t="str">
        <f t="shared" si="109"/>
        <v>9A</v>
      </c>
      <c r="N613" s="117" t="str">
        <f>IF(ISBLANK(INDEX('register map'!M:M,'Logical Group Generator'!C613)),"No","Yes")</f>
        <v>No</v>
      </c>
      <c r="O613" s="117" t="str">
        <f>IF(NOT(ISBLANK(INDEX('register map'!N:N,'Logical Group Generator'!C613))),"Yes","")</f>
        <v/>
      </c>
      <c r="P613" s="117" t="str">
        <f t="shared" si="100"/>
        <v>Yes</v>
      </c>
      <c r="Q613" s="117" t="str">
        <f t="shared" si="101"/>
        <v>Yes</v>
      </c>
      <c r="R613" s="117" t="str">
        <f t="shared" si="102"/>
        <v>No</v>
      </c>
      <c r="S613" s="117" t="str">
        <f t="shared" si="103"/>
        <v/>
      </c>
      <c r="T613" s="117" t="b">
        <f t="shared" si="104"/>
        <v>1</v>
      </c>
      <c r="U613" s="117" t="b">
        <f t="shared" si="108"/>
        <v>0</v>
      </c>
      <c r="V613" s="157" t="b">
        <f>INDEX('register map'!P:P,C613)="yes"</f>
        <v>1</v>
      </c>
      <c r="W613" s="157" t="str">
        <f t="shared" si="105"/>
        <v>FALSE</v>
      </c>
    </row>
    <row r="614" spans="2:23">
      <c r="B614" s="157" t="str">
        <f t="array" ref="B614">IF(ROWS($3:614)&lt;=COUNTA('register map'!$L$5:$L$902),INDEX('register map'!$L$5:$L$902,SMALL(IF('register map'!$L$5:$L$902&lt;&gt;"",ROW('register map'!$L$5:$L$902)-MIN(ROW('register map'!$L$5:$L$902))+1),ROWS($3:614))),"")</f>
        <v>OTP_RSVD_38_3B_0</v>
      </c>
      <c r="C614" s="157">
        <f>IF(B614="PART_NUMBER",IF(COUNTIF($B$1:B613,"PART_NUMBER")=0,6,8),MATCH(B614,'register map'!L:L,0))</f>
        <v>718</v>
      </c>
      <c r="D614" s="117" t="str">
        <f>IF(ISBLANK(INDEX('register map'!C:C,'Logical Group Generator'!C614)),"No","Yes")</f>
        <v>No</v>
      </c>
      <c r="E614" s="117" t="str">
        <f>IF(ISBLANK(INDEX('register map'!A:A,C614)),IF(ISBLANK(INDEX('register map'!A:A,C614-1)),IF(ISBLANK(INDEX('register map'!A:A,C614-2)),IF(ISBLANK(INDEX('register map'!A:A,C614-3)),IF(ISBLANK(INDEX('register map'!A:A,C614-4)),IF(ISBLANK(INDEX('register map'!A:A,C614-5)),IF(ISBLANK(INDEX('register map'!A:A,C614-6)),IF(ISBLANK(INDEX('register map'!A:A,C614-7)),IF(ISBLANK(INDEX('register map'!A:A,C614-8)),"ERROR",INDEX('register map'!A:A,C614-8)),INDEX('register map'!A:A,C614-7)),INDEX('register map'!A:A,C614-6)),INDEX('register map'!A:A,C614-5)),INDEX('register map'!A:A,C614-4)),INDEX('register map'!A:A,C614-3)),INDEX('register map'!A:A,C614-2)),INDEX('register map'!A:A,C614-1)),INDEX('register map'!A:A,C614))</f>
        <v>0x38</v>
      </c>
      <c r="F614" s="117" t="str">
        <f>IF(ISBLANK(INDEX('register map'!B:B,C614)),IF(ISBLANK(INDEX('register map'!B:B,C614-1)),IF(ISBLANK(INDEX('register map'!B:B,C614-2)),IF(ISBLANK(INDEX('register map'!B:B,C614-3)),IF(ISBLANK(INDEX('register map'!B:B,C614-4)),IF(ISBLANK(INDEX('register map'!B:B,C614-5)),IF(ISBLANK(INDEX('register map'!B:B,C614-6)),IF(ISBLANK(INDEX('register map'!B:B,C614-7)),IF(ISBLANK(INDEX('register map'!B:B,C614-8)),"ERROR",INDEX('register map'!B:B,C614-8)),INDEX('register map'!B:B,C614-7)),INDEX('register map'!B:B,C614-6)),INDEX('register map'!B:B,C614-5)),INDEX('register map'!B:B,C614-4)),INDEX('register map'!B:B,C614-3)),INDEX('register map'!B:B,C614-2)),INDEX('register map'!B:B,C614-1)),INDEX('register map'!B:B,C614))</f>
        <v>0x3B</v>
      </c>
      <c r="G614" s="117" t="str">
        <f>CONCATENATE(IF(ISNUMBER(INDEX('register map'!D:D,C614)),7,""),IF(ISNUMBER(INDEX('register map'!E:E,C614)),6,""),IF(ISNUMBER(INDEX('register map'!F:F,C614)),5,""),IF(ISNUMBER(INDEX('register map'!G:G,C614)),4,""),IF(ISNUMBER(INDEX('register map'!H:H,C614)),3,""),IF(ISNUMBER(INDEX('register map'!I:I,C614)),2,""),IF(ISNUMBER(INDEX('register map'!J:J,C614)),1,""),IF(ISNUMBER(INDEX('register map'!K:K,C614)),0,""))</f>
        <v>0</v>
      </c>
      <c r="H614" s="117" t="str">
        <f>RIGHT(INDEX('register map'!V:V,MATCH('Logical Group Generator'!B614,'register map'!L:L,0)),LEN(G614))</f>
        <v>0</v>
      </c>
      <c r="I614" s="117" t="str">
        <f>CONCATENATE(IF(ISNUMBER(INDEX('register map'!K:K,C614)),0,""),IF(ISNUMBER(INDEX('register map'!J:J,C614)),1,""),IF(ISNUMBER(INDEX('register map'!I:I,C614)),2,""),IF(ISNUMBER(INDEX('register map'!H:H,C614)),3,""),IF(ISNUMBER(INDEX('register map'!G:G,C614)),4,""),IF(ISNUMBER(INDEX('register map'!F:F,C614)),5,""),IF(ISNUMBER(INDEX('register map'!E:E,C614)),6,""),IF(ISNUMBER(INDEX('register map'!D:D,C614)),7,""))</f>
        <v>0</v>
      </c>
      <c r="J614" s="117" t="str">
        <f t="shared" si="106"/>
        <v>0</v>
      </c>
      <c r="K614" s="117" t="str">
        <f t="shared" si="99"/>
        <v/>
      </c>
      <c r="L614" s="117" t="str">
        <f t="shared" si="107"/>
        <v/>
      </c>
      <c r="M614" s="117" t="str">
        <f t="shared" si="109"/>
        <v/>
      </c>
      <c r="N614" s="117" t="str">
        <f>IF(ISBLANK(INDEX('register map'!M:M,'Logical Group Generator'!C614)),"No","Yes")</f>
        <v>No</v>
      </c>
      <c r="O614" s="117" t="str">
        <f>IF(NOT(ISBLANK(INDEX('register map'!N:N,'Logical Group Generator'!C614))),"Yes","")</f>
        <v>Yes</v>
      </c>
      <c r="P614" s="117" t="str">
        <f t="shared" si="100"/>
        <v/>
      </c>
      <c r="Q614" s="117" t="str">
        <f t="shared" si="101"/>
        <v/>
      </c>
      <c r="R614" s="117" t="str">
        <f t="shared" si="102"/>
        <v/>
      </c>
      <c r="S614" s="117" t="str">
        <f t="shared" si="103"/>
        <v>No</v>
      </c>
      <c r="T614" s="117" t="str">
        <f t="shared" si="104"/>
        <v/>
      </c>
      <c r="U614" s="117" t="b">
        <f t="shared" si="108"/>
        <v>0</v>
      </c>
      <c r="V614" s="157" t="b">
        <f>INDEX('register map'!P:P,C614)="yes"</f>
        <v>1</v>
      </c>
      <c r="W614" s="157" t="str">
        <f t="shared" si="105"/>
        <v>FALSE</v>
      </c>
    </row>
    <row r="615" spans="2:23">
      <c r="B615" s="157" t="str">
        <f t="array" ref="B615">IF(ROWS($3:615)&lt;=COUNTA('register map'!$L$5:$L$902),INDEX('register map'!$L$5:$L$902,SMALL(IF('register map'!$L$5:$L$902&lt;&gt;"",ROW('register map'!$L$5:$L$902)-MIN(ROW('register map'!$L$5:$L$902))+1),ROWS($3:615))),"")</f>
        <v>OTP_RSVD_38_3B_1</v>
      </c>
      <c r="C615" s="157">
        <f>IF(B615="PART_NUMBER",IF(COUNTIF($B$1:B614,"PART_NUMBER")=0,6,8),MATCH(B615,'register map'!L:L,0))</f>
        <v>719</v>
      </c>
      <c r="D615" s="117" t="str">
        <f>IF(ISBLANK(INDEX('register map'!C:C,'Logical Group Generator'!C615)),"No","Yes")</f>
        <v>No</v>
      </c>
      <c r="E615" s="117" t="str">
        <f>IF(ISBLANK(INDEX('register map'!A:A,C615)),IF(ISBLANK(INDEX('register map'!A:A,C615-1)),IF(ISBLANK(INDEX('register map'!A:A,C615-2)),IF(ISBLANK(INDEX('register map'!A:A,C615-3)),IF(ISBLANK(INDEX('register map'!A:A,C615-4)),IF(ISBLANK(INDEX('register map'!A:A,C615-5)),IF(ISBLANK(INDEX('register map'!A:A,C615-6)),IF(ISBLANK(INDEX('register map'!A:A,C615-7)),IF(ISBLANK(INDEX('register map'!A:A,C615-8)),"ERROR",INDEX('register map'!A:A,C615-8)),INDEX('register map'!A:A,C615-7)),INDEX('register map'!A:A,C615-6)),INDEX('register map'!A:A,C615-5)),INDEX('register map'!A:A,C615-4)),INDEX('register map'!A:A,C615-3)),INDEX('register map'!A:A,C615-2)),INDEX('register map'!A:A,C615-1)),INDEX('register map'!A:A,C615))</f>
        <v>0x38</v>
      </c>
      <c r="F615" s="117" t="str">
        <f>IF(ISBLANK(INDEX('register map'!B:B,C615)),IF(ISBLANK(INDEX('register map'!B:B,C615-1)),IF(ISBLANK(INDEX('register map'!B:B,C615-2)),IF(ISBLANK(INDEX('register map'!B:B,C615-3)),IF(ISBLANK(INDEX('register map'!B:B,C615-4)),IF(ISBLANK(INDEX('register map'!B:B,C615-5)),IF(ISBLANK(INDEX('register map'!B:B,C615-6)),IF(ISBLANK(INDEX('register map'!B:B,C615-7)),IF(ISBLANK(INDEX('register map'!B:B,C615-8)),"ERROR",INDEX('register map'!B:B,C615-8)),INDEX('register map'!B:B,C615-7)),INDEX('register map'!B:B,C615-6)),INDEX('register map'!B:B,C615-5)),INDEX('register map'!B:B,C615-4)),INDEX('register map'!B:B,C615-3)),INDEX('register map'!B:B,C615-2)),INDEX('register map'!B:B,C615-1)),INDEX('register map'!B:B,C615))</f>
        <v>0x3B</v>
      </c>
      <c r="G615" s="117" t="str">
        <f>CONCATENATE(IF(ISNUMBER(INDEX('register map'!D:D,C615)),7,""),IF(ISNUMBER(INDEX('register map'!E:E,C615)),6,""),IF(ISNUMBER(INDEX('register map'!F:F,C615)),5,""),IF(ISNUMBER(INDEX('register map'!G:G,C615)),4,""),IF(ISNUMBER(INDEX('register map'!H:H,C615)),3,""),IF(ISNUMBER(INDEX('register map'!I:I,C615)),2,""),IF(ISNUMBER(INDEX('register map'!J:J,C615)),1,""),IF(ISNUMBER(INDEX('register map'!K:K,C615)),0,""))</f>
        <v>1</v>
      </c>
      <c r="H615" s="117" t="str">
        <f>RIGHT(INDEX('register map'!V:V,MATCH('Logical Group Generator'!B615,'register map'!L:L,0)),LEN(G615))</f>
        <v>1</v>
      </c>
      <c r="I615" s="117" t="str">
        <f>CONCATENATE(IF(ISNUMBER(INDEX('register map'!K:K,C615)),0,""),IF(ISNUMBER(INDEX('register map'!J:J,C615)),1,""),IF(ISNUMBER(INDEX('register map'!I:I,C615)),2,""),IF(ISNUMBER(INDEX('register map'!H:H,C615)),3,""),IF(ISNUMBER(INDEX('register map'!G:G,C615)),4,""),IF(ISNUMBER(INDEX('register map'!F:F,C615)),5,""),IF(ISNUMBER(INDEX('register map'!E:E,C615)),6,""),IF(ISNUMBER(INDEX('register map'!D:D,C615)),7,""))</f>
        <v>1</v>
      </c>
      <c r="J615" s="117" t="str">
        <f t="shared" si="106"/>
        <v>1</v>
      </c>
      <c r="K615" s="117" t="str">
        <f t="shared" si="99"/>
        <v/>
      </c>
      <c r="L615" s="117" t="str">
        <f t="shared" si="107"/>
        <v/>
      </c>
      <c r="M615" s="117" t="str">
        <f t="shared" si="109"/>
        <v/>
      </c>
      <c r="N615" s="117" t="str">
        <f>IF(ISBLANK(INDEX('register map'!M:M,'Logical Group Generator'!C615)),"No","Yes")</f>
        <v>No</v>
      </c>
      <c r="O615" s="117" t="str">
        <f>IF(NOT(ISBLANK(INDEX('register map'!N:N,'Logical Group Generator'!C615))),"Yes","")</f>
        <v>Yes</v>
      </c>
      <c r="P615" s="117" t="str">
        <f t="shared" si="100"/>
        <v/>
      </c>
      <c r="Q615" s="117" t="str">
        <f t="shared" si="101"/>
        <v/>
      </c>
      <c r="R615" s="117" t="str">
        <f t="shared" si="102"/>
        <v/>
      </c>
      <c r="S615" s="117" t="str">
        <f t="shared" si="103"/>
        <v>No</v>
      </c>
      <c r="T615" s="117" t="str">
        <f t="shared" si="104"/>
        <v/>
      </c>
      <c r="U615" s="117" t="b">
        <f t="shared" si="108"/>
        <v>0</v>
      </c>
      <c r="V615" s="157" t="b">
        <f>INDEX('register map'!P:P,C615)="yes"</f>
        <v>1</v>
      </c>
      <c r="W615" s="157" t="str">
        <f t="shared" si="105"/>
        <v>FALSE</v>
      </c>
    </row>
    <row r="616" spans="2:23">
      <c r="B616" s="157" t="str">
        <f t="array" ref="B616">IF(ROWS($3:616)&lt;=COUNTA('register map'!$L$5:$L$902),INDEX('register map'!$L$5:$L$902,SMALL(IF('register map'!$L$5:$L$902&lt;&gt;"",ROW('register map'!$L$5:$L$902)-MIN(ROW('register map'!$L$5:$L$902))+1),ROWS($3:616))),"")</f>
        <v>OTP_RSVD_38_3B_32</v>
      </c>
      <c r="C616" s="157">
        <f>IF(B616="PART_NUMBER",IF(COUNTIF($B$1:B615,"PART_NUMBER")=0,6,8),MATCH(B616,'register map'!L:L,0))</f>
        <v>720</v>
      </c>
      <c r="D616" s="117" t="str">
        <f>IF(ISBLANK(INDEX('register map'!C:C,'Logical Group Generator'!C616)),"No","Yes")</f>
        <v>No</v>
      </c>
      <c r="E616" s="117" t="str">
        <f>IF(ISBLANK(INDEX('register map'!A:A,C616)),IF(ISBLANK(INDEX('register map'!A:A,C616-1)),IF(ISBLANK(INDEX('register map'!A:A,C616-2)),IF(ISBLANK(INDEX('register map'!A:A,C616-3)),IF(ISBLANK(INDEX('register map'!A:A,C616-4)),IF(ISBLANK(INDEX('register map'!A:A,C616-5)),IF(ISBLANK(INDEX('register map'!A:A,C616-6)),IF(ISBLANK(INDEX('register map'!A:A,C616-7)),IF(ISBLANK(INDEX('register map'!A:A,C616-8)),"ERROR",INDEX('register map'!A:A,C616-8)),INDEX('register map'!A:A,C616-7)),INDEX('register map'!A:A,C616-6)),INDEX('register map'!A:A,C616-5)),INDEX('register map'!A:A,C616-4)),INDEX('register map'!A:A,C616-3)),INDEX('register map'!A:A,C616-2)),INDEX('register map'!A:A,C616-1)),INDEX('register map'!A:A,C616))</f>
        <v>0x38</v>
      </c>
      <c r="F616" s="117" t="str">
        <f>IF(ISBLANK(INDEX('register map'!B:B,C616)),IF(ISBLANK(INDEX('register map'!B:B,C616-1)),IF(ISBLANK(INDEX('register map'!B:B,C616-2)),IF(ISBLANK(INDEX('register map'!B:B,C616-3)),IF(ISBLANK(INDEX('register map'!B:B,C616-4)),IF(ISBLANK(INDEX('register map'!B:B,C616-5)),IF(ISBLANK(INDEX('register map'!B:B,C616-6)),IF(ISBLANK(INDEX('register map'!B:B,C616-7)),IF(ISBLANK(INDEX('register map'!B:B,C616-8)),"ERROR",INDEX('register map'!B:B,C616-8)),INDEX('register map'!B:B,C616-7)),INDEX('register map'!B:B,C616-6)),INDEX('register map'!B:B,C616-5)),INDEX('register map'!B:B,C616-4)),INDEX('register map'!B:B,C616-3)),INDEX('register map'!B:B,C616-2)),INDEX('register map'!B:B,C616-1)),INDEX('register map'!B:B,C616))</f>
        <v>0x3B</v>
      </c>
      <c r="G616" s="117" t="str">
        <f>CONCATENATE(IF(ISNUMBER(INDEX('register map'!D:D,C616)),7,""),IF(ISNUMBER(INDEX('register map'!E:E,C616)),6,""),IF(ISNUMBER(INDEX('register map'!F:F,C616)),5,""),IF(ISNUMBER(INDEX('register map'!G:G,C616)),4,""),IF(ISNUMBER(INDEX('register map'!H:H,C616)),3,""),IF(ISNUMBER(INDEX('register map'!I:I,C616)),2,""),IF(ISNUMBER(INDEX('register map'!J:J,C616)),1,""),IF(ISNUMBER(INDEX('register map'!K:K,C616)),0,""))</f>
        <v>32</v>
      </c>
      <c r="H616" s="117" t="str">
        <f>RIGHT(INDEX('register map'!V:V,MATCH('Logical Group Generator'!B616,'register map'!L:L,0)),LEN(G616))</f>
        <v>10</v>
      </c>
      <c r="I616" s="117" t="str">
        <f>CONCATENATE(IF(ISNUMBER(INDEX('register map'!K:K,C616)),0,""),IF(ISNUMBER(INDEX('register map'!J:J,C616)),1,""),IF(ISNUMBER(INDEX('register map'!I:I,C616)),2,""),IF(ISNUMBER(INDEX('register map'!H:H,C616)),3,""),IF(ISNUMBER(INDEX('register map'!G:G,C616)),4,""),IF(ISNUMBER(INDEX('register map'!F:F,C616)),5,""),IF(ISNUMBER(INDEX('register map'!E:E,C616)),6,""),IF(ISNUMBER(INDEX('register map'!D:D,C616)),7,""))</f>
        <v>23</v>
      </c>
      <c r="J616" s="117" t="str">
        <f t="shared" si="106"/>
        <v>01</v>
      </c>
      <c r="K616" s="117" t="str">
        <f t="shared" si="99"/>
        <v/>
      </c>
      <c r="L616" s="117" t="str">
        <f t="shared" si="107"/>
        <v/>
      </c>
      <c r="M616" s="117" t="str">
        <f t="shared" si="109"/>
        <v/>
      </c>
      <c r="N616" s="117" t="str">
        <f>IF(ISBLANK(INDEX('register map'!M:M,'Logical Group Generator'!C616)),"No","Yes")</f>
        <v>Yes</v>
      </c>
      <c r="O616" s="117" t="str">
        <f>IF(NOT(ISBLANK(INDEX('register map'!N:N,'Logical Group Generator'!C616))),"Yes","")</f>
        <v/>
      </c>
      <c r="P616" s="117" t="str">
        <f t="shared" si="100"/>
        <v/>
      </c>
      <c r="Q616" s="117" t="str">
        <f t="shared" si="101"/>
        <v/>
      </c>
      <c r="R616" s="117" t="str">
        <f t="shared" si="102"/>
        <v/>
      </c>
      <c r="S616" s="117" t="str">
        <f t="shared" si="103"/>
        <v>No</v>
      </c>
      <c r="T616" s="117" t="str">
        <f t="shared" si="104"/>
        <v/>
      </c>
      <c r="U616" s="117" t="b">
        <f t="shared" si="108"/>
        <v>0</v>
      </c>
      <c r="V616" s="157" t="b">
        <f>INDEX('register map'!P:P,C616)="yes"</f>
        <v>1</v>
      </c>
      <c r="W616" s="157" t="str">
        <f t="shared" si="105"/>
        <v>FALSE</v>
      </c>
    </row>
    <row r="617" spans="2:23">
      <c r="B617" s="157" t="str">
        <f t="array" ref="B617">IF(ROWS($3:617)&lt;=COUNTA('register map'!$L$5:$L$902),INDEX('register map'!$L$5:$L$902,SMALL(IF('register map'!$L$5:$L$902&lt;&gt;"",ROW('register map'!$L$5:$L$902)-MIN(ROW('register map'!$L$5:$L$902))+1),ROWS($3:617))),"")</f>
        <v>OTP_RSVD_38_3B_4</v>
      </c>
      <c r="C617" s="157">
        <f>IF(B617="PART_NUMBER",IF(COUNTIF($B$1:B616,"PART_NUMBER")=0,6,8),MATCH(B617,'register map'!L:L,0))</f>
        <v>721</v>
      </c>
      <c r="D617" s="117" t="str">
        <f>IF(ISBLANK(INDEX('register map'!C:C,'Logical Group Generator'!C617)),"No","Yes")</f>
        <v>No</v>
      </c>
      <c r="E617" s="117" t="str">
        <f>IF(ISBLANK(INDEX('register map'!A:A,C617)),IF(ISBLANK(INDEX('register map'!A:A,C617-1)),IF(ISBLANK(INDEX('register map'!A:A,C617-2)),IF(ISBLANK(INDEX('register map'!A:A,C617-3)),IF(ISBLANK(INDEX('register map'!A:A,C617-4)),IF(ISBLANK(INDEX('register map'!A:A,C617-5)),IF(ISBLANK(INDEX('register map'!A:A,C617-6)),IF(ISBLANK(INDEX('register map'!A:A,C617-7)),IF(ISBLANK(INDEX('register map'!A:A,C617-8)),"ERROR",INDEX('register map'!A:A,C617-8)),INDEX('register map'!A:A,C617-7)),INDEX('register map'!A:A,C617-6)),INDEX('register map'!A:A,C617-5)),INDEX('register map'!A:A,C617-4)),INDEX('register map'!A:A,C617-3)),INDEX('register map'!A:A,C617-2)),INDEX('register map'!A:A,C617-1)),INDEX('register map'!A:A,C617))</f>
        <v>0x38</v>
      </c>
      <c r="F617" s="117" t="str">
        <f>IF(ISBLANK(INDEX('register map'!B:B,C617)),IF(ISBLANK(INDEX('register map'!B:B,C617-1)),IF(ISBLANK(INDEX('register map'!B:B,C617-2)),IF(ISBLANK(INDEX('register map'!B:B,C617-3)),IF(ISBLANK(INDEX('register map'!B:B,C617-4)),IF(ISBLANK(INDEX('register map'!B:B,C617-5)),IF(ISBLANK(INDEX('register map'!B:B,C617-6)),IF(ISBLANK(INDEX('register map'!B:B,C617-7)),IF(ISBLANK(INDEX('register map'!B:B,C617-8)),"ERROR",INDEX('register map'!B:B,C617-8)),INDEX('register map'!B:B,C617-7)),INDEX('register map'!B:B,C617-6)),INDEX('register map'!B:B,C617-5)),INDEX('register map'!B:B,C617-4)),INDEX('register map'!B:B,C617-3)),INDEX('register map'!B:B,C617-2)),INDEX('register map'!B:B,C617-1)),INDEX('register map'!B:B,C617))</f>
        <v>0x3B</v>
      </c>
      <c r="G617" s="117" t="str">
        <f>CONCATENATE(IF(ISNUMBER(INDEX('register map'!D:D,C617)),7,""),IF(ISNUMBER(INDEX('register map'!E:E,C617)),6,""),IF(ISNUMBER(INDEX('register map'!F:F,C617)),5,""),IF(ISNUMBER(INDEX('register map'!G:G,C617)),4,""),IF(ISNUMBER(INDEX('register map'!H:H,C617)),3,""),IF(ISNUMBER(INDEX('register map'!I:I,C617)),2,""),IF(ISNUMBER(INDEX('register map'!J:J,C617)),1,""),IF(ISNUMBER(INDEX('register map'!K:K,C617)),0,""))</f>
        <v>4</v>
      </c>
      <c r="H617" s="117" t="str">
        <f>RIGHT(INDEX('register map'!V:V,MATCH('Logical Group Generator'!B617,'register map'!L:L,0)),LEN(G617))</f>
        <v>1</v>
      </c>
      <c r="I617" s="117" t="str">
        <f>CONCATENATE(IF(ISNUMBER(INDEX('register map'!K:K,C617)),0,""),IF(ISNUMBER(INDEX('register map'!J:J,C617)),1,""),IF(ISNUMBER(INDEX('register map'!I:I,C617)),2,""),IF(ISNUMBER(INDEX('register map'!H:H,C617)),3,""),IF(ISNUMBER(INDEX('register map'!G:G,C617)),4,""),IF(ISNUMBER(INDEX('register map'!F:F,C617)),5,""),IF(ISNUMBER(INDEX('register map'!E:E,C617)),6,""),IF(ISNUMBER(INDEX('register map'!D:D,C617)),7,""))</f>
        <v>4</v>
      </c>
      <c r="J617" s="117" t="str">
        <f t="shared" si="106"/>
        <v>1</v>
      </c>
      <c r="K617" s="117" t="str">
        <f t="shared" si="99"/>
        <v/>
      </c>
      <c r="L617" s="117" t="str">
        <f t="shared" si="107"/>
        <v/>
      </c>
      <c r="M617" s="117" t="str">
        <f t="shared" si="109"/>
        <v/>
      </c>
      <c r="N617" s="117" t="str">
        <f>IF(ISBLANK(INDEX('register map'!M:M,'Logical Group Generator'!C617)),"No","Yes")</f>
        <v>No</v>
      </c>
      <c r="O617" s="117" t="str">
        <f>IF(NOT(ISBLANK(INDEX('register map'!N:N,'Logical Group Generator'!C617))),"Yes","")</f>
        <v>Yes</v>
      </c>
      <c r="P617" s="117" t="str">
        <f t="shared" si="100"/>
        <v/>
      </c>
      <c r="Q617" s="117" t="str">
        <f t="shared" si="101"/>
        <v/>
      </c>
      <c r="R617" s="117" t="str">
        <f t="shared" si="102"/>
        <v/>
      </c>
      <c r="S617" s="117" t="str">
        <f t="shared" si="103"/>
        <v>No</v>
      </c>
      <c r="T617" s="117" t="str">
        <f t="shared" si="104"/>
        <v/>
      </c>
      <c r="U617" s="117" t="b">
        <f t="shared" si="108"/>
        <v>0</v>
      </c>
      <c r="V617" s="157" t="b">
        <f>INDEX('register map'!P:P,C617)="yes"</f>
        <v>1</v>
      </c>
      <c r="W617" s="157" t="str">
        <f t="shared" si="105"/>
        <v>FALSE</v>
      </c>
    </row>
    <row r="618" spans="2:23">
      <c r="B618" s="157" t="str">
        <f t="array" ref="B618">IF(ROWS($3:618)&lt;=COUNTA('register map'!$L$5:$L$902),INDEX('register map'!$L$5:$L$902,SMALL(IF('register map'!$L$5:$L$902&lt;&gt;"",ROW('register map'!$L$5:$L$902)-MIN(ROW('register map'!$L$5:$L$902))+1),ROWS($3:618))),"")</f>
        <v>OTP_RSVD_38_3B_65</v>
      </c>
      <c r="C618" s="157">
        <f>IF(B618="PART_NUMBER",IF(COUNTIF($B$1:B617,"PART_NUMBER")=0,6,8),MATCH(B618,'register map'!L:L,0))</f>
        <v>722</v>
      </c>
      <c r="D618" s="117" t="str">
        <f>IF(ISBLANK(INDEX('register map'!C:C,'Logical Group Generator'!C618)),"No","Yes")</f>
        <v>No</v>
      </c>
      <c r="E618" s="117" t="str">
        <f>IF(ISBLANK(INDEX('register map'!A:A,C618)),IF(ISBLANK(INDEX('register map'!A:A,C618-1)),IF(ISBLANK(INDEX('register map'!A:A,C618-2)),IF(ISBLANK(INDEX('register map'!A:A,C618-3)),IF(ISBLANK(INDEX('register map'!A:A,C618-4)),IF(ISBLANK(INDEX('register map'!A:A,C618-5)),IF(ISBLANK(INDEX('register map'!A:A,C618-6)),IF(ISBLANK(INDEX('register map'!A:A,C618-7)),IF(ISBLANK(INDEX('register map'!A:A,C618-8)),"ERROR",INDEX('register map'!A:A,C618-8)),INDEX('register map'!A:A,C618-7)),INDEX('register map'!A:A,C618-6)),INDEX('register map'!A:A,C618-5)),INDEX('register map'!A:A,C618-4)),INDEX('register map'!A:A,C618-3)),INDEX('register map'!A:A,C618-2)),INDEX('register map'!A:A,C618-1)),INDEX('register map'!A:A,C618))</f>
        <v>0x38</v>
      </c>
      <c r="F618" s="117" t="str">
        <f>IF(ISBLANK(INDEX('register map'!B:B,C618)),IF(ISBLANK(INDEX('register map'!B:B,C618-1)),IF(ISBLANK(INDEX('register map'!B:B,C618-2)),IF(ISBLANK(INDEX('register map'!B:B,C618-3)),IF(ISBLANK(INDEX('register map'!B:B,C618-4)),IF(ISBLANK(INDEX('register map'!B:B,C618-5)),IF(ISBLANK(INDEX('register map'!B:B,C618-6)),IF(ISBLANK(INDEX('register map'!B:B,C618-7)),IF(ISBLANK(INDEX('register map'!B:B,C618-8)),"ERROR",INDEX('register map'!B:B,C618-8)),INDEX('register map'!B:B,C618-7)),INDEX('register map'!B:B,C618-6)),INDEX('register map'!B:B,C618-5)),INDEX('register map'!B:B,C618-4)),INDEX('register map'!B:B,C618-3)),INDEX('register map'!B:B,C618-2)),INDEX('register map'!B:B,C618-1)),INDEX('register map'!B:B,C618))</f>
        <v>0x3B</v>
      </c>
      <c r="G618" s="117" t="str">
        <f>CONCATENATE(IF(ISNUMBER(INDEX('register map'!D:D,C618)),7,""),IF(ISNUMBER(INDEX('register map'!E:E,C618)),6,""),IF(ISNUMBER(INDEX('register map'!F:F,C618)),5,""),IF(ISNUMBER(INDEX('register map'!G:G,C618)),4,""),IF(ISNUMBER(INDEX('register map'!H:H,C618)),3,""),IF(ISNUMBER(INDEX('register map'!I:I,C618)),2,""),IF(ISNUMBER(INDEX('register map'!J:J,C618)),1,""),IF(ISNUMBER(INDEX('register map'!K:K,C618)),0,""))</f>
        <v>65</v>
      </c>
      <c r="H618" s="117" t="str">
        <f>RIGHT(INDEX('register map'!V:V,MATCH('Logical Group Generator'!B618,'register map'!L:L,0)),LEN(G618))</f>
        <v>00</v>
      </c>
      <c r="I618" s="117" t="str">
        <f>CONCATENATE(IF(ISNUMBER(INDEX('register map'!K:K,C618)),0,""),IF(ISNUMBER(INDEX('register map'!J:J,C618)),1,""),IF(ISNUMBER(INDEX('register map'!I:I,C618)),2,""),IF(ISNUMBER(INDEX('register map'!H:H,C618)),3,""),IF(ISNUMBER(INDEX('register map'!G:G,C618)),4,""),IF(ISNUMBER(INDEX('register map'!F:F,C618)),5,""),IF(ISNUMBER(INDEX('register map'!E:E,C618)),6,""),IF(ISNUMBER(INDEX('register map'!D:D,C618)),7,""))</f>
        <v>56</v>
      </c>
      <c r="J618" s="117" t="str">
        <f t="shared" si="106"/>
        <v>00</v>
      </c>
      <c r="K618" s="117" t="str">
        <f t="shared" si="99"/>
        <v/>
      </c>
      <c r="L618" s="117" t="str">
        <f t="shared" si="107"/>
        <v/>
      </c>
      <c r="M618" s="117" t="str">
        <f t="shared" si="109"/>
        <v/>
      </c>
      <c r="N618" s="117" t="str">
        <f>IF(ISBLANK(INDEX('register map'!M:M,'Logical Group Generator'!C618)),"No","Yes")</f>
        <v>No</v>
      </c>
      <c r="O618" s="117" t="str">
        <f>IF(NOT(ISBLANK(INDEX('register map'!N:N,'Logical Group Generator'!C618))),"Yes","")</f>
        <v>Yes</v>
      </c>
      <c r="P618" s="117" t="str">
        <f t="shared" si="100"/>
        <v/>
      </c>
      <c r="Q618" s="117" t="str">
        <f t="shared" si="101"/>
        <v/>
      </c>
      <c r="R618" s="117" t="str">
        <f t="shared" si="102"/>
        <v/>
      </c>
      <c r="S618" s="117" t="str">
        <f t="shared" si="103"/>
        <v>No</v>
      </c>
      <c r="T618" s="117" t="str">
        <f t="shared" si="104"/>
        <v/>
      </c>
      <c r="U618" s="117" t="b">
        <f t="shared" si="108"/>
        <v>0</v>
      </c>
      <c r="V618" s="157" t="b">
        <f>INDEX('register map'!P:P,C618)="yes"</f>
        <v>1</v>
      </c>
      <c r="W618" s="157" t="str">
        <f t="shared" si="105"/>
        <v>FALSE</v>
      </c>
    </row>
    <row r="619" spans="2:23">
      <c r="B619" s="157" t="str">
        <f t="array" ref="B619">IF(ROWS($3:619)&lt;=COUNTA('register map'!$L$5:$L$902),INDEX('register map'!$L$5:$L$902,SMALL(IF('register map'!$L$5:$L$902&lt;&gt;"",ROW('register map'!$L$5:$L$902)-MIN(ROW('register map'!$L$5:$L$902))+1),ROWS($3:619))),"")</f>
        <v>OTP_RSVD_38_3B_7</v>
      </c>
      <c r="C619" s="157">
        <f>IF(B619="PART_NUMBER",IF(COUNTIF($B$1:B618,"PART_NUMBER")=0,6,8),MATCH(B619,'register map'!L:L,0))</f>
        <v>723</v>
      </c>
      <c r="D619" s="117" t="str">
        <f>IF(ISBLANK(INDEX('register map'!C:C,'Logical Group Generator'!C619)),"No","Yes")</f>
        <v>No</v>
      </c>
      <c r="E619" s="117" t="str">
        <f>IF(ISBLANK(INDEX('register map'!A:A,C619)),IF(ISBLANK(INDEX('register map'!A:A,C619-1)),IF(ISBLANK(INDEX('register map'!A:A,C619-2)),IF(ISBLANK(INDEX('register map'!A:A,C619-3)),IF(ISBLANK(INDEX('register map'!A:A,C619-4)),IF(ISBLANK(INDEX('register map'!A:A,C619-5)),IF(ISBLANK(INDEX('register map'!A:A,C619-6)),IF(ISBLANK(INDEX('register map'!A:A,C619-7)),IF(ISBLANK(INDEX('register map'!A:A,C619-8)),"ERROR",INDEX('register map'!A:A,C619-8)),INDEX('register map'!A:A,C619-7)),INDEX('register map'!A:A,C619-6)),INDEX('register map'!A:A,C619-5)),INDEX('register map'!A:A,C619-4)),INDEX('register map'!A:A,C619-3)),INDEX('register map'!A:A,C619-2)),INDEX('register map'!A:A,C619-1)),INDEX('register map'!A:A,C619))</f>
        <v>0x38</v>
      </c>
      <c r="F619" s="117" t="str">
        <f>IF(ISBLANK(INDEX('register map'!B:B,C619)),IF(ISBLANK(INDEX('register map'!B:B,C619-1)),IF(ISBLANK(INDEX('register map'!B:B,C619-2)),IF(ISBLANK(INDEX('register map'!B:B,C619-3)),IF(ISBLANK(INDEX('register map'!B:B,C619-4)),IF(ISBLANK(INDEX('register map'!B:B,C619-5)),IF(ISBLANK(INDEX('register map'!B:B,C619-6)),IF(ISBLANK(INDEX('register map'!B:B,C619-7)),IF(ISBLANK(INDEX('register map'!B:B,C619-8)),"ERROR",INDEX('register map'!B:B,C619-8)),INDEX('register map'!B:B,C619-7)),INDEX('register map'!B:B,C619-6)),INDEX('register map'!B:B,C619-5)),INDEX('register map'!B:B,C619-4)),INDEX('register map'!B:B,C619-3)),INDEX('register map'!B:B,C619-2)),INDEX('register map'!B:B,C619-1)),INDEX('register map'!B:B,C619))</f>
        <v>0x3B</v>
      </c>
      <c r="G619" s="117" t="str">
        <f>CONCATENATE(IF(ISNUMBER(INDEX('register map'!D:D,C619)),7,""),IF(ISNUMBER(INDEX('register map'!E:E,C619)),6,""),IF(ISNUMBER(INDEX('register map'!F:F,C619)),5,""),IF(ISNUMBER(INDEX('register map'!G:G,C619)),4,""),IF(ISNUMBER(INDEX('register map'!H:H,C619)),3,""),IF(ISNUMBER(INDEX('register map'!I:I,C619)),2,""),IF(ISNUMBER(INDEX('register map'!J:J,C619)),1,""),IF(ISNUMBER(INDEX('register map'!K:K,C619)),0,""))</f>
        <v>7</v>
      </c>
      <c r="H619" s="117" t="str">
        <f>RIGHT(INDEX('register map'!V:V,MATCH('Logical Group Generator'!B619,'register map'!L:L,0)),LEN(G619))</f>
        <v>1</v>
      </c>
      <c r="I619" s="117" t="str">
        <f>CONCATENATE(IF(ISNUMBER(INDEX('register map'!K:K,C619)),0,""),IF(ISNUMBER(INDEX('register map'!J:J,C619)),1,""),IF(ISNUMBER(INDEX('register map'!I:I,C619)),2,""),IF(ISNUMBER(INDEX('register map'!H:H,C619)),3,""),IF(ISNUMBER(INDEX('register map'!G:G,C619)),4,""),IF(ISNUMBER(INDEX('register map'!F:F,C619)),5,""),IF(ISNUMBER(INDEX('register map'!E:E,C619)),6,""),IF(ISNUMBER(INDEX('register map'!D:D,C619)),7,""))</f>
        <v>7</v>
      </c>
      <c r="J619" s="117" t="str">
        <f t="shared" si="106"/>
        <v>1</v>
      </c>
      <c r="K619" s="117" t="str">
        <f t="shared" si="99"/>
        <v/>
      </c>
      <c r="L619" s="117" t="str">
        <f t="shared" si="107"/>
        <v/>
      </c>
      <c r="M619" s="117" t="str">
        <f t="shared" si="109"/>
        <v/>
      </c>
      <c r="N619" s="117" t="str">
        <f>IF(ISBLANK(INDEX('register map'!M:M,'Logical Group Generator'!C619)),"No","Yes")</f>
        <v>No</v>
      </c>
      <c r="O619" s="117" t="str">
        <f>IF(NOT(ISBLANK(INDEX('register map'!N:N,'Logical Group Generator'!C619))),"Yes","")</f>
        <v>Yes</v>
      </c>
      <c r="P619" s="117" t="str">
        <f t="shared" si="100"/>
        <v/>
      </c>
      <c r="Q619" s="117" t="str">
        <f t="shared" si="101"/>
        <v/>
      </c>
      <c r="R619" s="117" t="str">
        <f t="shared" si="102"/>
        <v/>
      </c>
      <c r="S619" s="117" t="str">
        <f t="shared" si="103"/>
        <v>No</v>
      </c>
      <c r="T619" s="117" t="str">
        <f t="shared" si="104"/>
        <v/>
      </c>
      <c r="U619" s="117" t="b">
        <f t="shared" si="108"/>
        <v>0</v>
      </c>
      <c r="V619" s="157" t="b">
        <f>INDEX('register map'!P:P,C619)="yes"</f>
        <v>1</v>
      </c>
      <c r="W619" s="157" t="str">
        <f t="shared" si="105"/>
        <v>FALSE</v>
      </c>
    </row>
    <row r="620" spans="2:23">
      <c r="B620" s="157" t="str">
        <f t="array" ref="B620">IF(ROWS($3:620)&lt;=COUNTA('register map'!$L$5:$L$902),INDEX('register map'!$L$5:$L$902,SMALL(IF('register map'!$L$5:$L$902&lt;&gt;"",ROW('register map'!$L$5:$L$902)-MIN(ROW('register map'!$L$5:$L$902))+1),ROWS($3:620))),"")</f>
        <v>OTP_RSVD_38_3C</v>
      </c>
      <c r="C620" s="157">
        <f>IF(B620="PART_NUMBER",IF(COUNTIF($B$1:B619,"PART_NUMBER")=0,6,8),MATCH(B620,'register map'!L:L,0))</f>
        <v>724</v>
      </c>
      <c r="D620" s="117" t="str">
        <f>IF(ISBLANK(INDEX('register map'!C:C,'Logical Group Generator'!C620)),"No","Yes")</f>
        <v>Yes</v>
      </c>
      <c r="E620" s="117" t="str">
        <f>IF(ISBLANK(INDEX('register map'!A:A,C620)),IF(ISBLANK(INDEX('register map'!A:A,C620-1)),IF(ISBLANK(INDEX('register map'!A:A,C620-2)),IF(ISBLANK(INDEX('register map'!A:A,C620-3)),IF(ISBLANK(INDEX('register map'!A:A,C620-4)),IF(ISBLANK(INDEX('register map'!A:A,C620-5)),IF(ISBLANK(INDEX('register map'!A:A,C620-6)),IF(ISBLANK(INDEX('register map'!A:A,C620-7)),IF(ISBLANK(INDEX('register map'!A:A,C620-8)),"ERROR",INDEX('register map'!A:A,C620-8)),INDEX('register map'!A:A,C620-7)),INDEX('register map'!A:A,C620-6)),INDEX('register map'!A:A,C620-5)),INDEX('register map'!A:A,C620-4)),INDEX('register map'!A:A,C620-3)),INDEX('register map'!A:A,C620-2)),INDEX('register map'!A:A,C620-1)),INDEX('register map'!A:A,C620))</f>
        <v>0x38</v>
      </c>
      <c r="F620" s="117" t="str">
        <f>IF(ISBLANK(INDEX('register map'!B:B,C620)),IF(ISBLANK(INDEX('register map'!B:B,C620-1)),IF(ISBLANK(INDEX('register map'!B:B,C620-2)),IF(ISBLANK(INDEX('register map'!B:B,C620-3)),IF(ISBLANK(INDEX('register map'!B:B,C620-4)),IF(ISBLANK(INDEX('register map'!B:B,C620-5)),IF(ISBLANK(INDEX('register map'!B:B,C620-6)),IF(ISBLANK(INDEX('register map'!B:B,C620-7)),IF(ISBLANK(INDEX('register map'!B:B,C620-8)),"ERROR",INDEX('register map'!B:B,C620-8)),INDEX('register map'!B:B,C620-7)),INDEX('register map'!B:B,C620-6)),INDEX('register map'!B:B,C620-5)),INDEX('register map'!B:B,C620-4)),INDEX('register map'!B:B,C620-3)),INDEX('register map'!B:B,C620-2)),INDEX('register map'!B:B,C620-1)),INDEX('register map'!B:B,C620))</f>
        <v>0x3C</v>
      </c>
      <c r="G620" s="117" t="str">
        <f>CONCATENATE(IF(ISNUMBER(INDEX('register map'!D:D,C620)),7,""),IF(ISNUMBER(INDEX('register map'!E:E,C620)),6,""),IF(ISNUMBER(INDEX('register map'!F:F,C620)),5,""),IF(ISNUMBER(INDEX('register map'!G:G,C620)),4,""),IF(ISNUMBER(INDEX('register map'!H:H,C620)),3,""),IF(ISNUMBER(INDEX('register map'!I:I,C620)),2,""),IF(ISNUMBER(INDEX('register map'!J:J,C620)),1,""),IF(ISNUMBER(INDEX('register map'!K:K,C620)),0,""))</f>
        <v/>
      </c>
      <c r="H620" s="117" t="str">
        <f>RIGHT(INDEX('register map'!V:V,MATCH('Logical Group Generator'!B620,'register map'!L:L,0)),LEN(G620))</f>
        <v/>
      </c>
      <c r="I620" s="117" t="str">
        <f>CONCATENATE(IF(ISNUMBER(INDEX('register map'!K:K,C620)),0,""),IF(ISNUMBER(INDEX('register map'!J:J,C620)),1,""),IF(ISNUMBER(INDEX('register map'!I:I,C620)),2,""),IF(ISNUMBER(INDEX('register map'!H:H,C620)),3,""),IF(ISNUMBER(INDEX('register map'!G:G,C620)),4,""),IF(ISNUMBER(INDEX('register map'!F:F,C620)),5,""),IF(ISNUMBER(INDEX('register map'!E:E,C620)),6,""),IF(ISNUMBER(INDEX('register map'!D:D,C620)),7,""))</f>
        <v/>
      </c>
      <c r="J620" s="117" t="str">
        <f t="shared" si="106"/>
        <v/>
      </c>
      <c r="K620" s="117" t="str">
        <f t="shared" si="99"/>
        <v>b71</v>
      </c>
      <c r="L620" s="117" t="str">
        <f t="shared" si="107"/>
        <v>17b</v>
      </c>
      <c r="M620" s="117" t="e">
        <f t="shared" si="109"/>
        <v>#NUM!</v>
      </c>
      <c r="N620" s="117" t="str">
        <f>IF(ISBLANK(INDEX('register map'!M:M,'Logical Group Generator'!C620)),"No","Yes")</f>
        <v>No</v>
      </c>
      <c r="O620" s="117" t="str">
        <f>IF(NOT(ISBLANK(INDEX('register map'!N:N,'Logical Group Generator'!C620))),"Yes","")</f>
        <v/>
      </c>
      <c r="P620" s="117" t="str">
        <f t="shared" si="100"/>
        <v>No</v>
      </c>
      <c r="Q620" s="117" t="str">
        <f t="shared" si="101"/>
        <v>No</v>
      </c>
      <c r="R620" s="117" t="str">
        <f t="shared" si="102"/>
        <v>No</v>
      </c>
      <c r="S620" s="117" t="str">
        <f t="shared" si="103"/>
        <v/>
      </c>
      <c r="T620" s="117" t="b">
        <f t="shared" si="104"/>
        <v>0</v>
      </c>
      <c r="U620" s="117" t="b">
        <f t="shared" si="108"/>
        <v>1</v>
      </c>
      <c r="V620" s="157" t="b">
        <f>INDEX('register map'!P:P,C620)="yes"</f>
        <v>1</v>
      </c>
      <c r="W620" s="157" t="str">
        <f t="shared" si="105"/>
        <v>REGISTER</v>
      </c>
    </row>
    <row r="621" spans="2:23">
      <c r="B621" s="157" t="str">
        <f t="array" ref="B621">IF(ROWS($3:621)&lt;=COUNTA('register map'!$L$5:$L$902),INDEX('register map'!$L$5:$L$902,SMALL(IF('register map'!$L$5:$L$902&lt;&gt;"",ROW('register map'!$L$5:$L$902)-MIN(ROW('register map'!$L$5:$L$902))+1),ROWS($3:621))),"")</f>
        <v>OTP_RSVD_38_3C_6543210</v>
      </c>
      <c r="C621" s="157">
        <f>IF(B621="PART_NUMBER",IF(COUNTIF($B$1:B620,"PART_NUMBER")=0,6,8),MATCH(B621,'register map'!L:L,0))</f>
        <v>725</v>
      </c>
      <c r="D621" s="117" t="str">
        <f>IF(ISBLANK(INDEX('register map'!C:C,'Logical Group Generator'!C621)),"No","Yes")</f>
        <v>No</v>
      </c>
      <c r="E621" s="117" t="str">
        <f>IF(ISBLANK(INDEX('register map'!A:A,C621)),IF(ISBLANK(INDEX('register map'!A:A,C621-1)),IF(ISBLANK(INDEX('register map'!A:A,C621-2)),IF(ISBLANK(INDEX('register map'!A:A,C621-3)),IF(ISBLANK(INDEX('register map'!A:A,C621-4)),IF(ISBLANK(INDEX('register map'!A:A,C621-5)),IF(ISBLANK(INDEX('register map'!A:A,C621-6)),IF(ISBLANK(INDEX('register map'!A:A,C621-7)),IF(ISBLANK(INDEX('register map'!A:A,C621-8)),"ERROR",INDEX('register map'!A:A,C621-8)),INDEX('register map'!A:A,C621-7)),INDEX('register map'!A:A,C621-6)),INDEX('register map'!A:A,C621-5)),INDEX('register map'!A:A,C621-4)),INDEX('register map'!A:A,C621-3)),INDEX('register map'!A:A,C621-2)),INDEX('register map'!A:A,C621-1)),INDEX('register map'!A:A,C621))</f>
        <v>0x38</v>
      </c>
      <c r="F621" s="117" t="str">
        <f>IF(ISBLANK(INDEX('register map'!B:B,C621)),IF(ISBLANK(INDEX('register map'!B:B,C621-1)),IF(ISBLANK(INDEX('register map'!B:B,C621-2)),IF(ISBLANK(INDEX('register map'!B:B,C621-3)),IF(ISBLANK(INDEX('register map'!B:B,C621-4)),IF(ISBLANK(INDEX('register map'!B:B,C621-5)),IF(ISBLANK(INDEX('register map'!B:B,C621-6)),IF(ISBLANK(INDEX('register map'!B:B,C621-7)),IF(ISBLANK(INDEX('register map'!B:B,C621-8)),"ERROR",INDEX('register map'!B:B,C621-8)),INDEX('register map'!B:B,C621-7)),INDEX('register map'!B:B,C621-6)),INDEX('register map'!B:B,C621-5)),INDEX('register map'!B:B,C621-4)),INDEX('register map'!B:B,C621-3)),INDEX('register map'!B:B,C621-2)),INDEX('register map'!B:B,C621-1)),INDEX('register map'!B:B,C621))</f>
        <v>0x3C</v>
      </c>
      <c r="G621" s="117" t="str">
        <f>CONCATENATE(IF(ISNUMBER(INDEX('register map'!D:D,C621)),7,""),IF(ISNUMBER(INDEX('register map'!E:E,C621)),6,""),IF(ISNUMBER(INDEX('register map'!F:F,C621)),5,""),IF(ISNUMBER(INDEX('register map'!G:G,C621)),4,""),IF(ISNUMBER(INDEX('register map'!H:H,C621)),3,""),IF(ISNUMBER(INDEX('register map'!I:I,C621)),2,""),IF(ISNUMBER(INDEX('register map'!J:J,C621)),1,""),IF(ISNUMBER(INDEX('register map'!K:K,C621)),0,""))</f>
        <v>6543210</v>
      </c>
      <c r="H621" s="117" t="str">
        <f>RIGHT(INDEX('register map'!V:V,MATCH('Logical Group Generator'!B621,'register map'!L:L,0)),LEN(G621))</f>
        <v>7b</v>
      </c>
      <c r="I621" s="117" t="str">
        <f>CONCATENATE(IF(ISNUMBER(INDEX('register map'!K:K,C621)),0,""),IF(ISNUMBER(INDEX('register map'!J:J,C621)),1,""),IF(ISNUMBER(INDEX('register map'!I:I,C621)),2,""),IF(ISNUMBER(INDEX('register map'!H:H,C621)),3,""),IF(ISNUMBER(INDEX('register map'!G:G,C621)),4,""),IF(ISNUMBER(INDEX('register map'!F:F,C621)),5,""),IF(ISNUMBER(INDEX('register map'!E:E,C621)),6,""),IF(ISNUMBER(INDEX('register map'!D:D,C621)),7,""))</f>
        <v>0123456</v>
      </c>
      <c r="J621" s="117" t="str">
        <f t="shared" si="106"/>
        <v>b7</v>
      </c>
      <c r="K621" s="117" t="str">
        <f t="shared" si="99"/>
        <v/>
      </c>
      <c r="L621" s="117" t="str">
        <f t="shared" si="107"/>
        <v/>
      </c>
      <c r="M621" s="117" t="str">
        <f t="shared" si="109"/>
        <v/>
      </c>
      <c r="N621" s="117" t="str">
        <f>IF(ISBLANK(INDEX('register map'!M:M,'Logical Group Generator'!C621)),"No","Yes")</f>
        <v>No</v>
      </c>
      <c r="O621" s="117" t="str">
        <f>IF(NOT(ISBLANK(INDEX('register map'!N:N,'Logical Group Generator'!C621))),"Yes","")</f>
        <v/>
      </c>
      <c r="P621" s="117" t="str">
        <f t="shared" si="100"/>
        <v/>
      </c>
      <c r="Q621" s="117" t="str">
        <f t="shared" si="101"/>
        <v/>
      </c>
      <c r="R621" s="117" t="str">
        <f t="shared" si="102"/>
        <v/>
      </c>
      <c r="S621" s="117" t="str">
        <f t="shared" si="103"/>
        <v>No</v>
      </c>
      <c r="T621" s="117" t="str">
        <f t="shared" si="104"/>
        <v/>
      </c>
      <c r="U621" s="117" t="b">
        <f t="shared" si="108"/>
        <v>0</v>
      </c>
      <c r="V621" s="157" t="b">
        <f>INDEX('register map'!P:P,C621)="yes"</f>
        <v>1</v>
      </c>
      <c r="W621" s="157" t="str">
        <f t="shared" si="105"/>
        <v>FALSE</v>
      </c>
    </row>
    <row r="622" spans="2:23">
      <c r="B622" s="157" t="str">
        <f t="array" ref="B622">IF(ROWS($3:622)&lt;=COUNTA('register map'!$L$5:$L$902),INDEX('register map'!$L$5:$L$902,SMALL(IF('register map'!$L$5:$L$902&lt;&gt;"",ROW('register map'!$L$5:$L$902)-MIN(ROW('register map'!$L$5:$L$902))+1),ROWS($3:622))),"")</f>
        <v>OTP_RSVD_38_3C_7</v>
      </c>
      <c r="C622" s="157">
        <f>IF(B622="PART_NUMBER",IF(COUNTIF($B$1:B621,"PART_NUMBER")=0,6,8),MATCH(B622,'register map'!L:L,0))</f>
        <v>726</v>
      </c>
      <c r="D622" s="117" t="str">
        <f>IF(ISBLANK(INDEX('register map'!C:C,'Logical Group Generator'!C622)),"No","Yes")</f>
        <v>No</v>
      </c>
      <c r="E622" s="117" t="str">
        <f>IF(ISBLANK(INDEX('register map'!A:A,C622)),IF(ISBLANK(INDEX('register map'!A:A,C622-1)),IF(ISBLANK(INDEX('register map'!A:A,C622-2)),IF(ISBLANK(INDEX('register map'!A:A,C622-3)),IF(ISBLANK(INDEX('register map'!A:A,C622-4)),IF(ISBLANK(INDEX('register map'!A:A,C622-5)),IF(ISBLANK(INDEX('register map'!A:A,C622-6)),IF(ISBLANK(INDEX('register map'!A:A,C622-7)),IF(ISBLANK(INDEX('register map'!A:A,C622-8)),"ERROR",INDEX('register map'!A:A,C622-8)),INDEX('register map'!A:A,C622-7)),INDEX('register map'!A:A,C622-6)),INDEX('register map'!A:A,C622-5)),INDEX('register map'!A:A,C622-4)),INDEX('register map'!A:A,C622-3)),INDEX('register map'!A:A,C622-2)),INDEX('register map'!A:A,C622-1)),INDEX('register map'!A:A,C622))</f>
        <v>0x38</v>
      </c>
      <c r="F622" s="117" t="str">
        <f>IF(ISBLANK(INDEX('register map'!B:B,C622)),IF(ISBLANK(INDEX('register map'!B:B,C622-1)),IF(ISBLANK(INDEX('register map'!B:B,C622-2)),IF(ISBLANK(INDEX('register map'!B:B,C622-3)),IF(ISBLANK(INDEX('register map'!B:B,C622-4)),IF(ISBLANK(INDEX('register map'!B:B,C622-5)),IF(ISBLANK(INDEX('register map'!B:B,C622-6)),IF(ISBLANK(INDEX('register map'!B:B,C622-7)),IF(ISBLANK(INDEX('register map'!B:B,C622-8)),"ERROR",INDEX('register map'!B:B,C622-8)),INDEX('register map'!B:B,C622-7)),INDEX('register map'!B:B,C622-6)),INDEX('register map'!B:B,C622-5)),INDEX('register map'!B:B,C622-4)),INDEX('register map'!B:B,C622-3)),INDEX('register map'!B:B,C622-2)),INDEX('register map'!B:B,C622-1)),INDEX('register map'!B:B,C622))</f>
        <v>0x3C</v>
      </c>
      <c r="G622" s="117" t="str">
        <f>CONCATENATE(IF(ISNUMBER(INDEX('register map'!D:D,C622)),7,""),IF(ISNUMBER(INDEX('register map'!E:E,C622)),6,""),IF(ISNUMBER(INDEX('register map'!F:F,C622)),5,""),IF(ISNUMBER(INDEX('register map'!G:G,C622)),4,""),IF(ISNUMBER(INDEX('register map'!H:H,C622)),3,""),IF(ISNUMBER(INDEX('register map'!I:I,C622)),2,""),IF(ISNUMBER(INDEX('register map'!J:J,C622)),1,""),IF(ISNUMBER(INDEX('register map'!K:K,C622)),0,""))</f>
        <v>7</v>
      </c>
      <c r="H622" s="117" t="str">
        <f>RIGHT(INDEX('register map'!V:V,MATCH('Logical Group Generator'!B622,'register map'!L:L,0)),LEN(G622))</f>
        <v>1</v>
      </c>
      <c r="I622" s="117" t="str">
        <f>CONCATENATE(IF(ISNUMBER(INDEX('register map'!K:K,C622)),0,""),IF(ISNUMBER(INDEX('register map'!J:J,C622)),1,""),IF(ISNUMBER(INDEX('register map'!I:I,C622)),2,""),IF(ISNUMBER(INDEX('register map'!H:H,C622)),3,""),IF(ISNUMBER(INDEX('register map'!G:G,C622)),4,""),IF(ISNUMBER(INDEX('register map'!F:F,C622)),5,""),IF(ISNUMBER(INDEX('register map'!E:E,C622)),6,""),IF(ISNUMBER(INDEX('register map'!D:D,C622)),7,""))</f>
        <v>7</v>
      </c>
      <c r="J622" s="117" t="str">
        <f t="shared" si="106"/>
        <v>1</v>
      </c>
      <c r="K622" s="117" t="str">
        <f t="shared" si="99"/>
        <v/>
      </c>
      <c r="L622" s="117" t="str">
        <f t="shared" si="107"/>
        <v/>
      </c>
      <c r="M622" s="117" t="str">
        <f t="shared" si="109"/>
        <v/>
      </c>
      <c r="N622" s="117" t="str">
        <f>IF(ISBLANK(INDEX('register map'!M:M,'Logical Group Generator'!C622)),"No","Yes")</f>
        <v>No</v>
      </c>
      <c r="O622" s="117" t="str">
        <f>IF(NOT(ISBLANK(INDEX('register map'!N:N,'Logical Group Generator'!C622))),"Yes","")</f>
        <v>Yes</v>
      </c>
      <c r="P622" s="117" t="str">
        <f t="shared" si="100"/>
        <v/>
      </c>
      <c r="Q622" s="117" t="str">
        <f t="shared" si="101"/>
        <v/>
      </c>
      <c r="R622" s="117" t="str">
        <f t="shared" si="102"/>
        <v/>
      </c>
      <c r="S622" s="117" t="str">
        <f t="shared" si="103"/>
        <v>No</v>
      </c>
      <c r="T622" s="117" t="str">
        <f t="shared" si="104"/>
        <v/>
      </c>
      <c r="U622" s="117" t="b">
        <f t="shared" si="108"/>
        <v>0</v>
      </c>
      <c r="V622" s="157" t="b">
        <f>INDEX('register map'!P:P,C622)="yes"</f>
        <v>1</v>
      </c>
      <c r="W622" s="157" t="str">
        <f t="shared" si="105"/>
        <v>FALSE</v>
      </c>
    </row>
    <row r="623" spans="2:23">
      <c r="B623" s="157" t="str">
        <f t="array" ref="B623">IF(ROWS($3:623)&lt;=COUNTA('register map'!$L$5:$L$902),INDEX('register map'!$L$5:$L$902,SMALL(IF('register map'!$L$5:$L$902&lt;&gt;"",ROW('register map'!$L$5:$L$902)-MIN(ROW('register map'!$L$5:$L$902))+1),ROWS($3:623))),"")</f>
        <v>OTP_RSVD_38_41</v>
      </c>
      <c r="C623" s="157">
        <f>IF(B623="PART_NUMBER",IF(COUNTIF($B$1:B622,"PART_NUMBER")=0,6,8),MATCH(B623,'register map'!L:L,0))</f>
        <v>754</v>
      </c>
      <c r="D623" s="117" t="str">
        <f>IF(ISBLANK(INDEX('register map'!C:C,'Logical Group Generator'!C623)),"No","Yes")</f>
        <v>Yes</v>
      </c>
      <c r="E623" s="117" t="str">
        <f>IF(ISBLANK(INDEX('register map'!A:A,C623)),IF(ISBLANK(INDEX('register map'!A:A,C623-1)),IF(ISBLANK(INDEX('register map'!A:A,C623-2)),IF(ISBLANK(INDEX('register map'!A:A,C623-3)),IF(ISBLANK(INDEX('register map'!A:A,C623-4)),IF(ISBLANK(INDEX('register map'!A:A,C623-5)),IF(ISBLANK(INDEX('register map'!A:A,C623-6)),IF(ISBLANK(INDEX('register map'!A:A,C623-7)),IF(ISBLANK(INDEX('register map'!A:A,C623-8)),"ERROR",INDEX('register map'!A:A,C623-8)),INDEX('register map'!A:A,C623-7)),INDEX('register map'!A:A,C623-6)),INDEX('register map'!A:A,C623-5)),INDEX('register map'!A:A,C623-4)),INDEX('register map'!A:A,C623-3)),INDEX('register map'!A:A,C623-2)),INDEX('register map'!A:A,C623-1)),INDEX('register map'!A:A,C623))</f>
        <v>0x38</v>
      </c>
      <c r="F623" s="117" t="str">
        <f>IF(ISBLANK(INDEX('register map'!B:B,C623)),IF(ISBLANK(INDEX('register map'!B:B,C623-1)),IF(ISBLANK(INDEX('register map'!B:B,C623-2)),IF(ISBLANK(INDEX('register map'!B:B,C623-3)),IF(ISBLANK(INDEX('register map'!B:B,C623-4)),IF(ISBLANK(INDEX('register map'!B:B,C623-5)),IF(ISBLANK(INDEX('register map'!B:B,C623-6)),IF(ISBLANK(INDEX('register map'!B:B,C623-7)),IF(ISBLANK(INDEX('register map'!B:B,C623-8)),"ERROR",INDEX('register map'!B:B,C623-8)),INDEX('register map'!B:B,C623-7)),INDEX('register map'!B:B,C623-6)),INDEX('register map'!B:B,C623-5)),INDEX('register map'!B:B,C623-4)),INDEX('register map'!B:B,C623-3)),INDEX('register map'!B:B,C623-2)),INDEX('register map'!B:B,C623-1)),INDEX('register map'!B:B,C623))</f>
        <v>0x41</v>
      </c>
      <c r="G623" s="117" t="str">
        <f>CONCATENATE(IF(ISNUMBER(INDEX('register map'!D:D,C623)),7,""),IF(ISNUMBER(INDEX('register map'!E:E,C623)),6,""),IF(ISNUMBER(INDEX('register map'!F:F,C623)),5,""),IF(ISNUMBER(INDEX('register map'!G:G,C623)),4,""),IF(ISNUMBER(INDEX('register map'!H:H,C623)),3,""),IF(ISNUMBER(INDEX('register map'!I:I,C623)),2,""),IF(ISNUMBER(INDEX('register map'!J:J,C623)),1,""),IF(ISNUMBER(INDEX('register map'!K:K,C623)),0,""))</f>
        <v/>
      </c>
      <c r="H623" s="117" t="str">
        <f>RIGHT(INDEX('register map'!V:V,MATCH('Logical Group Generator'!B623,'register map'!L:L,0)),LEN(G623))</f>
        <v/>
      </c>
      <c r="I623" s="117" t="str">
        <f>CONCATENATE(IF(ISNUMBER(INDEX('register map'!K:K,C623)),0,""),IF(ISNUMBER(INDEX('register map'!J:J,C623)),1,""),IF(ISNUMBER(INDEX('register map'!I:I,C623)),2,""),IF(ISNUMBER(INDEX('register map'!H:H,C623)),3,""),IF(ISNUMBER(INDEX('register map'!G:G,C623)),4,""),IF(ISNUMBER(INDEX('register map'!F:F,C623)),5,""),IF(ISNUMBER(INDEX('register map'!E:E,C623)),6,""),IF(ISNUMBER(INDEX('register map'!D:D,C623)),7,""))</f>
        <v/>
      </c>
      <c r="J623" s="117" t="str">
        <f t="shared" si="106"/>
        <v/>
      </c>
      <c r="K623" s="117" t="str">
        <f t="shared" si="99"/>
        <v>00010001</v>
      </c>
      <c r="L623" s="117" t="str">
        <f t="shared" si="107"/>
        <v>10001000</v>
      </c>
      <c r="M623" s="117" t="str">
        <f t="shared" si="109"/>
        <v>88</v>
      </c>
      <c r="N623" s="117" t="str">
        <f>IF(ISBLANK(INDEX('register map'!M:M,'Logical Group Generator'!C623)),"No","Yes")</f>
        <v>No</v>
      </c>
      <c r="O623" s="117" t="str">
        <f>IF(NOT(ISBLANK(INDEX('register map'!N:N,'Logical Group Generator'!C623))),"Yes","")</f>
        <v/>
      </c>
      <c r="P623" s="117" t="str">
        <f t="shared" si="100"/>
        <v>Yes</v>
      </c>
      <c r="Q623" s="117" t="str">
        <f t="shared" si="101"/>
        <v>Yes</v>
      </c>
      <c r="R623" s="117" t="str">
        <f t="shared" si="102"/>
        <v>No</v>
      </c>
      <c r="S623" s="117" t="str">
        <f t="shared" si="103"/>
        <v/>
      </c>
      <c r="T623" s="117" t="b">
        <f t="shared" si="104"/>
        <v>1</v>
      </c>
      <c r="U623" s="117" t="b">
        <f t="shared" si="108"/>
        <v>0</v>
      </c>
      <c r="V623" s="157" t="b">
        <f>INDEX('register map'!P:P,C623)="yes"</f>
        <v>1</v>
      </c>
      <c r="W623" s="157" t="str">
        <f t="shared" si="105"/>
        <v>FALSE</v>
      </c>
    </row>
    <row r="624" spans="2:23">
      <c r="B624" s="157" t="str">
        <f t="array" ref="B624">IF(ROWS($3:624)&lt;=COUNTA('register map'!$L$5:$L$902),INDEX('register map'!$L$5:$L$902,SMALL(IF('register map'!$L$5:$L$902&lt;&gt;"",ROW('register map'!$L$5:$L$902)-MIN(ROW('register map'!$L$5:$L$902))+1),ROWS($3:624))),"")</f>
        <v>OTP_RSVD_38_41_3210</v>
      </c>
      <c r="C624" s="157">
        <f>IF(B624="PART_NUMBER",IF(COUNTIF($B$1:B623,"PART_NUMBER")=0,6,8),MATCH(B624,'register map'!L:L,0))</f>
        <v>755</v>
      </c>
      <c r="D624" s="117" t="str">
        <f>IF(ISBLANK(INDEX('register map'!C:C,'Logical Group Generator'!C624)),"No","Yes")</f>
        <v>No</v>
      </c>
      <c r="E624" s="117" t="str">
        <f>IF(ISBLANK(INDEX('register map'!A:A,C624)),IF(ISBLANK(INDEX('register map'!A:A,C624-1)),IF(ISBLANK(INDEX('register map'!A:A,C624-2)),IF(ISBLANK(INDEX('register map'!A:A,C624-3)),IF(ISBLANK(INDEX('register map'!A:A,C624-4)),IF(ISBLANK(INDEX('register map'!A:A,C624-5)),IF(ISBLANK(INDEX('register map'!A:A,C624-6)),IF(ISBLANK(INDEX('register map'!A:A,C624-7)),IF(ISBLANK(INDEX('register map'!A:A,C624-8)),"ERROR",INDEX('register map'!A:A,C624-8)),INDEX('register map'!A:A,C624-7)),INDEX('register map'!A:A,C624-6)),INDEX('register map'!A:A,C624-5)),INDEX('register map'!A:A,C624-4)),INDEX('register map'!A:A,C624-3)),INDEX('register map'!A:A,C624-2)),INDEX('register map'!A:A,C624-1)),INDEX('register map'!A:A,C624))</f>
        <v>0x38</v>
      </c>
      <c r="F624" s="117" t="str">
        <f>IF(ISBLANK(INDEX('register map'!B:B,C624)),IF(ISBLANK(INDEX('register map'!B:B,C624-1)),IF(ISBLANK(INDEX('register map'!B:B,C624-2)),IF(ISBLANK(INDEX('register map'!B:B,C624-3)),IF(ISBLANK(INDEX('register map'!B:B,C624-4)),IF(ISBLANK(INDEX('register map'!B:B,C624-5)),IF(ISBLANK(INDEX('register map'!B:B,C624-6)),IF(ISBLANK(INDEX('register map'!B:B,C624-7)),IF(ISBLANK(INDEX('register map'!B:B,C624-8)),"ERROR",INDEX('register map'!B:B,C624-8)),INDEX('register map'!B:B,C624-7)),INDEX('register map'!B:B,C624-6)),INDEX('register map'!B:B,C624-5)),INDEX('register map'!B:B,C624-4)),INDEX('register map'!B:B,C624-3)),INDEX('register map'!B:B,C624-2)),INDEX('register map'!B:B,C624-1)),INDEX('register map'!B:B,C624))</f>
        <v>0x41</v>
      </c>
      <c r="G624" s="117" t="str">
        <f>CONCATENATE(IF(ISNUMBER(INDEX('register map'!D:D,C624)),7,""),IF(ISNUMBER(INDEX('register map'!E:E,C624)),6,""),IF(ISNUMBER(INDEX('register map'!F:F,C624)),5,""),IF(ISNUMBER(INDEX('register map'!G:G,C624)),4,""),IF(ISNUMBER(INDEX('register map'!H:H,C624)),3,""),IF(ISNUMBER(INDEX('register map'!I:I,C624)),2,""),IF(ISNUMBER(INDEX('register map'!J:J,C624)),1,""),IF(ISNUMBER(INDEX('register map'!K:K,C624)),0,""))</f>
        <v>3210</v>
      </c>
      <c r="H624" s="117" t="str">
        <f>RIGHT(INDEX('register map'!V:V,MATCH('Logical Group Generator'!B624,'register map'!L:L,0)),LEN(G624))</f>
        <v>1000</v>
      </c>
      <c r="I624" s="117" t="str">
        <f>CONCATENATE(IF(ISNUMBER(INDEX('register map'!K:K,C624)),0,""),IF(ISNUMBER(INDEX('register map'!J:J,C624)),1,""),IF(ISNUMBER(INDEX('register map'!I:I,C624)),2,""),IF(ISNUMBER(INDEX('register map'!H:H,C624)),3,""),IF(ISNUMBER(INDEX('register map'!G:G,C624)),4,""),IF(ISNUMBER(INDEX('register map'!F:F,C624)),5,""),IF(ISNUMBER(INDEX('register map'!E:E,C624)),6,""),IF(ISNUMBER(INDEX('register map'!D:D,C624)),7,""))</f>
        <v>0123</v>
      </c>
      <c r="J624" s="117" t="str">
        <f t="shared" si="106"/>
        <v>0001</v>
      </c>
      <c r="K624" s="117" t="str">
        <f t="shared" si="99"/>
        <v/>
      </c>
      <c r="L624" s="117" t="str">
        <f t="shared" si="107"/>
        <v/>
      </c>
      <c r="M624" s="117" t="str">
        <f t="shared" si="109"/>
        <v/>
      </c>
      <c r="N624" s="117" t="str">
        <f>IF(ISBLANK(INDEX('register map'!M:M,'Logical Group Generator'!C624)),"No","Yes")</f>
        <v>Yes</v>
      </c>
      <c r="O624" s="117" t="str">
        <f>IF(NOT(ISBLANK(INDEX('register map'!N:N,'Logical Group Generator'!C624))),"Yes","")</f>
        <v/>
      </c>
      <c r="P624" s="117" t="str">
        <f t="shared" si="100"/>
        <v/>
      </c>
      <c r="Q624" s="117" t="str">
        <f t="shared" si="101"/>
        <v/>
      </c>
      <c r="R624" s="117" t="str">
        <f t="shared" si="102"/>
        <v/>
      </c>
      <c r="S624" s="117" t="str">
        <f t="shared" si="103"/>
        <v>No</v>
      </c>
      <c r="T624" s="117" t="str">
        <f t="shared" si="104"/>
        <v/>
      </c>
      <c r="U624" s="117" t="b">
        <f t="shared" si="108"/>
        <v>0</v>
      </c>
      <c r="V624" s="157" t="b">
        <f>INDEX('register map'!P:P,C624)="yes"</f>
        <v>1</v>
      </c>
      <c r="W624" s="157" t="str">
        <f t="shared" si="105"/>
        <v>FALSE</v>
      </c>
    </row>
    <row r="625" spans="2:23">
      <c r="B625" s="157" t="str">
        <f t="array" ref="B625">IF(ROWS($3:625)&lt;=COUNTA('register map'!$L$5:$L$902),INDEX('register map'!$L$5:$L$902,SMALL(IF('register map'!$L$5:$L$902&lt;&gt;"",ROW('register map'!$L$5:$L$902)-MIN(ROW('register map'!$L$5:$L$902))+1),ROWS($3:625))),"")</f>
        <v>OTP_RSVD_38_41_7654</v>
      </c>
      <c r="C625" s="157">
        <f>IF(B625="PART_NUMBER",IF(COUNTIF($B$1:B624,"PART_NUMBER")=0,6,8),MATCH(B625,'register map'!L:L,0))</f>
        <v>756</v>
      </c>
      <c r="D625" s="117" t="str">
        <f>IF(ISBLANK(INDEX('register map'!C:C,'Logical Group Generator'!C625)),"No","Yes")</f>
        <v>No</v>
      </c>
      <c r="E625" s="117" t="str">
        <f>IF(ISBLANK(INDEX('register map'!A:A,C625)),IF(ISBLANK(INDEX('register map'!A:A,C625-1)),IF(ISBLANK(INDEX('register map'!A:A,C625-2)),IF(ISBLANK(INDEX('register map'!A:A,C625-3)),IF(ISBLANK(INDEX('register map'!A:A,C625-4)),IF(ISBLANK(INDEX('register map'!A:A,C625-5)),IF(ISBLANK(INDEX('register map'!A:A,C625-6)),IF(ISBLANK(INDEX('register map'!A:A,C625-7)),IF(ISBLANK(INDEX('register map'!A:A,C625-8)),"ERROR",INDEX('register map'!A:A,C625-8)),INDEX('register map'!A:A,C625-7)),INDEX('register map'!A:A,C625-6)),INDEX('register map'!A:A,C625-5)),INDEX('register map'!A:A,C625-4)),INDEX('register map'!A:A,C625-3)),INDEX('register map'!A:A,C625-2)),INDEX('register map'!A:A,C625-1)),INDEX('register map'!A:A,C625))</f>
        <v>0x38</v>
      </c>
      <c r="F625" s="117" t="str">
        <f>IF(ISBLANK(INDEX('register map'!B:B,C625)),IF(ISBLANK(INDEX('register map'!B:B,C625-1)),IF(ISBLANK(INDEX('register map'!B:B,C625-2)),IF(ISBLANK(INDEX('register map'!B:B,C625-3)),IF(ISBLANK(INDEX('register map'!B:B,C625-4)),IF(ISBLANK(INDEX('register map'!B:B,C625-5)),IF(ISBLANK(INDEX('register map'!B:B,C625-6)),IF(ISBLANK(INDEX('register map'!B:B,C625-7)),IF(ISBLANK(INDEX('register map'!B:B,C625-8)),"ERROR",INDEX('register map'!B:B,C625-8)),INDEX('register map'!B:B,C625-7)),INDEX('register map'!B:B,C625-6)),INDEX('register map'!B:B,C625-5)),INDEX('register map'!B:B,C625-4)),INDEX('register map'!B:B,C625-3)),INDEX('register map'!B:B,C625-2)),INDEX('register map'!B:B,C625-1)),INDEX('register map'!B:B,C625))</f>
        <v>0x41</v>
      </c>
      <c r="G625" s="117" t="str">
        <f>CONCATENATE(IF(ISNUMBER(INDEX('register map'!D:D,C625)),7,""),IF(ISNUMBER(INDEX('register map'!E:E,C625)),6,""),IF(ISNUMBER(INDEX('register map'!F:F,C625)),5,""),IF(ISNUMBER(INDEX('register map'!G:G,C625)),4,""),IF(ISNUMBER(INDEX('register map'!H:H,C625)),3,""),IF(ISNUMBER(INDEX('register map'!I:I,C625)),2,""),IF(ISNUMBER(INDEX('register map'!J:J,C625)),1,""),IF(ISNUMBER(INDEX('register map'!K:K,C625)),0,""))</f>
        <v>7654</v>
      </c>
      <c r="H625" s="117" t="str">
        <f>RIGHT(INDEX('register map'!V:V,MATCH('Logical Group Generator'!B625,'register map'!L:L,0)),LEN(G625))</f>
        <v>1000</v>
      </c>
      <c r="I625" s="117" t="str">
        <f>CONCATENATE(IF(ISNUMBER(INDEX('register map'!K:K,C625)),0,""),IF(ISNUMBER(INDEX('register map'!J:J,C625)),1,""),IF(ISNUMBER(INDEX('register map'!I:I,C625)),2,""),IF(ISNUMBER(INDEX('register map'!H:H,C625)),3,""),IF(ISNUMBER(INDEX('register map'!G:G,C625)),4,""),IF(ISNUMBER(INDEX('register map'!F:F,C625)),5,""),IF(ISNUMBER(INDEX('register map'!E:E,C625)),6,""),IF(ISNUMBER(INDEX('register map'!D:D,C625)),7,""))</f>
        <v>4567</v>
      </c>
      <c r="J625" s="117" t="str">
        <f t="shared" si="106"/>
        <v>0001</v>
      </c>
      <c r="K625" s="117" t="str">
        <f t="shared" si="99"/>
        <v/>
      </c>
      <c r="L625" s="117" t="str">
        <f t="shared" si="107"/>
        <v/>
      </c>
      <c r="M625" s="117" t="str">
        <f t="shared" si="109"/>
        <v/>
      </c>
      <c r="N625" s="117" t="str">
        <f>IF(ISBLANK(INDEX('register map'!M:M,'Logical Group Generator'!C625)),"No","Yes")</f>
        <v>Yes</v>
      </c>
      <c r="O625" s="117" t="str">
        <f>IF(NOT(ISBLANK(INDEX('register map'!N:N,'Logical Group Generator'!C625))),"Yes","")</f>
        <v/>
      </c>
      <c r="P625" s="117" t="str">
        <f t="shared" si="100"/>
        <v/>
      </c>
      <c r="Q625" s="117" t="str">
        <f t="shared" si="101"/>
        <v/>
      </c>
      <c r="R625" s="117" t="str">
        <f t="shared" si="102"/>
        <v/>
      </c>
      <c r="S625" s="117" t="str">
        <f t="shared" si="103"/>
        <v>No</v>
      </c>
      <c r="T625" s="117" t="str">
        <f t="shared" si="104"/>
        <v/>
      </c>
      <c r="U625" s="117" t="b">
        <f t="shared" si="108"/>
        <v>0</v>
      </c>
      <c r="V625" s="157" t="b">
        <f>INDEX('register map'!P:P,C625)="yes"</f>
        <v>1</v>
      </c>
      <c r="W625" s="157" t="str">
        <f t="shared" si="105"/>
        <v>FALSE</v>
      </c>
    </row>
    <row r="626" spans="2:23">
      <c r="B626" s="157" t="str">
        <f t="array" ref="B626">IF(ROWS($3:626)&lt;=COUNTA('register map'!$L$5:$L$902),INDEX('register map'!$L$5:$L$902,SMALL(IF('register map'!$L$5:$L$902&lt;&gt;"",ROW('register map'!$L$5:$L$902)-MIN(ROW('register map'!$L$5:$L$902))+1),ROWS($3:626))),"")</f>
        <v>OTP_RSVD_38_42</v>
      </c>
      <c r="C626" s="157">
        <f>IF(B626="PART_NUMBER",IF(COUNTIF($B$1:B625,"PART_NUMBER")=0,6,8),MATCH(B626,'register map'!L:L,0))</f>
        <v>757</v>
      </c>
      <c r="D626" s="117" t="str">
        <f>IF(ISBLANK(INDEX('register map'!C:C,'Logical Group Generator'!C626)),"No","Yes")</f>
        <v>Yes</v>
      </c>
      <c r="E626" s="117" t="str">
        <f>IF(ISBLANK(INDEX('register map'!A:A,C626)),IF(ISBLANK(INDEX('register map'!A:A,C626-1)),IF(ISBLANK(INDEX('register map'!A:A,C626-2)),IF(ISBLANK(INDEX('register map'!A:A,C626-3)),IF(ISBLANK(INDEX('register map'!A:A,C626-4)),IF(ISBLANK(INDEX('register map'!A:A,C626-5)),IF(ISBLANK(INDEX('register map'!A:A,C626-6)),IF(ISBLANK(INDEX('register map'!A:A,C626-7)),IF(ISBLANK(INDEX('register map'!A:A,C626-8)),"ERROR",INDEX('register map'!A:A,C626-8)),INDEX('register map'!A:A,C626-7)),INDEX('register map'!A:A,C626-6)),INDEX('register map'!A:A,C626-5)),INDEX('register map'!A:A,C626-4)),INDEX('register map'!A:A,C626-3)),INDEX('register map'!A:A,C626-2)),INDEX('register map'!A:A,C626-1)),INDEX('register map'!A:A,C626))</f>
        <v>0x38</v>
      </c>
      <c r="F626" s="117" t="str">
        <f>IF(ISBLANK(INDEX('register map'!B:B,C626)),IF(ISBLANK(INDEX('register map'!B:B,C626-1)),IF(ISBLANK(INDEX('register map'!B:B,C626-2)),IF(ISBLANK(INDEX('register map'!B:B,C626-3)),IF(ISBLANK(INDEX('register map'!B:B,C626-4)),IF(ISBLANK(INDEX('register map'!B:B,C626-5)),IF(ISBLANK(INDEX('register map'!B:B,C626-6)),IF(ISBLANK(INDEX('register map'!B:B,C626-7)),IF(ISBLANK(INDEX('register map'!B:B,C626-8)),"ERROR",INDEX('register map'!B:B,C626-8)),INDEX('register map'!B:B,C626-7)),INDEX('register map'!B:B,C626-6)),INDEX('register map'!B:B,C626-5)),INDEX('register map'!B:B,C626-4)),INDEX('register map'!B:B,C626-3)),INDEX('register map'!B:B,C626-2)),INDEX('register map'!B:B,C626-1)),INDEX('register map'!B:B,C626))</f>
        <v>0x42</v>
      </c>
      <c r="G626" s="117" t="str">
        <f>CONCATENATE(IF(ISNUMBER(INDEX('register map'!D:D,C626)),7,""),IF(ISNUMBER(INDEX('register map'!E:E,C626)),6,""),IF(ISNUMBER(INDEX('register map'!F:F,C626)),5,""),IF(ISNUMBER(INDEX('register map'!G:G,C626)),4,""),IF(ISNUMBER(INDEX('register map'!H:H,C626)),3,""),IF(ISNUMBER(INDEX('register map'!I:I,C626)),2,""),IF(ISNUMBER(INDEX('register map'!J:J,C626)),1,""),IF(ISNUMBER(INDEX('register map'!K:K,C626)),0,""))</f>
        <v/>
      </c>
      <c r="H626" s="117" t="str">
        <f>RIGHT(INDEX('register map'!V:V,MATCH('Logical Group Generator'!B626,'register map'!L:L,0)),LEN(G626))</f>
        <v/>
      </c>
      <c r="I626" s="117" t="str">
        <f>CONCATENATE(IF(ISNUMBER(INDEX('register map'!K:K,C626)),0,""),IF(ISNUMBER(INDEX('register map'!J:J,C626)),1,""),IF(ISNUMBER(INDEX('register map'!I:I,C626)),2,""),IF(ISNUMBER(INDEX('register map'!H:H,C626)),3,""),IF(ISNUMBER(INDEX('register map'!G:G,C626)),4,""),IF(ISNUMBER(INDEX('register map'!F:F,C626)),5,""),IF(ISNUMBER(INDEX('register map'!E:E,C626)),6,""),IF(ISNUMBER(INDEX('register map'!D:D,C626)),7,""))</f>
        <v/>
      </c>
      <c r="J626" s="117" t="str">
        <f t="shared" si="106"/>
        <v/>
      </c>
      <c r="K626" s="117" t="str">
        <f t="shared" si="99"/>
        <v>00010001</v>
      </c>
      <c r="L626" s="117" t="str">
        <f t="shared" si="107"/>
        <v>10001000</v>
      </c>
      <c r="M626" s="117" t="str">
        <f t="shared" si="109"/>
        <v>88</v>
      </c>
      <c r="N626" s="117" t="str">
        <f>IF(ISBLANK(INDEX('register map'!M:M,'Logical Group Generator'!C626)),"No","Yes")</f>
        <v>No</v>
      </c>
      <c r="O626" s="117" t="str">
        <f>IF(NOT(ISBLANK(INDEX('register map'!N:N,'Logical Group Generator'!C626))),"Yes","")</f>
        <v/>
      </c>
      <c r="P626" s="117" t="str">
        <f t="shared" si="100"/>
        <v>Yes</v>
      </c>
      <c r="Q626" s="117" t="str">
        <f t="shared" si="101"/>
        <v>Yes</v>
      </c>
      <c r="R626" s="117" t="str">
        <f t="shared" si="102"/>
        <v>No</v>
      </c>
      <c r="S626" s="117" t="str">
        <f t="shared" si="103"/>
        <v/>
      </c>
      <c r="T626" s="117" t="b">
        <f t="shared" si="104"/>
        <v>1</v>
      </c>
      <c r="U626" s="117" t="b">
        <f t="shared" si="108"/>
        <v>0</v>
      </c>
      <c r="V626" s="157" t="b">
        <f>INDEX('register map'!P:P,C626)="yes"</f>
        <v>1</v>
      </c>
      <c r="W626" s="157" t="str">
        <f t="shared" si="105"/>
        <v>FALSE</v>
      </c>
    </row>
    <row r="627" spans="2:23">
      <c r="B627" s="157" t="str">
        <f t="array" ref="B627">IF(ROWS($3:627)&lt;=COUNTA('register map'!$L$5:$L$902),INDEX('register map'!$L$5:$L$902,SMALL(IF('register map'!$L$5:$L$902&lt;&gt;"",ROW('register map'!$L$5:$L$902)-MIN(ROW('register map'!$L$5:$L$902))+1),ROWS($3:627))),"")</f>
        <v>OTP_RSVD_38_42_3210</v>
      </c>
      <c r="C627" s="157">
        <f>IF(B627="PART_NUMBER",IF(COUNTIF($B$1:B626,"PART_NUMBER")=0,6,8),MATCH(B627,'register map'!L:L,0))</f>
        <v>758</v>
      </c>
      <c r="D627" s="117" t="str">
        <f>IF(ISBLANK(INDEX('register map'!C:C,'Logical Group Generator'!C627)),"No","Yes")</f>
        <v>No</v>
      </c>
      <c r="E627" s="117" t="str">
        <f>IF(ISBLANK(INDEX('register map'!A:A,C627)),IF(ISBLANK(INDEX('register map'!A:A,C627-1)),IF(ISBLANK(INDEX('register map'!A:A,C627-2)),IF(ISBLANK(INDEX('register map'!A:A,C627-3)),IF(ISBLANK(INDEX('register map'!A:A,C627-4)),IF(ISBLANK(INDEX('register map'!A:A,C627-5)),IF(ISBLANK(INDEX('register map'!A:A,C627-6)),IF(ISBLANK(INDEX('register map'!A:A,C627-7)),IF(ISBLANK(INDEX('register map'!A:A,C627-8)),"ERROR",INDEX('register map'!A:A,C627-8)),INDEX('register map'!A:A,C627-7)),INDEX('register map'!A:A,C627-6)),INDEX('register map'!A:A,C627-5)),INDEX('register map'!A:A,C627-4)),INDEX('register map'!A:A,C627-3)),INDEX('register map'!A:A,C627-2)),INDEX('register map'!A:A,C627-1)),INDEX('register map'!A:A,C627))</f>
        <v>0x38</v>
      </c>
      <c r="F627" s="117" t="str">
        <f>IF(ISBLANK(INDEX('register map'!B:B,C627)),IF(ISBLANK(INDEX('register map'!B:B,C627-1)),IF(ISBLANK(INDEX('register map'!B:B,C627-2)),IF(ISBLANK(INDEX('register map'!B:B,C627-3)),IF(ISBLANK(INDEX('register map'!B:B,C627-4)),IF(ISBLANK(INDEX('register map'!B:B,C627-5)),IF(ISBLANK(INDEX('register map'!B:B,C627-6)),IF(ISBLANK(INDEX('register map'!B:B,C627-7)),IF(ISBLANK(INDEX('register map'!B:B,C627-8)),"ERROR",INDEX('register map'!B:B,C627-8)),INDEX('register map'!B:B,C627-7)),INDEX('register map'!B:B,C627-6)),INDEX('register map'!B:B,C627-5)),INDEX('register map'!B:B,C627-4)),INDEX('register map'!B:B,C627-3)),INDEX('register map'!B:B,C627-2)),INDEX('register map'!B:B,C627-1)),INDEX('register map'!B:B,C627))</f>
        <v>0x42</v>
      </c>
      <c r="G627" s="117" t="str">
        <f>CONCATENATE(IF(ISNUMBER(INDEX('register map'!D:D,C627)),7,""),IF(ISNUMBER(INDEX('register map'!E:E,C627)),6,""),IF(ISNUMBER(INDEX('register map'!F:F,C627)),5,""),IF(ISNUMBER(INDEX('register map'!G:G,C627)),4,""),IF(ISNUMBER(INDEX('register map'!H:H,C627)),3,""),IF(ISNUMBER(INDEX('register map'!I:I,C627)),2,""),IF(ISNUMBER(INDEX('register map'!J:J,C627)),1,""),IF(ISNUMBER(INDEX('register map'!K:K,C627)),0,""))</f>
        <v>3210</v>
      </c>
      <c r="H627" s="117" t="str">
        <f>RIGHT(INDEX('register map'!V:V,MATCH('Logical Group Generator'!B627,'register map'!L:L,0)),LEN(G627))</f>
        <v>1000</v>
      </c>
      <c r="I627" s="117" t="str">
        <f>CONCATENATE(IF(ISNUMBER(INDEX('register map'!K:K,C627)),0,""),IF(ISNUMBER(INDEX('register map'!J:J,C627)),1,""),IF(ISNUMBER(INDEX('register map'!I:I,C627)),2,""),IF(ISNUMBER(INDEX('register map'!H:H,C627)),3,""),IF(ISNUMBER(INDEX('register map'!G:G,C627)),4,""),IF(ISNUMBER(INDEX('register map'!F:F,C627)),5,""),IF(ISNUMBER(INDEX('register map'!E:E,C627)),6,""),IF(ISNUMBER(INDEX('register map'!D:D,C627)),7,""))</f>
        <v>0123</v>
      </c>
      <c r="J627" s="117" t="str">
        <f t="shared" si="106"/>
        <v>0001</v>
      </c>
      <c r="K627" s="117" t="str">
        <f t="shared" si="99"/>
        <v/>
      </c>
      <c r="L627" s="117" t="str">
        <f t="shared" si="107"/>
        <v/>
      </c>
      <c r="M627" s="117" t="str">
        <f t="shared" si="109"/>
        <v/>
      </c>
      <c r="N627" s="117" t="str">
        <f>IF(ISBLANK(INDEX('register map'!M:M,'Logical Group Generator'!C627)),"No","Yes")</f>
        <v>Yes</v>
      </c>
      <c r="O627" s="117" t="str">
        <f>IF(NOT(ISBLANK(INDEX('register map'!N:N,'Logical Group Generator'!C627))),"Yes","")</f>
        <v/>
      </c>
      <c r="P627" s="117" t="str">
        <f t="shared" si="100"/>
        <v/>
      </c>
      <c r="Q627" s="117" t="str">
        <f t="shared" si="101"/>
        <v/>
      </c>
      <c r="R627" s="117" t="str">
        <f t="shared" si="102"/>
        <v/>
      </c>
      <c r="S627" s="117" t="str">
        <f t="shared" si="103"/>
        <v>No</v>
      </c>
      <c r="T627" s="117" t="str">
        <f t="shared" si="104"/>
        <v/>
      </c>
      <c r="U627" s="117" t="b">
        <f t="shared" si="108"/>
        <v>0</v>
      </c>
      <c r="V627" s="157" t="b">
        <f>INDEX('register map'!P:P,C627)="yes"</f>
        <v>1</v>
      </c>
      <c r="W627" s="157" t="str">
        <f t="shared" si="105"/>
        <v>FALSE</v>
      </c>
    </row>
    <row r="628" spans="2:23">
      <c r="B628" s="157" t="str">
        <f t="array" ref="B628">IF(ROWS($3:628)&lt;=COUNTA('register map'!$L$5:$L$902),INDEX('register map'!$L$5:$L$902,SMALL(IF('register map'!$L$5:$L$902&lt;&gt;"",ROW('register map'!$L$5:$L$902)-MIN(ROW('register map'!$L$5:$L$902))+1),ROWS($3:628))),"")</f>
        <v>OTP_RSVD_38_42_7654</v>
      </c>
      <c r="C628" s="157">
        <f>IF(B628="PART_NUMBER",IF(COUNTIF($B$1:B627,"PART_NUMBER")=0,6,8),MATCH(B628,'register map'!L:L,0))</f>
        <v>759</v>
      </c>
      <c r="D628" s="117" t="str">
        <f>IF(ISBLANK(INDEX('register map'!C:C,'Logical Group Generator'!C628)),"No","Yes")</f>
        <v>No</v>
      </c>
      <c r="E628" s="117" t="str">
        <f>IF(ISBLANK(INDEX('register map'!A:A,C628)),IF(ISBLANK(INDEX('register map'!A:A,C628-1)),IF(ISBLANK(INDEX('register map'!A:A,C628-2)),IF(ISBLANK(INDEX('register map'!A:A,C628-3)),IF(ISBLANK(INDEX('register map'!A:A,C628-4)),IF(ISBLANK(INDEX('register map'!A:A,C628-5)),IF(ISBLANK(INDEX('register map'!A:A,C628-6)),IF(ISBLANK(INDEX('register map'!A:A,C628-7)),IF(ISBLANK(INDEX('register map'!A:A,C628-8)),"ERROR",INDEX('register map'!A:A,C628-8)),INDEX('register map'!A:A,C628-7)),INDEX('register map'!A:A,C628-6)),INDEX('register map'!A:A,C628-5)),INDEX('register map'!A:A,C628-4)),INDEX('register map'!A:A,C628-3)),INDEX('register map'!A:A,C628-2)),INDEX('register map'!A:A,C628-1)),INDEX('register map'!A:A,C628))</f>
        <v>0x38</v>
      </c>
      <c r="F628" s="117" t="str">
        <f>IF(ISBLANK(INDEX('register map'!B:B,C628)),IF(ISBLANK(INDEX('register map'!B:B,C628-1)),IF(ISBLANK(INDEX('register map'!B:B,C628-2)),IF(ISBLANK(INDEX('register map'!B:B,C628-3)),IF(ISBLANK(INDEX('register map'!B:B,C628-4)),IF(ISBLANK(INDEX('register map'!B:B,C628-5)),IF(ISBLANK(INDEX('register map'!B:B,C628-6)),IF(ISBLANK(INDEX('register map'!B:B,C628-7)),IF(ISBLANK(INDEX('register map'!B:B,C628-8)),"ERROR",INDEX('register map'!B:B,C628-8)),INDEX('register map'!B:B,C628-7)),INDEX('register map'!B:B,C628-6)),INDEX('register map'!B:B,C628-5)),INDEX('register map'!B:B,C628-4)),INDEX('register map'!B:B,C628-3)),INDEX('register map'!B:B,C628-2)),INDEX('register map'!B:B,C628-1)),INDEX('register map'!B:B,C628))</f>
        <v>0x42</v>
      </c>
      <c r="G628" s="117" t="str">
        <f>CONCATENATE(IF(ISNUMBER(INDEX('register map'!D:D,C628)),7,""),IF(ISNUMBER(INDEX('register map'!E:E,C628)),6,""),IF(ISNUMBER(INDEX('register map'!F:F,C628)),5,""),IF(ISNUMBER(INDEX('register map'!G:G,C628)),4,""),IF(ISNUMBER(INDEX('register map'!H:H,C628)),3,""),IF(ISNUMBER(INDEX('register map'!I:I,C628)),2,""),IF(ISNUMBER(INDEX('register map'!J:J,C628)),1,""),IF(ISNUMBER(INDEX('register map'!K:K,C628)),0,""))</f>
        <v>7654</v>
      </c>
      <c r="H628" s="117" t="str">
        <f>RIGHT(INDEX('register map'!V:V,MATCH('Logical Group Generator'!B628,'register map'!L:L,0)),LEN(G628))</f>
        <v>1000</v>
      </c>
      <c r="I628" s="117" t="str">
        <f>CONCATENATE(IF(ISNUMBER(INDEX('register map'!K:K,C628)),0,""),IF(ISNUMBER(INDEX('register map'!J:J,C628)),1,""),IF(ISNUMBER(INDEX('register map'!I:I,C628)),2,""),IF(ISNUMBER(INDEX('register map'!H:H,C628)),3,""),IF(ISNUMBER(INDEX('register map'!G:G,C628)),4,""),IF(ISNUMBER(INDEX('register map'!F:F,C628)),5,""),IF(ISNUMBER(INDEX('register map'!E:E,C628)),6,""),IF(ISNUMBER(INDEX('register map'!D:D,C628)),7,""))</f>
        <v>4567</v>
      </c>
      <c r="J628" s="117" t="str">
        <f t="shared" si="106"/>
        <v>0001</v>
      </c>
      <c r="K628" s="117" t="str">
        <f t="shared" si="99"/>
        <v/>
      </c>
      <c r="L628" s="117" t="str">
        <f t="shared" si="107"/>
        <v/>
      </c>
      <c r="M628" s="117" t="str">
        <f t="shared" si="109"/>
        <v/>
      </c>
      <c r="N628" s="117" t="str">
        <f>IF(ISBLANK(INDEX('register map'!M:M,'Logical Group Generator'!C628)),"No","Yes")</f>
        <v>Yes</v>
      </c>
      <c r="O628" s="117" t="str">
        <f>IF(NOT(ISBLANK(INDEX('register map'!N:N,'Logical Group Generator'!C628))),"Yes","")</f>
        <v/>
      </c>
      <c r="P628" s="117" t="str">
        <f t="shared" si="100"/>
        <v/>
      </c>
      <c r="Q628" s="117" t="str">
        <f t="shared" si="101"/>
        <v/>
      </c>
      <c r="R628" s="117" t="str">
        <f t="shared" si="102"/>
        <v/>
      </c>
      <c r="S628" s="117" t="str">
        <f t="shared" si="103"/>
        <v>No</v>
      </c>
      <c r="T628" s="117" t="str">
        <f t="shared" si="104"/>
        <v/>
      </c>
      <c r="U628" s="117" t="b">
        <f t="shared" si="108"/>
        <v>0</v>
      </c>
      <c r="V628" s="157" t="b">
        <f>INDEX('register map'!P:P,C628)="yes"</f>
        <v>1</v>
      </c>
      <c r="W628" s="157" t="str">
        <f t="shared" si="105"/>
        <v>FALSE</v>
      </c>
    </row>
    <row r="629" spans="2:23">
      <c r="B629" s="157" t="str">
        <f t="array" ref="B629">IF(ROWS($3:629)&lt;=COUNTA('register map'!$L$5:$L$902),INDEX('register map'!$L$5:$L$902,SMALL(IF('register map'!$L$5:$L$902&lt;&gt;"",ROW('register map'!$L$5:$L$902)-MIN(ROW('register map'!$L$5:$L$902))+1),ROWS($3:629))),"")</f>
        <v>OTP_RSVD_38_43</v>
      </c>
      <c r="C629" s="157">
        <f>IF(B629="PART_NUMBER",IF(COUNTIF($B$1:B628,"PART_NUMBER")=0,6,8),MATCH(B629,'register map'!L:L,0))</f>
        <v>760</v>
      </c>
      <c r="D629" s="117" t="str">
        <f>IF(ISBLANK(INDEX('register map'!C:C,'Logical Group Generator'!C629)),"No","Yes")</f>
        <v>Yes</v>
      </c>
      <c r="E629" s="117" t="str">
        <f>IF(ISBLANK(INDEX('register map'!A:A,C629)),IF(ISBLANK(INDEX('register map'!A:A,C629-1)),IF(ISBLANK(INDEX('register map'!A:A,C629-2)),IF(ISBLANK(INDEX('register map'!A:A,C629-3)),IF(ISBLANK(INDEX('register map'!A:A,C629-4)),IF(ISBLANK(INDEX('register map'!A:A,C629-5)),IF(ISBLANK(INDEX('register map'!A:A,C629-6)),IF(ISBLANK(INDEX('register map'!A:A,C629-7)),IF(ISBLANK(INDEX('register map'!A:A,C629-8)),"ERROR",INDEX('register map'!A:A,C629-8)),INDEX('register map'!A:A,C629-7)),INDEX('register map'!A:A,C629-6)),INDEX('register map'!A:A,C629-5)),INDEX('register map'!A:A,C629-4)),INDEX('register map'!A:A,C629-3)),INDEX('register map'!A:A,C629-2)),INDEX('register map'!A:A,C629-1)),INDEX('register map'!A:A,C629))</f>
        <v>0x38</v>
      </c>
      <c r="F629" s="117" t="str">
        <f>IF(ISBLANK(INDEX('register map'!B:B,C629)),IF(ISBLANK(INDEX('register map'!B:B,C629-1)),IF(ISBLANK(INDEX('register map'!B:B,C629-2)),IF(ISBLANK(INDEX('register map'!B:B,C629-3)),IF(ISBLANK(INDEX('register map'!B:B,C629-4)),IF(ISBLANK(INDEX('register map'!B:B,C629-5)),IF(ISBLANK(INDEX('register map'!B:B,C629-6)),IF(ISBLANK(INDEX('register map'!B:B,C629-7)),IF(ISBLANK(INDEX('register map'!B:B,C629-8)),"ERROR",INDEX('register map'!B:B,C629-8)),INDEX('register map'!B:B,C629-7)),INDEX('register map'!B:B,C629-6)),INDEX('register map'!B:B,C629-5)),INDEX('register map'!B:B,C629-4)),INDEX('register map'!B:B,C629-3)),INDEX('register map'!B:B,C629-2)),INDEX('register map'!B:B,C629-1)),INDEX('register map'!B:B,C629))</f>
        <v>0x43</v>
      </c>
      <c r="G629" s="117" t="str">
        <f>CONCATENATE(IF(ISNUMBER(INDEX('register map'!D:D,C629)),7,""),IF(ISNUMBER(INDEX('register map'!E:E,C629)),6,""),IF(ISNUMBER(INDEX('register map'!F:F,C629)),5,""),IF(ISNUMBER(INDEX('register map'!G:G,C629)),4,""),IF(ISNUMBER(INDEX('register map'!H:H,C629)),3,""),IF(ISNUMBER(INDEX('register map'!I:I,C629)),2,""),IF(ISNUMBER(INDEX('register map'!J:J,C629)),1,""),IF(ISNUMBER(INDEX('register map'!K:K,C629)),0,""))</f>
        <v/>
      </c>
      <c r="H629" s="117" t="str">
        <f>RIGHT(INDEX('register map'!V:V,MATCH('Logical Group Generator'!B629,'register map'!L:L,0)),LEN(G629))</f>
        <v/>
      </c>
      <c r="I629" s="117" t="str">
        <f>CONCATENATE(IF(ISNUMBER(INDEX('register map'!K:K,C629)),0,""),IF(ISNUMBER(INDEX('register map'!J:J,C629)),1,""),IF(ISNUMBER(INDEX('register map'!I:I,C629)),2,""),IF(ISNUMBER(INDEX('register map'!H:H,C629)),3,""),IF(ISNUMBER(INDEX('register map'!G:G,C629)),4,""),IF(ISNUMBER(INDEX('register map'!F:F,C629)),5,""),IF(ISNUMBER(INDEX('register map'!E:E,C629)),6,""),IF(ISNUMBER(INDEX('register map'!D:D,C629)),7,""))</f>
        <v/>
      </c>
      <c r="J629" s="117" t="str">
        <f t="shared" si="106"/>
        <v/>
      </c>
      <c r="K629" s="117" t="str">
        <f t="shared" si="99"/>
        <v>00010101</v>
      </c>
      <c r="L629" s="117" t="str">
        <f t="shared" si="107"/>
        <v>10101000</v>
      </c>
      <c r="M629" s="117" t="str">
        <f t="shared" si="109"/>
        <v>A8</v>
      </c>
      <c r="N629" s="117" t="str">
        <f>IF(ISBLANK(INDEX('register map'!M:M,'Logical Group Generator'!C629)),"No","Yes")</f>
        <v>No</v>
      </c>
      <c r="O629" s="117" t="str">
        <f>IF(NOT(ISBLANK(INDEX('register map'!N:N,'Logical Group Generator'!C629))),"Yes","")</f>
        <v/>
      </c>
      <c r="P629" s="117" t="str">
        <f t="shared" si="100"/>
        <v>Yes</v>
      </c>
      <c r="Q629" s="117" t="str">
        <f t="shared" si="101"/>
        <v>Yes</v>
      </c>
      <c r="R629" s="117" t="str">
        <f t="shared" si="102"/>
        <v>No</v>
      </c>
      <c r="S629" s="117" t="str">
        <f t="shared" si="103"/>
        <v/>
      </c>
      <c r="T629" s="117" t="b">
        <f t="shared" si="104"/>
        <v>1</v>
      </c>
      <c r="U629" s="117" t="b">
        <f t="shared" si="108"/>
        <v>0</v>
      </c>
      <c r="V629" s="157" t="b">
        <f>INDEX('register map'!P:P,C629)="yes"</f>
        <v>1</v>
      </c>
      <c r="W629" s="157" t="str">
        <f t="shared" si="105"/>
        <v>FALSE</v>
      </c>
    </row>
    <row r="630" spans="2:23">
      <c r="B630" s="157" t="str">
        <f t="array" ref="B630">IF(ROWS($3:630)&lt;=COUNTA('register map'!$L$5:$L$902),INDEX('register map'!$L$5:$L$902,SMALL(IF('register map'!$L$5:$L$902&lt;&gt;"",ROW('register map'!$L$5:$L$902)-MIN(ROW('register map'!$L$5:$L$902))+1),ROWS($3:630))),"")</f>
        <v>OTP_RSVD_38_43_10</v>
      </c>
      <c r="C630" s="157">
        <f>IF(B630="PART_NUMBER",IF(COUNTIF($B$1:B629,"PART_NUMBER")=0,6,8),MATCH(B630,'register map'!L:L,0))</f>
        <v>761</v>
      </c>
      <c r="D630" s="117" t="str">
        <f>IF(ISBLANK(INDEX('register map'!C:C,'Logical Group Generator'!C630)),"No","Yes")</f>
        <v>No</v>
      </c>
      <c r="E630" s="117" t="str">
        <f>IF(ISBLANK(INDEX('register map'!A:A,C630)),IF(ISBLANK(INDEX('register map'!A:A,C630-1)),IF(ISBLANK(INDEX('register map'!A:A,C630-2)),IF(ISBLANK(INDEX('register map'!A:A,C630-3)),IF(ISBLANK(INDEX('register map'!A:A,C630-4)),IF(ISBLANK(INDEX('register map'!A:A,C630-5)),IF(ISBLANK(INDEX('register map'!A:A,C630-6)),IF(ISBLANK(INDEX('register map'!A:A,C630-7)),IF(ISBLANK(INDEX('register map'!A:A,C630-8)),"ERROR",INDEX('register map'!A:A,C630-8)),INDEX('register map'!A:A,C630-7)),INDEX('register map'!A:A,C630-6)),INDEX('register map'!A:A,C630-5)),INDEX('register map'!A:A,C630-4)),INDEX('register map'!A:A,C630-3)),INDEX('register map'!A:A,C630-2)),INDEX('register map'!A:A,C630-1)),INDEX('register map'!A:A,C630))</f>
        <v>0x38</v>
      </c>
      <c r="F630" s="117" t="str">
        <f>IF(ISBLANK(INDEX('register map'!B:B,C630)),IF(ISBLANK(INDEX('register map'!B:B,C630-1)),IF(ISBLANK(INDEX('register map'!B:B,C630-2)),IF(ISBLANK(INDEX('register map'!B:B,C630-3)),IF(ISBLANK(INDEX('register map'!B:B,C630-4)),IF(ISBLANK(INDEX('register map'!B:B,C630-5)),IF(ISBLANK(INDEX('register map'!B:B,C630-6)),IF(ISBLANK(INDEX('register map'!B:B,C630-7)),IF(ISBLANK(INDEX('register map'!B:B,C630-8)),"ERROR",INDEX('register map'!B:B,C630-8)),INDEX('register map'!B:B,C630-7)),INDEX('register map'!B:B,C630-6)),INDEX('register map'!B:B,C630-5)),INDEX('register map'!B:B,C630-4)),INDEX('register map'!B:B,C630-3)),INDEX('register map'!B:B,C630-2)),INDEX('register map'!B:B,C630-1)),INDEX('register map'!B:B,C630))</f>
        <v>0x43</v>
      </c>
      <c r="G630" s="117" t="str">
        <f>CONCATENATE(IF(ISNUMBER(INDEX('register map'!D:D,C630)),7,""),IF(ISNUMBER(INDEX('register map'!E:E,C630)),6,""),IF(ISNUMBER(INDEX('register map'!F:F,C630)),5,""),IF(ISNUMBER(INDEX('register map'!G:G,C630)),4,""),IF(ISNUMBER(INDEX('register map'!H:H,C630)),3,""),IF(ISNUMBER(INDEX('register map'!I:I,C630)),2,""),IF(ISNUMBER(INDEX('register map'!J:J,C630)),1,""),IF(ISNUMBER(INDEX('register map'!K:K,C630)),0,""))</f>
        <v>10</v>
      </c>
      <c r="H630" s="117" t="str">
        <f>RIGHT(INDEX('register map'!V:V,MATCH('Logical Group Generator'!B630,'register map'!L:L,0)),LEN(G630))</f>
        <v>00</v>
      </c>
      <c r="I630" s="117" t="str">
        <f>CONCATENATE(IF(ISNUMBER(INDEX('register map'!K:K,C630)),0,""),IF(ISNUMBER(INDEX('register map'!J:J,C630)),1,""),IF(ISNUMBER(INDEX('register map'!I:I,C630)),2,""),IF(ISNUMBER(INDEX('register map'!H:H,C630)),3,""),IF(ISNUMBER(INDEX('register map'!G:G,C630)),4,""),IF(ISNUMBER(INDEX('register map'!F:F,C630)),5,""),IF(ISNUMBER(INDEX('register map'!E:E,C630)),6,""),IF(ISNUMBER(INDEX('register map'!D:D,C630)),7,""))</f>
        <v>01</v>
      </c>
      <c r="J630" s="117" t="str">
        <f t="shared" si="106"/>
        <v>00</v>
      </c>
      <c r="K630" s="117" t="str">
        <f t="shared" si="99"/>
        <v/>
      </c>
      <c r="L630" s="117" t="str">
        <f t="shared" si="107"/>
        <v/>
      </c>
      <c r="M630" s="117" t="str">
        <f t="shared" si="109"/>
        <v/>
      </c>
      <c r="N630" s="117" t="str">
        <f>IF(ISBLANK(INDEX('register map'!M:M,'Logical Group Generator'!C630)),"No","Yes")</f>
        <v>No</v>
      </c>
      <c r="O630" s="117" t="str">
        <f>IF(NOT(ISBLANK(INDEX('register map'!N:N,'Logical Group Generator'!C630))),"Yes","")</f>
        <v>Yes</v>
      </c>
      <c r="P630" s="117" t="str">
        <f t="shared" si="100"/>
        <v/>
      </c>
      <c r="Q630" s="117" t="str">
        <f t="shared" si="101"/>
        <v/>
      </c>
      <c r="R630" s="117" t="str">
        <f t="shared" si="102"/>
        <v/>
      </c>
      <c r="S630" s="117" t="str">
        <f t="shared" si="103"/>
        <v>No</v>
      </c>
      <c r="T630" s="117" t="str">
        <f t="shared" si="104"/>
        <v/>
      </c>
      <c r="U630" s="117" t="b">
        <f t="shared" si="108"/>
        <v>0</v>
      </c>
      <c r="V630" s="157" t="b">
        <f>INDEX('register map'!P:P,C630)="yes"</f>
        <v>1</v>
      </c>
      <c r="W630" s="157" t="str">
        <f t="shared" si="105"/>
        <v>FALSE</v>
      </c>
    </row>
    <row r="631" spans="2:23">
      <c r="B631" s="157" t="str">
        <f t="array" ref="B631">IF(ROWS($3:631)&lt;=COUNTA('register map'!$L$5:$L$902),INDEX('register map'!$L$5:$L$902,SMALL(IF('register map'!$L$5:$L$902&lt;&gt;"",ROW('register map'!$L$5:$L$902)-MIN(ROW('register map'!$L$5:$L$902))+1),ROWS($3:631))),"")</f>
        <v>OTP_RSVD_38_43_32</v>
      </c>
      <c r="C631" s="157">
        <f>IF(B631="PART_NUMBER",IF(COUNTIF($B$1:B630,"PART_NUMBER")=0,6,8),MATCH(B631,'register map'!L:L,0))</f>
        <v>762</v>
      </c>
      <c r="D631" s="117" t="str">
        <f>IF(ISBLANK(INDEX('register map'!C:C,'Logical Group Generator'!C631)),"No","Yes")</f>
        <v>No</v>
      </c>
      <c r="E631" s="117" t="str">
        <f>IF(ISBLANK(INDEX('register map'!A:A,C631)),IF(ISBLANK(INDEX('register map'!A:A,C631-1)),IF(ISBLANK(INDEX('register map'!A:A,C631-2)),IF(ISBLANK(INDEX('register map'!A:A,C631-3)),IF(ISBLANK(INDEX('register map'!A:A,C631-4)),IF(ISBLANK(INDEX('register map'!A:A,C631-5)),IF(ISBLANK(INDEX('register map'!A:A,C631-6)),IF(ISBLANK(INDEX('register map'!A:A,C631-7)),IF(ISBLANK(INDEX('register map'!A:A,C631-8)),"ERROR",INDEX('register map'!A:A,C631-8)),INDEX('register map'!A:A,C631-7)),INDEX('register map'!A:A,C631-6)),INDEX('register map'!A:A,C631-5)),INDEX('register map'!A:A,C631-4)),INDEX('register map'!A:A,C631-3)),INDEX('register map'!A:A,C631-2)),INDEX('register map'!A:A,C631-1)),INDEX('register map'!A:A,C631))</f>
        <v>0x38</v>
      </c>
      <c r="F631" s="117" t="str">
        <f>IF(ISBLANK(INDEX('register map'!B:B,C631)),IF(ISBLANK(INDEX('register map'!B:B,C631-1)),IF(ISBLANK(INDEX('register map'!B:B,C631-2)),IF(ISBLANK(INDEX('register map'!B:B,C631-3)),IF(ISBLANK(INDEX('register map'!B:B,C631-4)),IF(ISBLANK(INDEX('register map'!B:B,C631-5)),IF(ISBLANK(INDEX('register map'!B:B,C631-6)),IF(ISBLANK(INDEX('register map'!B:B,C631-7)),IF(ISBLANK(INDEX('register map'!B:B,C631-8)),"ERROR",INDEX('register map'!B:B,C631-8)),INDEX('register map'!B:B,C631-7)),INDEX('register map'!B:B,C631-6)),INDEX('register map'!B:B,C631-5)),INDEX('register map'!B:B,C631-4)),INDEX('register map'!B:B,C631-3)),INDEX('register map'!B:B,C631-2)),INDEX('register map'!B:B,C631-1)),INDEX('register map'!B:B,C631))</f>
        <v>0x43</v>
      </c>
      <c r="G631" s="117" t="str">
        <f>CONCATENATE(IF(ISNUMBER(INDEX('register map'!D:D,C631)),7,""),IF(ISNUMBER(INDEX('register map'!E:E,C631)),6,""),IF(ISNUMBER(INDEX('register map'!F:F,C631)),5,""),IF(ISNUMBER(INDEX('register map'!G:G,C631)),4,""),IF(ISNUMBER(INDEX('register map'!H:H,C631)),3,""),IF(ISNUMBER(INDEX('register map'!I:I,C631)),2,""),IF(ISNUMBER(INDEX('register map'!J:J,C631)),1,""),IF(ISNUMBER(INDEX('register map'!K:K,C631)),0,""))</f>
        <v>32</v>
      </c>
      <c r="H631" s="117" t="str">
        <f>RIGHT(INDEX('register map'!V:V,MATCH('Logical Group Generator'!B631,'register map'!L:L,0)),LEN(G631))</f>
        <v>10</v>
      </c>
      <c r="I631" s="117" t="str">
        <f>CONCATENATE(IF(ISNUMBER(INDEX('register map'!K:K,C631)),0,""),IF(ISNUMBER(INDEX('register map'!J:J,C631)),1,""),IF(ISNUMBER(INDEX('register map'!I:I,C631)),2,""),IF(ISNUMBER(INDEX('register map'!H:H,C631)),3,""),IF(ISNUMBER(INDEX('register map'!G:G,C631)),4,""),IF(ISNUMBER(INDEX('register map'!F:F,C631)),5,""),IF(ISNUMBER(INDEX('register map'!E:E,C631)),6,""),IF(ISNUMBER(INDEX('register map'!D:D,C631)),7,""))</f>
        <v>23</v>
      </c>
      <c r="J631" s="117" t="str">
        <f t="shared" si="106"/>
        <v>01</v>
      </c>
      <c r="K631" s="117" t="str">
        <f t="shared" si="99"/>
        <v/>
      </c>
      <c r="L631" s="117" t="str">
        <f t="shared" si="107"/>
        <v/>
      </c>
      <c r="M631" s="117" t="str">
        <f t="shared" si="109"/>
        <v/>
      </c>
      <c r="N631" s="117" t="str">
        <f>IF(ISBLANK(INDEX('register map'!M:M,'Logical Group Generator'!C631)),"No","Yes")</f>
        <v>Yes</v>
      </c>
      <c r="O631" s="117" t="str">
        <f>IF(NOT(ISBLANK(INDEX('register map'!N:N,'Logical Group Generator'!C631))),"Yes","")</f>
        <v/>
      </c>
      <c r="P631" s="117" t="str">
        <f t="shared" si="100"/>
        <v/>
      </c>
      <c r="Q631" s="117" t="str">
        <f t="shared" si="101"/>
        <v/>
      </c>
      <c r="R631" s="117" t="str">
        <f t="shared" si="102"/>
        <v/>
      </c>
      <c r="S631" s="117" t="str">
        <f t="shared" si="103"/>
        <v>No</v>
      </c>
      <c r="T631" s="117" t="str">
        <f t="shared" si="104"/>
        <v/>
      </c>
      <c r="U631" s="117" t="b">
        <f t="shared" si="108"/>
        <v>0</v>
      </c>
      <c r="V631" s="157" t="b">
        <f>INDEX('register map'!P:P,C631)="yes"</f>
        <v>1</v>
      </c>
      <c r="W631" s="157" t="str">
        <f t="shared" si="105"/>
        <v>FALSE</v>
      </c>
    </row>
    <row r="632" spans="2:23">
      <c r="B632" s="157" t="str">
        <f t="array" ref="B632">IF(ROWS($3:632)&lt;=COUNTA('register map'!$L$5:$L$902),INDEX('register map'!$L$5:$L$902,SMALL(IF('register map'!$L$5:$L$902&lt;&gt;"",ROW('register map'!$L$5:$L$902)-MIN(ROW('register map'!$L$5:$L$902))+1),ROWS($3:632))),"")</f>
        <v>OTP_RSVD_38_43_54</v>
      </c>
      <c r="C632" s="157">
        <f>IF(B632="PART_NUMBER",IF(COUNTIF($B$1:B631,"PART_NUMBER")=0,6,8),MATCH(B632,'register map'!L:L,0))</f>
        <v>763</v>
      </c>
      <c r="D632" s="117" t="str">
        <f>IF(ISBLANK(INDEX('register map'!C:C,'Logical Group Generator'!C632)),"No","Yes")</f>
        <v>No</v>
      </c>
      <c r="E632" s="117" t="str">
        <f>IF(ISBLANK(INDEX('register map'!A:A,C632)),IF(ISBLANK(INDEX('register map'!A:A,C632-1)),IF(ISBLANK(INDEX('register map'!A:A,C632-2)),IF(ISBLANK(INDEX('register map'!A:A,C632-3)),IF(ISBLANK(INDEX('register map'!A:A,C632-4)),IF(ISBLANK(INDEX('register map'!A:A,C632-5)),IF(ISBLANK(INDEX('register map'!A:A,C632-6)),IF(ISBLANK(INDEX('register map'!A:A,C632-7)),IF(ISBLANK(INDEX('register map'!A:A,C632-8)),"ERROR",INDEX('register map'!A:A,C632-8)),INDEX('register map'!A:A,C632-7)),INDEX('register map'!A:A,C632-6)),INDEX('register map'!A:A,C632-5)),INDEX('register map'!A:A,C632-4)),INDEX('register map'!A:A,C632-3)),INDEX('register map'!A:A,C632-2)),INDEX('register map'!A:A,C632-1)),INDEX('register map'!A:A,C632))</f>
        <v>0x38</v>
      </c>
      <c r="F632" s="117" t="str">
        <f>IF(ISBLANK(INDEX('register map'!B:B,C632)),IF(ISBLANK(INDEX('register map'!B:B,C632-1)),IF(ISBLANK(INDEX('register map'!B:B,C632-2)),IF(ISBLANK(INDEX('register map'!B:B,C632-3)),IF(ISBLANK(INDEX('register map'!B:B,C632-4)),IF(ISBLANK(INDEX('register map'!B:B,C632-5)),IF(ISBLANK(INDEX('register map'!B:B,C632-6)),IF(ISBLANK(INDEX('register map'!B:B,C632-7)),IF(ISBLANK(INDEX('register map'!B:B,C632-8)),"ERROR",INDEX('register map'!B:B,C632-8)),INDEX('register map'!B:B,C632-7)),INDEX('register map'!B:B,C632-6)),INDEX('register map'!B:B,C632-5)),INDEX('register map'!B:B,C632-4)),INDEX('register map'!B:B,C632-3)),INDEX('register map'!B:B,C632-2)),INDEX('register map'!B:B,C632-1)),INDEX('register map'!B:B,C632))</f>
        <v>0x43</v>
      </c>
      <c r="G632" s="117" t="str">
        <f>CONCATENATE(IF(ISNUMBER(INDEX('register map'!D:D,C632)),7,""),IF(ISNUMBER(INDEX('register map'!E:E,C632)),6,""),IF(ISNUMBER(INDEX('register map'!F:F,C632)),5,""),IF(ISNUMBER(INDEX('register map'!G:G,C632)),4,""),IF(ISNUMBER(INDEX('register map'!H:H,C632)),3,""),IF(ISNUMBER(INDEX('register map'!I:I,C632)),2,""),IF(ISNUMBER(INDEX('register map'!J:J,C632)),1,""),IF(ISNUMBER(INDEX('register map'!K:K,C632)),0,""))</f>
        <v>54</v>
      </c>
      <c r="H632" s="117" t="str">
        <f>RIGHT(INDEX('register map'!V:V,MATCH('Logical Group Generator'!B632,'register map'!L:L,0)),LEN(G632))</f>
        <v>10</v>
      </c>
      <c r="I632" s="117" t="str">
        <f>CONCATENATE(IF(ISNUMBER(INDEX('register map'!K:K,C632)),0,""),IF(ISNUMBER(INDEX('register map'!J:J,C632)),1,""),IF(ISNUMBER(INDEX('register map'!I:I,C632)),2,""),IF(ISNUMBER(INDEX('register map'!H:H,C632)),3,""),IF(ISNUMBER(INDEX('register map'!G:G,C632)),4,""),IF(ISNUMBER(INDEX('register map'!F:F,C632)),5,""),IF(ISNUMBER(INDEX('register map'!E:E,C632)),6,""),IF(ISNUMBER(INDEX('register map'!D:D,C632)),7,""))</f>
        <v>45</v>
      </c>
      <c r="J632" s="117" t="str">
        <f t="shared" si="106"/>
        <v>01</v>
      </c>
      <c r="K632" s="117" t="str">
        <f t="shared" si="99"/>
        <v/>
      </c>
      <c r="L632" s="117" t="str">
        <f t="shared" si="107"/>
        <v/>
      </c>
      <c r="M632" s="117" t="str">
        <f t="shared" si="109"/>
        <v/>
      </c>
      <c r="N632" s="117" t="str">
        <f>IF(ISBLANK(INDEX('register map'!M:M,'Logical Group Generator'!C632)),"No","Yes")</f>
        <v>Yes</v>
      </c>
      <c r="O632" s="117" t="str">
        <f>IF(NOT(ISBLANK(INDEX('register map'!N:N,'Logical Group Generator'!C632))),"Yes","")</f>
        <v/>
      </c>
      <c r="P632" s="117" t="str">
        <f t="shared" si="100"/>
        <v/>
      </c>
      <c r="Q632" s="117" t="str">
        <f t="shared" si="101"/>
        <v/>
      </c>
      <c r="R632" s="117" t="str">
        <f t="shared" si="102"/>
        <v/>
      </c>
      <c r="S632" s="117" t="str">
        <f t="shared" si="103"/>
        <v>No</v>
      </c>
      <c r="T632" s="117" t="str">
        <f t="shared" si="104"/>
        <v/>
      </c>
      <c r="U632" s="117" t="b">
        <f t="shared" si="108"/>
        <v>0</v>
      </c>
      <c r="V632" s="157" t="b">
        <f>INDEX('register map'!P:P,C632)="yes"</f>
        <v>1</v>
      </c>
      <c r="W632" s="157" t="str">
        <f t="shared" si="105"/>
        <v>FALSE</v>
      </c>
    </row>
    <row r="633" spans="2:23">
      <c r="B633" s="157" t="str">
        <f t="array" ref="B633">IF(ROWS($3:633)&lt;=COUNTA('register map'!$L$5:$L$902),INDEX('register map'!$L$5:$L$902,SMALL(IF('register map'!$L$5:$L$902&lt;&gt;"",ROW('register map'!$L$5:$L$902)-MIN(ROW('register map'!$L$5:$L$902))+1),ROWS($3:633))),"")</f>
        <v>OTP_RSVD_38_43_76</v>
      </c>
      <c r="C633" s="157">
        <f>IF(B633="PART_NUMBER",IF(COUNTIF($B$1:B632,"PART_NUMBER")=0,6,8),MATCH(B633,'register map'!L:L,0))</f>
        <v>764</v>
      </c>
      <c r="D633" s="117" t="str">
        <f>IF(ISBLANK(INDEX('register map'!C:C,'Logical Group Generator'!C633)),"No","Yes")</f>
        <v>No</v>
      </c>
      <c r="E633" s="117" t="str">
        <f>IF(ISBLANK(INDEX('register map'!A:A,C633)),IF(ISBLANK(INDEX('register map'!A:A,C633-1)),IF(ISBLANK(INDEX('register map'!A:A,C633-2)),IF(ISBLANK(INDEX('register map'!A:A,C633-3)),IF(ISBLANK(INDEX('register map'!A:A,C633-4)),IF(ISBLANK(INDEX('register map'!A:A,C633-5)),IF(ISBLANK(INDEX('register map'!A:A,C633-6)),IF(ISBLANK(INDEX('register map'!A:A,C633-7)),IF(ISBLANK(INDEX('register map'!A:A,C633-8)),"ERROR",INDEX('register map'!A:A,C633-8)),INDEX('register map'!A:A,C633-7)),INDEX('register map'!A:A,C633-6)),INDEX('register map'!A:A,C633-5)),INDEX('register map'!A:A,C633-4)),INDEX('register map'!A:A,C633-3)),INDEX('register map'!A:A,C633-2)),INDEX('register map'!A:A,C633-1)),INDEX('register map'!A:A,C633))</f>
        <v>0x38</v>
      </c>
      <c r="F633" s="117" t="str">
        <f>IF(ISBLANK(INDEX('register map'!B:B,C633)),IF(ISBLANK(INDEX('register map'!B:B,C633-1)),IF(ISBLANK(INDEX('register map'!B:B,C633-2)),IF(ISBLANK(INDEX('register map'!B:B,C633-3)),IF(ISBLANK(INDEX('register map'!B:B,C633-4)),IF(ISBLANK(INDEX('register map'!B:B,C633-5)),IF(ISBLANK(INDEX('register map'!B:B,C633-6)),IF(ISBLANK(INDEX('register map'!B:B,C633-7)),IF(ISBLANK(INDEX('register map'!B:B,C633-8)),"ERROR",INDEX('register map'!B:B,C633-8)),INDEX('register map'!B:B,C633-7)),INDEX('register map'!B:B,C633-6)),INDEX('register map'!B:B,C633-5)),INDEX('register map'!B:B,C633-4)),INDEX('register map'!B:B,C633-3)),INDEX('register map'!B:B,C633-2)),INDEX('register map'!B:B,C633-1)),INDEX('register map'!B:B,C633))</f>
        <v>0x43</v>
      </c>
      <c r="G633" s="117" t="str">
        <f>CONCATENATE(IF(ISNUMBER(INDEX('register map'!D:D,C633)),7,""),IF(ISNUMBER(INDEX('register map'!E:E,C633)),6,""),IF(ISNUMBER(INDEX('register map'!F:F,C633)),5,""),IF(ISNUMBER(INDEX('register map'!G:G,C633)),4,""),IF(ISNUMBER(INDEX('register map'!H:H,C633)),3,""),IF(ISNUMBER(INDEX('register map'!I:I,C633)),2,""),IF(ISNUMBER(INDEX('register map'!J:J,C633)),1,""),IF(ISNUMBER(INDEX('register map'!K:K,C633)),0,""))</f>
        <v>76</v>
      </c>
      <c r="H633" s="117" t="str">
        <f>RIGHT(INDEX('register map'!V:V,MATCH('Logical Group Generator'!B633,'register map'!L:L,0)),LEN(G633))</f>
        <v>10</v>
      </c>
      <c r="I633" s="117" t="str">
        <f>CONCATENATE(IF(ISNUMBER(INDEX('register map'!K:K,C633)),0,""),IF(ISNUMBER(INDEX('register map'!J:J,C633)),1,""),IF(ISNUMBER(INDEX('register map'!I:I,C633)),2,""),IF(ISNUMBER(INDEX('register map'!H:H,C633)),3,""),IF(ISNUMBER(INDEX('register map'!G:G,C633)),4,""),IF(ISNUMBER(INDEX('register map'!F:F,C633)),5,""),IF(ISNUMBER(INDEX('register map'!E:E,C633)),6,""),IF(ISNUMBER(INDEX('register map'!D:D,C633)),7,""))</f>
        <v>67</v>
      </c>
      <c r="J633" s="117" t="str">
        <f t="shared" si="106"/>
        <v>01</v>
      </c>
      <c r="K633" s="117" t="str">
        <f t="shared" si="99"/>
        <v/>
      </c>
      <c r="L633" s="117" t="str">
        <f t="shared" si="107"/>
        <v/>
      </c>
      <c r="M633" s="117" t="str">
        <f t="shared" si="109"/>
        <v/>
      </c>
      <c r="N633" s="117" t="str">
        <f>IF(ISBLANK(INDEX('register map'!M:M,'Logical Group Generator'!C633)),"No","Yes")</f>
        <v>No</v>
      </c>
      <c r="O633" s="117" t="str">
        <f>IF(NOT(ISBLANK(INDEX('register map'!N:N,'Logical Group Generator'!C633))),"Yes","")</f>
        <v>Yes</v>
      </c>
      <c r="P633" s="117" t="str">
        <f t="shared" si="100"/>
        <v/>
      </c>
      <c r="Q633" s="117" t="str">
        <f t="shared" si="101"/>
        <v/>
      </c>
      <c r="R633" s="117" t="str">
        <f t="shared" si="102"/>
        <v/>
      </c>
      <c r="S633" s="117" t="str">
        <f t="shared" si="103"/>
        <v>No</v>
      </c>
      <c r="T633" s="117" t="str">
        <f t="shared" si="104"/>
        <v/>
      </c>
      <c r="U633" s="117" t="b">
        <f t="shared" si="108"/>
        <v>0</v>
      </c>
      <c r="V633" s="157" t="b">
        <f>INDEX('register map'!P:P,C633)="yes"</f>
        <v>1</v>
      </c>
      <c r="W633" s="157" t="str">
        <f t="shared" si="105"/>
        <v>FALSE</v>
      </c>
    </row>
    <row r="634" spans="2:23" s="267" customFormat="1">
      <c r="B634" s="267" t="str">
        <f t="array" ref="B634">IF(ROWS($3:634)&lt;=COUNTA('register map'!$L$5:$L$902),INDEX('register map'!$L$5:$L$902,SMALL(IF('register map'!$L$5:$L$902&lt;&gt;"",ROW('register map'!$L$5:$L$902)-MIN(ROW('register map'!$L$5:$L$902))+1),ROWS($3:634))),"")</f>
        <v>OTP_RSVD_38_44</v>
      </c>
      <c r="C634" s="267">
        <f>IF(B634="PART_NUMBER",IF(COUNTIF($B$1:B633,"PART_NUMBER")=0,6,8),MATCH(B634,'register map'!L:L,0))</f>
        <v>765</v>
      </c>
      <c r="D634" s="267" t="str">
        <f>IF(ISBLANK(INDEX('register map'!C:C,'Logical Group Generator'!C634)),"No","Yes")</f>
        <v>Yes</v>
      </c>
      <c r="E634" s="267" t="str">
        <f>IF(ISBLANK(INDEX('register map'!A:A,C634)),IF(ISBLANK(INDEX('register map'!A:A,C634-1)),IF(ISBLANK(INDEX('register map'!A:A,C634-2)),IF(ISBLANK(INDEX('register map'!A:A,C634-3)),IF(ISBLANK(INDEX('register map'!A:A,C634-4)),IF(ISBLANK(INDEX('register map'!A:A,C634-5)),IF(ISBLANK(INDEX('register map'!A:A,C634-6)),IF(ISBLANK(INDEX('register map'!A:A,C634-7)),IF(ISBLANK(INDEX('register map'!A:A,C634-8)),"ERROR",INDEX('register map'!A:A,C634-8)),INDEX('register map'!A:A,C634-7)),INDEX('register map'!A:A,C634-6)),INDEX('register map'!A:A,C634-5)),INDEX('register map'!A:A,C634-4)),INDEX('register map'!A:A,C634-3)),INDEX('register map'!A:A,C634-2)),INDEX('register map'!A:A,C634-1)),INDEX('register map'!A:A,C634))</f>
        <v>0x38</v>
      </c>
      <c r="F634" s="267" t="str">
        <f>IF(ISBLANK(INDEX('register map'!B:B,C634)),IF(ISBLANK(INDEX('register map'!B:B,C634-1)),IF(ISBLANK(INDEX('register map'!B:B,C634-2)),IF(ISBLANK(INDEX('register map'!B:B,C634-3)),IF(ISBLANK(INDEX('register map'!B:B,C634-4)),IF(ISBLANK(INDEX('register map'!B:B,C634-5)),IF(ISBLANK(INDEX('register map'!B:B,C634-6)),IF(ISBLANK(INDEX('register map'!B:B,C634-7)),IF(ISBLANK(INDEX('register map'!B:B,C634-8)),"ERROR",INDEX('register map'!B:B,C634-8)),INDEX('register map'!B:B,C634-7)),INDEX('register map'!B:B,C634-6)),INDEX('register map'!B:B,C634-5)),INDEX('register map'!B:B,C634-4)),INDEX('register map'!B:B,C634-3)),INDEX('register map'!B:B,C634-2)),INDEX('register map'!B:B,C634-1)),INDEX('register map'!B:B,C634))</f>
        <v>0x44</v>
      </c>
      <c r="G634" s="267" t="str">
        <f>CONCATENATE(IF(ISNUMBER(INDEX('register map'!D:D,C634)),7,""),IF(ISNUMBER(INDEX('register map'!E:E,C634)),6,""),IF(ISNUMBER(INDEX('register map'!F:F,C634)),5,""),IF(ISNUMBER(INDEX('register map'!G:G,C634)),4,""),IF(ISNUMBER(INDEX('register map'!H:H,C634)),3,""),IF(ISNUMBER(INDEX('register map'!I:I,C634)),2,""),IF(ISNUMBER(INDEX('register map'!J:J,C634)),1,""),IF(ISNUMBER(INDEX('register map'!K:K,C634)),0,""))</f>
        <v/>
      </c>
      <c r="H634" s="267" t="str">
        <f>RIGHT(INDEX('register map'!V:V,MATCH('Logical Group Generator'!B634,'register map'!L:L,0)),LEN(G634))</f>
        <v/>
      </c>
      <c r="I634" s="267" t="str">
        <f>CONCATENATE(IF(ISNUMBER(INDEX('register map'!K:K,C634)),0,""),IF(ISNUMBER(INDEX('register map'!J:J,C634)),1,""),IF(ISNUMBER(INDEX('register map'!I:I,C634)),2,""),IF(ISNUMBER(INDEX('register map'!H:H,C634)),3,""),IF(ISNUMBER(INDEX('register map'!G:G,C634)),4,""),IF(ISNUMBER(INDEX('register map'!F:F,C634)),5,""),IF(ISNUMBER(INDEX('register map'!E:E,C634)),6,""),IF(ISNUMBER(INDEX('register map'!D:D,C634)),7,""))</f>
        <v/>
      </c>
      <c r="J634" s="267" t="str">
        <f t="shared" si="106"/>
        <v/>
      </c>
      <c r="K634" s="267" t="str">
        <f t="shared" si="99"/>
        <v>10100000</v>
      </c>
      <c r="L634" s="267" t="str">
        <f t="shared" si="107"/>
        <v>00000101</v>
      </c>
      <c r="M634" s="267" t="str">
        <f t="shared" si="109"/>
        <v>05</v>
      </c>
      <c r="N634" s="267" t="str">
        <f>IF(ISBLANK(INDEX('register map'!M:M,'Logical Group Generator'!C634)),"No","Yes")</f>
        <v>No</v>
      </c>
      <c r="O634" s="267" t="str">
        <f>IF(NOT(ISBLANK(INDEX('register map'!N:N,'Logical Group Generator'!C634))),"Yes","")</f>
        <v/>
      </c>
      <c r="P634" s="267" t="s">
        <v>618</v>
      </c>
      <c r="Q634" s="267" t="str">
        <f t="shared" si="101"/>
        <v>No</v>
      </c>
      <c r="R634" s="267" t="str">
        <f t="shared" si="102"/>
        <v>No</v>
      </c>
      <c r="S634" s="267" t="str">
        <f t="shared" si="103"/>
        <v/>
      </c>
      <c r="T634" s="267" t="b">
        <f t="shared" si="104"/>
        <v>1</v>
      </c>
      <c r="U634" s="267" t="b">
        <f t="shared" si="108"/>
        <v>1</v>
      </c>
      <c r="V634" s="267" t="b">
        <f>INDEX('register map'!P:P,C634)="yes"</f>
        <v>1</v>
      </c>
      <c r="W634" s="267" t="str">
        <f t="shared" si="105"/>
        <v>REGISTER</v>
      </c>
    </row>
    <row r="635" spans="2:23" s="267" customFormat="1">
      <c r="B635" s="267" t="str">
        <f t="array" ref="B635">IF(ROWS($3:635)&lt;=COUNTA('register map'!$L$5:$L$902),INDEX('register map'!$L$5:$L$902,SMALL(IF('register map'!$L$5:$L$902&lt;&gt;"",ROW('register map'!$L$5:$L$902)-MIN(ROW('register map'!$L$5:$L$902))+1),ROWS($3:635))),"")</f>
        <v>OTP_RSVD_38_44_10</v>
      </c>
      <c r="C635" s="267">
        <f>IF(B635="PART_NUMBER",IF(COUNTIF($B$1:B634,"PART_NUMBER")=0,6,8),MATCH(B635,'register map'!L:L,0))</f>
        <v>766</v>
      </c>
      <c r="D635" s="267" t="str">
        <f>IF(ISBLANK(INDEX('register map'!C:C,'Logical Group Generator'!C635)),"No","Yes")</f>
        <v>No</v>
      </c>
      <c r="E635" s="267" t="str">
        <f>IF(ISBLANK(INDEX('register map'!A:A,C635)),IF(ISBLANK(INDEX('register map'!A:A,C635-1)),IF(ISBLANK(INDEX('register map'!A:A,C635-2)),IF(ISBLANK(INDEX('register map'!A:A,C635-3)),IF(ISBLANK(INDEX('register map'!A:A,C635-4)),IF(ISBLANK(INDEX('register map'!A:A,C635-5)),IF(ISBLANK(INDEX('register map'!A:A,C635-6)),IF(ISBLANK(INDEX('register map'!A:A,C635-7)),IF(ISBLANK(INDEX('register map'!A:A,C635-8)),"ERROR",INDEX('register map'!A:A,C635-8)),INDEX('register map'!A:A,C635-7)),INDEX('register map'!A:A,C635-6)),INDEX('register map'!A:A,C635-5)),INDEX('register map'!A:A,C635-4)),INDEX('register map'!A:A,C635-3)),INDEX('register map'!A:A,C635-2)),INDEX('register map'!A:A,C635-1)),INDEX('register map'!A:A,C635))</f>
        <v>0x38</v>
      </c>
      <c r="F635" s="267" t="str">
        <f>IF(ISBLANK(INDEX('register map'!B:B,C635)),IF(ISBLANK(INDEX('register map'!B:B,C635-1)),IF(ISBLANK(INDEX('register map'!B:B,C635-2)),IF(ISBLANK(INDEX('register map'!B:B,C635-3)),IF(ISBLANK(INDEX('register map'!B:B,C635-4)),IF(ISBLANK(INDEX('register map'!B:B,C635-5)),IF(ISBLANK(INDEX('register map'!B:B,C635-6)),IF(ISBLANK(INDEX('register map'!B:B,C635-7)),IF(ISBLANK(INDEX('register map'!B:B,C635-8)),"ERROR",INDEX('register map'!B:B,C635-8)),INDEX('register map'!B:B,C635-7)),INDEX('register map'!B:B,C635-6)),INDEX('register map'!B:B,C635-5)),INDEX('register map'!B:B,C635-4)),INDEX('register map'!B:B,C635-3)),INDEX('register map'!B:B,C635-2)),INDEX('register map'!B:B,C635-1)),INDEX('register map'!B:B,C635))</f>
        <v>0x44</v>
      </c>
      <c r="G635" s="267" t="str">
        <f>CONCATENATE(IF(ISNUMBER(INDEX('register map'!D:D,C635)),7,""),IF(ISNUMBER(INDEX('register map'!E:E,C635)),6,""),IF(ISNUMBER(INDEX('register map'!F:F,C635)),5,""),IF(ISNUMBER(INDEX('register map'!G:G,C635)),4,""),IF(ISNUMBER(INDEX('register map'!H:H,C635)),3,""),IF(ISNUMBER(INDEX('register map'!I:I,C635)),2,""),IF(ISNUMBER(INDEX('register map'!J:J,C635)),1,""),IF(ISNUMBER(INDEX('register map'!K:K,C635)),0,""))</f>
        <v>10</v>
      </c>
      <c r="H635" s="267" t="str">
        <f>RIGHT(INDEX('register map'!V:V,MATCH('Logical Group Generator'!B635,'register map'!L:L,0)),LEN(G635))</f>
        <v>01</v>
      </c>
      <c r="I635" s="267" t="str">
        <f>CONCATENATE(IF(ISNUMBER(INDEX('register map'!K:K,C635)),0,""),IF(ISNUMBER(INDEX('register map'!J:J,C635)),1,""),IF(ISNUMBER(INDEX('register map'!I:I,C635)),2,""),IF(ISNUMBER(INDEX('register map'!H:H,C635)),3,""),IF(ISNUMBER(INDEX('register map'!G:G,C635)),4,""),IF(ISNUMBER(INDEX('register map'!F:F,C635)),5,""),IF(ISNUMBER(INDEX('register map'!E:E,C635)),6,""),IF(ISNUMBER(INDEX('register map'!D:D,C635)),7,""))</f>
        <v>01</v>
      </c>
      <c r="J635" s="267" t="str">
        <f t="shared" si="106"/>
        <v>10</v>
      </c>
      <c r="K635" s="267" t="str">
        <f t="shared" si="99"/>
        <v/>
      </c>
      <c r="L635" s="267" t="str">
        <f t="shared" si="107"/>
        <v/>
      </c>
      <c r="M635" s="267" t="str">
        <f t="shared" si="109"/>
        <v/>
      </c>
      <c r="N635" s="267" t="str">
        <f>IF(ISBLANK(INDEX('register map'!M:M,'Logical Group Generator'!C635)),"No","Yes")</f>
        <v>Yes</v>
      </c>
      <c r="O635" s="267" t="str">
        <f>IF(NOT(ISBLANK(INDEX('register map'!N:N,'Logical Group Generator'!C635))),"Yes","")</f>
        <v/>
      </c>
      <c r="P635" s="267" t="str">
        <f t="shared" si="100"/>
        <v/>
      </c>
      <c r="Q635" s="267" t="str">
        <f t="shared" si="101"/>
        <v/>
      </c>
      <c r="R635" s="267" t="str">
        <f t="shared" si="102"/>
        <v/>
      </c>
      <c r="S635" s="267" t="str">
        <f t="shared" si="103"/>
        <v>No</v>
      </c>
      <c r="T635" s="267" t="str">
        <f t="shared" si="104"/>
        <v/>
      </c>
      <c r="U635" s="267" t="b">
        <f t="shared" si="108"/>
        <v>0</v>
      </c>
      <c r="V635" s="267" t="b">
        <f>INDEX('register map'!P:P,C635)="yes"</f>
        <v>1</v>
      </c>
      <c r="W635" s="267" t="str">
        <f t="shared" si="105"/>
        <v>FALSE</v>
      </c>
    </row>
    <row r="636" spans="2:23" s="267" customFormat="1">
      <c r="B636" s="267" t="str">
        <f t="array" ref="B636">IF(ROWS($3:636)&lt;=COUNTA('register map'!$L$5:$L$902),INDEX('register map'!$L$5:$L$902,SMALL(IF('register map'!$L$5:$L$902&lt;&gt;"",ROW('register map'!$L$5:$L$902)-MIN(ROW('register map'!$L$5:$L$902))+1),ROWS($3:636))),"")</f>
        <v>OTP_RSVD_38_44_2</v>
      </c>
      <c r="C636" s="267">
        <f>IF(B636="PART_NUMBER",IF(COUNTIF($B$1:B635,"PART_NUMBER")=0,6,8),MATCH(B636,'register map'!L:L,0))</f>
        <v>767</v>
      </c>
      <c r="D636" s="267" t="str">
        <f>IF(ISBLANK(INDEX('register map'!C:C,'Logical Group Generator'!C636)),"No","Yes")</f>
        <v>No</v>
      </c>
      <c r="E636" s="267" t="str">
        <f>IF(ISBLANK(INDEX('register map'!A:A,C636)),IF(ISBLANK(INDEX('register map'!A:A,C636-1)),IF(ISBLANK(INDEX('register map'!A:A,C636-2)),IF(ISBLANK(INDEX('register map'!A:A,C636-3)),IF(ISBLANK(INDEX('register map'!A:A,C636-4)),IF(ISBLANK(INDEX('register map'!A:A,C636-5)),IF(ISBLANK(INDEX('register map'!A:A,C636-6)),IF(ISBLANK(INDEX('register map'!A:A,C636-7)),IF(ISBLANK(INDEX('register map'!A:A,C636-8)),"ERROR",INDEX('register map'!A:A,C636-8)),INDEX('register map'!A:A,C636-7)),INDEX('register map'!A:A,C636-6)),INDEX('register map'!A:A,C636-5)),INDEX('register map'!A:A,C636-4)),INDEX('register map'!A:A,C636-3)),INDEX('register map'!A:A,C636-2)),INDEX('register map'!A:A,C636-1)),INDEX('register map'!A:A,C636))</f>
        <v>0x38</v>
      </c>
      <c r="F636" s="267" t="str">
        <f>IF(ISBLANK(INDEX('register map'!B:B,C636)),IF(ISBLANK(INDEX('register map'!B:B,C636-1)),IF(ISBLANK(INDEX('register map'!B:B,C636-2)),IF(ISBLANK(INDEX('register map'!B:B,C636-3)),IF(ISBLANK(INDEX('register map'!B:B,C636-4)),IF(ISBLANK(INDEX('register map'!B:B,C636-5)),IF(ISBLANK(INDEX('register map'!B:B,C636-6)),IF(ISBLANK(INDEX('register map'!B:B,C636-7)),IF(ISBLANK(INDEX('register map'!B:B,C636-8)),"ERROR",INDEX('register map'!B:B,C636-8)),INDEX('register map'!B:B,C636-7)),INDEX('register map'!B:B,C636-6)),INDEX('register map'!B:B,C636-5)),INDEX('register map'!B:B,C636-4)),INDEX('register map'!B:B,C636-3)),INDEX('register map'!B:B,C636-2)),INDEX('register map'!B:B,C636-1)),INDEX('register map'!B:B,C636))</f>
        <v>0x44</v>
      </c>
      <c r="G636" s="267" t="str">
        <f>CONCATENATE(IF(ISNUMBER(INDEX('register map'!D:D,C636)),7,""),IF(ISNUMBER(INDEX('register map'!E:E,C636)),6,""),IF(ISNUMBER(INDEX('register map'!F:F,C636)),5,""),IF(ISNUMBER(INDEX('register map'!G:G,C636)),4,""),IF(ISNUMBER(INDEX('register map'!H:H,C636)),3,""),IF(ISNUMBER(INDEX('register map'!I:I,C636)),2,""),IF(ISNUMBER(INDEX('register map'!J:J,C636)),1,""),IF(ISNUMBER(INDEX('register map'!K:K,C636)),0,""))</f>
        <v>2</v>
      </c>
      <c r="H636" s="267" t="str">
        <f>RIGHT(INDEX('register map'!V:V,MATCH('Logical Group Generator'!B636,'register map'!L:L,0)),LEN(G636))</f>
        <v>1</v>
      </c>
      <c r="I636" s="267" t="str">
        <f>CONCATENATE(IF(ISNUMBER(INDEX('register map'!K:K,C636)),0,""),IF(ISNUMBER(INDEX('register map'!J:J,C636)),1,""),IF(ISNUMBER(INDEX('register map'!I:I,C636)),2,""),IF(ISNUMBER(INDEX('register map'!H:H,C636)),3,""),IF(ISNUMBER(INDEX('register map'!G:G,C636)),4,""),IF(ISNUMBER(INDEX('register map'!F:F,C636)),5,""),IF(ISNUMBER(INDEX('register map'!E:E,C636)),6,""),IF(ISNUMBER(INDEX('register map'!D:D,C636)),7,""))</f>
        <v>2</v>
      </c>
      <c r="J636" s="267" t="str">
        <f t="shared" si="106"/>
        <v>1</v>
      </c>
      <c r="K636" s="267" t="str">
        <f t="shared" si="99"/>
        <v/>
      </c>
      <c r="L636" s="267" t="str">
        <f t="shared" si="107"/>
        <v/>
      </c>
      <c r="M636" s="267" t="str">
        <f t="shared" si="109"/>
        <v/>
      </c>
      <c r="N636" s="267" t="str">
        <f>IF(ISBLANK(INDEX('register map'!M:M,'Logical Group Generator'!C636)),"No","Yes")</f>
        <v>No</v>
      </c>
      <c r="O636" s="267" t="str">
        <f>IF(NOT(ISBLANK(INDEX('register map'!N:N,'Logical Group Generator'!C636))),"Yes","")</f>
        <v/>
      </c>
      <c r="P636" s="267" t="str">
        <f t="shared" si="100"/>
        <v/>
      </c>
      <c r="Q636" s="267" t="str">
        <f t="shared" si="101"/>
        <v/>
      </c>
      <c r="R636" s="267" t="str">
        <f t="shared" si="102"/>
        <v/>
      </c>
      <c r="S636" s="267" t="str">
        <f t="shared" si="103"/>
        <v>No</v>
      </c>
      <c r="T636" s="267" t="str">
        <f t="shared" si="104"/>
        <v/>
      </c>
      <c r="U636" s="267" t="b">
        <f t="shared" si="108"/>
        <v>0</v>
      </c>
      <c r="V636" s="267" t="b">
        <f>INDEX('register map'!P:P,C636)="yes"</f>
        <v>1</v>
      </c>
      <c r="W636" s="267" t="str">
        <f t="shared" si="105"/>
        <v>FALSE</v>
      </c>
    </row>
    <row r="637" spans="2:23" s="267" customFormat="1">
      <c r="B637" s="267" t="str">
        <f t="array" ref="B637">IF(ROWS($3:637)&lt;=COUNTA('register map'!$L$5:$L$902),INDEX('register map'!$L$5:$L$902,SMALL(IF('register map'!$L$5:$L$902&lt;&gt;"",ROW('register map'!$L$5:$L$902)-MIN(ROW('register map'!$L$5:$L$902))+1),ROWS($3:637))),"")</f>
        <v>OTP_RSVD_38_44_3</v>
      </c>
      <c r="C637" s="267">
        <f>IF(B637="PART_NUMBER",IF(COUNTIF($B$1:B636,"PART_NUMBER")=0,6,8),MATCH(B637,'register map'!L:L,0))</f>
        <v>768</v>
      </c>
      <c r="D637" s="267" t="str">
        <f>IF(ISBLANK(INDEX('register map'!C:C,'Logical Group Generator'!C637)),"No","Yes")</f>
        <v>No</v>
      </c>
      <c r="E637" s="267" t="str">
        <f>IF(ISBLANK(INDEX('register map'!A:A,C637)),IF(ISBLANK(INDEX('register map'!A:A,C637-1)),IF(ISBLANK(INDEX('register map'!A:A,C637-2)),IF(ISBLANK(INDEX('register map'!A:A,C637-3)),IF(ISBLANK(INDEX('register map'!A:A,C637-4)),IF(ISBLANK(INDEX('register map'!A:A,C637-5)),IF(ISBLANK(INDEX('register map'!A:A,C637-6)),IF(ISBLANK(INDEX('register map'!A:A,C637-7)),IF(ISBLANK(INDEX('register map'!A:A,C637-8)),"ERROR",INDEX('register map'!A:A,C637-8)),INDEX('register map'!A:A,C637-7)),INDEX('register map'!A:A,C637-6)),INDEX('register map'!A:A,C637-5)),INDEX('register map'!A:A,C637-4)),INDEX('register map'!A:A,C637-3)),INDEX('register map'!A:A,C637-2)),INDEX('register map'!A:A,C637-1)),INDEX('register map'!A:A,C637))</f>
        <v>0x38</v>
      </c>
      <c r="F637" s="267" t="str">
        <f>IF(ISBLANK(INDEX('register map'!B:B,C637)),IF(ISBLANK(INDEX('register map'!B:B,C637-1)),IF(ISBLANK(INDEX('register map'!B:B,C637-2)),IF(ISBLANK(INDEX('register map'!B:B,C637-3)),IF(ISBLANK(INDEX('register map'!B:B,C637-4)),IF(ISBLANK(INDEX('register map'!B:B,C637-5)),IF(ISBLANK(INDEX('register map'!B:B,C637-6)),IF(ISBLANK(INDEX('register map'!B:B,C637-7)),IF(ISBLANK(INDEX('register map'!B:B,C637-8)),"ERROR",INDEX('register map'!B:B,C637-8)),INDEX('register map'!B:B,C637-7)),INDEX('register map'!B:B,C637-6)),INDEX('register map'!B:B,C637-5)),INDEX('register map'!B:B,C637-4)),INDEX('register map'!B:B,C637-3)),INDEX('register map'!B:B,C637-2)),INDEX('register map'!B:B,C637-1)),INDEX('register map'!B:B,C637))</f>
        <v>0x44</v>
      </c>
      <c r="G637" s="267" t="str">
        <f>CONCATENATE(IF(ISNUMBER(INDEX('register map'!D:D,C637)),7,""),IF(ISNUMBER(INDEX('register map'!E:E,C637)),6,""),IF(ISNUMBER(INDEX('register map'!F:F,C637)),5,""),IF(ISNUMBER(INDEX('register map'!G:G,C637)),4,""),IF(ISNUMBER(INDEX('register map'!H:H,C637)),3,""),IF(ISNUMBER(INDEX('register map'!I:I,C637)),2,""),IF(ISNUMBER(INDEX('register map'!J:J,C637)),1,""),IF(ISNUMBER(INDEX('register map'!K:K,C637)),0,""))</f>
        <v>3</v>
      </c>
      <c r="H637" s="267" t="str">
        <f>RIGHT(INDEX('register map'!V:V,MATCH('Logical Group Generator'!B637,'register map'!L:L,0)),LEN(G637))</f>
        <v>0</v>
      </c>
      <c r="I637" s="267" t="str">
        <f>CONCATENATE(IF(ISNUMBER(INDEX('register map'!K:K,C637)),0,""),IF(ISNUMBER(INDEX('register map'!J:J,C637)),1,""),IF(ISNUMBER(INDEX('register map'!I:I,C637)),2,""),IF(ISNUMBER(INDEX('register map'!H:H,C637)),3,""),IF(ISNUMBER(INDEX('register map'!G:G,C637)),4,""),IF(ISNUMBER(INDEX('register map'!F:F,C637)),5,""),IF(ISNUMBER(INDEX('register map'!E:E,C637)),6,""),IF(ISNUMBER(INDEX('register map'!D:D,C637)),7,""))</f>
        <v>3</v>
      </c>
      <c r="J637" s="267" t="str">
        <f t="shared" si="106"/>
        <v>0</v>
      </c>
      <c r="K637" s="267" t="str">
        <f t="shared" si="99"/>
        <v/>
      </c>
      <c r="L637" s="267" t="str">
        <f t="shared" si="107"/>
        <v/>
      </c>
      <c r="M637" s="267" t="str">
        <f t="shared" si="109"/>
        <v/>
      </c>
      <c r="N637" s="267" t="str">
        <f>IF(ISBLANK(INDEX('register map'!M:M,'Logical Group Generator'!C637)),"No","Yes")</f>
        <v>No</v>
      </c>
      <c r="O637" s="267" t="str">
        <f>IF(NOT(ISBLANK(INDEX('register map'!N:N,'Logical Group Generator'!C637))),"Yes","")</f>
        <v>Yes</v>
      </c>
      <c r="P637" s="267" t="str">
        <f t="shared" si="100"/>
        <v/>
      </c>
      <c r="Q637" s="267" t="str">
        <f t="shared" si="101"/>
        <v/>
      </c>
      <c r="R637" s="267" t="str">
        <f t="shared" si="102"/>
        <v/>
      </c>
      <c r="S637" s="267" t="str">
        <f t="shared" si="103"/>
        <v>No</v>
      </c>
      <c r="T637" s="267" t="str">
        <f t="shared" si="104"/>
        <v/>
      </c>
      <c r="U637" s="267" t="b">
        <f t="shared" si="108"/>
        <v>0</v>
      </c>
      <c r="V637" s="267" t="b">
        <f>INDEX('register map'!P:P,C637)="yes"</f>
        <v>1</v>
      </c>
      <c r="W637" s="267" t="str">
        <f t="shared" si="105"/>
        <v>FALSE</v>
      </c>
    </row>
    <row r="638" spans="2:23" s="267" customFormat="1">
      <c r="B638" s="267" t="str">
        <f t="array" ref="B638">IF(ROWS($3:638)&lt;=COUNTA('register map'!$L$5:$L$902),INDEX('register map'!$L$5:$L$902,SMALL(IF('register map'!$L$5:$L$902&lt;&gt;"",ROW('register map'!$L$5:$L$902)-MIN(ROW('register map'!$L$5:$L$902))+1),ROWS($3:638))),"")</f>
        <v>OTP_RSVD_38_44_4</v>
      </c>
      <c r="C638" s="267">
        <f>IF(B638="PART_NUMBER",IF(COUNTIF($B$1:B637,"PART_NUMBER")=0,6,8),MATCH(B638,'register map'!L:L,0))</f>
        <v>769</v>
      </c>
      <c r="D638" s="267" t="str">
        <f>IF(ISBLANK(INDEX('register map'!C:C,'Logical Group Generator'!C638)),"No","Yes")</f>
        <v>No</v>
      </c>
      <c r="E638" s="267" t="str">
        <f>IF(ISBLANK(INDEX('register map'!A:A,C638)),IF(ISBLANK(INDEX('register map'!A:A,C638-1)),IF(ISBLANK(INDEX('register map'!A:A,C638-2)),IF(ISBLANK(INDEX('register map'!A:A,C638-3)),IF(ISBLANK(INDEX('register map'!A:A,C638-4)),IF(ISBLANK(INDEX('register map'!A:A,C638-5)),IF(ISBLANK(INDEX('register map'!A:A,C638-6)),IF(ISBLANK(INDEX('register map'!A:A,C638-7)),IF(ISBLANK(INDEX('register map'!A:A,C638-8)),"ERROR",INDEX('register map'!A:A,C638-8)),INDEX('register map'!A:A,C638-7)),INDEX('register map'!A:A,C638-6)),INDEX('register map'!A:A,C638-5)),INDEX('register map'!A:A,C638-4)),INDEX('register map'!A:A,C638-3)),INDEX('register map'!A:A,C638-2)),INDEX('register map'!A:A,C638-1)),INDEX('register map'!A:A,C638))</f>
        <v>0x38</v>
      </c>
      <c r="F638" s="267" t="str">
        <f>IF(ISBLANK(INDEX('register map'!B:B,C638)),IF(ISBLANK(INDEX('register map'!B:B,C638-1)),IF(ISBLANK(INDEX('register map'!B:B,C638-2)),IF(ISBLANK(INDEX('register map'!B:B,C638-3)),IF(ISBLANK(INDEX('register map'!B:B,C638-4)),IF(ISBLANK(INDEX('register map'!B:B,C638-5)),IF(ISBLANK(INDEX('register map'!B:B,C638-6)),IF(ISBLANK(INDEX('register map'!B:B,C638-7)),IF(ISBLANK(INDEX('register map'!B:B,C638-8)),"ERROR",INDEX('register map'!B:B,C638-8)),INDEX('register map'!B:B,C638-7)),INDEX('register map'!B:B,C638-6)),INDEX('register map'!B:B,C638-5)),INDEX('register map'!B:B,C638-4)),INDEX('register map'!B:B,C638-3)),INDEX('register map'!B:B,C638-2)),INDEX('register map'!B:B,C638-1)),INDEX('register map'!B:B,C638))</f>
        <v>0x44</v>
      </c>
      <c r="G638" s="267" t="str">
        <f>CONCATENATE(IF(ISNUMBER(INDEX('register map'!D:D,C638)),7,""),IF(ISNUMBER(INDEX('register map'!E:E,C638)),6,""),IF(ISNUMBER(INDEX('register map'!F:F,C638)),5,""),IF(ISNUMBER(INDEX('register map'!G:G,C638)),4,""),IF(ISNUMBER(INDEX('register map'!H:H,C638)),3,""),IF(ISNUMBER(INDEX('register map'!I:I,C638)),2,""),IF(ISNUMBER(INDEX('register map'!J:J,C638)),1,""),IF(ISNUMBER(INDEX('register map'!K:K,C638)),0,""))</f>
        <v>4</v>
      </c>
      <c r="H638" s="267" t="str">
        <f>RIGHT(INDEX('register map'!V:V,MATCH('Logical Group Generator'!B638,'register map'!L:L,0)),LEN(G638))</f>
        <v>0</v>
      </c>
      <c r="I638" s="267" t="str">
        <f>CONCATENATE(IF(ISNUMBER(INDEX('register map'!K:K,C638)),0,""),IF(ISNUMBER(INDEX('register map'!J:J,C638)),1,""),IF(ISNUMBER(INDEX('register map'!I:I,C638)),2,""),IF(ISNUMBER(INDEX('register map'!H:H,C638)),3,""),IF(ISNUMBER(INDEX('register map'!G:G,C638)),4,""),IF(ISNUMBER(INDEX('register map'!F:F,C638)),5,""),IF(ISNUMBER(INDEX('register map'!E:E,C638)),6,""),IF(ISNUMBER(INDEX('register map'!D:D,C638)),7,""))</f>
        <v>4</v>
      </c>
      <c r="J638" s="267" t="str">
        <f t="shared" si="106"/>
        <v>0</v>
      </c>
      <c r="K638" s="267" t="str">
        <f t="shared" si="99"/>
        <v/>
      </c>
      <c r="L638" s="267" t="str">
        <f t="shared" si="107"/>
        <v/>
      </c>
      <c r="M638" s="267" t="str">
        <f t="shared" si="109"/>
        <v/>
      </c>
      <c r="N638" s="267" t="str">
        <f>IF(ISBLANK(INDEX('register map'!M:M,'Logical Group Generator'!C638)),"No","Yes")</f>
        <v>No</v>
      </c>
      <c r="O638" s="267" t="str">
        <f>IF(NOT(ISBLANK(INDEX('register map'!N:N,'Logical Group Generator'!C638))),"Yes","")</f>
        <v>Yes</v>
      </c>
      <c r="P638" s="267" t="str">
        <f t="shared" si="100"/>
        <v/>
      </c>
      <c r="Q638" s="267" t="str">
        <f t="shared" si="101"/>
        <v/>
      </c>
      <c r="R638" s="267" t="str">
        <f t="shared" si="102"/>
        <v/>
      </c>
      <c r="S638" s="267" t="str">
        <f t="shared" si="103"/>
        <v>No</v>
      </c>
      <c r="T638" s="267" t="str">
        <f t="shared" si="104"/>
        <v/>
      </c>
      <c r="U638" s="267" t="b">
        <f t="shared" si="108"/>
        <v>0</v>
      </c>
      <c r="V638" s="267" t="b">
        <f>INDEX('register map'!P:P,C638)="yes"</f>
        <v>1</v>
      </c>
      <c r="W638" s="267" t="str">
        <f t="shared" si="105"/>
        <v>FALSE</v>
      </c>
    </row>
    <row r="639" spans="2:23" s="267" customFormat="1">
      <c r="B639" s="267" t="str">
        <f t="array" ref="B639">IF(ROWS($3:639)&lt;=COUNTA('register map'!$L$5:$L$902),INDEX('register map'!$L$5:$L$902,SMALL(IF('register map'!$L$5:$L$902&lt;&gt;"",ROW('register map'!$L$5:$L$902)-MIN(ROW('register map'!$L$5:$L$902))+1),ROWS($3:639))),"")</f>
        <v>OTP_RSVD_38_44_5</v>
      </c>
      <c r="C639" s="267">
        <f>IF(B639="PART_NUMBER",IF(COUNTIF($B$1:B638,"PART_NUMBER")=0,6,8),MATCH(B639,'register map'!L:L,0))</f>
        <v>770</v>
      </c>
      <c r="D639" s="267" t="str">
        <f>IF(ISBLANK(INDEX('register map'!C:C,'Logical Group Generator'!C639)),"No","Yes")</f>
        <v>No</v>
      </c>
      <c r="E639" s="267" t="str">
        <f>IF(ISBLANK(INDEX('register map'!A:A,C639)),IF(ISBLANK(INDEX('register map'!A:A,C639-1)),IF(ISBLANK(INDEX('register map'!A:A,C639-2)),IF(ISBLANK(INDEX('register map'!A:A,C639-3)),IF(ISBLANK(INDEX('register map'!A:A,C639-4)),IF(ISBLANK(INDEX('register map'!A:A,C639-5)),IF(ISBLANK(INDEX('register map'!A:A,C639-6)),IF(ISBLANK(INDEX('register map'!A:A,C639-7)),IF(ISBLANK(INDEX('register map'!A:A,C639-8)),"ERROR",INDEX('register map'!A:A,C639-8)),INDEX('register map'!A:A,C639-7)),INDEX('register map'!A:A,C639-6)),INDEX('register map'!A:A,C639-5)),INDEX('register map'!A:A,C639-4)),INDEX('register map'!A:A,C639-3)),INDEX('register map'!A:A,C639-2)),INDEX('register map'!A:A,C639-1)),INDEX('register map'!A:A,C639))</f>
        <v>0x38</v>
      </c>
      <c r="F639" s="267" t="str">
        <f>IF(ISBLANK(INDEX('register map'!B:B,C639)),IF(ISBLANK(INDEX('register map'!B:B,C639-1)),IF(ISBLANK(INDEX('register map'!B:B,C639-2)),IF(ISBLANK(INDEX('register map'!B:B,C639-3)),IF(ISBLANK(INDEX('register map'!B:B,C639-4)),IF(ISBLANK(INDEX('register map'!B:B,C639-5)),IF(ISBLANK(INDEX('register map'!B:B,C639-6)),IF(ISBLANK(INDEX('register map'!B:B,C639-7)),IF(ISBLANK(INDEX('register map'!B:B,C639-8)),"ERROR",INDEX('register map'!B:B,C639-8)),INDEX('register map'!B:B,C639-7)),INDEX('register map'!B:B,C639-6)),INDEX('register map'!B:B,C639-5)),INDEX('register map'!B:B,C639-4)),INDEX('register map'!B:B,C639-3)),INDEX('register map'!B:B,C639-2)),INDEX('register map'!B:B,C639-1)),INDEX('register map'!B:B,C639))</f>
        <v>0x44</v>
      </c>
      <c r="G639" s="267" t="str">
        <f>CONCATENATE(IF(ISNUMBER(INDEX('register map'!D:D,C639)),7,""),IF(ISNUMBER(INDEX('register map'!E:E,C639)),6,""),IF(ISNUMBER(INDEX('register map'!F:F,C639)),5,""),IF(ISNUMBER(INDEX('register map'!G:G,C639)),4,""),IF(ISNUMBER(INDEX('register map'!H:H,C639)),3,""),IF(ISNUMBER(INDEX('register map'!I:I,C639)),2,""),IF(ISNUMBER(INDEX('register map'!J:J,C639)),1,""),IF(ISNUMBER(INDEX('register map'!K:K,C639)),0,""))</f>
        <v>5</v>
      </c>
      <c r="H639" s="267" t="str">
        <f>RIGHT(INDEX('register map'!V:V,MATCH('Logical Group Generator'!B639,'register map'!L:L,0)),LEN(G639))</f>
        <v>0</v>
      </c>
      <c r="I639" s="267" t="str">
        <f>CONCATENATE(IF(ISNUMBER(INDEX('register map'!K:K,C639)),0,""),IF(ISNUMBER(INDEX('register map'!J:J,C639)),1,""),IF(ISNUMBER(INDEX('register map'!I:I,C639)),2,""),IF(ISNUMBER(INDEX('register map'!H:H,C639)),3,""),IF(ISNUMBER(INDEX('register map'!G:G,C639)),4,""),IF(ISNUMBER(INDEX('register map'!F:F,C639)),5,""),IF(ISNUMBER(INDEX('register map'!E:E,C639)),6,""),IF(ISNUMBER(INDEX('register map'!D:D,C639)),7,""))</f>
        <v>5</v>
      </c>
      <c r="J639" s="267" t="str">
        <f t="shared" si="106"/>
        <v>0</v>
      </c>
      <c r="K639" s="267" t="str">
        <f t="shared" si="99"/>
        <v/>
      </c>
      <c r="L639" s="267" t="str">
        <f t="shared" si="107"/>
        <v/>
      </c>
      <c r="M639" s="267" t="str">
        <f t="shared" si="109"/>
        <v/>
      </c>
      <c r="N639" s="267" t="str">
        <f>IF(ISBLANK(INDEX('register map'!M:M,'Logical Group Generator'!C639)),"No","Yes")</f>
        <v>No</v>
      </c>
      <c r="O639" s="267" t="str">
        <f>IF(NOT(ISBLANK(INDEX('register map'!N:N,'Logical Group Generator'!C639))),"Yes","")</f>
        <v>Yes</v>
      </c>
      <c r="P639" s="267" t="str">
        <f t="shared" si="100"/>
        <v/>
      </c>
      <c r="Q639" s="267" t="str">
        <f t="shared" si="101"/>
        <v/>
      </c>
      <c r="R639" s="267" t="str">
        <f t="shared" si="102"/>
        <v/>
      </c>
      <c r="S639" s="267" t="str">
        <f t="shared" si="103"/>
        <v>No</v>
      </c>
      <c r="T639" s="267" t="str">
        <f t="shared" si="104"/>
        <v/>
      </c>
      <c r="U639" s="267" t="b">
        <f t="shared" si="108"/>
        <v>0</v>
      </c>
      <c r="V639" s="267" t="b">
        <f>INDEX('register map'!P:P,C639)="yes"</f>
        <v>1</v>
      </c>
      <c r="W639" s="267" t="str">
        <f t="shared" si="105"/>
        <v>FALSE</v>
      </c>
    </row>
    <row r="640" spans="2:23" s="267" customFormat="1">
      <c r="B640" s="267" t="str">
        <f t="array" ref="B640">IF(ROWS($3:640)&lt;=COUNTA('register map'!$L$5:$L$902),INDEX('register map'!$L$5:$L$902,SMALL(IF('register map'!$L$5:$L$902&lt;&gt;"",ROW('register map'!$L$5:$L$902)-MIN(ROW('register map'!$L$5:$L$902))+1),ROWS($3:640))),"")</f>
        <v>OTP_RSVD_38_44_6</v>
      </c>
      <c r="C640" s="267">
        <f>IF(B640="PART_NUMBER",IF(COUNTIF($B$1:B639,"PART_NUMBER")=0,6,8),MATCH(B640,'register map'!L:L,0))</f>
        <v>771</v>
      </c>
      <c r="D640" s="267" t="str">
        <f>IF(ISBLANK(INDEX('register map'!C:C,'Logical Group Generator'!C640)),"No","Yes")</f>
        <v>No</v>
      </c>
      <c r="E640" s="267" t="str">
        <f>IF(ISBLANK(INDEX('register map'!A:A,C640)),IF(ISBLANK(INDEX('register map'!A:A,C640-1)),IF(ISBLANK(INDEX('register map'!A:A,C640-2)),IF(ISBLANK(INDEX('register map'!A:A,C640-3)),IF(ISBLANK(INDEX('register map'!A:A,C640-4)),IF(ISBLANK(INDEX('register map'!A:A,C640-5)),IF(ISBLANK(INDEX('register map'!A:A,C640-6)),IF(ISBLANK(INDEX('register map'!A:A,C640-7)),IF(ISBLANK(INDEX('register map'!A:A,C640-8)),"ERROR",INDEX('register map'!A:A,C640-8)),INDEX('register map'!A:A,C640-7)),INDEX('register map'!A:A,C640-6)),INDEX('register map'!A:A,C640-5)),INDEX('register map'!A:A,C640-4)),INDEX('register map'!A:A,C640-3)),INDEX('register map'!A:A,C640-2)),INDEX('register map'!A:A,C640-1)),INDEX('register map'!A:A,C640))</f>
        <v>0x38</v>
      </c>
      <c r="F640" s="267" t="str">
        <f>IF(ISBLANK(INDEX('register map'!B:B,C640)),IF(ISBLANK(INDEX('register map'!B:B,C640-1)),IF(ISBLANK(INDEX('register map'!B:B,C640-2)),IF(ISBLANK(INDEX('register map'!B:B,C640-3)),IF(ISBLANK(INDEX('register map'!B:B,C640-4)),IF(ISBLANK(INDEX('register map'!B:B,C640-5)),IF(ISBLANK(INDEX('register map'!B:B,C640-6)),IF(ISBLANK(INDEX('register map'!B:B,C640-7)),IF(ISBLANK(INDEX('register map'!B:B,C640-8)),"ERROR",INDEX('register map'!B:B,C640-8)),INDEX('register map'!B:B,C640-7)),INDEX('register map'!B:B,C640-6)),INDEX('register map'!B:B,C640-5)),INDEX('register map'!B:B,C640-4)),INDEX('register map'!B:B,C640-3)),INDEX('register map'!B:B,C640-2)),INDEX('register map'!B:B,C640-1)),INDEX('register map'!B:B,C640))</f>
        <v>0x44</v>
      </c>
      <c r="G640" s="267" t="str">
        <f>CONCATENATE(IF(ISNUMBER(INDEX('register map'!D:D,C640)),7,""),IF(ISNUMBER(INDEX('register map'!E:E,C640)),6,""),IF(ISNUMBER(INDEX('register map'!F:F,C640)),5,""),IF(ISNUMBER(INDEX('register map'!G:G,C640)),4,""),IF(ISNUMBER(INDEX('register map'!H:H,C640)),3,""),IF(ISNUMBER(INDEX('register map'!I:I,C640)),2,""),IF(ISNUMBER(INDEX('register map'!J:J,C640)),1,""),IF(ISNUMBER(INDEX('register map'!K:K,C640)),0,""))</f>
        <v>6</v>
      </c>
      <c r="H640" s="267" t="str">
        <f>RIGHT(INDEX('register map'!V:V,MATCH('Logical Group Generator'!B640,'register map'!L:L,0)),LEN(G640))</f>
        <v>0</v>
      </c>
      <c r="I640" s="267" t="str">
        <f>CONCATENATE(IF(ISNUMBER(INDEX('register map'!K:K,C640)),0,""),IF(ISNUMBER(INDEX('register map'!J:J,C640)),1,""),IF(ISNUMBER(INDEX('register map'!I:I,C640)),2,""),IF(ISNUMBER(INDEX('register map'!H:H,C640)),3,""),IF(ISNUMBER(INDEX('register map'!G:G,C640)),4,""),IF(ISNUMBER(INDEX('register map'!F:F,C640)),5,""),IF(ISNUMBER(INDEX('register map'!E:E,C640)),6,""),IF(ISNUMBER(INDEX('register map'!D:D,C640)),7,""))</f>
        <v>6</v>
      </c>
      <c r="J640" s="267" t="str">
        <f t="shared" si="106"/>
        <v>0</v>
      </c>
      <c r="K640" s="267" t="str">
        <f t="shared" si="99"/>
        <v/>
      </c>
      <c r="L640" s="267" t="str">
        <f t="shared" si="107"/>
        <v/>
      </c>
      <c r="M640" s="267" t="str">
        <f t="shared" si="109"/>
        <v/>
      </c>
      <c r="N640" s="267" t="str">
        <f>IF(ISBLANK(INDEX('register map'!M:M,'Logical Group Generator'!C640)),"No","Yes")</f>
        <v>No</v>
      </c>
      <c r="O640" s="267" t="str">
        <f>IF(NOT(ISBLANK(INDEX('register map'!N:N,'Logical Group Generator'!C640))),"Yes","")</f>
        <v>Yes</v>
      </c>
      <c r="P640" s="267" t="str">
        <f t="shared" si="100"/>
        <v/>
      </c>
      <c r="Q640" s="267" t="str">
        <f t="shared" si="101"/>
        <v/>
      </c>
      <c r="R640" s="267" t="str">
        <f t="shared" si="102"/>
        <v/>
      </c>
      <c r="S640" s="267" t="str">
        <f t="shared" si="103"/>
        <v>No</v>
      </c>
      <c r="T640" s="267" t="str">
        <f t="shared" si="104"/>
        <v/>
      </c>
      <c r="U640" s="267" t="b">
        <f t="shared" si="108"/>
        <v>0</v>
      </c>
      <c r="V640" s="267" t="b">
        <f>INDEX('register map'!P:P,C640)="yes"</f>
        <v>1</v>
      </c>
      <c r="W640" s="267" t="str">
        <f t="shared" si="105"/>
        <v>FALSE</v>
      </c>
    </row>
    <row r="641" spans="2:23" s="267" customFormat="1">
      <c r="B641" s="267" t="str">
        <f t="array" ref="B641">IF(ROWS($3:641)&lt;=COUNTA('register map'!$L$5:$L$902),INDEX('register map'!$L$5:$L$902,SMALL(IF('register map'!$L$5:$L$902&lt;&gt;"",ROW('register map'!$L$5:$L$902)-MIN(ROW('register map'!$L$5:$L$902))+1),ROWS($3:641))),"")</f>
        <v>OTP_RSVD_38_44_7</v>
      </c>
      <c r="C641" s="267">
        <f>IF(B641="PART_NUMBER",IF(COUNTIF($B$1:B640,"PART_NUMBER")=0,6,8),MATCH(B641,'register map'!L:L,0))</f>
        <v>772</v>
      </c>
      <c r="D641" s="267" t="str">
        <f>IF(ISBLANK(INDEX('register map'!C:C,'Logical Group Generator'!C641)),"No","Yes")</f>
        <v>No</v>
      </c>
      <c r="E641" s="267" t="str">
        <f>IF(ISBLANK(INDEX('register map'!A:A,C641)),IF(ISBLANK(INDEX('register map'!A:A,C641-1)),IF(ISBLANK(INDEX('register map'!A:A,C641-2)),IF(ISBLANK(INDEX('register map'!A:A,C641-3)),IF(ISBLANK(INDEX('register map'!A:A,C641-4)),IF(ISBLANK(INDEX('register map'!A:A,C641-5)),IF(ISBLANK(INDEX('register map'!A:A,C641-6)),IF(ISBLANK(INDEX('register map'!A:A,C641-7)),IF(ISBLANK(INDEX('register map'!A:A,C641-8)),"ERROR",INDEX('register map'!A:A,C641-8)),INDEX('register map'!A:A,C641-7)),INDEX('register map'!A:A,C641-6)),INDEX('register map'!A:A,C641-5)),INDEX('register map'!A:A,C641-4)),INDEX('register map'!A:A,C641-3)),INDEX('register map'!A:A,C641-2)),INDEX('register map'!A:A,C641-1)),INDEX('register map'!A:A,C641))</f>
        <v>0x38</v>
      </c>
      <c r="F641" s="267" t="str">
        <f>IF(ISBLANK(INDEX('register map'!B:B,C641)),IF(ISBLANK(INDEX('register map'!B:B,C641-1)),IF(ISBLANK(INDEX('register map'!B:B,C641-2)),IF(ISBLANK(INDEX('register map'!B:B,C641-3)),IF(ISBLANK(INDEX('register map'!B:B,C641-4)),IF(ISBLANK(INDEX('register map'!B:B,C641-5)),IF(ISBLANK(INDEX('register map'!B:B,C641-6)),IF(ISBLANK(INDEX('register map'!B:B,C641-7)),IF(ISBLANK(INDEX('register map'!B:B,C641-8)),"ERROR",INDEX('register map'!B:B,C641-8)),INDEX('register map'!B:B,C641-7)),INDEX('register map'!B:B,C641-6)),INDEX('register map'!B:B,C641-5)),INDEX('register map'!B:B,C641-4)),INDEX('register map'!B:B,C641-3)),INDEX('register map'!B:B,C641-2)),INDEX('register map'!B:B,C641-1)),INDEX('register map'!B:B,C641))</f>
        <v>0x44</v>
      </c>
      <c r="G641" s="267" t="str">
        <f>CONCATENATE(IF(ISNUMBER(INDEX('register map'!D:D,C641)),7,""),IF(ISNUMBER(INDEX('register map'!E:E,C641)),6,""),IF(ISNUMBER(INDEX('register map'!F:F,C641)),5,""),IF(ISNUMBER(INDEX('register map'!G:G,C641)),4,""),IF(ISNUMBER(INDEX('register map'!H:H,C641)),3,""),IF(ISNUMBER(INDEX('register map'!I:I,C641)),2,""),IF(ISNUMBER(INDEX('register map'!J:J,C641)),1,""),IF(ISNUMBER(INDEX('register map'!K:K,C641)),0,""))</f>
        <v>7</v>
      </c>
      <c r="H641" s="267" t="str">
        <f>RIGHT(INDEX('register map'!V:V,MATCH('Logical Group Generator'!B641,'register map'!L:L,0)),LEN(G641))</f>
        <v>0</v>
      </c>
      <c r="I641" s="267" t="str">
        <f>CONCATENATE(IF(ISNUMBER(INDEX('register map'!K:K,C641)),0,""),IF(ISNUMBER(INDEX('register map'!J:J,C641)),1,""),IF(ISNUMBER(INDEX('register map'!I:I,C641)),2,""),IF(ISNUMBER(INDEX('register map'!H:H,C641)),3,""),IF(ISNUMBER(INDEX('register map'!G:G,C641)),4,""),IF(ISNUMBER(INDEX('register map'!F:F,C641)),5,""),IF(ISNUMBER(INDEX('register map'!E:E,C641)),6,""),IF(ISNUMBER(INDEX('register map'!D:D,C641)),7,""))</f>
        <v>7</v>
      </c>
      <c r="J641" s="267" t="str">
        <f t="shared" si="106"/>
        <v>0</v>
      </c>
      <c r="K641" s="267" t="str">
        <f t="shared" si="99"/>
        <v/>
      </c>
      <c r="L641" s="267" t="str">
        <f t="shared" si="107"/>
        <v/>
      </c>
      <c r="M641" s="267" t="str">
        <f t="shared" si="109"/>
        <v/>
      </c>
      <c r="N641" s="267" t="str">
        <f>IF(ISBLANK(INDEX('register map'!M:M,'Logical Group Generator'!C641)),"No","Yes")</f>
        <v>No</v>
      </c>
      <c r="O641" s="267" t="str">
        <f>IF(NOT(ISBLANK(INDEX('register map'!N:N,'Logical Group Generator'!C641))),"Yes","")</f>
        <v>Yes</v>
      </c>
      <c r="P641" s="267" t="str">
        <f t="shared" si="100"/>
        <v/>
      </c>
      <c r="Q641" s="267" t="str">
        <f t="shared" si="101"/>
        <v/>
      </c>
      <c r="R641" s="267" t="str">
        <f t="shared" si="102"/>
        <v/>
      </c>
      <c r="S641" s="267" t="str">
        <f t="shared" si="103"/>
        <v>No</v>
      </c>
      <c r="T641" s="267" t="str">
        <f t="shared" si="104"/>
        <v/>
      </c>
      <c r="U641" s="267" t="b">
        <f t="shared" si="108"/>
        <v>0</v>
      </c>
      <c r="V641" s="267" t="b">
        <f>INDEX('register map'!P:P,C641)="yes"</f>
        <v>1</v>
      </c>
      <c r="W641" s="267" t="str">
        <f t="shared" si="105"/>
        <v>FALSE</v>
      </c>
    </row>
    <row r="642" spans="2:23">
      <c r="B642" s="157" t="str">
        <f t="array" ref="B642">IF(ROWS($3:642)&lt;=COUNTA('register map'!$L$5:$L$902),INDEX('register map'!$L$5:$L$902,SMALL(IF('register map'!$L$5:$L$902&lt;&gt;"",ROW('register map'!$L$5:$L$902)-MIN(ROW('register map'!$L$5:$L$902))+1),ROWS($3:642))),"")</f>
        <v>OTP_RSVD_38_45</v>
      </c>
      <c r="C642" s="157">
        <f>IF(B642="PART_NUMBER",IF(COUNTIF($B$1:B641,"PART_NUMBER")=0,6,8),MATCH(B642,'register map'!L:L,0))</f>
        <v>773</v>
      </c>
      <c r="D642" s="117" t="str">
        <f>IF(ISBLANK(INDEX('register map'!C:C,'Logical Group Generator'!C642)),"No","Yes")</f>
        <v>Yes</v>
      </c>
      <c r="E642" s="117" t="str">
        <f>IF(ISBLANK(INDEX('register map'!A:A,C642)),IF(ISBLANK(INDEX('register map'!A:A,C642-1)),IF(ISBLANK(INDEX('register map'!A:A,C642-2)),IF(ISBLANK(INDEX('register map'!A:A,C642-3)),IF(ISBLANK(INDEX('register map'!A:A,C642-4)),IF(ISBLANK(INDEX('register map'!A:A,C642-5)),IF(ISBLANK(INDEX('register map'!A:A,C642-6)),IF(ISBLANK(INDEX('register map'!A:A,C642-7)),IF(ISBLANK(INDEX('register map'!A:A,C642-8)),"ERROR",INDEX('register map'!A:A,C642-8)),INDEX('register map'!A:A,C642-7)),INDEX('register map'!A:A,C642-6)),INDEX('register map'!A:A,C642-5)),INDEX('register map'!A:A,C642-4)),INDEX('register map'!A:A,C642-3)),INDEX('register map'!A:A,C642-2)),INDEX('register map'!A:A,C642-1)),INDEX('register map'!A:A,C642))</f>
        <v>0x38</v>
      </c>
      <c r="F642" s="117" t="str">
        <f>IF(ISBLANK(INDEX('register map'!B:B,C642)),IF(ISBLANK(INDEX('register map'!B:B,C642-1)),IF(ISBLANK(INDEX('register map'!B:B,C642-2)),IF(ISBLANK(INDEX('register map'!B:B,C642-3)),IF(ISBLANK(INDEX('register map'!B:B,C642-4)),IF(ISBLANK(INDEX('register map'!B:B,C642-5)),IF(ISBLANK(INDEX('register map'!B:B,C642-6)),IF(ISBLANK(INDEX('register map'!B:B,C642-7)),IF(ISBLANK(INDEX('register map'!B:B,C642-8)),"ERROR",INDEX('register map'!B:B,C642-8)),INDEX('register map'!B:B,C642-7)),INDEX('register map'!B:B,C642-6)),INDEX('register map'!B:B,C642-5)),INDEX('register map'!B:B,C642-4)),INDEX('register map'!B:B,C642-3)),INDEX('register map'!B:B,C642-2)),INDEX('register map'!B:B,C642-1)),INDEX('register map'!B:B,C642))</f>
        <v>0x45</v>
      </c>
      <c r="G642" s="117" t="str">
        <f>CONCATENATE(IF(ISNUMBER(INDEX('register map'!D:D,C642)),7,""),IF(ISNUMBER(INDEX('register map'!E:E,C642)),6,""),IF(ISNUMBER(INDEX('register map'!F:F,C642)),5,""),IF(ISNUMBER(INDEX('register map'!G:G,C642)),4,""),IF(ISNUMBER(INDEX('register map'!H:H,C642)),3,""),IF(ISNUMBER(INDEX('register map'!I:I,C642)),2,""),IF(ISNUMBER(INDEX('register map'!J:J,C642)),1,""),IF(ISNUMBER(INDEX('register map'!K:K,C642)),0,""))</f>
        <v/>
      </c>
      <c r="H642" s="117" t="str">
        <f>RIGHT(INDEX('register map'!V:V,MATCH('Logical Group Generator'!B642,'register map'!L:L,0)),LEN(G642))</f>
        <v/>
      </c>
      <c r="I642" s="117" t="str">
        <f>CONCATENATE(IF(ISNUMBER(INDEX('register map'!K:K,C642)),0,""),IF(ISNUMBER(INDEX('register map'!J:J,C642)),1,""),IF(ISNUMBER(INDEX('register map'!I:I,C642)),2,""),IF(ISNUMBER(INDEX('register map'!H:H,C642)),3,""),IF(ISNUMBER(INDEX('register map'!G:G,C642)),4,""),IF(ISNUMBER(INDEX('register map'!F:F,C642)),5,""),IF(ISNUMBER(INDEX('register map'!E:E,C642)),6,""),IF(ISNUMBER(INDEX('register map'!D:D,C642)),7,""))</f>
        <v/>
      </c>
      <c r="J642" s="117" t="str">
        <f t="shared" si="106"/>
        <v/>
      </c>
      <c r="K642" s="117" t="str">
        <f t="shared" si="99"/>
        <v>00010001</v>
      </c>
      <c r="L642" s="117" t="str">
        <f t="shared" si="107"/>
        <v>10001000</v>
      </c>
      <c r="M642" s="117" t="str">
        <f t="shared" si="109"/>
        <v>88</v>
      </c>
      <c r="N642" s="117" t="str">
        <f>IF(ISBLANK(INDEX('register map'!M:M,'Logical Group Generator'!C642)),"No","Yes")</f>
        <v>No</v>
      </c>
      <c r="O642" s="117" t="str">
        <f>IF(NOT(ISBLANK(INDEX('register map'!N:N,'Logical Group Generator'!C642))),"Yes","")</f>
        <v/>
      </c>
      <c r="P642" s="117" t="str">
        <f t="shared" si="100"/>
        <v>Yes</v>
      </c>
      <c r="Q642" s="117" t="str">
        <f t="shared" si="101"/>
        <v>Yes</v>
      </c>
      <c r="R642" s="117" t="str">
        <f t="shared" si="102"/>
        <v>No</v>
      </c>
      <c r="S642" s="117" t="str">
        <f t="shared" si="103"/>
        <v/>
      </c>
      <c r="T642" s="117" t="b">
        <f t="shared" si="104"/>
        <v>1</v>
      </c>
      <c r="U642" s="117" t="b">
        <f t="shared" si="108"/>
        <v>0</v>
      </c>
      <c r="V642" s="157" t="b">
        <f>INDEX('register map'!P:P,C642)="yes"</f>
        <v>1</v>
      </c>
      <c r="W642" s="157" t="str">
        <f t="shared" si="105"/>
        <v>FALSE</v>
      </c>
    </row>
    <row r="643" spans="2:23">
      <c r="B643" s="157" t="str">
        <f t="array" ref="B643">IF(ROWS($3:643)&lt;=COUNTA('register map'!$L$5:$L$902),INDEX('register map'!$L$5:$L$902,SMALL(IF('register map'!$L$5:$L$902&lt;&gt;"",ROW('register map'!$L$5:$L$902)-MIN(ROW('register map'!$L$5:$L$902))+1),ROWS($3:643))),"")</f>
        <v>OTP_RSVD_38_45_3210</v>
      </c>
      <c r="C643" s="157">
        <f>IF(B643="PART_NUMBER",IF(COUNTIF($B$1:B642,"PART_NUMBER")=0,6,8),MATCH(B643,'register map'!L:L,0))</f>
        <v>774</v>
      </c>
      <c r="D643" s="117" t="str">
        <f>IF(ISBLANK(INDEX('register map'!C:C,'Logical Group Generator'!C643)),"No","Yes")</f>
        <v>No</v>
      </c>
      <c r="E643" s="117" t="str">
        <f>IF(ISBLANK(INDEX('register map'!A:A,C643)),IF(ISBLANK(INDEX('register map'!A:A,C643-1)),IF(ISBLANK(INDEX('register map'!A:A,C643-2)),IF(ISBLANK(INDEX('register map'!A:A,C643-3)),IF(ISBLANK(INDEX('register map'!A:A,C643-4)),IF(ISBLANK(INDEX('register map'!A:A,C643-5)),IF(ISBLANK(INDEX('register map'!A:A,C643-6)),IF(ISBLANK(INDEX('register map'!A:A,C643-7)),IF(ISBLANK(INDEX('register map'!A:A,C643-8)),"ERROR",INDEX('register map'!A:A,C643-8)),INDEX('register map'!A:A,C643-7)),INDEX('register map'!A:A,C643-6)),INDEX('register map'!A:A,C643-5)),INDEX('register map'!A:A,C643-4)),INDEX('register map'!A:A,C643-3)),INDEX('register map'!A:A,C643-2)),INDEX('register map'!A:A,C643-1)),INDEX('register map'!A:A,C643))</f>
        <v>0x38</v>
      </c>
      <c r="F643" s="117" t="str">
        <f>IF(ISBLANK(INDEX('register map'!B:B,C643)),IF(ISBLANK(INDEX('register map'!B:B,C643-1)),IF(ISBLANK(INDEX('register map'!B:B,C643-2)),IF(ISBLANK(INDEX('register map'!B:B,C643-3)),IF(ISBLANK(INDEX('register map'!B:B,C643-4)),IF(ISBLANK(INDEX('register map'!B:B,C643-5)),IF(ISBLANK(INDEX('register map'!B:B,C643-6)),IF(ISBLANK(INDEX('register map'!B:B,C643-7)),IF(ISBLANK(INDEX('register map'!B:B,C643-8)),"ERROR",INDEX('register map'!B:B,C643-8)),INDEX('register map'!B:B,C643-7)),INDEX('register map'!B:B,C643-6)),INDEX('register map'!B:B,C643-5)),INDEX('register map'!B:B,C643-4)),INDEX('register map'!B:B,C643-3)),INDEX('register map'!B:B,C643-2)),INDEX('register map'!B:B,C643-1)),INDEX('register map'!B:B,C643))</f>
        <v>0x45</v>
      </c>
      <c r="G643" s="117" t="str">
        <f>CONCATENATE(IF(ISNUMBER(INDEX('register map'!D:D,C643)),7,""),IF(ISNUMBER(INDEX('register map'!E:E,C643)),6,""),IF(ISNUMBER(INDEX('register map'!F:F,C643)),5,""),IF(ISNUMBER(INDEX('register map'!G:G,C643)),4,""),IF(ISNUMBER(INDEX('register map'!H:H,C643)),3,""),IF(ISNUMBER(INDEX('register map'!I:I,C643)),2,""),IF(ISNUMBER(INDEX('register map'!J:J,C643)),1,""),IF(ISNUMBER(INDEX('register map'!K:K,C643)),0,""))</f>
        <v>3210</v>
      </c>
      <c r="H643" s="117" t="str">
        <f>RIGHT(INDEX('register map'!V:V,MATCH('Logical Group Generator'!B643,'register map'!L:L,0)),LEN(G643))</f>
        <v>1000</v>
      </c>
      <c r="I643" s="117" t="str">
        <f>CONCATENATE(IF(ISNUMBER(INDEX('register map'!K:K,C643)),0,""),IF(ISNUMBER(INDEX('register map'!J:J,C643)),1,""),IF(ISNUMBER(INDEX('register map'!I:I,C643)),2,""),IF(ISNUMBER(INDEX('register map'!H:H,C643)),3,""),IF(ISNUMBER(INDEX('register map'!G:G,C643)),4,""),IF(ISNUMBER(INDEX('register map'!F:F,C643)),5,""),IF(ISNUMBER(INDEX('register map'!E:E,C643)),6,""),IF(ISNUMBER(INDEX('register map'!D:D,C643)),7,""))</f>
        <v>0123</v>
      </c>
      <c r="J643" s="117" t="str">
        <f t="shared" si="106"/>
        <v>0001</v>
      </c>
      <c r="K643" s="117" t="str">
        <f t="shared" ref="K643:K706" si="110">IF(D643="Yes",CONCATENATE(IF(F644=F643,J644,""),IF(F645=F643,J645,""),IF(F646=F643,J646,""),IF(F647=F643,J647,""),IF(F648=F643,J648,""),IF(F649=F643,J649,""),IF(F650=F643,J650,""),IF(F651=F643,J651,"")),"")</f>
        <v/>
      </c>
      <c r="L643" s="117" t="str">
        <f t="shared" si="107"/>
        <v/>
      </c>
      <c r="M643" s="117" t="str">
        <f t="shared" si="109"/>
        <v/>
      </c>
      <c r="N643" s="117" t="str">
        <f>IF(ISBLANK(INDEX('register map'!M:M,'Logical Group Generator'!C643)),"No","Yes")</f>
        <v>Yes</v>
      </c>
      <c r="O643" s="117" t="str">
        <f>IF(NOT(ISBLANK(INDEX('register map'!N:N,'Logical Group Generator'!C643))),"Yes","")</f>
        <v/>
      </c>
      <c r="P643" s="117" t="str">
        <f t="shared" ref="P643:P706" si="111">IF(D643="Yes",IF(OR(AND(F644=F643,N644="Yes"),AND(F645=F643,N645="Yes"),AND(F646=F643,N646="Yes"),AND(F647=F643,N647="Yes"),AND(F648=F643,N648="Yes"),AND(F649=F643,N649="Yes"),AND(F650=F643,N650="Yes"),AND(F651=F643,N651="Yes")),"Yes","No"),"")</f>
        <v/>
      </c>
      <c r="Q643" s="117" t="str">
        <f t="shared" ref="Q643:Q706" si="112">IF(D643="Yes",IF(AND(IF(F644=F643,OR(N644="Yes",O644="Yes"),TRUE),IF(F645=F643,OR(N645="Yes",O645="Yes"),TRUE),IF(F646=F643,OR(N646="Yes",O646="Yes"),TRUE),IF(F647=F643,OR(N647="Yes",O647="Yes"),TRUE),IF(F648=F643,OR(N648="Yes",O648="Yes"),TRUE),IF(F649=F643,OR(N649="Yes",O649="Yes"),TRUE),IF(F650=F643,OR(N650="Yes",O650="Yes"),TRUE),IF(F651=F643,OR(N651="Yes",O651="Yes"),TRUE)),"Yes","No"),"")</f>
        <v/>
      </c>
      <c r="R643" s="117" t="str">
        <f t="shared" ref="R643:R706" si="113">IF(D643="Yes",IF(AND(P643="Yes",Q643="No"),"Yes","No"),"")</f>
        <v/>
      </c>
      <c r="S643" s="117" t="str">
        <f t="shared" ref="S643:S706" si="114">IF(D643="No",IF(AND(N643="No",NOT(O643="Yes"),INDEX(R:R,MATCH(F643,F:F,0))="Yes"),"Yes","No"),"")</f>
        <v>No</v>
      </c>
      <c r="T643" s="117" t="str">
        <f t="shared" ref="T643:T706" si="115">IF(D643="Yes",LEN(L643)=8,"")</f>
        <v/>
      </c>
      <c r="U643" s="117" t="b">
        <f t="shared" si="108"/>
        <v>0</v>
      </c>
      <c r="V643" s="157" t="b">
        <f>INDEX('register map'!P:P,C643)="yes"</f>
        <v>1</v>
      </c>
      <c r="W643" s="157" t="str">
        <f t="shared" ref="W643:W706" si="116">IF(AND(D643="Yes",P643="No",Q643="No",V643),"REGISTER",IF(AND(D643="No",S643="Yes",V643),"BIT","FALSE"))</f>
        <v>FALSE</v>
      </c>
    </row>
    <row r="644" spans="2:23">
      <c r="B644" s="157" t="str">
        <f t="array" ref="B644">IF(ROWS($3:644)&lt;=COUNTA('register map'!$L$5:$L$902),INDEX('register map'!$L$5:$L$902,SMALL(IF('register map'!$L$5:$L$902&lt;&gt;"",ROW('register map'!$L$5:$L$902)-MIN(ROW('register map'!$L$5:$L$902))+1),ROWS($3:644))),"")</f>
        <v>OTP_RSVD_38_45_7654</v>
      </c>
      <c r="C644" s="157">
        <f>IF(B644="PART_NUMBER",IF(COUNTIF($B$1:B643,"PART_NUMBER")=0,6,8),MATCH(B644,'register map'!L:L,0))</f>
        <v>775</v>
      </c>
      <c r="D644" s="117" t="str">
        <f>IF(ISBLANK(INDEX('register map'!C:C,'Logical Group Generator'!C644)),"No","Yes")</f>
        <v>No</v>
      </c>
      <c r="E644" s="117" t="str">
        <f>IF(ISBLANK(INDEX('register map'!A:A,C644)),IF(ISBLANK(INDEX('register map'!A:A,C644-1)),IF(ISBLANK(INDEX('register map'!A:A,C644-2)),IF(ISBLANK(INDEX('register map'!A:A,C644-3)),IF(ISBLANK(INDEX('register map'!A:A,C644-4)),IF(ISBLANK(INDEX('register map'!A:A,C644-5)),IF(ISBLANK(INDEX('register map'!A:A,C644-6)),IF(ISBLANK(INDEX('register map'!A:A,C644-7)),IF(ISBLANK(INDEX('register map'!A:A,C644-8)),"ERROR",INDEX('register map'!A:A,C644-8)),INDEX('register map'!A:A,C644-7)),INDEX('register map'!A:A,C644-6)),INDEX('register map'!A:A,C644-5)),INDEX('register map'!A:A,C644-4)),INDEX('register map'!A:A,C644-3)),INDEX('register map'!A:A,C644-2)),INDEX('register map'!A:A,C644-1)),INDEX('register map'!A:A,C644))</f>
        <v>0x38</v>
      </c>
      <c r="F644" s="117" t="str">
        <f>IF(ISBLANK(INDEX('register map'!B:B,C644)),IF(ISBLANK(INDEX('register map'!B:B,C644-1)),IF(ISBLANK(INDEX('register map'!B:B,C644-2)),IF(ISBLANK(INDEX('register map'!B:B,C644-3)),IF(ISBLANK(INDEX('register map'!B:B,C644-4)),IF(ISBLANK(INDEX('register map'!B:B,C644-5)),IF(ISBLANK(INDEX('register map'!B:B,C644-6)),IF(ISBLANK(INDEX('register map'!B:B,C644-7)),IF(ISBLANK(INDEX('register map'!B:B,C644-8)),"ERROR",INDEX('register map'!B:B,C644-8)),INDEX('register map'!B:B,C644-7)),INDEX('register map'!B:B,C644-6)),INDEX('register map'!B:B,C644-5)),INDEX('register map'!B:B,C644-4)),INDEX('register map'!B:B,C644-3)),INDEX('register map'!B:B,C644-2)),INDEX('register map'!B:B,C644-1)),INDEX('register map'!B:B,C644))</f>
        <v>0x45</v>
      </c>
      <c r="G644" s="117" t="str">
        <f>CONCATENATE(IF(ISNUMBER(INDEX('register map'!D:D,C644)),7,""),IF(ISNUMBER(INDEX('register map'!E:E,C644)),6,""),IF(ISNUMBER(INDEX('register map'!F:F,C644)),5,""),IF(ISNUMBER(INDEX('register map'!G:G,C644)),4,""),IF(ISNUMBER(INDEX('register map'!H:H,C644)),3,""),IF(ISNUMBER(INDEX('register map'!I:I,C644)),2,""),IF(ISNUMBER(INDEX('register map'!J:J,C644)),1,""),IF(ISNUMBER(INDEX('register map'!K:K,C644)),0,""))</f>
        <v>7654</v>
      </c>
      <c r="H644" s="117" t="str">
        <f>RIGHT(INDEX('register map'!V:V,MATCH('Logical Group Generator'!B644,'register map'!L:L,0)),LEN(G644))</f>
        <v>1000</v>
      </c>
      <c r="I644" s="117" t="str">
        <f>CONCATENATE(IF(ISNUMBER(INDEX('register map'!K:K,C644)),0,""),IF(ISNUMBER(INDEX('register map'!J:J,C644)),1,""),IF(ISNUMBER(INDEX('register map'!I:I,C644)),2,""),IF(ISNUMBER(INDEX('register map'!H:H,C644)),3,""),IF(ISNUMBER(INDEX('register map'!G:G,C644)),4,""),IF(ISNUMBER(INDEX('register map'!F:F,C644)),5,""),IF(ISNUMBER(INDEX('register map'!E:E,C644)),6,""),IF(ISNUMBER(INDEX('register map'!D:D,C644)),7,""))</f>
        <v>4567</v>
      </c>
      <c r="J644" s="117" t="str">
        <f t="shared" ref="J644:J707" si="117">MID(H644,20,1) &amp; MID(H644,19,1) &amp; MID(H644,18,1) &amp; MID(H644,17,1) &amp; MID(H644,16,1) &amp; MID(H644,15,1) &amp; MID(H644,14,1) &amp; MID(H644,13,1) &amp; MID(H644,12,1) &amp; MID(H644,11,1) &amp; MID(H644,10,1) &amp; MID(H644,9,1) &amp; MID(H644,8,1) &amp; MID(H644,7,1) &amp; MID(H644,6,1) &amp; MID(H644,5,1) &amp; MID(H644,4,1) &amp; MID(H644,3,1) &amp; MID(H644,2,1) &amp; MID(H644,1,1)</f>
        <v>0001</v>
      </c>
      <c r="K644" s="117" t="str">
        <f t="shared" si="110"/>
        <v/>
      </c>
      <c r="L644" s="117" t="str">
        <f t="shared" ref="L644:L707" si="118">MID(K644,20,1) &amp; MID(K644,19,1) &amp; MID(K644,18,1) &amp; MID(K644,17,1) &amp; MID(K644,16,1) &amp; MID(K644,15,1) &amp; MID(K644,14,1) &amp; MID(K644,13,1) &amp; MID(K644,12,1) &amp; MID(K644,11,1) &amp; MID(K644,10,1) &amp; MID(K644,9,1) &amp; MID(K644,8,1) &amp; MID(K644,7,1) &amp; MID(K644,6,1) &amp; MID(K644,5,1) &amp; MID(K644,4,1) &amp; MID(K644,3,1) &amp; MID(K644,2,1) &amp; MID(K644,1,1)</f>
        <v/>
      </c>
      <c r="M644" s="117" t="str">
        <f t="shared" si="109"/>
        <v/>
      </c>
      <c r="N644" s="117" t="str">
        <f>IF(ISBLANK(INDEX('register map'!M:M,'Logical Group Generator'!C644)),"No","Yes")</f>
        <v>Yes</v>
      </c>
      <c r="O644" s="117" t="str">
        <f>IF(NOT(ISBLANK(INDEX('register map'!N:N,'Logical Group Generator'!C644))),"Yes","")</f>
        <v/>
      </c>
      <c r="P644" s="117" t="str">
        <f t="shared" si="111"/>
        <v/>
      </c>
      <c r="Q644" s="117" t="str">
        <f t="shared" si="112"/>
        <v/>
      </c>
      <c r="R644" s="117" t="str">
        <f t="shared" si="113"/>
        <v/>
      </c>
      <c r="S644" s="117" t="str">
        <f t="shared" si="114"/>
        <v>No</v>
      </c>
      <c r="T644" s="117" t="str">
        <f t="shared" si="115"/>
        <v/>
      </c>
      <c r="U644" s="117" t="b">
        <f t="shared" ref="U644:U707" si="119">OR(P644="No",S644="Yes")</f>
        <v>0</v>
      </c>
      <c r="V644" s="157" t="b">
        <f>INDEX('register map'!P:P,C644)="yes"</f>
        <v>1</v>
      </c>
      <c r="W644" s="157" t="str">
        <f t="shared" si="116"/>
        <v>FALSE</v>
      </c>
    </row>
    <row r="645" spans="2:23">
      <c r="B645" s="157" t="str">
        <f t="array" ref="B645">IF(ROWS($3:645)&lt;=COUNTA('register map'!$L$5:$L$902),INDEX('register map'!$L$5:$L$902,SMALL(IF('register map'!$L$5:$L$902&lt;&gt;"",ROW('register map'!$L$5:$L$902)-MIN(ROW('register map'!$L$5:$L$902))+1),ROWS($3:645))),"")</f>
        <v>OTP_RSVD_38_46</v>
      </c>
      <c r="C645" s="157">
        <f>IF(B645="PART_NUMBER",IF(COUNTIF($B$1:B644,"PART_NUMBER")=0,6,8),MATCH(B645,'register map'!L:L,0))</f>
        <v>776</v>
      </c>
      <c r="D645" s="117" t="str">
        <f>IF(ISBLANK(INDEX('register map'!C:C,'Logical Group Generator'!C645)),"No","Yes")</f>
        <v>Yes</v>
      </c>
      <c r="E645" s="117" t="str">
        <f>IF(ISBLANK(INDEX('register map'!A:A,C645)),IF(ISBLANK(INDEX('register map'!A:A,C645-1)),IF(ISBLANK(INDEX('register map'!A:A,C645-2)),IF(ISBLANK(INDEX('register map'!A:A,C645-3)),IF(ISBLANK(INDEX('register map'!A:A,C645-4)),IF(ISBLANK(INDEX('register map'!A:A,C645-5)),IF(ISBLANK(INDEX('register map'!A:A,C645-6)),IF(ISBLANK(INDEX('register map'!A:A,C645-7)),IF(ISBLANK(INDEX('register map'!A:A,C645-8)),"ERROR",INDEX('register map'!A:A,C645-8)),INDEX('register map'!A:A,C645-7)),INDEX('register map'!A:A,C645-6)),INDEX('register map'!A:A,C645-5)),INDEX('register map'!A:A,C645-4)),INDEX('register map'!A:A,C645-3)),INDEX('register map'!A:A,C645-2)),INDEX('register map'!A:A,C645-1)),INDEX('register map'!A:A,C645))</f>
        <v>0x38</v>
      </c>
      <c r="F645" s="117" t="str">
        <f>IF(ISBLANK(INDEX('register map'!B:B,C645)),IF(ISBLANK(INDEX('register map'!B:B,C645-1)),IF(ISBLANK(INDEX('register map'!B:B,C645-2)),IF(ISBLANK(INDEX('register map'!B:B,C645-3)),IF(ISBLANK(INDEX('register map'!B:B,C645-4)),IF(ISBLANK(INDEX('register map'!B:B,C645-5)),IF(ISBLANK(INDEX('register map'!B:B,C645-6)),IF(ISBLANK(INDEX('register map'!B:B,C645-7)),IF(ISBLANK(INDEX('register map'!B:B,C645-8)),"ERROR",INDEX('register map'!B:B,C645-8)),INDEX('register map'!B:B,C645-7)),INDEX('register map'!B:B,C645-6)),INDEX('register map'!B:B,C645-5)),INDEX('register map'!B:B,C645-4)),INDEX('register map'!B:B,C645-3)),INDEX('register map'!B:B,C645-2)),INDEX('register map'!B:B,C645-1)),INDEX('register map'!B:B,C645))</f>
        <v>0x46</v>
      </c>
      <c r="G645" s="117" t="str">
        <f>CONCATENATE(IF(ISNUMBER(INDEX('register map'!D:D,C645)),7,""),IF(ISNUMBER(INDEX('register map'!E:E,C645)),6,""),IF(ISNUMBER(INDEX('register map'!F:F,C645)),5,""),IF(ISNUMBER(INDEX('register map'!G:G,C645)),4,""),IF(ISNUMBER(INDEX('register map'!H:H,C645)),3,""),IF(ISNUMBER(INDEX('register map'!I:I,C645)),2,""),IF(ISNUMBER(INDEX('register map'!J:J,C645)),1,""),IF(ISNUMBER(INDEX('register map'!K:K,C645)),0,""))</f>
        <v/>
      </c>
      <c r="H645" s="117" t="str">
        <f>RIGHT(INDEX('register map'!V:V,MATCH('Logical Group Generator'!B645,'register map'!L:L,0)),LEN(G645))</f>
        <v/>
      </c>
      <c r="I645" s="117" t="str">
        <f>CONCATENATE(IF(ISNUMBER(INDEX('register map'!K:K,C645)),0,""),IF(ISNUMBER(INDEX('register map'!J:J,C645)),1,""),IF(ISNUMBER(INDEX('register map'!I:I,C645)),2,""),IF(ISNUMBER(INDEX('register map'!H:H,C645)),3,""),IF(ISNUMBER(INDEX('register map'!G:G,C645)),4,""),IF(ISNUMBER(INDEX('register map'!F:F,C645)),5,""),IF(ISNUMBER(INDEX('register map'!E:E,C645)),6,""),IF(ISNUMBER(INDEX('register map'!D:D,C645)),7,""))</f>
        <v/>
      </c>
      <c r="J645" s="117" t="str">
        <f t="shared" si="117"/>
        <v/>
      </c>
      <c r="K645" s="117" t="str">
        <f t="shared" si="110"/>
        <v>00010001</v>
      </c>
      <c r="L645" s="117" t="str">
        <f t="shared" si="118"/>
        <v>10001000</v>
      </c>
      <c r="M645" s="117" t="str">
        <f t="shared" ref="M645:M708" si="120">IF(L645="","",BIN2HEX(L645,2))</f>
        <v>88</v>
      </c>
      <c r="N645" s="117" t="str">
        <f>IF(ISBLANK(INDEX('register map'!M:M,'Logical Group Generator'!C645)),"No","Yes")</f>
        <v>No</v>
      </c>
      <c r="O645" s="117" t="str">
        <f>IF(NOT(ISBLANK(INDEX('register map'!N:N,'Logical Group Generator'!C645))),"Yes","")</f>
        <v/>
      </c>
      <c r="P645" s="117" t="str">
        <f t="shared" si="111"/>
        <v>Yes</v>
      </c>
      <c r="Q645" s="117" t="str">
        <f t="shared" si="112"/>
        <v>Yes</v>
      </c>
      <c r="R645" s="117" t="str">
        <f t="shared" si="113"/>
        <v>No</v>
      </c>
      <c r="S645" s="117" t="str">
        <f t="shared" si="114"/>
        <v/>
      </c>
      <c r="T645" s="117" t="b">
        <f t="shared" si="115"/>
        <v>1</v>
      </c>
      <c r="U645" s="117" t="b">
        <f t="shared" si="119"/>
        <v>0</v>
      </c>
      <c r="V645" s="157" t="b">
        <f>INDEX('register map'!P:P,C645)="yes"</f>
        <v>1</v>
      </c>
      <c r="W645" s="157" t="str">
        <f t="shared" si="116"/>
        <v>FALSE</v>
      </c>
    </row>
    <row r="646" spans="2:23">
      <c r="B646" s="157" t="str">
        <f t="array" ref="B646">IF(ROWS($3:646)&lt;=COUNTA('register map'!$L$5:$L$902),INDEX('register map'!$L$5:$L$902,SMALL(IF('register map'!$L$5:$L$902&lt;&gt;"",ROW('register map'!$L$5:$L$902)-MIN(ROW('register map'!$L$5:$L$902))+1),ROWS($3:646))),"")</f>
        <v>OTP_RSVD_38_46_3210</v>
      </c>
      <c r="C646" s="157">
        <f>IF(B646="PART_NUMBER",IF(COUNTIF($B$1:B645,"PART_NUMBER")=0,6,8),MATCH(B646,'register map'!L:L,0))</f>
        <v>777</v>
      </c>
      <c r="D646" s="117" t="str">
        <f>IF(ISBLANK(INDEX('register map'!C:C,'Logical Group Generator'!C646)),"No","Yes")</f>
        <v>No</v>
      </c>
      <c r="E646" s="117" t="str">
        <f>IF(ISBLANK(INDEX('register map'!A:A,C646)),IF(ISBLANK(INDEX('register map'!A:A,C646-1)),IF(ISBLANK(INDEX('register map'!A:A,C646-2)),IF(ISBLANK(INDEX('register map'!A:A,C646-3)),IF(ISBLANK(INDEX('register map'!A:A,C646-4)),IF(ISBLANK(INDEX('register map'!A:A,C646-5)),IF(ISBLANK(INDEX('register map'!A:A,C646-6)),IF(ISBLANK(INDEX('register map'!A:A,C646-7)),IF(ISBLANK(INDEX('register map'!A:A,C646-8)),"ERROR",INDEX('register map'!A:A,C646-8)),INDEX('register map'!A:A,C646-7)),INDEX('register map'!A:A,C646-6)),INDEX('register map'!A:A,C646-5)),INDEX('register map'!A:A,C646-4)),INDEX('register map'!A:A,C646-3)),INDEX('register map'!A:A,C646-2)),INDEX('register map'!A:A,C646-1)),INDEX('register map'!A:A,C646))</f>
        <v>0x38</v>
      </c>
      <c r="F646" s="117" t="str">
        <f>IF(ISBLANK(INDEX('register map'!B:B,C646)),IF(ISBLANK(INDEX('register map'!B:B,C646-1)),IF(ISBLANK(INDEX('register map'!B:B,C646-2)),IF(ISBLANK(INDEX('register map'!B:B,C646-3)),IF(ISBLANK(INDEX('register map'!B:B,C646-4)),IF(ISBLANK(INDEX('register map'!B:B,C646-5)),IF(ISBLANK(INDEX('register map'!B:B,C646-6)),IF(ISBLANK(INDEX('register map'!B:B,C646-7)),IF(ISBLANK(INDEX('register map'!B:B,C646-8)),"ERROR",INDEX('register map'!B:B,C646-8)),INDEX('register map'!B:B,C646-7)),INDEX('register map'!B:B,C646-6)),INDEX('register map'!B:B,C646-5)),INDEX('register map'!B:B,C646-4)),INDEX('register map'!B:B,C646-3)),INDEX('register map'!B:B,C646-2)),INDEX('register map'!B:B,C646-1)),INDEX('register map'!B:B,C646))</f>
        <v>0x46</v>
      </c>
      <c r="G646" s="117" t="str">
        <f>CONCATENATE(IF(ISNUMBER(INDEX('register map'!D:D,C646)),7,""),IF(ISNUMBER(INDEX('register map'!E:E,C646)),6,""),IF(ISNUMBER(INDEX('register map'!F:F,C646)),5,""),IF(ISNUMBER(INDEX('register map'!G:G,C646)),4,""),IF(ISNUMBER(INDEX('register map'!H:H,C646)),3,""),IF(ISNUMBER(INDEX('register map'!I:I,C646)),2,""),IF(ISNUMBER(INDEX('register map'!J:J,C646)),1,""),IF(ISNUMBER(INDEX('register map'!K:K,C646)),0,""))</f>
        <v>3210</v>
      </c>
      <c r="H646" s="117" t="str">
        <f>RIGHT(INDEX('register map'!V:V,MATCH('Logical Group Generator'!B646,'register map'!L:L,0)),LEN(G646))</f>
        <v>1000</v>
      </c>
      <c r="I646" s="117" t="str">
        <f>CONCATENATE(IF(ISNUMBER(INDEX('register map'!K:K,C646)),0,""),IF(ISNUMBER(INDEX('register map'!J:J,C646)),1,""),IF(ISNUMBER(INDEX('register map'!I:I,C646)),2,""),IF(ISNUMBER(INDEX('register map'!H:H,C646)),3,""),IF(ISNUMBER(INDEX('register map'!G:G,C646)),4,""),IF(ISNUMBER(INDEX('register map'!F:F,C646)),5,""),IF(ISNUMBER(INDEX('register map'!E:E,C646)),6,""),IF(ISNUMBER(INDEX('register map'!D:D,C646)),7,""))</f>
        <v>0123</v>
      </c>
      <c r="J646" s="117" t="str">
        <f t="shared" si="117"/>
        <v>0001</v>
      </c>
      <c r="K646" s="117" t="str">
        <f t="shared" si="110"/>
        <v/>
      </c>
      <c r="L646" s="117" t="str">
        <f t="shared" si="118"/>
        <v/>
      </c>
      <c r="M646" s="117" t="str">
        <f t="shared" si="120"/>
        <v/>
      </c>
      <c r="N646" s="117" t="str">
        <f>IF(ISBLANK(INDEX('register map'!M:M,'Logical Group Generator'!C646)),"No","Yes")</f>
        <v>Yes</v>
      </c>
      <c r="O646" s="117" t="str">
        <f>IF(NOT(ISBLANK(INDEX('register map'!N:N,'Logical Group Generator'!C646))),"Yes","")</f>
        <v/>
      </c>
      <c r="P646" s="117" t="str">
        <f t="shared" si="111"/>
        <v/>
      </c>
      <c r="Q646" s="117" t="str">
        <f t="shared" si="112"/>
        <v/>
      </c>
      <c r="R646" s="117" t="str">
        <f t="shared" si="113"/>
        <v/>
      </c>
      <c r="S646" s="117" t="str">
        <f t="shared" si="114"/>
        <v>No</v>
      </c>
      <c r="T646" s="117" t="str">
        <f t="shared" si="115"/>
        <v/>
      </c>
      <c r="U646" s="117" t="b">
        <f t="shared" si="119"/>
        <v>0</v>
      </c>
      <c r="V646" s="157" t="b">
        <f>INDEX('register map'!P:P,C646)="yes"</f>
        <v>1</v>
      </c>
      <c r="W646" s="157" t="str">
        <f t="shared" si="116"/>
        <v>FALSE</v>
      </c>
    </row>
    <row r="647" spans="2:23">
      <c r="B647" s="157" t="str">
        <f t="array" ref="B647">IF(ROWS($3:647)&lt;=COUNTA('register map'!$L$5:$L$902),INDEX('register map'!$L$5:$L$902,SMALL(IF('register map'!$L$5:$L$902&lt;&gt;"",ROW('register map'!$L$5:$L$902)-MIN(ROW('register map'!$L$5:$L$902))+1),ROWS($3:647))),"")</f>
        <v>OTP_RSVD_38_46_7654</v>
      </c>
      <c r="C647" s="157">
        <f>IF(B647="PART_NUMBER",IF(COUNTIF($B$1:B646,"PART_NUMBER")=0,6,8),MATCH(B647,'register map'!L:L,0))</f>
        <v>778</v>
      </c>
      <c r="D647" s="117" t="str">
        <f>IF(ISBLANK(INDEX('register map'!C:C,'Logical Group Generator'!C647)),"No","Yes")</f>
        <v>No</v>
      </c>
      <c r="E647" s="117" t="str">
        <f>IF(ISBLANK(INDEX('register map'!A:A,C647)),IF(ISBLANK(INDEX('register map'!A:A,C647-1)),IF(ISBLANK(INDEX('register map'!A:A,C647-2)),IF(ISBLANK(INDEX('register map'!A:A,C647-3)),IF(ISBLANK(INDEX('register map'!A:A,C647-4)),IF(ISBLANK(INDEX('register map'!A:A,C647-5)),IF(ISBLANK(INDEX('register map'!A:A,C647-6)),IF(ISBLANK(INDEX('register map'!A:A,C647-7)),IF(ISBLANK(INDEX('register map'!A:A,C647-8)),"ERROR",INDEX('register map'!A:A,C647-8)),INDEX('register map'!A:A,C647-7)),INDEX('register map'!A:A,C647-6)),INDEX('register map'!A:A,C647-5)),INDEX('register map'!A:A,C647-4)),INDEX('register map'!A:A,C647-3)),INDEX('register map'!A:A,C647-2)),INDEX('register map'!A:A,C647-1)),INDEX('register map'!A:A,C647))</f>
        <v>0x38</v>
      </c>
      <c r="F647" s="117" t="str">
        <f>IF(ISBLANK(INDEX('register map'!B:B,C647)),IF(ISBLANK(INDEX('register map'!B:B,C647-1)),IF(ISBLANK(INDEX('register map'!B:B,C647-2)),IF(ISBLANK(INDEX('register map'!B:B,C647-3)),IF(ISBLANK(INDEX('register map'!B:B,C647-4)),IF(ISBLANK(INDEX('register map'!B:B,C647-5)),IF(ISBLANK(INDEX('register map'!B:B,C647-6)),IF(ISBLANK(INDEX('register map'!B:B,C647-7)),IF(ISBLANK(INDEX('register map'!B:B,C647-8)),"ERROR",INDEX('register map'!B:B,C647-8)),INDEX('register map'!B:B,C647-7)),INDEX('register map'!B:B,C647-6)),INDEX('register map'!B:B,C647-5)),INDEX('register map'!B:B,C647-4)),INDEX('register map'!B:B,C647-3)),INDEX('register map'!B:B,C647-2)),INDEX('register map'!B:B,C647-1)),INDEX('register map'!B:B,C647))</f>
        <v>0x46</v>
      </c>
      <c r="G647" s="117" t="str">
        <f>CONCATENATE(IF(ISNUMBER(INDEX('register map'!D:D,C647)),7,""),IF(ISNUMBER(INDEX('register map'!E:E,C647)),6,""),IF(ISNUMBER(INDEX('register map'!F:F,C647)),5,""),IF(ISNUMBER(INDEX('register map'!G:G,C647)),4,""),IF(ISNUMBER(INDEX('register map'!H:H,C647)),3,""),IF(ISNUMBER(INDEX('register map'!I:I,C647)),2,""),IF(ISNUMBER(INDEX('register map'!J:J,C647)),1,""),IF(ISNUMBER(INDEX('register map'!K:K,C647)),0,""))</f>
        <v>7654</v>
      </c>
      <c r="H647" s="117" t="str">
        <f>RIGHT(INDEX('register map'!V:V,MATCH('Logical Group Generator'!B647,'register map'!L:L,0)),LEN(G647))</f>
        <v>1000</v>
      </c>
      <c r="I647" s="117" t="str">
        <f>CONCATENATE(IF(ISNUMBER(INDEX('register map'!K:K,C647)),0,""),IF(ISNUMBER(INDEX('register map'!J:J,C647)),1,""),IF(ISNUMBER(INDEX('register map'!I:I,C647)),2,""),IF(ISNUMBER(INDEX('register map'!H:H,C647)),3,""),IF(ISNUMBER(INDEX('register map'!G:G,C647)),4,""),IF(ISNUMBER(INDEX('register map'!F:F,C647)),5,""),IF(ISNUMBER(INDEX('register map'!E:E,C647)),6,""),IF(ISNUMBER(INDEX('register map'!D:D,C647)),7,""))</f>
        <v>4567</v>
      </c>
      <c r="J647" s="117" t="str">
        <f t="shared" si="117"/>
        <v>0001</v>
      </c>
      <c r="K647" s="117" t="str">
        <f t="shared" si="110"/>
        <v/>
      </c>
      <c r="L647" s="117" t="str">
        <f t="shared" si="118"/>
        <v/>
      </c>
      <c r="M647" s="117" t="str">
        <f t="shared" si="120"/>
        <v/>
      </c>
      <c r="N647" s="117" t="str">
        <f>IF(ISBLANK(INDEX('register map'!M:M,'Logical Group Generator'!C647)),"No","Yes")</f>
        <v>Yes</v>
      </c>
      <c r="O647" s="117" t="str">
        <f>IF(NOT(ISBLANK(INDEX('register map'!N:N,'Logical Group Generator'!C647))),"Yes","")</f>
        <v/>
      </c>
      <c r="P647" s="117" t="str">
        <f t="shared" si="111"/>
        <v/>
      </c>
      <c r="Q647" s="117" t="str">
        <f t="shared" si="112"/>
        <v/>
      </c>
      <c r="R647" s="117" t="str">
        <f t="shared" si="113"/>
        <v/>
      </c>
      <c r="S647" s="117" t="str">
        <f t="shared" si="114"/>
        <v>No</v>
      </c>
      <c r="T647" s="117" t="str">
        <f t="shared" si="115"/>
        <v/>
      </c>
      <c r="U647" s="117" t="b">
        <f t="shared" si="119"/>
        <v>0</v>
      </c>
      <c r="V647" s="157" t="b">
        <f>INDEX('register map'!P:P,C647)="yes"</f>
        <v>1</v>
      </c>
      <c r="W647" s="157" t="str">
        <f t="shared" si="116"/>
        <v>FALSE</v>
      </c>
    </row>
    <row r="648" spans="2:23">
      <c r="B648" s="157" t="str">
        <f t="array" ref="B648">IF(ROWS($3:648)&lt;=COUNTA('register map'!$L$5:$L$902),INDEX('register map'!$L$5:$L$902,SMALL(IF('register map'!$L$5:$L$902&lt;&gt;"",ROW('register map'!$L$5:$L$902)-MIN(ROW('register map'!$L$5:$L$902))+1),ROWS($3:648))),"")</f>
        <v>OTP_RSVD_38_47</v>
      </c>
      <c r="C648" s="157">
        <f>IF(B648="PART_NUMBER",IF(COUNTIF($B$1:B647,"PART_NUMBER")=0,6,8),MATCH(B648,'register map'!L:L,0))</f>
        <v>779</v>
      </c>
      <c r="D648" s="117" t="str">
        <f>IF(ISBLANK(INDEX('register map'!C:C,'Logical Group Generator'!C648)),"No","Yes")</f>
        <v>Yes</v>
      </c>
      <c r="E648" s="117" t="str">
        <f>IF(ISBLANK(INDEX('register map'!A:A,C648)),IF(ISBLANK(INDEX('register map'!A:A,C648-1)),IF(ISBLANK(INDEX('register map'!A:A,C648-2)),IF(ISBLANK(INDEX('register map'!A:A,C648-3)),IF(ISBLANK(INDEX('register map'!A:A,C648-4)),IF(ISBLANK(INDEX('register map'!A:A,C648-5)),IF(ISBLANK(INDEX('register map'!A:A,C648-6)),IF(ISBLANK(INDEX('register map'!A:A,C648-7)),IF(ISBLANK(INDEX('register map'!A:A,C648-8)),"ERROR",INDEX('register map'!A:A,C648-8)),INDEX('register map'!A:A,C648-7)),INDEX('register map'!A:A,C648-6)),INDEX('register map'!A:A,C648-5)),INDEX('register map'!A:A,C648-4)),INDEX('register map'!A:A,C648-3)),INDEX('register map'!A:A,C648-2)),INDEX('register map'!A:A,C648-1)),INDEX('register map'!A:A,C648))</f>
        <v>0x38</v>
      </c>
      <c r="F648" s="117" t="str">
        <f>IF(ISBLANK(INDEX('register map'!B:B,C648)),IF(ISBLANK(INDEX('register map'!B:B,C648-1)),IF(ISBLANK(INDEX('register map'!B:B,C648-2)),IF(ISBLANK(INDEX('register map'!B:B,C648-3)),IF(ISBLANK(INDEX('register map'!B:B,C648-4)),IF(ISBLANK(INDEX('register map'!B:B,C648-5)),IF(ISBLANK(INDEX('register map'!B:B,C648-6)),IF(ISBLANK(INDEX('register map'!B:B,C648-7)),IF(ISBLANK(INDEX('register map'!B:B,C648-8)),"ERROR",INDEX('register map'!B:B,C648-8)),INDEX('register map'!B:B,C648-7)),INDEX('register map'!B:B,C648-6)),INDEX('register map'!B:B,C648-5)),INDEX('register map'!B:B,C648-4)),INDEX('register map'!B:B,C648-3)),INDEX('register map'!B:B,C648-2)),INDEX('register map'!B:B,C648-1)),INDEX('register map'!B:B,C648))</f>
        <v>0x47</v>
      </c>
      <c r="G648" s="117" t="str">
        <f>CONCATENATE(IF(ISNUMBER(INDEX('register map'!D:D,C648)),7,""),IF(ISNUMBER(INDEX('register map'!E:E,C648)),6,""),IF(ISNUMBER(INDEX('register map'!F:F,C648)),5,""),IF(ISNUMBER(INDEX('register map'!G:G,C648)),4,""),IF(ISNUMBER(INDEX('register map'!H:H,C648)),3,""),IF(ISNUMBER(INDEX('register map'!I:I,C648)),2,""),IF(ISNUMBER(INDEX('register map'!J:J,C648)),1,""),IF(ISNUMBER(INDEX('register map'!K:K,C648)),0,""))</f>
        <v/>
      </c>
      <c r="H648" s="117" t="str">
        <f>RIGHT(INDEX('register map'!V:V,MATCH('Logical Group Generator'!B648,'register map'!L:L,0)),LEN(G648))</f>
        <v/>
      </c>
      <c r="I648" s="117" t="str">
        <f>CONCATENATE(IF(ISNUMBER(INDEX('register map'!K:K,C648)),0,""),IF(ISNUMBER(INDEX('register map'!J:J,C648)),1,""),IF(ISNUMBER(INDEX('register map'!I:I,C648)),2,""),IF(ISNUMBER(INDEX('register map'!H:H,C648)),3,""),IF(ISNUMBER(INDEX('register map'!G:G,C648)),4,""),IF(ISNUMBER(INDEX('register map'!F:F,C648)),5,""),IF(ISNUMBER(INDEX('register map'!E:E,C648)),6,""),IF(ISNUMBER(INDEX('register map'!D:D,C648)),7,""))</f>
        <v/>
      </c>
      <c r="J648" s="117" t="str">
        <f t="shared" si="117"/>
        <v/>
      </c>
      <c r="K648" s="117" t="str">
        <f t="shared" si="110"/>
        <v>00010101</v>
      </c>
      <c r="L648" s="117" t="str">
        <f t="shared" si="118"/>
        <v>10101000</v>
      </c>
      <c r="M648" s="117" t="str">
        <f t="shared" si="120"/>
        <v>A8</v>
      </c>
      <c r="N648" s="117" t="str">
        <f>IF(ISBLANK(INDEX('register map'!M:M,'Logical Group Generator'!C648)),"No","Yes")</f>
        <v>No</v>
      </c>
      <c r="O648" s="117" t="str">
        <f>IF(NOT(ISBLANK(INDEX('register map'!N:N,'Logical Group Generator'!C648))),"Yes","")</f>
        <v/>
      </c>
      <c r="P648" s="117" t="str">
        <f t="shared" si="111"/>
        <v>Yes</v>
      </c>
      <c r="Q648" s="117" t="str">
        <f t="shared" si="112"/>
        <v>Yes</v>
      </c>
      <c r="R648" s="117" t="str">
        <f t="shared" si="113"/>
        <v>No</v>
      </c>
      <c r="S648" s="117" t="str">
        <f t="shared" si="114"/>
        <v/>
      </c>
      <c r="T648" s="117" t="b">
        <f t="shared" si="115"/>
        <v>1</v>
      </c>
      <c r="U648" s="117" t="b">
        <f t="shared" si="119"/>
        <v>0</v>
      </c>
      <c r="V648" s="157" t="b">
        <f>INDEX('register map'!P:P,C648)="yes"</f>
        <v>1</v>
      </c>
      <c r="W648" s="157" t="str">
        <f t="shared" si="116"/>
        <v>FALSE</v>
      </c>
    </row>
    <row r="649" spans="2:23">
      <c r="B649" s="157" t="str">
        <f t="array" ref="B649">IF(ROWS($3:649)&lt;=COUNTA('register map'!$L$5:$L$902),INDEX('register map'!$L$5:$L$902,SMALL(IF('register map'!$L$5:$L$902&lt;&gt;"",ROW('register map'!$L$5:$L$902)-MIN(ROW('register map'!$L$5:$L$902))+1),ROWS($3:649))),"")</f>
        <v>OTP_RSVD_38_47_10</v>
      </c>
      <c r="C649" s="157">
        <f>IF(B649="PART_NUMBER",IF(COUNTIF($B$1:B648,"PART_NUMBER")=0,6,8),MATCH(B649,'register map'!L:L,0))</f>
        <v>780</v>
      </c>
      <c r="D649" s="117" t="str">
        <f>IF(ISBLANK(INDEX('register map'!C:C,'Logical Group Generator'!C649)),"No","Yes")</f>
        <v>No</v>
      </c>
      <c r="E649" s="117" t="str">
        <f>IF(ISBLANK(INDEX('register map'!A:A,C649)),IF(ISBLANK(INDEX('register map'!A:A,C649-1)),IF(ISBLANK(INDEX('register map'!A:A,C649-2)),IF(ISBLANK(INDEX('register map'!A:A,C649-3)),IF(ISBLANK(INDEX('register map'!A:A,C649-4)),IF(ISBLANK(INDEX('register map'!A:A,C649-5)),IF(ISBLANK(INDEX('register map'!A:A,C649-6)),IF(ISBLANK(INDEX('register map'!A:A,C649-7)),IF(ISBLANK(INDEX('register map'!A:A,C649-8)),"ERROR",INDEX('register map'!A:A,C649-8)),INDEX('register map'!A:A,C649-7)),INDEX('register map'!A:A,C649-6)),INDEX('register map'!A:A,C649-5)),INDEX('register map'!A:A,C649-4)),INDEX('register map'!A:A,C649-3)),INDEX('register map'!A:A,C649-2)),INDEX('register map'!A:A,C649-1)),INDEX('register map'!A:A,C649))</f>
        <v>0x38</v>
      </c>
      <c r="F649" s="117" t="str">
        <f>IF(ISBLANK(INDEX('register map'!B:B,C649)),IF(ISBLANK(INDEX('register map'!B:B,C649-1)),IF(ISBLANK(INDEX('register map'!B:B,C649-2)),IF(ISBLANK(INDEX('register map'!B:B,C649-3)),IF(ISBLANK(INDEX('register map'!B:B,C649-4)),IF(ISBLANK(INDEX('register map'!B:B,C649-5)),IF(ISBLANK(INDEX('register map'!B:B,C649-6)),IF(ISBLANK(INDEX('register map'!B:B,C649-7)),IF(ISBLANK(INDEX('register map'!B:B,C649-8)),"ERROR",INDEX('register map'!B:B,C649-8)),INDEX('register map'!B:B,C649-7)),INDEX('register map'!B:B,C649-6)),INDEX('register map'!B:B,C649-5)),INDEX('register map'!B:B,C649-4)),INDEX('register map'!B:B,C649-3)),INDEX('register map'!B:B,C649-2)),INDEX('register map'!B:B,C649-1)),INDEX('register map'!B:B,C649))</f>
        <v>0x47</v>
      </c>
      <c r="G649" s="117" t="str">
        <f>CONCATENATE(IF(ISNUMBER(INDEX('register map'!D:D,C649)),7,""),IF(ISNUMBER(INDEX('register map'!E:E,C649)),6,""),IF(ISNUMBER(INDEX('register map'!F:F,C649)),5,""),IF(ISNUMBER(INDEX('register map'!G:G,C649)),4,""),IF(ISNUMBER(INDEX('register map'!H:H,C649)),3,""),IF(ISNUMBER(INDEX('register map'!I:I,C649)),2,""),IF(ISNUMBER(INDEX('register map'!J:J,C649)),1,""),IF(ISNUMBER(INDEX('register map'!K:K,C649)),0,""))</f>
        <v>10</v>
      </c>
      <c r="H649" s="117" t="str">
        <f>RIGHT(INDEX('register map'!V:V,MATCH('Logical Group Generator'!B649,'register map'!L:L,0)),LEN(G649))</f>
        <v>00</v>
      </c>
      <c r="I649" s="117" t="str">
        <f>CONCATENATE(IF(ISNUMBER(INDEX('register map'!K:K,C649)),0,""),IF(ISNUMBER(INDEX('register map'!J:J,C649)),1,""),IF(ISNUMBER(INDEX('register map'!I:I,C649)),2,""),IF(ISNUMBER(INDEX('register map'!H:H,C649)),3,""),IF(ISNUMBER(INDEX('register map'!G:G,C649)),4,""),IF(ISNUMBER(INDEX('register map'!F:F,C649)),5,""),IF(ISNUMBER(INDEX('register map'!E:E,C649)),6,""),IF(ISNUMBER(INDEX('register map'!D:D,C649)),7,""))</f>
        <v>01</v>
      </c>
      <c r="J649" s="117" t="str">
        <f t="shared" si="117"/>
        <v>00</v>
      </c>
      <c r="K649" s="117" t="str">
        <f t="shared" si="110"/>
        <v/>
      </c>
      <c r="L649" s="117" t="str">
        <f t="shared" si="118"/>
        <v/>
      </c>
      <c r="M649" s="117" t="str">
        <f t="shared" si="120"/>
        <v/>
      </c>
      <c r="N649" s="117" t="str">
        <f>IF(ISBLANK(INDEX('register map'!M:M,'Logical Group Generator'!C649)),"No","Yes")</f>
        <v>No</v>
      </c>
      <c r="O649" s="117" t="str">
        <f>IF(NOT(ISBLANK(INDEX('register map'!N:N,'Logical Group Generator'!C649))),"Yes","")</f>
        <v>Yes</v>
      </c>
      <c r="P649" s="117" t="str">
        <f t="shared" si="111"/>
        <v/>
      </c>
      <c r="Q649" s="117" t="str">
        <f t="shared" si="112"/>
        <v/>
      </c>
      <c r="R649" s="117" t="str">
        <f t="shared" si="113"/>
        <v/>
      </c>
      <c r="S649" s="117" t="str">
        <f t="shared" si="114"/>
        <v>No</v>
      </c>
      <c r="T649" s="117" t="str">
        <f t="shared" si="115"/>
        <v/>
      </c>
      <c r="U649" s="117" t="b">
        <f t="shared" si="119"/>
        <v>0</v>
      </c>
      <c r="V649" s="157" t="b">
        <f>INDEX('register map'!P:P,C649)="yes"</f>
        <v>1</v>
      </c>
      <c r="W649" s="157" t="str">
        <f t="shared" si="116"/>
        <v>FALSE</v>
      </c>
    </row>
    <row r="650" spans="2:23">
      <c r="B650" s="157" t="str">
        <f t="array" ref="B650">IF(ROWS($3:650)&lt;=COUNTA('register map'!$L$5:$L$902),INDEX('register map'!$L$5:$L$902,SMALL(IF('register map'!$L$5:$L$902&lt;&gt;"",ROW('register map'!$L$5:$L$902)-MIN(ROW('register map'!$L$5:$L$902))+1),ROWS($3:650))),"")</f>
        <v>OTP_RSVD_38_47_32</v>
      </c>
      <c r="C650" s="157">
        <f>IF(B650="PART_NUMBER",IF(COUNTIF($B$1:B649,"PART_NUMBER")=0,6,8),MATCH(B650,'register map'!L:L,0))</f>
        <v>781</v>
      </c>
      <c r="D650" s="117" t="str">
        <f>IF(ISBLANK(INDEX('register map'!C:C,'Logical Group Generator'!C650)),"No","Yes")</f>
        <v>No</v>
      </c>
      <c r="E650" s="117" t="str">
        <f>IF(ISBLANK(INDEX('register map'!A:A,C650)),IF(ISBLANK(INDEX('register map'!A:A,C650-1)),IF(ISBLANK(INDEX('register map'!A:A,C650-2)),IF(ISBLANK(INDEX('register map'!A:A,C650-3)),IF(ISBLANK(INDEX('register map'!A:A,C650-4)),IF(ISBLANK(INDEX('register map'!A:A,C650-5)),IF(ISBLANK(INDEX('register map'!A:A,C650-6)),IF(ISBLANK(INDEX('register map'!A:A,C650-7)),IF(ISBLANK(INDEX('register map'!A:A,C650-8)),"ERROR",INDEX('register map'!A:A,C650-8)),INDEX('register map'!A:A,C650-7)),INDEX('register map'!A:A,C650-6)),INDEX('register map'!A:A,C650-5)),INDEX('register map'!A:A,C650-4)),INDEX('register map'!A:A,C650-3)),INDEX('register map'!A:A,C650-2)),INDEX('register map'!A:A,C650-1)),INDEX('register map'!A:A,C650))</f>
        <v>0x38</v>
      </c>
      <c r="F650" s="117" t="str">
        <f>IF(ISBLANK(INDEX('register map'!B:B,C650)),IF(ISBLANK(INDEX('register map'!B:B,C650-1)),IF(ISBLANK(INDEX('register map'!B:B,C650-2)),IF(ISBLANK(INDEX('register map'!B:B,C650-3)),IF(ISBLANK(INDEX('register map'!B:B,C650-4)),IF(ISBLANK(INDEX('register map'!B:B,C650-5)),IF(ISBLANK(INDEX('register map'!B:B,C650-6)),IF(ISBLANK(INDEX('register map'!B:B,C650-7)),IF(ISBLANK(INDEX('register map'!B:B,C650-8)),"ERROR",INDEX('register map'!B:B,C650-8)),INDEX('register map'!B:B,C650-7)),INDEX('register map'!B:B,C650-6)),INDEX('register map'!B:B,C650-5)),INDEX('register map'!B:B,C650-4)),INDEX('register map'!B:B,C650-3)),INDEX('register map'!B:B,C650-2)),INDEX('register map'!B:B,C650-1)),INDEX('register map'!B:B,C650))</f>
        <v>0x47</v>
      </c>
      <c r="G650" s="117" t="str">
        <f>CONCATENATE(IF(ISNUMBER(INDEX('register map'!D:D,C650)),7,""),IF(ISNUMBER(INDEX('register map'!E:E,C650)),6,""),IF(ISNUMBER(INDEX('register map'!F:F,C650)),5,""),IF(ISNUMBER(INDEX('register map'!G:G,C650)),4,""),IF(ISNUMBER(INDEX('register map'!H:H,C650)),3,""),IF(ISNUMBER(INDEX('register map'!I:I,C650)),2,""),IF(ISNUMBER(INDEX('register map'!J:J,C650)),1,""),IF(ISNUMBER(INDEX('register map'!K:K,C650)),0,""))</f>
        <v>32</v>
      </c>
      <c r="H650" s="117" t="str">
        <f>RIGHT(INDEX('register map'!V:V,MATCH('Logical Group Generator'!B650,'register map'!L:L,0)),LEN(G650))</f>
        <v>10</v>
      </c>
      <c r="I650" s="117" t="str">
        <f>CONCATENATE(IF(ISNUMBER(INDEX('register map'!K:K,C650)),0,""),IF(ISNUMBER(INDEX('register map'!J:J,C650)),1,""),IF(ISNUMBER(INDEX('register map'!I:I,C650)),2,""),IF(ISNUMBER(INDEX('register map'!H:H,C650)),3,""),IF(ISNUMBER(INDEX('register map'!G:G,C650)),4,""),IF(ISNUMBER(INDEX('register map'!F:F,C650)),5,""),IF(ISNUMBER(INDEX('register map'!E:E,C650)),6,""),IF(ISNUMBER(INDEX('register map'!D:D,C650)),7,""))</f>
        <v>23</v>
      </c>
      <c r="J650" s="117" t="str">
        <f t="shared" si="117"/>
        <v>01</v>
      </c>
      <c r="K650" s="117" t="str">
        <f t="shared" si="110"/>
        <v/>
      </c>
      <c r="L650" s="117" t="str">
        <f t="shared" si="118"/>
        <v/>
      </c>
      <c r="M650" s="117" t="str">
        <f t="shared" si="120"/>
        <v/>
      </c>
      <c r="N650" s="117" t="str">
        <f>IF(ISBLANK(INDEX('register map'!M:M,'Logical Group Generator'!C650)),"No","Yes")</f>
        <v>Yes</v>
      </c>
      <c r="O650" s="117" t="str">
        <f>IF(NOT(ISBLANK(INDEX('register map'!N:N,'Logical Group Generator'!C650))),"Yes","")</f>
        <v/>
      </c>
      <c r="P650" s="117" t="str">
        <f t="shared" si="111"/>
        <v/>
      </c>
      <c r="Q650" s="117" t="str">
        <f t="shared" si="112"/>
        <v/>
      </c>
      <c r="R650" s="117" t="str">
        <f t="shared" si="113"/>
        <v/>
      </c>
      <c r="S650" s="117" t="str">
        <f t="shared" si="114"/>
        <v>No</v>
      </c>
      <c r="T650" s="117" t="str">
        <f t="shared" si="115"/>
        <v/>
      </c>
      <c r="U650" s="117" t="b">
        <f t="shared" si="119"/>
        <v>0</v>
      </c>
      <c r="V650" s="157" t="b">
        <f>INDEX('register map'!P:P,C650)="yes"</f>
        <v>1</v>
      </c>
      <c r="W650" s="157" t="str">
        <f t="shared" si="116"/>
        <v>FALSE</v>
      </c>
    </row>
    <row r="651" spans="2:23">
      <c r="B651" s="157" t="str">
        <f t="array" ref="B651">IF(ROWS($3:651)&lt;=COUNTA('register map'!$L$5:$L$902),INDEX('register map'!$L$5:$L$902,SMALL(IF('register map'!$L$5:$L$902&lt;&gt;"",ROW('register map'!$L$5:$L$902)-MIN(ROW('register map'!$L$5:$L$902))+1),ROWS($3:651))),"")</f>
        <v>OTP_RSVD_38_47_54</v>
      </c>
      <c r="C651" s="157">
        <f>IF(B651="PART_NUMBER",IF(COUNTIF($B$1:B650,"PART_NUMBER")=0,6,8),MATCH(B651,'register map'!L:L,0))</f>
        <v>782</v>
      </c>
      <c r="D651" s="117" t="str">
        <f>IF(ISBLANK(INDEX('register map'!C:C,'Logical Group Generator'!C651)),"No","Yes")</f>
        <v>No</v>
      </c>
      <c r="E651" s="117" t="str">
        <f>IF(ISBLANK(INDEX('register map'!A:A,C651)),IF(ISBLANK(INDEX('register map'!A:A,C651-1)),IF(ISBLANK(INDEX('register map'!A:A,C651-2)),IF(ISBLANK(INDEX('register map'!A:A,C651-3)),IF(ISBLANK(INDEX('register map'!A:A,C651-4)),IF(ISBLANK(INDEX('register map'!A:A,C651-5)),IF(ISBLANK(INDEX('register map'!A:A,C651-6)),IF(ISBLANK(INDEX('register map'!A:A,C651-7)),IF(ISBLANK(INDEX('register map'!A:A,C651-8)),"ERROR",INDEX('register map'!A:A,C651-8)),INDEX('register map'!A:A,C651-7)),INDEX('register map'!A:A,C651-6)),INDEX('register map'!A:A,C651-5)),INDEX('register map'!A:A,C651-4)),INDEX('register map'!A:A,C651-3)),INDEX('register map'!A:A,C651-2)),INDEX('register map'!A:A,C651-1)),INDEX('register map'!A:A,C651))</f>
        <v>0x38</v>
      </c>
      <c r="F651" s="117" t="str">
        <f>IF(ISBLANK(INDEX('register map'!B:B,C651)),IF(ISBLANK(INDEX('register map'!B:B,C651-1)),IF(ISBLANK(INDEX('register map'!B:B,C651-2)),IF(ISBLANK(INDEX('register map'!B:B,C651-3)),IF(ISBLANK(INDEX('register map'!B:B,C651-4)),IF(ISBLANK(INDEX('register map'!B:B,C651-5)),IF(ISBLANK(INDEX('register map'!B:B,C651-6)),IF(ISBLANK(INDEX('register map'!B:B,C651-7)),IF(ISBLANK(INDEX('register map'!B:B,C651-8)),"ERROR",INDEX('register map'!B:B,C651-8)),INDEX('register map'!B:B,C651-7)),INDEX('register map'!B:B,C651-6)),INDEX('register map'!B:B,C651-5)),INDEX('register map'!B:B,C651-4)),INDEX('register map'!B:B,C651-3)),INDEX('register map'!B:B,C651-2)),INDEX('register map'!B:B,C651-1)),INDEX('register map'!B:B,C651))</f>
        <v>0x47</v>
      </c>
      <c r="G651" s="117" t="str">
        <f>CONCATENATE(IF(ISNUMBER(INDEX('register map'!D:D,C651)),7,""),IF(ISNUMBER(INDEX('register map'!E:E,C651)),6,""),IF(ISNUMBER(INDEX('register map'!F:F,C651)),5,""),IF(ISNUMBER(INDEX('register map'!G:G,C651)),4,""),IF(ISNUMBER(INDEX('register map'!H:H,C651)),3,""),IF(ISNUMBER(INDEX('register map'!I:I,C651)),2,""),IF(ISNUMBER(INDEX('register map'!J:J,C651)),1,""),IF(ISNUMBER(INDEX('register map'!K:K,C651)),0,""))</f>
        <v>54</v>
      </c>
      <c r="H651" s="117" t="str">
        <f>RIGHT(INDEX('register map'!V:V,MATCH('Logical Group Generator'!B651,'register map'!L:L,0)),LEN(G651))</f>
        <v>10</v>
      </c>
      <c r="I651" s="117" t="str">
        <f>CONCATENATE(IF(ISNUMBER(INDEX('register map'!K:K,C651)),0,""),IF(ISNUMBER(INDEX('register map'!J:J,C651)),1,""),IF(ISNUMBER(INDEX('register map'!I:I,C651)),2,""),IF(ISNUMBER(INDEX('register map'!H:H,C651)),3,""),IF(ISNUMBER(INDEX('register map'!G:G,C651)),4,""),IF(ISNUMBER(INDEX('register map'!F:F,C651)),5,""),IF(ISNUMBER(INDEX('register map'!E:E,C651)),6,""),IF(ISNUMBER(INDEX('register map'!D:D,C651)),7,""))</f>
        <v>45</v>
      </c>
      <c r="J651" s="117" t="str">
        <f t="shared" si="117"/>
        <v>01</v>
      </c>
      <c r="K651" s="117" t="str">
        <f t="shared" si="110"/>
        <v/>
      </c>
      <c r="L651" s="117" t="str">
        <f t="shared" si="118"/>
        <v/>
      </c>
      <c r="M651" s="117" t="str">
        <f t="shared" si="120"/>
        <v/>
      </c>
      <c r="N651" s="117" t="str">
        <f>IF(ISBLANK(INDEX('register map'!M:M,'Logical Group Generator'!C651)),"No","Yes")</f>
        <v>Yes</v>
      </c>
      <c r="O651" s="117" t="str">
        <f>IF(NOT(ISBLANK(INDEX('register map'!N:N,'Logical Group Generator'!C651))),"Yes","")</f>
        <v/>
      </c>
      <c r="P651" s="117" t="str">
        <f t="shared" si="111"/>
        <v/>
      </c>
      <c r="Q651" s="117" t="str">
        <f t="shared" si="112"/>
        <v/>
      </c>
      <c r="R651" s="117" t="str">
        <f t="shared" si="113"/>
        <v/>
      </c>
      <c r="S651" s="117" t="str">
        <f t="shared" si="114"/>
        <v>No</v>
      </c>
      <c r="T651" s="117" t="str">
        <f t="shared" si="115"/>
        <v/>
      </c>
      <c r="U651" s="117" t="b">
        <f t="shared" si="119"/>
        <v>0</v>
      </c>
      <c r="V651" s="157" t="b">
        <f>INDEX('register map'!P:P,C651)="yes"</f>
        <v>1</v>
      </c>
      <c r="W651" s="157" t="str">
        <f t="shared" si="116"/>
        <v>FALSE</v>
      </c>
    </row>
    <row r="652" spans="2:23">
      <c r="B652" s="157" t="str">
        <f t="array" ref="B652">IF(ROWS($3:652)&lt;=COUNTA('register map'!$L$5:$L$902),INDEX('register map'!$L$5:$L$902,SMALL(IF('register map'!$L$5:$L$902&lt;&gt;"",ROW('register map'!$L$5:$L$902)-MIN(ROW('register map'!$L$5:$L$902))+1),ROWS($3:652))),"")</f>
        <v>OTP_RSVD_38_47_76</v>
      </c>
      <c r="C652" s="157">
        <f>IF(B652="PART_NUMBER",IF(COUNTIF($B$1:B651,"PART_NUMBER")=0,6,8),MATCH(B652,'register map'!L:L,0))</f>
        <v>783</v>
      </c>
      <c r="D652" s="117" t="str">
        <f>IF(ISBLANK(INDEX('register map'!C:C,'Logical Group Generator'!C652)),"No","Yes")</f>
        <v>No</v>
      </c>
      <c r="E652" s="117" t="str">
        <f>IF(ISBLANK(INDEX('register map'!A:A,C652)),IF(ISBLANK(INDEX('register map'!A:A,C652-1)),IF(ISBLANK(INDEX('register map'!A:A,C652-2)),IF(ISBLANK(INDEX('register map'!A:A,C652-3)),IF(ISBLANK(INDEX('register map'!A:A,C652-4)),IF(ISBLANK(INDEX('register map'!A:A,C652-5)),IF(ISBLANK(INDEX('register map'!A:A,C652-6)),IF(ISBLANK(INDEX('register map'!A:A,C652-7)),IF(ISBLANK(INDEX('register map'!A:A,C652-8)),"ERROR",INDEX('register map'!A:A,C652-8)),INDEX('register map'!A:A,C652-7)),INDEX('register map'!A:A,C652-6)),INDEX('register map'!A:A,C652-5)),INDEX('register map'!A:A,C652-4)),INDEX('register map'!A:A,C652-3)),INDEX('register map'!A:A,C652-2)),INDEX('register map'!A:A,C652-1)),INDEX('register map'!A:A,C652))</f>
        <v>0x38</v>
      </c>
      <c r="F652" s="117" t="str">
        <f>IF(ISBLANK(INDEX('register map'!B:B,C652)),IF(ISBLANK(INDEX('register map'!B:B,C652-1)),IF(ISBLANK(INDEX('register map'!B:B,C652-2)),IF(ISBLANK(INDEX('register map'!B:B,C652-3)),IF(ISBLANK(INDEX('register map'!B:B,C652-4)),IF(ISBLANK(INDEX('register map'!B:B,C652-5)),IF(ISBLANK(INDEX('register map'!B:B,C652-6)),IF(ISBLANK(INDEX('register map'!B:B,C652-7)),IF(ISBLANK(INDEX('register map'!B:B,C652-8)),"ERROR",INDEX('register map'!B:B,C652-8)),INDEX('register map'!B:B,C652-7)),INDEX('register map'!B:B,C652-6)),INDEX('register map'!B:B,C652-5)),INDEX('register map'!B:B,C652-4)),INDEX('register map'!B:B,C652-3)),INDEX('register map'!B:B,C652-2)),INDEX('register map'!B:B,C652-1)),INDEX('register map'!B:B,C652))</f>
        <v>0x47</v>
      </c>
      <c r="G652" s="117" t="str">
        <f>CONCATENATE(IF(ISNUMBER(INDEX('register map'!D:D,C652)),7,""),IF(ISNUMBER(INDEX('register map'!E:E,C652)),6,""),IF(ISNUMBER(INDEX('register map'!F:F,C652)),5,""),IF(ISNUMBER(INDEX('register map'!G:G,C652)),4,""),IF(ISNUMBER(INDEX('register map'!H:H,C652)),3,""),IF(ISNUMBER(INDEX('register map'!I:I,C652)),2,""),IF(ISNUMBER(INDEX('register map'!J:J,C652)),1,""),IF(ISNUMBER(INDEX('register map'!K:K,C652)),0,""))</f>
        <v>76</v>
      </c>
      <c r="H652" s="117" t="str">
        <f>RIGHT(INDEX('register map'!V:V,MATCH('Logical Group Generator'!B652,'register map'!L:L,0)),LEN(G652))</f>
        <v>10</v>
      </c>
      <c r="I652" s="117" t="str">
        <f>CONCATENATE(IF(ISNUMBER(INDEX('register map'!K:K,C652)),0,""),IF(ISNUMBER(INDEX('register map'!J:J,C652)),1,""),IF(ISNUMBER(INDEX('register map'!I:I,C652)),2,""),IF(ISNUMBER(INDEX('register map'!H:H,C652)),3,""),IF(ISNUMBER(INDEX('register map'!G:G,C652)),4,""),IF(ISNUMBER(INDEX('register map'!F:F,C652)),5,""),IF(ISNUMBER(INDEX('register map'!E:E,C652)),6,""),IF(ISNUMBER(INDEX('register map'!D:D,C652)),7,""))</f>
        <v>67</v>
      </c>
      <c r="J652" s="117" t="str">
        <f t="shared" si="117"/>
        <v>01</v>
      </c>
      <c r="K652" s="117" t="str">
        <f t="shared" si="110"/>
        <v/>
      </c>
      <c r="L652" s="117" t="str">
        <f t="shared" si="118"/>
        <v/>
      </c>
      <c r="M652" s="117" t="str">
        <f t="shared" si="120"/>
        <v/>
      </c>
      <c r="N652" s="117" t="str">
        <f>IF(ISBLANK(INDEX('register map'!M:M,'Logical Group Generator'!C652)),"No","Yes")</f>
        <v>No</v>
      </c>
      <c r="O652" s="117" t="str">
        <f>IF(NOT(ISBLANK(INDEX('register map'!N:N,'Logical Group Generator'!C652))),"Yes","")</f>
        <v>Yes</v>
      </c>
      <c r="P652" s="117" t="str">
        <f t="shared" si="111"/>
        <v/>
      </c>
      <c r="Q652" s="117" t="str">
        <f t="shared" si="112"/>
        <v/>
      </c>
      <c r="R652" s="117" t="str">
        <f t="shared" si="113"/>
        <v/>
      </c>
      <c r="S652" s="117" t="str">
        <f t="shared" si="114"/>
        <v>No</v>
      </c>
      <c r="T652" s="117" t="str">
        <f t="shared" si="115"/>
        <v/>
      </c>
      <c r="U652" s="117" t="b">
        <f t="shared" si="119"/>
        <v>0</v>
      </c>
      <c r="V652" s="157" t="b">
        <f>INDEX('register map'!P:P,C652)="yes"</f>
        <v>1</v>
      </c>
      <c r="W652" s="157" t="str">
        <f t="shared" si="116"/>
        <v>FALSE</v>
      </c>
    </row>
    <row r="653" spans="2:23" s="267" customFormat="1">
      <c r="B653" s="267" t="str">
        <f t="array" ref="B653">IF(ROWS($3:653)&lt;=COUNTA('register map'!$L$5:$L$902),INDEX('register map'!$L$5:$L$902,SMALL(IF('register map'!$L$5:$L$902&lt;&gt;"",ROW('register map'!$L$5:$L$902)-MIN(ROW('register map'!$L$5:$L$902))+1),ROWS($3:653))),"")</f>
        <v>OTP_RSVD_38_48</v>
      </c>
      <c r="C653" s="267">
        <f>IF(B653="PART_NUMBER",IF(COUNTIF($B$1:B652,"PART_NUMBER")=0,6,8),MATCH(B653,'register map'!L:L,0))</f>
        <v>784</v>
      </c>
      <c r="D653" s="267" t="str">
        <f>IF(ISBLANK(INDEX('register map'!C:C,'Logical Group Generator'!C653)),"No","Yes")</f>
        <v>Yes</v>
      </c>
      <c r="E653" s="267" t="str">
        <f>IF(ISBLANK(INDEX('register map'!A:A,C653)),IF(ISBLANK(INDEX('register map'!A:A,C653-1)),IF(ISBLANK(INDEX('register map'!A:A,C653-2)),IF(ISBLANK(INDEX('register map'!A:A,C653-3)),IF(ISBLANK(INDEX('register map'!A:A,C653-4)),IF(ISBLANK(INDEX('register map'!A:A,C653-5)),IF(ISBLANK(INDEX('register map'!A:A,C653-6)),IF(ISBLANK(INDEX('register map'!A:A,C653-7)),IF(ISBLANK(INDEX('register map'!A:A,C653-8)),"ERROR",INDEX('register map'!A:A,C653-8)),INDEX('register map'!A:A,C653-7)),INDEX('register map'!A:A,C653-6)),INDEX('register map'!A:A,C653-5)),INDEX('register map'!A:A,C653-4)),INDEX('register map'!A:A,C653-3)),INDEX('register map'!A:A,C653-2)),INDEX('register map'!A:A,C653-1)),INDEX('register map'!A:A,C653))</f>
        <v>0x38</v>
      </c>
      <c r="F653" s="267" t="str">
        <f>IF(ISBLANK(INDEX('register map'!B:B,C653)),IF(ISBLANK(INDEX('register map'!B:B,C653-1)),IF(ISBLANK(INDEX('register map'!B:B,C653-2)),IF(ISBLANK(INDEX('register map'!B:B,C653-3)),IF(ISBLANK(INDEX('register map'!B:B,C653-4)),IF(ISBLANK(INDEX('register map'!B:B,C653-5)),IF(ISBLANK(INDEX('register map'!B:B,C653-6)),IF(ISBLANK(INDEX('register map'!B:B,C653-7)),IF(ISBLANK(INDEX('register map'!B:B,C653-8)),"ERROR",INDEX('register map'!B:B,C653-8)),INDEX('register map'!B:B,C653-7)),INDEX('register map'!B:B,C653-6)),INDEX('register map'!B:B,C653-5)),INDEX('register map'!B:B,C653-4)),INDEX('register map'!B:B,C653-3)),INDEX('register map'!B:B,C653-2)),INDEX('register map'!B:B,C653-1)),INDEX('register map'!B:B,C653))</f>
        <v>0x48</v>
      </c>
      <c r="G653" s="267" t="str">
        <f>CONCATENATE(IF(ISNUMBER(INDEX('register map'!D:D,C653)),7,""),IF(ISNUMBER(INDEX('register map'!E:E,C653)),6,""),IF(ISNUMBER(INDEX('register map'!F:F,C653)),5,""),IF(ISNUMBER(INDEX('register map'!G:G,C653)),4,""),IF(ISNUMBER(INDEX('register map'!H:H,C653)),3,""),IF(ISNUMBER(INDEX('register map'!I:I,C653)),2,""),IF(ISNUMBER(INDEX('register map'!J:J,C653)),1,""),IF(ISNUMBER(INDEX('register map'!K:K,C653)),0,""))</f>
        <v/>
      </c>
      <c r="H653" s="267" t="str">
        <f>RIGHT(INDEX('register map'!V:V,MATCH('Logical Group Generator'!B653,'register map'!L:L,0)),LEN(G653))</f>
        <v/>
      </c>
      <c r="I653" s="267" t="str">
        <f>CONCATENATE(IF(ISNUMBER(INDEX('register map'!K:K,C653)),0,""),IF(ISNUMBER(INDEX('register map'!J:J,C653)),1,""),IF(ISNUMBER(INDEX('register map'!I:I,C653)),2,""),IF(ISNUMBER(INDEX('register map'!H:H,C653)),3,""),IF(ISNUMBER(INDEX('register map'!G:G,C653)),4,""),IF(ISNUMBER(INDEX('register map'!F:F,C653)),5,""),IF(ISNUMBER(INDEX('register map'!E:E,C653)),6,""),IF(ISNUMBER(INDEX('register map'!D:D,C653)),7,""))</f>
        <v/>
      </c>
      <c r="J653" s="267" t="str">
        <f t="shared" si="117"/>
        <v/>
      </c>
      <c r="K653" s="267" t="str">
        <f t="shared" si="110"/>
        <v>10100100</v>
      </c>
      <c r="L653" s="267" t="str">
        <f t="shared" si="118"/>
        <v>00100101</v>
      </c>
      <c r="M653" s="267" t="str">
        <f t="shared" si="120"/>
        <v>25</v>
      </c>
      <c r="N653" s="267" t="str">
        <f>IF(ISBLANK(INDEX('register map'!M:M,'Logical Group Generator'!C653)),"No","Yes")</f>
        <v>No</v>
      </c>
      <c r="O653" s="267" t="str">
        <f>IF(NOT(ISBLANK(INDEX('register map'!N:N,'Logical Group Generator'!C653))),"Yes","")</f>
        <v/>
      </c>
      <c r="P653" s="267" t="s">
        <v>618</v>
      </c>
      <c r="Q653" s="267" t="str">
        <f t="shared" si="112"/>
        <v>No</v>
      </c>
      <c r="R653" s="267" t="str">
        <f t="shared" si="113"/>
        <v>No</v>
      </c>
      <c r="S653" s="267" t="str">
        <f t="shared" si="114"/>
        <v/>
      </c>
      <c r="T653" s="267" t="b">
        <f t="shared" si="115"/>
        <v>1</v>
      </c>
      <c r="U653" s="267" t="b">
        <f t="shared" si="119"/>
        <v>1</v>
      </c>
      <c r="V653" s="267" t="b">
        <f>INDEX('register map'!P:P,C653)="yes"</f>
        <v>1</v>
      </c>
      <c r="W653" s="267" t="str">
        <f t="shared" si="116"/>
        <v>REGISTER</v>
      </c>
    </row>
    <row r="654" spans="2:23" s="267" customFormat="1">
      <c r="B654" s="267" t="str">
        <f t="array" ref="B654">IF(ROWS($3:654)&lt;=COUNTA('register map'!$L$5:$L$902),INDEX('register map'!$L$5:$L$902,SMALL(IF('register map'!$L$5:$L$902&lt;&gt;"",ROW('register map'!$L$5:$L$902)-MIN(ROW('register map'!$L$5:$L$902))+1),ROWS($3:654))),"")</f>
        <v>OTP_RSVD_38_48_10</v>
      </c>
      <c r="C654" s="267">
        <f>IF(B654="PART_NUMBER",IF(COUNTIF($B$1:B653,"PART_NUMBER")=0,6,8),MATCH(B654,'register map'!L:L,0))</f>
        <v>785</v>
      </c>
      <c r="D654" s="267" t="str">
        <f>IF(ISBLANK(INDEX('register map'!C:C,'Logical Group Generator'!C654)),"No","Yes")</f>
        <v>No</v>
      </c>
      <c r="E654" s="267" t="str">
        <f>IF(ISBLANK(INDEX('register map'!A:A,C654)),IF(ISBLANK(INDEX('register map'!A:A,C654-1)),IF(ISBLANK(INDEX('register map'!A:A,C654-2)),IF(ISBLANK(INDEX('register map'!A:A,C654-3)),IF(ISBLANK(INDEX('register map'!A:A,C654-4)),IF(ISBLANK(INDEX('register map'!A:A,C654-5)),IF(ISBLANK(INDEX('register map'!A:A,C654-6)),IF(ISBLANK(INDEX('register map'!A:A,C654-7)),IF(ISBLANK(INDEX('register map'!A:A,C654-8)),"ERROR",INDEX('register map'!A:A,C654-8)),INDEX('register map'!A:A,C654-7)),INDEX('register map'!A:A,C654-6)),INDEX('register map'!A:A,C654-5)),INDEX('register map'!A:A,C654-4)),INDEX('register map'!A:A,C654-3)),INDEX('register map'!A:A,C654-2)),INDEX('register map'!A:A,C654-1)),INDEX('register map'!A:A,C654))</f>
        <v>0x38</v>
      </c>
      <c r="F654" s="267" t="str">
        <f>IF(ISBLANK(INDEX('register map'!B:B,C654)),IF(ISBLANK(INDEX('register map'!B:B,C654-1)),IF(ISBLANK(INDEX('register map'!B:B,C654-2)),IF(ISBLANK(INDEX('register map'!B:B,C654-3)),IF(ISBLANK(INDEX('register map'!B:B,C654-4)),IF(ISBLANK(INDEX('register map'!B:B,C654-5)),IF(ISBLANK(INDEX('register map'!B:B,C654-6)),IF(ISBLANK(INDEX('register map'!B:B,C654-7)),IF(ISBLANK(INDEX('register map'!B:B,C654-8)),"ERROR",INDEX('register map'!B:B,C654-8)),INDEX('register map'!B:B,C654-7)),INDEX('register map'!B:B,C654-6)),INDEX('register map'!B:B,C654-5)),INDEX('register map'!B:B,C654-4)),INDEX('register map'!B:B,C654-3)),INDEX('register map'!B:B,C654-2)),INDEX('register map'!B:B,C654-1)),INDEX('register map'!B:B,C654))</f>
        <v>0x48</v>
      </c>
      <c r="G654" s="267" t="str">
        <f>CONCATENATE(IF(ISNUMBER(INDEX('register map'!D:D,C654)),7,""),IF(ISNUMBER(INDEX('register map'!E:E,C654)),6,""),IF(ISNUMBER(INDEX('register map'!F:F,C654)),5,""),IF(ISNUMBER(INDEX('register map'!G:G,C654)),4,""),IF(ISNUMBER(INDEX('register map'!H:H,C654)),3,""),IF(ISNUMBER(INDEX('register map'!I:I,C654)),2,""),IF(ISNUMBER(INDEX('register map'!J:J,C654)),1,""),IF(ISNUMBER(INDEX('register map'!K:K,C654)),0,""))</f>
        <v>10</v>
      </c>
      <c r="H654" s="267" t="str">
        <f>RIGHT(INDEX('register map'!V:V,MATCH('Logical Group Generator'!B654,'register map'!L:L,0)),LEN(G654))</f>
        <v>01</v>
      </c>
      <c r="I654" s="267" t="str">
        <f>CONCATENATE(IF(ISNUMBER(INDEX('register map'!K:K,C654)),0,""),IF(ISNUMBER(INDEX('register map'!J:J,C654)),1,""),IF(ISNUMBER(INDEX('register map'!I:I,C654)),2,""),IF(ISNUMBER(INDEX('register map'!H:H,C654)),3,""),IF(ISNUMBER(INDEX('register map'!G:G,C654)),4,""),IF(ISNUMBER(INDEX('register map'!F:F,C654)),5,""),IF(ISNUMBER(INDEX('register map'!E:E,C654)),6,""),IF(ISNUMBER(INDEX('register map'!D:D,C654)),7,""))</f>
        <v>01</v>
      </c>
      <c r="J654" s="267" t="str">
        <f t="shared" si="117"/>
        <v>10</v>
      </c>
      <c r="K654" s="267" t="str">
        <f t="shared" si="110"/>
        <v/>
      </c>
      <c r="L654" s="267" t="str">
        <f t="shared" si="118"/>
        <v/>
      </c>
      <c r="M654" s="267" t="str">
        <f t="shared" si="120"/>
        <v/>
      </c>
      <c r="N654" s="267" t="str">
        <f>IF(ISBLANK(INDEX('register map'!M:M,'Logical Group Generator'!C654)),"No","Yes")</f>
        <v>Yes</v>
      </c>
      <c r="O654" s="267" t="str">
        <f>IF(NOT(ISBLANK(INDEX('register map'!N:N,'Logical Group Generator'!C654))),"Yes","")</f>
        <v/>
      </c>
      <c r="P654" s="267" t="str">
        <f t="shared" si="111"/>
        <v/>
      </c>
      <c r="Q654" s="267" t="str">
        <f t="shared" si="112"/>
        <v/>
      </c>
      <c r="R654" s="267" t="str">
        <f t="shared" si="113"/>
        <v/>
      </c>
      <c r="S654" s="267" t="str">
        <f t="shared" si="114"/>
        <v>No</v>
      </c>
      <c r="T654" s="267" t="str">
        <f t="shared" si="115"/>
        <v/>
      </c>
      <c r="U654" s="267" t="b">
        <f t="shared" si="119"/>
        <v>0</v>
      </c>
      <c r="V654" s="267" t="b">
        <f>INDEX('register map'!P:P,C654)="yes"</f>
        <v>1</v>
      </c>
      <c r="W654" s="267" t="str">
        <f t="shared" si="116"/>
        <v>FALSE</v>
      </c>
    </row>
    <row r="655" spans="2:23" s="267" customFormat="1">
      <c r="B655" s="267" t="str">
        <f t="array" ref="B655">IF(ROWS($3:655)&lt;=COUNTA('register map'!$L$5:$L$902),INDEX('register map'!$L$5:$L$902,SMALL(IF('register map'!$L$5:$L$902&lt;&gt;"",ROW('register map'!$L$5:$L$902)-MIN(ROW('register map'!$L$5:$L$902))+1),ROWS($3:655))),"")</f>
        <v>OTP_RSVD_38_48_2</v>
      </c>
      <c r="C655" s="267">
        <f>IF(B655="PART_NUMBER",IF(COUNTIF($B$1:B654,"PART_NUMBER")=0,6,8),MATCH(B655,'register map'!L:L,0))</f>
        <v>786</v>
      </c>
      <c r="D655" s="267" t="str">
        <f>IF(ISBLANK(INDEX('register map'!C:C,'Logical Group Generator'!C655)),"No","Yes")</f>
        <v>No</v>
      </c>
      <c r="E655" s="267" t="str">
        <f>IF(ISBLANK(INDEX('register map'!A:A,C655)),IF(ISBLANK(INDEX('register map'!A:A,C655-1)),IF(ISBLANK(INDEX('register map'!A:A,C655-2)),IF(ISBLANK(INDEX('register map'!A:A,C655-3)),IF(ISBLANK(INDEX('register map'!A:A,C655-4)),IF(ISBLANK(INDEX('register map'!A:A,C655-5)),IF(ISBLANK(INDEX('register map'!A:A,C655-6)),IF(ISBLANK(INDEX('register map'!A:A,C655-7)),IF(ISBLANK(INDEX('register map'!A:A,C655-8)),"ERROR",INDEX('register map'!A:A,C655-8)),INDEX('register map'!A:A,C655-7)),INDEX('register map'!A:A,C655-6)),INDEX('register map'!A:A,C655-5)),INDEX('register map'!A:A,C655-4)),INDEX('register map'!A:A,C655-3)),INDEX('register map'!A:A,C655-2)),INDEX('register map'!A:A,C655-1)),INDEX('register map'!A:A,C655))</f>
        <v>0x38</v>
      </c>
      <c r="F655" s="267" t="str">
        <f>IF(ISBLANK(INDEX('register map'!B:B,C655)),IF(ISBLANK(INDEX('register map'!B:B,C655-1)),IF(ISBLANK(INDEX('register map'!B:B,C655-2)),IF(ISBLANK(INDEX('register map'!B:B,C655-3)),IF(ISBLANK(INDEX('register map'!B:B,C655-4)),IF(ISBLANK(INDEX('register map'!B:B,C655-5)),IF(ISBLANK(INDEX('register map'!B:B,C655-6)),IF(ISBLANK(INDEX('register map'!B:B,C655-7)),IF(ISBLANK(INDEX('register map'!B:B,C655-8)),"ERROR",INDEX('register map'!B:B,C655-8)),INDEX('register map'!B:B,C655-7)),INDEX('register map'!B:B,C655-6)),INDEX('register map'!B:B,C655-5)),INDEX('register map'!B:B,C655-4)),INDEX('register map'!B:B,C655-3)),INDEX('register map'!B:B,C655-2)),INDEX('register map'!B:B,C655-1)),INDEX('register map'!B:B,C655))</f>
        <v>0x48</v>
      </c>
      <c r="G655" s="267" t="str">
        <f>CONCATENATE(IF(ISNUMBER(INDEX('register map'!D:D,C655)),7,""),IF(ISNUMBER(INDEX('register map'!E:E,C655)),6,""),IF(ISNUMBER(INDEX('register map'!F:F,C655)),5,""),IF(ISNUMBER(INDEX('register map'!G:G,C655)),4,""),IF(ISNUMBER(INDEX('register map'!H:H,C655)),3,""),IF(ISNUMBER(INDEX('register map'!I:I,C655)),2,""),IF(ISNUMBER(INDEX('register map'!J:J,C655)),1,""),IF(ISNUMBER(INDEX('register map'!K:K,C655)),0,""))</f>
        <v>2</v>
      </c>
      <c r="H655" s="267" t="str">
        <f>RIGHT(INDEX('register map'!V:V,MATCH('Logical Group Generator'!B655,'register map'!L:L,0)),LEN(G655))</f>
        <v>1</v>
      </c>
      <c r="I655" s="267" t="str">
        <f>CONCATENATE(IF(ISNUMBER(INDEX('register map'!K:K,C655)),0,""),IF(ISNUMBER(INDEX('register map'!J:J,C655)),1,""),IF(ISNUMBER(INDEX('register map'!I:I,C655)),2,""),IF(ISNUMBER(INDEX('register map'!H:H,C655)),3,""),IF(ISNUMBER(INDEX('register map'!G:G,C655)),4,""),IF(ISNUMBER(INDEX('register map'!F:F,C655)),5,""),IF(ISNUMBER(INDEX('register map'!E:E,C655)),6,""),IF(ISNUMBER(INDEX('register map'!D:D,C655)),7,""))</f>
        <v>2</v>
      </c>
      <c r="J655" s="267" t="str">
        <f t="shared" si="117"/>
        <v>1</v>
      </c>
      <c r="K655" s="267" t="str">
        <f t="shared" si="110"/>
        <v/>
      </c>
      <c r="L655" s="267" t="str">
        <f t="shared" si="118"/>
        <v/>
      </c>
      <c r="M655" s="267" t="str">
        <f t="shared" si="120"/>
        <v/>
      </c>
      <c r="N655" s="267" t="str">
        <f>IF(ISBLANK(INDEX('register map'!M:M,'Logical Group Generator'!C655)),"No","Yes")</f>
        <v>No</v>
      </c>
      <c r="O655" s="267" t="str">
        <f>IF(NOT(ISBLANK(INDEX('register map'!N:N,'Logical Group Generator'!C655))),"Yes","")</f>
        <v/>
      </c>
      <c r="P655" s="267" t="str">
        <f t="shared" si="111"/>
        <v/>
      </c>
      <c r="Q655" s="267" t="str">
        <f t="shared" si="112"/>
        <v/>
      </c>
      <c r="R655" s="267" t="str">
        <f t="shared" si="113"/>
        <v/>
      </c>
      <c r="S655" s="267" t="str">
        <f t="shared" si="114"/>
        <v>No</v>
      </c>
      <c r="T655" s="267" t="str">
        <f t="shared" si="115"/>
        <v/>
      </c>
      <c r="U655" s="267" t="b">
        <f t="shared" si="119"/>
        <v>0</v>
      </c>
      <c r="V655" s="267" t="b">
        <f>INDEX('register map'!P:P,C655)="yes"</f>
        <v>1</v>
      </c>
      <c r="W655" s="267" t="str">
        <f t="shared" si="116"/>
        <v>FALSE</v>
      </c>
    </row>
    <row r="656" spans="2:23" s="267" customFormat="1">
      <c r="B656" s="267" t="str">
        <f t="array" ref="B656">IF(ROWS($3:656)&lt;=COUNTA('register map'!$L$5:$L$902),INDEX('register map'!$L$5:$L$902,SMALL(IF('register map'!$L$5:$L$902&lt;&gt;"",ROW('register map'!$L$5:$L$902)-MIN(ROW('register map'!$L$5:$L$902))+1),ROWS($3:656))),"")</f>
        <v>OTP_RSVD_38_48_3</v>
      </c>
      <c r="C656" s="267">
        <f>IF(B656="PART_NUMBER",IF(COUNTIF($B$1:B655,"PART_NUMBER")=0,6,8),MATCH(B656,'register map'!L:L,0))</f>
        <v>787</v>
      </c>
      <c r="D656" s="267" t="str">
        <f>IF(ISBLANK(INDEX('register map'!C:C,'Logical Group Generator'!C656)),"No","Yes")</f>
        <v>No</v>
      </c>
      <c r="E656" s="267" t="str">
        <f>IF(ISBLANK(INDEX('register map'!A:A,C656)),IF(ISBLANK(INDEX('register map'!A:A,C656-1)),IF(ISBLANK(INDEX('register map'!A:A,C656-2)),IF(ISBLANK(INDEX('register map'!A:A,C656-3)),IF(ISBLANK(INDEX('register map'!A:A,C656-4)),IF(ISBLANK(INDEX('register map'!A:A,C656-5)),IF(ISBLANK(INDEX('register map'!A:A,C656-6)),IF(ISBLANK(INDEX('register map'!A:A,C656-7)),IF(ISBLANK(INDEX('register map'!A:A,C656-8)),"ERROR",INDEX('register map'!A:A,C656-8)),INDEX('register map'!A:A,C656-7)),INDEX('register map'!A:A,C656-6)),INDEX('register map'!A:A,C656-5)),INDEX('register map'!A:A,C656-4)),INDEX('register map'!A:A,C656-3)),INDEX('register map'!A:A,C656-2)),INDEX('register map'!A:A,C656-1)),INDEX('register map'!A:A,C656))</f>
        <v>0x38</v>
      </c>
      <c r="F656" s="267" t="str">
        <f>IF(ISBLANK(INDEX('register map'!B:B,C656)),IF(ISBLANK(INDEX('register map'!B:B,C656-1)),IF(ISBLANK(INDEX('register map'!B:B,C656-2)),IF(ISBLANK(INDEX('register map'!B:B,C656-3)),IF(ISBLANK(INDEX('register map'!B:B,C656-4)),IF(ISBLANK(INDEX('register map'!B:B,C656-5)),IF(ISBLANK(INDEX('register map'!B:B,C656-6)),IF(ISBLANK(INDEX('register map'!B:B,C656-7)),IF(ISBLANK(INDEX('register map'!B:B,C656-8)),"ERROR",INDEX('register map'!B:B,C656-8)),INDEX('register map'!B:B,C656-7)),INDEX('register map'!B:B,C656-6)),INDEX('register map'!B:B,C656-5)),INDEX('register map'!B:B,C656-4)),INDEX('register map'!B:B,C656-3)),INDEX('register map'!B:B,C656-2)),INDEX('register map'!B:B,C656-1)),INDEX('register map'!B:B,C656))</f>
        <v>0x48</v>
      </c>
      <c r="G656" s="267" t="str">
        <f>CONCATENATE(IF(ISNUMBER(INDEX('register map'!D:D,C656)),7,""),IF(ISNUMBER(INDEX('register map'!E:E,C656)),6,""),IF(ISNUMBER(INDEX('register map'!F:F,C656)),5,""),IF(ISNUMBER(INDEX('register map'!G:G,C656)),4,""),IF(ISNUMBER(INDEX('register map'!H:H,C656)),3,""),IF(ISNUMBER(INDEX('register map'!I:I,C656)),2,""),IF(ISNUMBER(INDEX('register map'!J:J,C656)),1,""),IF(ISNUMBER(INDEX('register map'!K:K,C656)),0,""))</f>
        <v>3</v>
      </c>
      <c r="H656" s="267" t="str">
        <f>RIGHT(INDEX('register map'!V:V,MATCH('Logical Group Generator'!B656,'register map'!L:L,0)),LEN(G656))</f>
        <v>0</v>
      </c>
      <c r="I656" s="267" t="str">
        <f>CONCATENATE(IF(ISNUMBER(INDEX('register map'!K:K,C656)),0,""),IF(ISNUMBER(INDEX('register map'!J:J,C656)),1,""),IF(ISNUMBER(INDEX('register map'!I:I,C656)),2,""),IF(ISNUMBER(INDEX('register map'!H:H,C656)),3,""),IF(ISNUMBER(INDEX('register map'!G:G,C656)),4,""),IF(ISNUMBER(INDEX('register map'!F:F,C656)),5,""),IF(ISNUMBER(INDEX('register map'!E:E,C656)),6,""),IF(ISNUMBER(INDEX('register map'!D:D,C656)),7,""))</f>
        <v>3</v>
      </c>
      <c r="J656" s="267" t="str">
        <f t="shared" si="117"/>
        <v>0</v>
      </c>
      <c r="K656" s="267" t="str">
        <f t="shared" si="110"/>
        <v/>
      </c>
      <c r="L656" s="267" t="str">
        <f t="shared" si="118"/>
        <v/>
      </c>
      <c r="M656" s="267" t="str">
        <f t="shared" si="120"/>
        <v/>
      </c>
      <c r="N656" s="267" t="str">
        <f>IF(ISBLANK(INDEX('register map'!M:M,'Logical Group Generator'!C656)),"No","Yes")</f>
        <v>No</v>
      </c>
      <c r="O656" s="267" t="str">
        <f>IF(NOT(ISBLANK(INDEX('register map'!N:N,'Logical Group Generator'!C656))),"Yes","")</f>
        <v>Yes</v>
      </c>
      <c r="P656" s="267" t="str">
        <f t="shared" si="111"/>
        <v/>
      </c>
      <c r="Q656" s="267" t="str">
        <f t="shared" si="112"/>
        <v/>
      </c>
      <c r="R656" s="267" t="str">
        <f t="shared" si="113"/>
        <v/>
      </c>
      <c r="S656" s="267" t="str">
        <f t="shared" si="114"/>
        <v>No</v>
      </c>
      <c r="T656" s="267" t="str">
        <f t="shared" si="115"/>
        <v/>
      </c>
      <c r="U656" s="267" t="b">
        <f t="shared" si="119"/>
        <v>0</v>
      </c>
      <c r="V656" s="267" t="b">
        <f>INDEX('register map'!P:P,C656)="yes"</f>
        <v>1</v>
      </c>
      <c r="W656" s="267" t="str">
        <f t="shared" si="116"/>
        <v>FALSE</v>
      </c>
    </row>
    <row r="657" spans="2:23" s="267" customFormat="1">
      <c r="B657" s="267" t="str">
        <f t="array" ref="B657">IF(ROWS($3:657)&lt;=COUNTA('register map'!$L$5:$L$902),INDEX('register map'!$L$5:$L$902,SMALL(IF('register map'!$L$5:$L$902&lt;&gt;"",ROW('register map'!$L$5:$L$902)-MIN(ROW('register map'!$L$5:$L$902))+1),ROWS($3:657))),"")</f>
        <v>OTP_RSVD_38_48_4</v>
      </c>
      <c r="C657" s="267">
        <f>IF(B657="PART_NUMBER",IF(COUNTIF($B$1:B656,"PART_NUMBER")=0,6,8),MATCH(B657,'register map'!L:L,0))</f>
        <v>788</v>
      </c>
      <c r="D657" s="267" t="str">
        <f>IF(ISBLANK(INDEX('register map'!C:C,'Logical Group Generator'!C657)),"No","Yes")</f>
        <v>No</v>
      </c>
      <c r="E657" s="267" t="str">
        <f>IF(ISBLANK(INDEX('register map'!A:A,C657)),IF(ISBLANK(INDEX('register map'!A:A,C657-1)),IF(ISBLANK(INDEX('register map'!A:A,C657-2)),IF(ISBLANK(INDEX('register map'!A:A,C657-3)),IF(ISBLANK(INDEX('register map'!A:A,C657-4)),IF(ISBLANK(INDEX('register map'!A:A,C657-5)),IF(ISBLANK(INDEX('register map'!A:A,C657-6)),IF(ISBLANK(INDEX('register map'!A:A,C657-7)),IF(ISBLANK(INDEX('register map'!A:A,C657-8)),"ERROR",INDEX('register map'!A:A,C657-8)),INDEX('register map'!A:A,C657-7)),INDEX('register map'!A:A,C657-6)),INDEX('register map'!A:A,C657-5)),INDEX('register map'!A:A,C657-4)),INDEX('register map'!A:A,C657-3)),INDEX('register map'!A:A,C657-2)),INDEX('register map'!A:A,C657-1)),INDEX('register map'!A:A,C657))</f>
        <v>0x38</v>
      </c>
      <c r="F657" s="267" t="str">
        <f>IF(ISBLANK(INDEX('register map'!B:B,C657)),IF(ISBLANK(INDEX('register map'!B:B,C657-1)),IF(ISBLANK(INDEX('register map'!B:B,C657-2)),IF(ISBLANK(INDEX('register map'!B:B,C657-3)),IF(ISBLANK(INDEX('register map'!B:B,C657-4)),IF(ISBLANK(INDEX('register map'!B:B,C657-5)),IF(ISBLANK(INDEX('register map'!B:B,C657-6)),IF(ISBLANK(INDEX('register map'!B:B,C657-7)),IF(ISBLANK(INDEX('register map'!B:B,C657-8)),"ERROR",INDEX('register map'!B:B,C657-8)),INDEX('register map'!B:B,C657-7)),INDEX('register map'!B:B,C657-6)),INDEX('register map'!B:B,C657-5)),INDEX('register map'!B:B,C657-4)),INDEX('register map'!B:B,C657-3)),INDEX('register map'!B:B,C657-2)),INDEX('register map'!B:B,C657-1)),INDEX('register map'!B:B,C657))</f>
        <v>0x48</v>
      </c>
      <c r="G657" s="267" t="str">
        <f>CONCATENATE(IF(ISNUMBER(INDEX('register map'!D:D,C657)),7,""),IF(ISNUMBER(INDEX('register map'!E:E,C657)),6,""),IF(ISNUMBER(INDEX('register map'!F:F,C657)),5,""),IF(ISNUMBER(INDEX('register map'!G:G,C657)),4,""),IF(ISNUMBER(INDEX('register map'!H:H,C657)),3,""),IF(ISNUMBER(INDEX('register map'!I:I,C657)),2,""),IF(ISNUMBER(INDEX('register map'!J:J,C657)),1,""),IF(ISNUMBER(INDEX('register map'!K:K,C657)),0,""))</f>
        <v>4</v>
      </c>
      <c r="H657" s="267" t="str">
        <f>RIGHT(INDEX('register map'!V:V,MATCH('Logical Group Generator'!B657,'register map'!L:L,0)),LEN(G657))</f>
        <v>0</v>
      </c>
      <c r="I657" s="267" t="str">
        <f>CONCATENATE(IF(ISNUMBER(INDEX('register map'!K:K,C657)),0,""),IF(ISNUMBER(INDEX('register map'!J:J,C657)),1,""),IF(ISNUMBER(INDEX('register map'!I:I,C657)),2,""),IF(ISNUMBER(INDEX('register map'!H:H,C657)),3,""),IF(ISNUMBER(INDEX('register map'!G:G,C657)),4,""),IF(ISNUMBER(INDEX('register map'!F:F,C657)),5,""),IF(ISNUMBER(INDEX('register map'!E:E,C657)),6,""),IF(ISNUMBER(INDEX('register map'!D:D,C657)),7,""))</f>
        <v>4</v>
      </c>
      <c r="J657" s="267" t="str">
        <f t="shared" si="117"/>
        <v>0</v>
      </c>
      <c r="K657" s="267" t="str">
        <f t="shared" si="110"/>
        <v/>
      </c>
      <c r="L657" s="267" t="str">
        <f t="shared" si="118"/>
        <v/>
      </c>
      <c r="M657" s="267" t="str">
        <f t="shared" si="120"/>
        <v/>
      </c>
      <c r="N657" s="267" t="str">
        <f>IF(ISBLANK(INDEX('register map'!M:M,'Logical Group Generator'!C657)),"No","Yes")</f>
        <v>No</v>
      </c>
      <c r="O657" s="267" t="str">
        <f>IF(NOT(ISBLANK(INDEX('register map'!N:N,'Logical Group Generator'!C657))),"Yes","")</f>
        <v>Yes</v>
      </c>
      <c r="P657" s="267" t="str">
        <f t="shared" si="111"/>
        <v/>
      </c>
      <c r="Q657" s="267" t="str">
        <f t="shared" si="112"/>
        <v/>
      </c>
      <c r="R657" s="267" t="str">
        <f t="shared" si="113"/>
        <v/>
      </c>
      <c r="S657" s="267" t="str">
        <f t="shared" si="114"/>
        <v>No</v>
      </c>
      <c r="T657" s="267" t="str">
        <f t="shared" si="115"/>
        <v/>
      </c>
      <c r="U657" s="267" t="b">
        <f t="shared" si="119"/>
        <v>0</v>
      </c>
      <c r="V657" s="267" t="b">
        <f>INDEX('register map'!P:P,C657)="yes"</f>
        <v>1</v>
      </c>
      <c r="W657" s="267" t="str">
        <f t="shared" si="116"/>
        <v>FALSE</v>
      </c>
    </row>
    <row r="658" spans="2:23" s="267" customFormat="1">
      <c r="B658" s="267" t="str">
        <f t="array" ref="B658">IF(ROWS($3:658)&lt;=COUNTA('register map'!$L$5:$L$902),INDEX('register map'!$L$5:$L$902,SMALL(IF('register map'!$L$5:$L$902&lt;&gt;"",ROW('register map'!$L$5:$L$902)-MIN(ROW('register map'!$L$5:$L$902))+1),ROWS($3:658))),"")</f>
        <v>OTP_RSVD_38_48_5</v>
      </c>
      <c r="C658" s="267">
        <f>IF(B658="PART_NUMBER",IF(COUNTIF($B$1:B657,"PART_NUMBER")=0,6,8),MATCH(B658,'register map'!L:L,0))</f>
        <v>789</v>
      </c>
      <c r="D658" s="267" t="str">
        <f>IF(ISBLANK(INDEX('register map'!C:C,'Logical Group Generator'!C658)),"No","Yes")</f>
        <v>No</v>
      </c>
      <c r="E658" s="267" t="str">
        <f>IF(ISBLANK(INDEX('register map'!A:A,C658)),IF(ISBLANK(INDEX('register map'!A:A,C658-1)),IF(ISBLANK(INDEX('register map'!A:A,C658-2)),IF(ISBLANK(INDEX('register map'!A:A,C658-3)),IF(ISBLANK(INDEX('register map'!A:A,C658-4)),IF(ISBLANK(INDEX('register map'!A:A,C658-5)),IF(ISBLANK(INDEX('register map'!A:A,C658-6)),IF(ISBLANK(INDEX('register map'!A:A,C658-7)),IF(ISBLANK(INDEX('register map'!A:A,C658-8)),"ERROR",INDEX('register map'!A:A,C658-8)),INDEX('register map'!A:A,C658-7)),INDEX('register map'!A:A,C658-6)),INDEX('register map'!A:A,C658-5)),INDEX('register map'!A:A,C658-4)),INDEX('register map'!A:A,C658-3)),INDEX('register map'!A:A,C658-2)),INDEX('register map'!A:A,C658-1)),INDEX('register map'!A:A,C658))</f>
        <v>0x38</v>
      </c>
      <c r="F658" s="267" t="str">
        <f>IF(ISBLANK(INDEX('register map'!B:B,C658)),IF(ISBLANK(INDEX('register map'!B:B,C658-1)),IF(ISBLANK(INDEX('register map'!B:B,C658-2)),IF(ISBLANK(INDEX('register map'!B:B,C658-3)),IF(ISBLANK(INDEX('register map'!B:B,C658-4)),IF(ISBLANK(INDEX('register map'!B:B,C658-5)),IF(ISBLANK(INDEX('register map'!B:B,C658-6)),IF(ISBLANK(INDEX('register map'!B:B,C658-7)),IF(ISBLANK(INDEX('register map'!B:B,C658-8)),"ERROR",INDEX('register map'!B:B,C658-8)),INDEX('register map'!B:B,C658-7)),INDEX('register map'!B:B,C658-6)),INDEX('register map'!B:B,C658-5)),INDEX('register map'!B:B,C658-4)),INDEX('register map'!B:B,C658-3)),INDEX('register map'!B:B,C658-2)),INDEX('register map'!B:B,C658-1)),INDEX('register map'!B:B,C658))</f>
        <v>0x48</v>
      </c>
      <c r="G658" s="267" t="str">
        <f>CONCATENATE(IF(ISNUMBER(INDEX('register map'!D:D,C658)),7,""),IF(ISNUMBER(INDEX('register map'!E:E,C658)),6,""),IF(ISNUMBER(INDEX('register map'!F:F,C658)),5,""),IF(ISNUMBER(INDEX('register map'!G:G,C658)),4,""),IF(ISNUMBER(INDEX('register map'!H:H,C658)),3,""),IF(ISNUMBER(INDEX('register map'!I:I,C658)),2,""),IF(ISNUMBER(INDEX('register map'!J:J,C658)),1,""),IF(ISNUMBER(INDEX('register map'!K:K,C658)),0,""))</f>
        <v>5</v>
      </c>
      <c r="H658" s="267" t="str">
        <f>RIGHT(INDEX('register map'!V:V,MATCH('Logical Group Generator'!B658,'register map'!L:L,0)),LEN(G658))</f>
        <v>1</v>
      </c>
      <c r="I658" s="267" t="str">
        <f>CONCATENATE(IF(ISNUMBER(INDEX('register map'!K:K,C658)),0,""),IF(ISNUMBER(INDEX('register map'!J:J,C658)),1,""),IF(ISNUMBER(INDEX('register map'!I:I,C658)),2,""),IF(ISNUMBER(INDEX('register map'!H:H,C658)),3,""),IF(ISNUMBER(INDEX('register map'!G:G,C658)),4,""),IF(ISNUMBER(INDEX('register map'!F:F,C658)),5,""),IF(ISNUMBER(INDEX('register map'!E:E,C658)),6,""),IF(ISNUMBER(INDEX('register map'!D:D,C658)),7,""))</f>
        <v>5</v>
      </c>
      <c r="J658" s="267" t="str">
        <f t="shared" si="117"/>
        <v>1</v>
      </c>
      <c r="K658" s="267" t="str">
        <f t="shared" si="110"/>
        <v/>
      </c>
      <c r="L658" s="267" t="str">
        <f t="shared" si="118"/>
        <v/>
      </c>
      <c r="M658" s="267" t="str">
        <f t="shared" si="120"/>
        <v/>
      </c>
      <c r="N658" s="267" t="str">
        <f>IF(ISBLANK(INDEX('register map'!M:M,'Logical Group Generator'!C658)),"No","Yes")</f>
        <v>No</v>
      </c>
      <c r="O658" s="267" t="str">
        <f>IF(NOT(ISBLANK(INDEX('register map'!N:N,'Logical Group Generator'!C658))),"Yes","")</f>
        <v>Yes</v>
      </c>
      <c r="P658" s="267" t="str">
        <f t="shared" si="111"/>
        <v/>
      </c>
      <c r="Q658" s="267" t="str">
        <f t="shared" si="112"/>
        <v/>
      </c>
      <c r="R658" s="267" t="str">
        <f t="shared" si="113"/>
        <v/>
      </c>
      <c r="S658" s="267" t="str">
        <f t="shared" si="114"/>
        <v>No</v>
      </c>
      <c r="T658" s="267" t="str">
        <f t="shared" si="115"/>
        <v/>
      </c>
      <c r="U658" s="267" t="b">
        <f t="shared" si="119"/>
        <v>0</v>
      </c>
      <c r="V658" s="267" t="b">
        <f>INDEX('register map'!P:P,C658)="yes"</f>
        <v>1</v>
      </c>
      <c r="W658" s="267" t="str">
        <f t="shared" si="116"/>
        <v>FALSE</v>
      </c>
    </row>
    <row r="659" spans="2:23" s="267" customFormat="1">
      <c r="B659" s="267" t="str">
        <f t="array" ref="B659">IF(ROWS($3:659)&lt;=COUNTA('register map'!$L$5:$L$902),INDEX('register map'!$L$5:$L$902,SMALL(IF('register map'!$L$5:$L$902&lt;&gt;"",ROW('register map'!$L$5:$L$902)-MIN(ROW('register map'!$L$5:$L$902))+1),ROWS($3:659))),"")</f>
        <v>OTP_RSVD_38_48_6</v>
      </c>
      <c r="C659" s="267">
        <f>IF(B659="PART_NUMBER",IF(COUNTIF($B$1:B658,"PART_NUMBER")=0,6,8),MATCH(B659,'register map'!L:L,0))</f>
        <v>790</v>
      </c>
      <c r="D659" s="267" t="str">
        <f>IF(ISBLANK(INDEX('register map'!C:C,'Logical Group Generator'!C659)),"No","Yes")</f>
        <v>No</v>
      </c>
      <c r="E659" s="267" t="str">
        <f>IF(ISBLANK(INDEX('register map'!A:A,C659)),IF(ISBLANK(INDEX('register map'!A:A,C659-1)),IF(ISBLANK(INDEX('register map'!A:A,C659-2)),IF(ISBLANK(INDEX('register map'!A:A,C659-3)),IF(ISBLANK(INDEX('register map'!A:A,C659-4)),IF(ISBLANK(INDEX('register map'!A:A,C659-5)),IF(ISBLANK(INDEX('register map'!A:A,C659-6)),IF(ISBLANK(INDEX('register map'!A:A,C659-7)),IF(ISBLANK(INDEX('register map'!A:A,C659-8)),"ERROR",INDEX('register map'!A:A,C659-8)),INDEX('register map'!A:A,C659-7)),INDEX('register map'!A:A,C659-6)),INDEX('register map'!A:A,C659-5)),INDEX('register map'!A:A,C659-4)),INDEX('register map'!A:A,C659-3)),INDEX('register map'!A:A,C659-2)),INDEX('register map'!A:A,C659-1)),INDEX('register map'!A:A,C659))</f>
        <v>0x38</v>
      </c>
      <c r="F659" s="267" t="str">
        <f>IF(ISBLANK(INDEX('register map'!B:B,C659)),IF(ISBLANK(INDEX('register map'!B:B,C659-1)),IF(ISBLANK(INDEX('register map'!B:B,C659-2)),IF(ISBLANK(INDEX('register map'!B:B,C659-3)),IF(ISBLANK(INDEX('register map'!B:B,C659-4)),IF(ISBLANK(INDEX('register map'!B:B,C659-5)),IF(ISBLANK(INDEX('register map'!B:B,C659-6)),IF(ISBLANK(INDEX('register map'!B:B,C659-7)),IF(ISBLANK(INDEX('register map'!B:B,C659-8)),"ERROR",INDEX('register map'!B:B,C659-8)),INDEX('register map'!B:B,C659-7)),INDEX('register map'!B:B,C659-6)),INDEX('register map'!B:B,C659-5)),INDEX('register map'!B:B,C659-4)),INDEX('register map'!B:B,C659-3)),INDEX('register map'!B:B,C659-2)),INDEX('register map'!B:B,C659-1)),INDEX('register map'!B:B,C659))</f>
        <v>0x48</v>
      </c>
      <c r="G659" s="267" t="str">
        <f>CONCATENATE(IF(ISNUMBER(INDEX('register map'!D:D,C659)),7,""),IF(ISNUMBER(INDEX('register map'!E:E,C659)),6,""),IF(ISNUMBER(INDEX('register map'!F:F,C659)),5,""),IF(ISNUMBER(INDEX('register map'!G:G,C659)),4,""),IF(ISNUMBER(INDEX('register map'!H:H,C659)),3,""),IF(ISNUMBER(INDEX('register map'!I:I,C659)),2,""),IF(ISNUMBER(INDEX('register map'!J:J,C659)),1,""),IF(ISNUMBER(INDEX('register map'!K:K,C659)),0,""))</f>
        <v>6</v>
      </c>
      <c r="H659" s="267" t="str">
        <f>RIGHT(INDEX('register map'!V:V,MATCH('Logical Group Generator'!B659,'register map'!L:L,0)),LEN(G659))</f>
        <v>0</v>
      </c>
      <c r="I659" s="267" t="str">
        <f>CONCATENATE(IF(ISNUMBER(INDEX('register map'!K:K,C659)),0,""),IF(ISNUMBER(INDEX('register map'!J:J,C659)),1,""),IF(ISNUMBER(INDEX('register map'!I:I,C659)),2,""),IF(ISNUMBER(INDEX('register map'!H:H,C659)),3,""),IF(ISNUMBER(INDEX('register map'!G:G,C659)),4,""),IF(ISNUMBER(INDEX('register map'!F:F,C659)),5,""),IF(ISNUMBER(INDEX('register map'!E:E,C659)),6,""),IF(ISNUMBER(INDEX('register map'!D:D,C659)),7,""))</f>
        <v>6</v>
      </c>
      <c r="J659" s="267" t="str">
        <f t="shared" si="117"/>
        <v>0</v>
      </c>
      <c r="K659" s="267" t="str">
        <f t="shared" si="110"/>
        <v/>
      </c>
      <c r="L659" s="267" t="str">
        <f t="shared" si="118"/>
        <v/>
      </c>
      <c r="M659" s="267" t="str">
        <f t="shared" si="120"/>
        <v/>
      </c>
      <c r="N659" s="267" t="str">
        <f>IF(ISBLANK(INDEX('register map'!M:M,'Logical Group Generator'!C659)),"No","Yes")</f>
        <v>No</v>
      </c>
      <c r="O659" s="267" t="str">
        <f>IF(NOT(ISBLANK(INDEX('register map'!N:N,'Logical Group Generator'!C659))),"Yes","")</f>
        <v>Yes</v>
      </c>
      <c r="P659" s="267" t="str">
        <f t="shared" si="111"/>
        <v/>
      </c>
      <c r="Q659" s="267" t="str">
        <f t="shared" si="112"/>
        <v/>
      </c>
      <c r="R659" s="267" t="str">
        <f t="shared" si="113"/>
        <v/>
      </c>
      <c r="S659" s="267" t="str">
        <f t="shared" si="114"/>
        <v>No</v>
      </c>
      <c r="T659" s="267" t="str">
        <f t="shared" si="115"/>
        <v/>
      </c>
      <c r="U659" s="267" t="b">
        <f t="shared" si="119"/>
        <v>0</v>
      </c>
      <c r="V659" s="267" t="b">
        <f>INDEX('register map'!P:P,C659)="yes"</f>
        <v>1</v>
      </c>
      <c r="W659" s="267" t="str">
        <f t="shared" si="116"/>
        <v>FALSE</v>
      </c>
    </row>
    <row r="660" spans="2:23" s="267" customFormat="1">
      <c r="B660" s="267" t="str">
        <f t="array" ref="B660">IF(ROWS($3:660)&lt;=COUNTA('register map'!$L$5:$L$902),INDEX('register map'!$L$5:$L$902,SMALL(IF('register map'!$L$5:$L$902&lt;&gt;"",ROW('register map'!$L$5:$L$902)-MIN(ROW('register map'!$L$5:$L$902))+1),ROWS($3:660))),"")</f>
        <v>OTP_RSVD_38_48_7</v>
      </c>
      <c r="C660" s="267">
        <f>IF(B660="PART_NUMBER",IF(COUNTIF($B$1:B659,"PART_NUMBER")=0,6,8),MATCH(B660,'register map'!L:L,0))</f>
        <v>791</v>
      </c>
      <c r="D660" s="267" t="str">
        <f>IF(ISBLANK(INDEX('register map'!C:C,'Logical Group Generator'!C660)),"No","Yes")</f>
        <v>No</v>
      </c>
      <c r="E660" s="267" t="str">
        <f>IF(ISBLANK(INDEX('register map'!A:A,C660)),IF(ISBLANK(INDEX('register map'!A:A,C660-1)),IF(ISBLANK(INDEX('register map'!A:A,C660-2)),IF(ISBLANK(INDEX('register map'!A:A,C660-3)),IF(ISBLANK(INDEX('register map'!A:A,C660-4)),IF(ISBLANK(INDEX('register map'!A:A,C660-5)),IF(ISBLANK(INDEX('register map'!A:A,C660-6)),IF(ISBLANK(INDEX('register map'!A:A,C660-7)),IF(ISBLANK(INDEX('register map'!A:A,C660-8)),"ERROR",INDEX('register map'!A:A,C660-8)),INDEX('register map'!A:A,C660-7)),INDEX('register map'!A:A,C660-6)),INDEX('register map'!A:A,C660-5)),INDEX('register map'!A:A,C660-4)),INDEX('register map'!A:A,C660-3)),INDEX('register map'!A:A,C660-2)),INDEX('register map'!A:A,C660-1)),INDEX('register map'!A:A,C660))</f>
        <v>0x38</v>
      </c>
      <c r="F660" s="267" t="str">
        <f>IF(ISBLANK(INDEX('register map'!B:B,C660)),IF(ISBLANK(INDEX('register map'!B:B,C660-1)),IF(ISBLANK(INDEX('register map'!B:B,C660-2)),IF(ISBLANK(INDEX('register map'!B:B,C660-3)),IF(ISBLANK(INDEX('register map'!B:B,C660-4)),IF(ISBLANK(INDEX('register map'!B:B,C660-5)),IF(ISBLANK(INDEX('register map'!B:B,C660-6)),IF(ISBLANK(INDEX('register map'!B:B,C660-7)),IF(ISBLANK(INDEX('register map'!B:B,C660-8)),"ERROR",INDEX('register map'!B:B,C660-8)),INDEX('register map'!B:B,C660-7)),INDEX('register map'!B:B,C660-6)),INDEX('register map'!B:B,C660-5)),INDEX('register map'!B:B,C660-4)),INDEX('register map'!B:B,C660-3)),INDEX('register map'!B:B,C660-2)),INDEX('register map'!B:B,C660-1)),INDEX('register map'!B:B,C660))</f>
        <v>0x48</v>
      </c>
      <c r="G660" s="267" t="str">
        <f>CONCATENATE(IF(ISNUMBER(INDEX('register map'!D:D,C660)),7,""),IF(ISNUMBER(INDEX('register map'!E:E,C660)),6,""),IF(ISNUMBER(INDEX('register map'!F:F,C660)),5,""),IF(ISNUMBER(INDEX('register map'!G:G,C660)),4,""),IF(ISNUMBER(INDEX('register map'!H:H,C660)),3,""),IF(ISNUMBER(INDEX('register map'!I:I,C660)),2,""),IF(ISNUMBER(INDEX('register map'!J:J,C660)),1,""),IF(ISNUMBER(INDEX('register map'!K:K,C660)),0,""))</f>
        <v>7</v>
      </c>
      <c r="H660" s="267" t="str">
        <f>RIGHT(INDEX('register map'!V:V,MATCH('Logical Group Generator'!B660,'register map'!L:L,0)),LEN(G660))</f>
        <v>0</v>
      </c>
      <c r="I660" s="267" t="str">
        <f>CONCATENATE(IF(ISNUMBER(INDEX('register map'!K:K,C660)),0,""),IF(ISNUMBER(INDEX('register map'!J:J,C660)),1,""),IF(ISNUMBER(INDEX('register map'!I:I,C660)),2,""),IF(ISNUMBER(INDEX('register map'!H:H,C660)),3,""),IF(ISNUMBER(INDEX('register map'!G:G,C660)),4,""),IF(ISNUMBER(INDEX('register map'!F:F,C660)),5,""),IF(ISNUMBER(INDEX('register map'!E:E,C660)),6,""),IF(ISNUMBER(INDEX('register map'!D:D,C660)),7,""))</f>
        <v>7</v>
      </c>
      <c r="J660" s="267" t="str">
        <f t="shared" si="117"/>
        <v>0</v>
      </c>
      <c r="K660" s="267" t="str">
        <f t="shared" si="110"/>
        <v/>
      </c>
      <c r="L660" s="267" t="str">
        <f t="shared" si="118"/>
        <v/>
      </c>
      <c r="M660" s="267" t="str">
        <f t="shared" si="120"/>
        <v/>
      </c>
      <c r="N660" s="267" t="str">
        <f>IF(ISBLANK(INDEX('register map'!M:M,'Logical Group Generator'!C660)),"No","Yes")</f>
        <v>No</v>
      </c>
      <c r="O660" s="267" t="str">
        <f>IF(NOT(ISBLANK(INDEX('register map'!N:N,'Logical Group Generator'!C660))),"Yes","")</f>
        <v>Yes</v>
      </c>
      <c r="P660" s="267" t="str">
        <f t="shared" si="111"/>
        <v/>
      </c>
      <c r="Q660" s="267" t="str">
        <f t="shared" si="112"/>
        <v/>
      </c>
      <c r="R660" s="267" t="str">
        <f t="shared" si="113"/>
        <v/>
      </c>
      <c r="S660" s="267" t="str">
        <f t="shared" si="114"/>
        <v>No</v>
      </c>
      <c r="T660" s="267" t="str">
        <f t="shared" si="115"/>
        <v/>
      </c>
      <c r="U660" s="267" t="b">
        <f t="shared" si="119"/>
        <v>0</v>
      </c>
      <c r="V660" s="267" t="b">
        <f>INDEX('register map'!P:P,C660)="yes"</f>
        <v>1</v>
      </c>
      <c r="W660" s="267" t="str">
        <f t="shared" si="116"/>
        <v>FALSE</v>
      </c>
    </row>
    <row r="661" spans="2:23">
      <c r="B661" s="157" t="str">
        <f t="array" ref="B661">IF(ROWS($3:661)&lt;=COUNTA('register map'!$L$5:$L$902),INDEX('register map'!$L$5:$L$902,SMALL(IF('register map'!$L$5:$L$902&lt;&gt;"",ROW('register map'!$L$5:$L$902)-MIN(ROW('register map'!$L$5:$L$902))+1),ROWS($3:661))),"")</f>
        <v>OTP_RSVD_38_49</v>
      </c>
      <c r="C661" s="157">
        <f>IF(B661="PART_NUMBER",IF(COUNTIF($B$1:B660,"PART_NUMBER")=0,6,8),MATCH(B661,'register map'!L:L,0))</f>
        <v>792</v>
      </c>
      <c r="D661" s="117" t="str">
        <f>IF(ISBLANK(INDEX('register map'!C:C,'Logical Group Generator'!C661)),"No","Yes")</f>
        <v>Yes</v>
      </c>
      <c r="E661" s="117" t="str">
        <f>IF(ISBLANK(INDEX('register map'!A:A,C661)),IF(ISBLANK(INDEX('register map'!A:A,C661-1)),IF(ISBLANK(INDEX('register map'!A:A,C661-2)),IF(ISBLANK(INDEX('register map'!A:A,C661-3)),IF(ISBLANK(INDEX('register map'!A:A,C661-4)),IF(ISBLANK(INDEX('register map'!A:A,C661-5)),IF(ISBLANK(INDEX('register map'!A:A,C661-6)),IF(ISBLANK(INDEX('register map'!A:A,C661-7)),IF(ISBLANK(INDEX('register map'!A:A,C661-8)),"ERROR",INDEX('register map'!A:A,C661-8)),INDEX('register map'!A:A,C661-7)),INDEX('register map'!A:A,C661-6)),INDEX('register map'!A:A,C661-5)),INDEX('register map'!A:A,C661-4)),INDEX('register map'!A:A,C661-3)),INDEX('register map'!A:A,C661-2)),INDEX('register map'!A:A,C661-1)),INDEX('register map'!A:A,C661))</f>
        <v>0x38</v>
      </c>
      <c r="F661" s="117" t="str">
        <f>IF(ISBLANK(INDEX('register map'!B:B,C661)),IF(ISBLANK(INDEX('register map'!B:B,C661-1)),IF(ISBLANK(INDEX('register map'!B:B,C661-2)),IF(ISBLANK(INDEX('register map'!B:B,C661-3)),IF(ISBLANK(INDEX('register map'!B:B,C661-4)),IF(ISBLANK(INDEX('register map'!B:B,C661-5)),IF(ISBLANK(INDEX('register map'!B:B,C661-6)),IF(ISBLANK(INDEX('register map'!B:B,C661-7)),IF(ISBLANK(INDEX('register map'!B:B,C661-8)),"ERROR",INDEX('register map'!B:B,C661-8)),INDEX('register map'!B:B,C661-7)),INDEX('register map'!B:B,C661-6)),INDEX('register map'!B:B,C661-5)),INDEX('register map'!B:B,C661-4)),INDEX('register map'!B:B,C661-3)),INDEX('register map'!B:B,C661-2)),INDEX('register map'!B:B,C661-1)),INDEX('register map'!B:B,C661))</f>
        <v>0x49</v>
      </c>
      <c r="G661" s="117" t="str">
        <f>CONCATENATE(IF(ISNUMBER(INDEX('register map'!D:D,C661)),7,""),IF(ISNUMBER(INDEX('register map'!E:E,C661)),6,""),IF(ISNUMBER(INDEX('register map'!F:F,C661)),5,""),IF(ISNUMBER(INDEX('register map'!G:G,C661)),4,""),IF(ISNUMBER(INDEX('register map'!H:H,C661)),3,""),IF(ISNUMBER(INDEX('register map'!I:I,C661)),2,""),IF(ISNUMBER(INDEX('register map'!J:J,C661)),1,""),IF(ISNUMBER(INDEX('register map'!K:K,C661)),0,""))</f>
        <v/>
      </c>
      <c r="H661" s="117" t="str">
        <f>RIGHT(INDEX('register map'!V:V,MATCH('Logical Group Generator'!B661,'register map'!L:L,0)),LEN(G661))</f>
        <v/>
      </c>
      <c r="I661" s="117" t="str">
        <f>CONCATENATE(IF(ISNUMBER(INDEX('register map'!K:K,C661)),0,""),IF(ISNUMBER(INDEX('register map'!J:J,C661)),1,""),IF(ISNUMBER(INDEX('register map'!I:I,C661)),2,""),IF(ISNUMBER(INDEX('register map'!H:H,C661)),3,""),IF(ISNUMBER(INDEX('register map'!G:G,C661)),4,""),IF(ISNUMBER(INDEX('register map'!F:F,C661)),5,""),IF(ISNUMBER(INDEX('register map'!E:E,C661)),6,""),IF(ISNUMBER(INDEX('register map'!D:D,C661)),7,""))</f>
        <v/>
      </c>
      <c r="J661" s="117" t="str">
        <f t="shared" si="117"/>
        <v/>
      </c>
      <c r="K661" s="117" t="str">
        <f t="shared" si="110"/>
        <v>00010001</v>
      </c>
      <c r="L661" s="117" t="str">
        <f t="shared" si="118"/>
        <v>10001000</v>
      </c>
      <c r="M661" s="117" t="str">
        <f t="shared" si="120"/>
        <v>88</v>
      </c>
      <c r="N661" s="117" t="str">
        <f>IF(ISBLANK(INDEX('register map'!M:M,'Logical Group Generator'!C661)),"No","Yes")</f>
        <v>No</v>
      </c>
      <c r="O661" s="117" t="str">
        <f>IF(NOT(ISBLANK(INDEX('register map'!N:N,'Logical Group Generator'!C661))),"Yes","")</f>
        <v/>
      </c>
      <c r="P661" s="117" t="str">
        <f t="shared" si="111"/>
        <v>Yes</v>
      </c>
      <c r="Q661" s="117" t="str">
        <f t="shared" si="112"/>
        <v>Yes</v>
      </c>
      <c r="R661" s="117" t="str">
        <f t="shared" si="113"/>
        <v>No</v>
      </c>
      <c r="S661" s="117" t="str">
        <f t="shared" si="114"/>
        <v/>
      </c>
      <c r="T661" s="117" t="b">
        <f t="shared" si="115"/>
        <v>1</v>
      </c>
      <c r="U661" s="117" t="b">
        <f t="shared" si="119"/>
        <v>0</v>
      </c>
      <c r="V661" s="157" t="b">
        <f>INDEX('register map'!P:P,C661)="yes"</f>
        <v>1</v>
      </c>
      <c r="W661" s="157" t="str">
        <f t="shared" si="116"/>
        <v>FALSE</v>
      </c>
    </row>
    <row r="662" spans="2:23">
      <c r="B662" s="157" t="str">
        <f t="array" ref="B662">IF(ROWS($3:662)&lt;=COUNTA('register map'!$L$5:$L$902),INDEX('register map'!$L$5:$L$902,SMALL(IF('register map'!$L$5:$L$902&lt;&gt;"",ROW('register map'!$L$5:$L$902)-MIN(ROW('register map'!$L$5:$L$902))+1),ROWS($3:662))),"")</f>
        <v>OTP_RSVD_38_49_3210</v>
      </c>
      <c r="C662" s="157">
        <f>IF(B662="PART_NUMBER",IF(COUNTIF($B$1:B661,"PART_NUMBER")=0,6,8),MATCH(B662,'register map'!L:L,0))</f>
        <v>793</v>
      </c>
      <c r="D662" s="117" t="str">
        <f>IF(ISBLANK(INDEX('register map'!C:C,'Logical Group Generator'!C662)),"No","Yes")</f>
        <v>No</v>
      </c>
      <c r="E662" s="117" t="str">
        <f>IF(ISBLANK(INDEX('register map'!A:A,C662)),IF(ISBLANK(INDEX('register map'!A:A,C662-1)),IF(ISBLANK(INDEX('register map'!A:A,C662-2)),IF(ISBLANK(INDEX('register map'!A:A,C662-3)),IF(ISBLANK(INDEX('register map'!A:A,C662-4)),IF(ISBLANK(INDEX('register map'!A:A,C662-5)),IF(ISBLANK(INDEX('register map'!A:A,C662-6)),IF(ISBLANK(INDEX('register map'!A:A,C662-7)),IF(ISBLANK(INDEX('register map'!A:A,C662-8)),"ERROR",INDEX('register map'!A:A,C662-8)),INDEX('register map'!A:A,C662-7)),INDEX('register map'!A:A,C662-6)),INDEX('register map'!A:A,C662-5)),INDEX('register map'!A:A,C662-4)),INDEX('register map'!A:A,C662-3)),INDEX('register map'!A:A,C662-2)),INDEX('register map'!A:A,C662-1)),INDEX('register map'!A:A,C662))</f>
        <v>0x38</v>
      </c>
      <c r="F662" s="117" t="str">
        <f>IF(ISBLANK(INDEX('register map'!B:B,C662)),IF(ISBLANK(INDEX('register map'!B:B,C662-1)),IF(ISBLANK(INDEX('register map'!B:B,C662-2)),IF(ISBLANK(INDEX('register map'!B:B,C662-3)),IF(ISBLANK(INDEX('register map'!B:B,C662-4)),IF(ISBLANK(INDEX('register map'!B:B,C662-5)),IF(ISBLANK(INDEX('register map'!B:B,C662-6)),IF(ISBLANK(INDEX('register map'!B:B,C662-7)),IF(ISBLANK(INDEX('register map'!B:B,C662-8)),"ERROR",INDEX('register map'!B:B,C662-8)),INDEX('register map'!B:B,C662-7)),INDEX('register map'!B:B,C662-6)),INDEX('register map'!B:B,C662-5)),INDEX('register map'!B:B,C662-4)),INDEX('register map'!B:B,C662-3)),INDEX('register map'!B:B,C662-2)),INDEX('register map'!B:B,C662-1)),INDEX('register map'!B:B,C662))</f>
        <v>0x49</v>
      </c>
      <c r="G662" s="117" t="str">
        <f>CONCATENATE(IF(ISNUMBER(INDEX('register map'!D:D,C662)),7,""),IF(ISNUMBER(INDEX('register map'!E:E,C662)),6,""),IF(ISNUMBER(INDEX('register map'!F:F,C662)),5,""),IF(ISNUMBER(INDEX('register map'!G:G,C662)),4,""),IF(ISNUMBER(INDEX('register map'!H:H,C662)),3,""),IF(ISNUMBER(INDEX('register map'!I:I,C662)),2,""),IF(ISNUMBER(INDEX('register map'!J:J,C662)),1,""),IF(ISNUMBER(INDEX('register map'!K:K,C662)),0,""))</f>
        <v>3210</v>
      </c>
      <c r="H662" s="117" t="str">
        <f>RIGHT(INDEX('register map'!V:V,MATCH('Logical Group Generator'!B662,'register map'!L:L,0)),LEN(G662))</f>
        <v>1000</v>
      </c>
      <c r="I662" s="117" t="str">
        <f>CONCATENATE(IF(ISNUMBER(INDEX('register map'!K:K,C662)),0,""),IF(ISNUMBER(INDEX('register map'!J:J,C662)),1,""),IF(ISNUMBER(INDEX('register map'!I:I,C662)),2,""),IF(ISNUMBER(INDEX('register map'!H:H,C662)),3,""),IF(ISNUMBER(INDEX('register map'!G:G,C662)),4,""),IF(ISNUMBER(INDEX('register map'!F:F,C662)),5,""),IF(ISNUMBER(INDEX('register map'!E:E,C662)),6,""),IF(ISNUMBER(INDEX('register map'!D:D,C662)),7,""))</f>
        <v>0123</v>
      </c>
      <c r="J662" s="117" t="str">
        <f t="shared" si="117"/>
        <v>0001</v>
      </c>
      <c r="K662" s="117" t="str">
        <f t="shared" si="110"/>
        <v/>
      </c>
      <c r="L662" s="117" t="str">
        <f t="shared" si="118"/>
        <v/>
      </c>
      <c r="M662" s="117" t="str">
        <f t="shared" si="120"/>
        <v/>
      </c>
      <c r="N662" s="117" t="str">
        <f>IF(ISBLANK(INDEX('register map'!M:M,'Logical Group Generator'!C662)),"No","Yes")</f>
        <v>Yes</v>
      </c>
      <c r="O662" s="117" t="str">
        <f>IF(NOT(ISBLANK(INDEX('register map'!N:N,'Logical Group Generator'!C662))),"Yes","")</f>
        <v/>
      </c>
      <c r="P662" s="117" t="str">
        <f t="shared" si="111"/>
        <v/>
      </c>
      <c r="Q662" s="117" t="str">
        <f t="shared" si="112"/>
        <v/>
      </c>
      <c r="R662" s="117" t="str">
        <f t="shared" si="113"/>
        <v/>
      </c>
      <c r="S662" s="117" t="str">
        <f t="shared" si="114"/>
        <v>No</v>
      </c>
      <c r="T662" s="117" t="str">
        <f t="shared" si="115"/>
        <v/>
      </c>
      <c r="U662" s="117" t="b">
        <f t="shared" si="119"/>
        <v>0</v>
      </c>
      <c r="V662" s="157" t="b">
        <f>INDEX('register map'!P:P,C662)="yes"</f>
        <v>1</v>
      </c>
      <c r="W662" s="157" t="str">
        <f t="shared" si="116"/>
        <v>FALSE</v>
      </c>
    </row>
    <row r="663" spans="2:23">
      <c r="B663" s="157" t="str">
        <f t="array" ref="B663">IF(ROWS($3:663)&lt;=COUNTA('register map'!$L$5:$L$902),INDEX('register map'!$L$5:$L$902,SMALL(IF('register map'!$L$5:$L$902&lt;&gt;"",ROW('register map'!$L$5:$L$902)-MIN(ROW('register map'!$L$5:$L$902))+1),ROWS($3:663))),"")</f>
        <v>OTP_RSVD_38_49_7654</v>
      </c>
      <c r="C663" s="157">
        <f>IF(B663="PART_NUMBER",IF(COUNTIF($B$1:B662,"PART_NUMBER")=0,6,8),MATCH(B663,'register map'!L:L,0))</f>
        <v>794</v>
      </c>
      <c r="D663" s="117" t="str">
        <f>IF(ISBLANK(INDEX('register map'!C:C,'Logical Group Generator'!C663)),"No","Yes")</f>
        <v>No</v>
      </c>
      <c r="E663" s="117" t="str">
        <f>IF(ISBLANK(INDEX('register map'!A:A,C663)),IF(ISBLANK(INDEX('register map'!A:A,C663-1)),IF(ISBLANK(INDEX('register map'!A:A,C663-2)),IF(ISBLANK(INDEX('register map'!A:A,C663-3)),IF(ISBLANK(INDEX('register map'!A:A,C663-4)),IF(ISBLANK(INDEX('register map'!A:A,C663-5)),IF(ISBLANK(INDEX('register map'!A:A,C663-6)),IF(ISBLANK(INDEX('register map'!A:A,C663-7)),IF(ISBLANK(INDEX('register map'!A:A,C663-8)),"ERROR",INDEX('register map'!A:A,C663-8)),INDEX('register map'!A:A,C663-7)),INDEX('register map'!A:A,C663-6)),INDEX('register map'!A:A,C663-5)),INDEX('register map'!A:A,C663-4)),INDEX('register map'!A:A,C663-3)),INDEX('register map'!A:A,C663-2)),INDEX('register map'!A:A,C663-1)),INDEX('register map'!A:A,C663))</f>
        <v>0x38</v>
      </c>
      <c r="F663" s="117" t="str">
        <f>IF(ISBLANK(INDEX('register map'!B:B,C663)),IF(ISBLANK(INDEX('register map'!B:B,C663-1)),IF(ISBLANK(INDEX('register map'!B:B,C663-2)),IF(ISBLANK(INDEX('register map'!B:B,C663-3)),IF(ISBLANK(INDEX('register map'!B:B,C663-4)),IF(ISBLANK(INDEX('register map'!B:B,C663-5)),IF(ISBLANK(INDEX('register map'!B:B,C663-6)),IF(ISBLANK(INDEX('register map'!B:B,C663-7)),IF(ISBLANK(INDEX('register map'!B:B,C663-8)),"ERROR",INDEX('register map'!B:B,C663-8)),INDEX('register map'!B:B,C663-7)),INDEX('register map'!B:B,C663-6)),INDEX('register map'!B:B,C663-5)),INDEX('register map'!B:B,C663-4)),INDEX('register map'!B:B,C663-3)),INDEX('register map'!B:B,C663-2)),INDEX('register map'!B:B,C663-1)),INDEX('register map'!B:B,C663))</f>
        <v>0x49</v>
      </c>
      <c r="G663" s="117" t="str">
        <f>CONCATENATE(IF(ISNUMBER(INDEX('register map'!D:D,C663)),7,""),IF(ISNUMBER(INDEX('register map'!E:E,C663)),6,""),IF(ISNUMBER(INDEX('register map'!F:F,C663)),5,""),IF(ISNUMBER(INDEX('register map'!G:G,C663)),4,""),IF(ISNUMBER(INDEX('register map'!H:H,C663)),3,""),IF(ISNUMBER(INDEX('register map'!I:I,C663)),2,""),IF(ISNUMBER(INDEX('register map'!J:J,C663)),1,""),IF(ISNUMBER(INDEX('register map'!K:K,C663)),0,""))</f>
        <v>7654</v>
      </c>
      <c r="H663" s="117" t="str">
        <f>RIGHT(INDEX('register map'!V:V,MATCH('Logical Group Generator'!B663,'register map'!L:L,0)),LEN(G663))</f>
        <v>1000</v>
      </c>
      <c r="I663" s="117" t="str">
        <f>CONCATENATE(IF(ISNUMBER(INDEX('register map'!K:K,C663)),0,""),IF(ISNUMBER(INDEX('register map'!J:J,C663)),1,""),IF(ISNUMBER(INDEX('register map'!I:I,C663)),2,""),IF(ISNUMBER(INDEX('register map'!H:H,C663)),3,""),IF(ISNUMBER(INDEX('register map'!G:G,C663)),4,""),IF(ISNUMBER(INDEX('register map'!F:F,C663)),5,""),IF(ISNUMBER(INDEX('register map'!E:E,C663)),6,""),IF(ISNUMBER(INDEX('register map'!D:D,C663)),7,""))</f>
        <v>4567</v>
      </c>
      <c r="J663" s="117" t="str">
        <f t="shared" si="117"/>
        <v>0001</v>
      </c>
      <c r="K663" s="117" t="str">
        <f t="shared" si="110"/>
        <v/>
      </c>
      <c r="L663" s="117" t="str">
        <f t="shared" si="118"/>
        <v/>
      </c>
      <c r="M663" s="117" t="str">
        <f t="shared" si="120"/>
        <v/>
      </c>
      <c r="N663" s="117" t="str">
        <f>IF(ISBLANK(INDEX('register map'!M:M,'Logical Group Generator'!C663)),"No","Yes")</f>
        <v>Yes</v>
      </c>
      <c r="O663" s="117" t="str">
        <f>IF(NOT(ISBLANK(INDEX('register map'!N:N,'Logical Group Generator'!C663))),"Yes","")</f>
        <v/>
      </c>
      <c r="P663" s="117" t="str">
        <f t="shared" si="111"/>
        <v/>
      </c>
      <c r="Q663" s="117" t="str">
        <f t="shared" si="112"/>
        <v/>
      </c>
      <c r="R663" s="117" t="str">
        <f t="shared" si="113"/>
        <v/>
      </c>
      <c r="S663" s="117" t="str">
        <f t="shared" si="114"/>
        <v>No</v>
      </c>
      <c r="T663" s="117" t="str">
        <f t="shared" si="115"/>
        <v/>
      </c>
      <c r="U663" s="117" t="b">
        <f t="shared" si="119"/>
        <v>0</v>
      </c>
      <c r="V663" s="157" t="b">
        <f>INDEX('register map'!P:P,C663)="yes"</f>
        <v>1</v>
      </c>
      <c r="W663" s="157" t="str">
        <f t="shared" si="116"/>
        <v>FALSE</v>
      </c>
    </row>
    <row r="664" spans="2:23">
      <c r="B664" s="157" t="str">
        <f t="array" ref="B664">IF(ROWS($3:664)&lt;=COUNTA('register map'!$L$5:$L$902),INDEX('register map'!$L$5:$L$902,SMALL(IF('register map'!$L$5:$L$902&lt;&gt;"",ROW('register map'!$L$5:$L$902)-MIN(ROW('register map'!$L$5:$L$902))+1),ROWS($3:664))),"")</f>
        <v>OTP_RSVD_38_4A</v>
      </c>
      <c r="C664" s="157">
        <f>IF(B664="PART_NUMBER",IF(COUNTIF($B$1:B663,"PART_NUMBER")=0,6,8),MATCH(B664,'register map'!L:L,0))</f>
        <v>795</v>
      </c>
      <c r="D664" s="117" t="str">
        <f>IF(ISBLANK(INDEX('register map'!C:C,'Logical Group Generator'!C664)),"No","Yes")</f>
        <v>Yes</v>
      </c>
      <c r="E664" s="117" t="str">
        <f>IF(ISBLANK(INDEX('register map'!A:A,C664)),IF(ISBLANK(INDEX('register map'!A:A,C664-1)),IF(ISBLANK(INDEX('register map'!A:A,C664-2)),IF(ISBLANK(INDEX('register map'!A:A,C664-3)),IF(ISBLANK(INDEX('register map'!A:A,C664-4)),IF(ISBLANK(INDEX('register map'!A:A,C664-5)),IF(ISBLANK(INDEX('register map'!A:A,C664-6)),IF(ISBLANK(INDEX('register map'!A:A,C664-7)),IF(ISBLANK(INDEX('register map'!A:A,C664-8)),"ERROR",INDEX('register map'!A:A,C664-8)),INDEX('register map'!A:A,C664-7)),INDEX('register map'!A:A,C664-6)),INDEX('register map'!A:A,C664-5)),INDEX('register map'!A:A,C664-4)),INDEX('register map'!A:A,C664-3)),INDEX('register map'!A:A,C664-2)),INDEX('register map'!A:A,C664-1)),INDEX('register map'!A:A,C664))</f>
        <v>0x38</v>
      </c>
      <c r="F664" s="117" t="str">
        <f>IF(ISBLANK(INDEX('register map'!B:B,C664)),IF(ISBLANK(INDEX('register map'!B:B,C664-1)),IF(ISBLANK(INDEX('register map'!B:B,C664-2)),IF(ISBLANK(INDEX('register map'!B:B,C664-3)),IF(ISBLANK(INDEX('register map'!B:B,C664-4)),IF(ISBLANK(INDEX('register map'!B:B,C664-5)),IF(ISBLANK(INDEX('register map'!B:B,C664-6)),IF(ISBLANK(INDEX('register map'!B:B,C664-7)),IF(ISBLANK(INDEX('register map'!B:B,C664-8)),"ERROR",INDEX('register map'!B:B,C664-8)),INDEX('register map'!B:B,C664-7)),INDEX('register map'!B:B,C664-6)),INDEX('register map'!B:B,C664-5)),INDEX('register map'!B:B,C664-4)),INDEX('register map'!B:B,C664-3)),INDEX('register map'!B:B,C664-2)),INDEX('register map'!B:B,C664-1)),INDEX('register map'!B:B,C664))</f>
        <v>0x4A</v>
      </c>
      <c r="G664" s="117" t="str">
        <f>CONCATENATE(IF(ISNUMBER(INDEX('register map'!D:D,C664)),7,""),IF(ISNUMBER(INDEX('register map'!E:E,C664)),6,""),IF(ISNUMBER(INDEX('register map'!F:F,C664)),5,""),IF(ISNUMBER(INDEX('register map'!G:G,C664)),4,""),IF(ISNUMBER(INDEX('register map'!H:H,C664)),3,""),IF(ISNUMBER(INDEX('register map'!I:I,C664)),2,""),IF(ISNUMBER(INDEX('register map'!J:J,C664)),1,""),IF(ISNUMBER(INDEX('register map'!K:K,C664)),0,""))</f>
        <v/>
      </c>
      <c r="H664" s="117" t="str">
        <f>RIGHT(INDEX('register map'!V:V,MATCH('Logical Group Generator'!B664,'register map'!L:L,0)),LEN(G664))</f>
        <v/>
      </c>
      <c r="I664" s="117" t="str">
        <f>CONCATENATE(IF(ISNUMBER(INDEX('register map'!K:K,C664)),0,""),IF(ISNUMBER(INDEX('register map'!J:J,C664)),1,""),IF(ISNUMBER(INDEX('register map'!I:I,C664)),2,""),IF(ISNUMBER(INDEX('register map'!H:H,C664)),3,""),IF(ISNUMBER(INDEX('register map'!G:G,C664)),4,""),IF(ISNUMBER(INDEX('register map'!F:F,C664)),5,""),IF(ISNUMBER(INDEX('register map'!E:E,C664)),6,""),IF(ISNUMBER(INDEX('register map'!D:D,C664)),7,""))</f>
        <v/>
      </c>
      <c r="J664" s="117" t="str">
        <f t="shared" si="117"/>
        <v/>
      </c>
      <c r="K664" s="117" t="str">
        <f t="shared" si="110"/>
        <v>00010001</v>
      </c>
      <c r="L664" s="117" t="str">
        <f t="shared" si="118"/>
        <v>10001000</v>
      </c>
      <c r="M664" s="117" t="str">
        <f t="shared" si="120"/>
        <v>88</v>
      </c>
      <c r="N664" s="117" t="str">
        <f>IF(ISBLANK(INDEX('register map'!M:M,'Logical Group Generator'!C664)),"No","Yes")</f>
        <v>No</v>
      </c>
      <c r="O664" s="117" t="str">
        <f>IF(NOT(ISBLANK(INDEX('register map'!N:N,'Logical Group Generator'!C664))),"Yes","")</f>
        <v/>
      </c>
      <c r="P664" s="117" t="str">
        <f t="shared" si="111"/>
        <v>Yes</v>
      </c>
      <c r="Q664" s="117" t="str">
        <f t="shared" si="112"/>
        <v>Yes</v>
      </c>
      <c r="R664" s="117" t="str">
        <f t="shared" si="113"/>
        <v>No</v>
      </c>
      <c r="S664" s="117" t="str">
        <f t="shared" si="114"/>
        <v/>
      </c>
      <c r="T664" s="117" t="b">
        <f t="shared" si="115"/>
        <v>1</v>
      </c>
      <c r="U664" s="117" t="b">
        <f t="shared" si="119"/>
        <v>0</v>
      </c>
      <c r="V664" s="157" t="b">
        <f>INDEX('register map'!P:P,C664)="yes"</f>
        <v>1</v>
      </c>
      <c r="W664" s="157" t="str">
        <f t="shared" si="116"/>
        <v>FALSE</v>
      </c>
    </row>
    <row r="665" spans="2:23">
      <c r="B665" s="157" t="str">
        <f t="array" ref="B665">IF(ROWS($3:665)&lt;=COUNTA('register map'!$L$5:$L$902),INDEX('register map'!$L$5:$L$902,SMALL(IF('register map'!$L$5:$L$902&lt;&gt;"",ROW('register map'!$L$5:$L$902)-MIN(ROW('register map'!$L$5:$L$902))+1),ROWS($3:665))),"")</f>
        <v>OTP_RSVD_38_4A_3210</v>
      </c>
      <c r="C665" s="157">
        <f>IF(B665="PART_NUMBER",IF(COUNTIF($B$1:B664,"PART_NUMBER")=0,6,8),MATCH(B665,'register map'!L:L,0))</f>
        <v>796</v>
      </c>
      <c r="D665" s="117" t="str">
        <f>IF(ISBLANK(INDEX('register map'!C:C,'Logical Group Generator'!C665)),"No","Yes")</f>
        <v>No</v>
      </c>
      <c r="E665" s="117" t="str">
        <f>IF(ISBLANK(INDEX('register map'!A:A,C665)),IF(ISBLANK(INDEX('register map'!A:A,C665-1)),IF(ISBLANK(INDEX('register map'!A:A,C665-2)),IF(ISBLANK(INDEX('register map'!A:A,C665-3)),IF(ISBLANK(INDEX('register map'!A:A,C665-4)),IF(ISBLANK(INDEX('register map'!A:A,C665-5)),IF(ISBLANK(INDEX('register map'!A:A,C665-6)),IF(ISBLANK(INDEX('register map'!A:A,C665-7)),IF(ISBLANK(INDEX('register map'!A:A,C665-8)),"ERROR",INDEX('register map'!A:A,C665-8)),INDEX('register map'!A:A,C665-7)),INDEX('register map'!A:A,C665-6)),INDEX('register map'!A:A,C665-5)),INDEX('register map'!A:A,C665-4)),INDEX('register map'!A:A,C665-3)),INDEX('register map'!A:A,C665-2)),INDEX('register map'!A:A,C665-1)),INDEX('register map'!A:A,C665))</f>
        <v>0x38</v>
      </c>
      <c r="F665" s="117" t="str">
        <f>IF(ISBLANK(INDEX('register map'!B:B,C665)),IF(ISBLANK(INDEX('register map'!B:B,C665-1)),IF(ISBLANK(INDEX('register map'!B:B,C665-2)),IF(ISBLANK(INDEX('register map'!B:B,C665-3)),IF(ISBLANK(INDEX('register map'!B:B,C665-4)),IF(ISBLANK(INDEX('register map'!B:B,C665-5)),IF(ISBLANK(INDEX('register map'!B:B,C665-6)),IF(ISBLANK(INDEX('register map'!B:B,C665-7)),IF(ISBLANK(INDEX('register map'!B:B,C665-8)),"ERROR",INDEX('register map'!B:B,C665-8)),INDEX('register map'!B:B,C665-7)),INDEX('register map'!B:B,C665-6)),INDEX('register map'!B:B,C665-5)),INDEX('register map'!B:B,C665-4)),INDEX('register map'!B:B,C665-3)),INDEX('register map'!B:B,C665-2)),INDEX('register map'!B:B,C665-1)),INDEX('register map'!B:B,C665))</f>
        <v>0x4A</v>
      </c>
      <c r="G665" s="117" t="str">
        <f>CONCATENATE(IF(ISNUMBER(INDEX('register map'!D:D,C665)),7,""),IF(ISNUMBER(INDEX('register map'!E:E,C665)),6,""),IF(ISNUMBER(INDEX('register map'!F:F,C665)),5,""),IF(ISNUMBER(INDEX('register map'!G:G,C665)),4,""),IF(ISNUMBER(INDEX('register map'!H:H,C665)),3,""),IF(ISNUMBER(INDEX('register map'!I:I,C665)),2,""),IF(ISNUMBER(INDEX('register map'!J:J,C665)),1,""),IF(ISNUMBER(INDEX('register map'!K:K,C665)),0,""))</f>
        <v>3210</v>
      </c>
      <c r="H665" s="117" t="str">
        <f>RIGHT(INDEX('register map'!V:V,MATCH('Logical Group Generator'!B665,'register map'!L:L,0)),LEN(G665))</f>
        <v>1000</v>
      </c>
      <c r="I665" s="117" t="str">
        <f>CONCATENATE(IF(ISNUMBER(INDEX('register map'!K:K,C665)),0,""),IF(ISNUMBER(INDEX('register map'!J:J,C665)),1,""),IF(ISNUMBER(INDEX('register map'!I:I,C665)),2,""),IF(ISNUMBER(INDEX('register map'!H:H,C665)),3,""),IF(ISNUMBER(INDEX('register map'!G:G,C665)),4,""),IF(ISNUMBER(INDEX('register map'!F:F,C665)),5,""),IF(ISNUMBER(INDEX('register map'!E:E,C665)),6,""),IF(ISNUMBER(INDEX('register map'!D:D,C665)),7,""))</f>
        <v>0123</v>
      </c>
      <c r="J665" s="117" t="str">
        <f t="shared" si="117"/>
        <v>0001</v>
      </c>
      <c r="K665" s="117" t="str">
        <f t="shared" si="110"/>
        <v/>
      </c>
      <c r="L665" s="117" t="str">
        <f t="shared" si="118"/>
        <v/>
      </c>
      <c r="M665" s="117" t="str">
        <f t="shared" si="120"/>
        <v/>
      </c>
      <c r="N665" s="117" t="str">
        <f>IF(ISBLANK(INDEX('register map'!M:M,'Logical Group Generator'!C665)),"No","Yes")</f>
        <v>Yes</v>
      </c>
      <c r="O665" s="117" t="str">
        <f>IF(NOT(ISBLANK(INDEX('register map'!N:N,'Logical Group Generator'!C665))),"Yes","")</f>
        <v/>
      </c>
      <c r="P665" s="117" t="str">
        <f t="shared" si="111"/>
        <v/>
      </c>
      <c r="Q665" s="117" t="str">
        <f t="shared" si="112"/>
        <v/>
      </c>
      <c r="R665" s="117" t="str">
        <f t="shared" si="113"/>
        <v/>
      </c>
      <c r="S665" s="117" t="str">
        <f t="shared" si="114"/>
        <v>No</v>
      </c>
      <c r="T665" s="117" t="str">
        <f t="shared" si="115"/>
        <v/>
      </c>
      <c r="U665" s="117" t="b">
        <f t="shared" si="119"/>
        <v>0</v>
      </c>
      <c r="V665" s="157" t="b">
        <f>INDEX('register map'!P:P,C665)="yes"</f>
        <v>1</v>
      </c>
      <c r="W665" s="157" t="str">
        <f t="shared" si="116"/>
        <v>FALSE</v>
      </c>
    </row>
    <row r="666" spans="2:23">
      <c r="B666" s="157" t="str">
        <f t="array" ref="B666">IF(ROWS($3:666)&lt;=COUNTA('register map'!$L$5:$L$902),INDEX('register map'!$L$5:$L$902,SMALL(IF('register map'!$L$5:$L$902&lt;&gt;"",ROW('register map'!$L$5:$L$902)-MIN(ROW('register map'!$L$5:$L$902))+1),ROWS($3:666))),"")</f>
        <v>OTP_RSVD_38_4A_7654</v>
      </c>
      <c r="C666" s="157">
        <f>IF(B666="PART_NUMBER",IF(COUNTIF($B$1:B665,"PART_NUMBER")=0,6,8),MATCH(B666,'register map'!L:L,0))</f>
        <v>797</v>
      </c>
      <c r="D666" s="117" t="str">
        <f>IF(ISBLANK(INDEX('register map'!C:C,'Logical Group Generator'!C666)),"No","Yes")</f>
        <v>No</v>
      </c>
      <c r="E666" s="117" t="str">
        <f>IF(ISBLANK(INDEX('register map'!A:A,C666)),IF(ISBLANK(INDEX('register map'!A:A,C666-1)),IF(ISBLANK(INDEX('register map'!A:A,C666-2)),IF(ISBLANK(INDEX('register map'!A:A,C666-3)),IF(ISBLANK(INDEX('register map'!A:A,C666-4)),IF(ISBLANK(INDEX('register map'!A:A,C666-5)),IF(ISBLANK(INDEX('register map'!A:A,C666-6)),IF(ISBLANK(INDEX('register map'!A:A,C666-7)),IF(ISBLANK(INDEX('register map'!A:A,C666-8)),"ERROR",INDEX('register map'!A:A,C666-8)),INDEX('register map'!A:A,C666-7)),INDEX('register map'!A:A,C666-6)),INDEX('register map'!A:A,C666-5)),INDEX('register map'!A:A,C666-4)),INDEX('register map'!A:A,C666-3)),INDEX('register map'!A:A,C666-2)),INDEX('register map'!A:A,C666-1)),INDEX('register map'!A:A,C666))</f>
        <v>0x38</v>
      </c>
      <c r="F666" s="117" t="str">
        <f>IF(ISBLANK(INDEX('register map'!B:B,C666)),IF(ISBLANK(INDEX('register map'!B:B,C666-1)),IF(ISBLANK(INDEX('register map'!B:B,C666-2)),IF(ISBLANK(INDEX('register map'!B:B,C666-3)),IF(ISBLANK(INDEX('register map'!B:B,C666-4)),IF(ISBLANK(INDEX('register map'!B:B,C666-5)),IF(ISBLANK(INDEX('register map'!B:B,C666-6)),IF(ISBLANK(INDEX('register map'!B:B,C666-7)),IF(ISBLANK(INDEX('register map'!B:B,C666-8)),"ERROR",INDEX('register map'!B:B,C666-8)),INDEX('register map'!B:B,C666-7)),INDEX('register map'!B:B,C666-6)),INDEX('register map'!B:B,C666-5)),INDEX('register map'!B:B,C666-4)),INDEX('register map'!B:B,C666-3)),INDEX('register map'!B:B,C666-2)),INDEX('register map'!B:B,C666-1)),INDEX('register map'!B:B,C666))</f>
        <v>0x4A</v>
      </c>
      <c r="G666" s="117" t="str">
        <f>CONCATENATE(IF(ISNUMBER(INDEX('register map'!D:D,C666)),7,""),IF(ISNUMBER(INDEX('register map'!E:E,C666)),6,""),IF(ISNUMBER(INDEX('register map'!F:F,C666)),5,""),IF(ISNUMBER(INDEX('register map'!G:G,C666)),4,""),IF(ISNUMBER(INDEX('register map'!H:H,C666)),3,""),IF(ISNUMBER(INDEX('register map'!I:I,C666)),2,""),IF(ISNUMBER(INDEX('register map'!J:J,C666)),1,""),IF(ISNUMBER(INDEX('register map'!K:K,C666)),0,""))</f>
        <v>7654</v>
      </c>
      <c r="H666" s="117" t="str">
        <f>RIGHT(INDEX('register map'!V:V,MATCH('Logical Group Generator'!B666,'register map'!L:L,0)),LEN(G666))</f>
        <v>1000</v>
      </c>
      <c r="I666" s="117" t="str">
        <f>CONCATENATE(IF(ISNUMBER(INDEX('register map'!K:K,C666)),0,""),IF(ISNUMBER(INDEX('register map'!J:J,C666)),1,""),IF(ISNUMBER(INDEX('register map'!I:I,C666)),2,""),IF(ISNUMBER(INDEX('register map'!H:H,C666)),3,""),IF(ISNUMBER(INDEX('register map'!G:G,C666)),4,""),IF(ISNUMBER(INDEX('register map'!F:F,C666)),5,""),IF(ISNUMBER(INDEX('register map'!E:E,C666)),6,""),IF(ISNUMBER(INDEX('register map'!D:D,C666)),7,""))</f>
        <v>4567</v>
      </c>
      <c r="J666" s="117" t="str">
        <f t="shared" si="117"/>
        <v>0001</v>
      </c>
      <c r="K666" s="117" t="str">
        <f t="shared" si="110"/>
        <v/>
      </c>
      <c r="L666" s="117" t="str">
        <f t="shared" si="118"/>
        <v/>
      </c>
      <c r="M666" s="117" t="str">
        <f t="shared" si="120"/>
        <v/>
      </c>
      <c r="N666" s="117" t="str">
        <f>IF(ISBLANK(INDEX('register map'!M:M,'Logical Group Generator'!C666)),"No","Yes")</f>
        <v>Yes</v>
      </c>
      <c r="O666" s="117" t="str">
        <f>IF(NOT(ISBLANK(INDEX('register map'!N:N,'Logical Group Generator'!C666))),"Yes","")</f>
        <v/>
      </c>
      <c r="P666" s="117" t="str">
        <f t="shared" si="111"/>
        <v/>
      </c>
      <c r="Q666" s="117" t="str">
        <f t="shared" si="112"/>
        <v/>
      </c>
      <c r="R666" s="117" t="str">
        <f t="shared" si="113"/>
        <v/>
      </c>
      <c r="S666" s="117" t="str">
        <f t="shared" si="114"/>
        <v>No</v>
      </c>
      <c r="T666" s="117" t="str">
        <f t="shared" si="115"/>
        <v/>
      </c>
      <c r="U666" s="117" t="b">
        <f t="shared" si="119"/>
        <v>0</v>
      </c>
      <c r="V666" s="157" t="b">
        <f>INDEX('register map'!P:P,C666)="yes"</f>
        <v>1</v>
      </c>
      <c r="W666" s="157" t="str">
        <f t="shared" si="116"/>
        <v>FALSE</v>
      </c>
    </row>
    <row r="667" spans="2:23">
      <c r="B667" s="157" t="str">
        <f t="array" ref="B667">IF(ROWS($3:667)&lt;=COUNTA('register map'!$L$5:$L$902),INDEX('register map'!$L$5:$L$902,SMALL(IF('register map'!$L$5:$L$902&lt;&gt;"",ROW('register map'!$L$5:$L$902)-MIN(ROW('register map'!$L$5:$L$902))+1),ROWS($3:667))),"")</f>
        <v>OTP_RSVD_38_4B</v>
      </c>
      <c r="C667" s="157">
        <f>IF(B667="PART_NUMBER",IF(COUNTIF($B$1:B666,"PART_NUMBER")=0,6,8),MATCH(B667,'register map'!L:L,0))</f>
        <v>798</v>
      </c>
      <c r="D667" s="117" t="str">
        <f>IF(ISBLANK(INDEX('register map'!C:C,'Logical Group Generator'!C667)),"No","Yes")</f>
        <v>Yes</v>
      </c>
      <c r="E667" s="117" t="str">
        <f>IF(ISBLANK(INDEX('register map'!A:A,C667)),IF(ISBLANK(INDEX('register map'!A:A,C667-1)),IF(ISBLANK(INDEX('register map'!A:A,C667-2)),IF(ISBLANK(INDEX('register map'!A:A,C667-3)),IF(ISBLANK(INDEX('register map'!A:A,C667-4)),IF(ISBLANK(INDEX('register map'!A:A,C667-5)),IF(ISBLANK(INDEX('register map'!A:A,C667-6)),IF(ISBLANK(INDEX('register map'!A:A,C667-7)),IF(ISBLANK(INDEX('register map'!A:A,C667-8)),"ERROR",INDEX('register map'!A:A,C667-8)),INDEX('register map'!A:A,C667-7)),INDEX('register map'!A:A,C667-6)),INDEX('register map'!A:A,C667-5)),INDEX('register map'!A:A,C667-4)),INDEX('register map'!A:A,C667-3)),INDEX('register map'!A:A,C667-2)),INDEX('register map'!A:A,C667-1)),INDEX('register map'!A:A,C667))</f>
        <v>0x38</v>
      </c>
      <c r="F667" s="117" t="str">
        <f>IF(ISBLANK(INDEX('register map'!B:B,C667)),IF(ISBLANK(INDEX('register map'!B:B,C667-1)),IF(ISBLANK(INDEX('register map'!B:B,C667-2)),IF(ISBLANK(INDEX('register map'!B:B,C667-3)),IF(ISBLANK(INDEX('register map'!B:B,C667-4)),IF(ISBLANK(INDEX('register map'!B:B,C667-5)),IF(ISBLANK(INDEX('register map'!B:B,C667-6)),IF(ISBLANK(INDEX('register map'!B:B,C667-7)),IF(ISBLANK(INDEX('register map'!B:B,C667-8)),"ERROR",INDEX('register map'!B:B,C667-8)),INDEX('register map'!B:B,C667-7)),INDEX('register map'!B:B,C667-6)),INDEX('register map'!B:B,C667-5)),INDEX('register map'!B:B,C667-4)),INDEX('register map'!B:B,C667-3)),INDEX('register map'!B:B,C667-2)),INDEX('register map'!B:B,C667-1)),INDEX('register map'!B:B,C667))</f>
        <v>0x4B</v>
      </c>
      <c r="G667" s="117" t="str">
        <f>CONCATENATE(IF(ISNUMBER(INDEX('register map'!D:D,C667)),7,""),IF(ISNUMBER(INDEX('register map'!E:E,C667)),6,""),IF(ISNUMBER(INDEX('register map'!F:F,C667)),5,""),IF(ISNUMBER(INDEX('register map'!G:G,C667)),4,""),IF(ISNUMBER(INDEX('register map'!H:H,C667)),3,""),IF(ISNUMBER(INDEX('register map'!I:I,C667)),2,""),IF(ISNUMBER(INDEX('register map'!J:J,C667)),1,""),IF(ISNUMBER(INDEX('register map'!K:K,C667)),0,""))</f>
        <v/>
      </c>
      <c r="H667" s="117" t="str">
        <f>RIGHT(INDEX('register map'!V:V,MATCH('Logical Group Generator'!B667,'register map'!L:L,0)),LEN(G667))</f>
        <v/>
      </c>
      <c r="I667" s="117" t="str">
        <f>CONCATENATE(IF(ISNUMBER(INDEX('register map'!K:K,C667)),0,""),IF(ISNUMBER(INDEX('register map'!J:J,C667)),1,""),IF(ISNUMBER(INDEX('register map'!I:I,C667)),2,""),IF(ISNUMBER(INDEX('register map'!H:H,C667)),3,""),IF(ISNUMBER(INDEX('register map'!G:G,C667)),4,""),IF(ISNUMBER(INDEX('register map'!F:F,C667)),5,""),IF(ISNUMBER(INDEX('register map'!E:E,C667)),6,""),IF(ISNUMBER(INDEX('register map'!D:D,C667)),7,""))</f>
        <v/>
      </c>
      <c r="J667" s="117" t="str">
        <f t="shared" si="117"/>
        <v/>
      </c>
      <c r="K667" s="117" t="str">
        <f t="shared" si="110"/>
        <v>00010101</v>
      </c>
      <c r="L667" s="117" t="str">
        <f t="shared" si="118"/>
        <v>10101000</v>
      </c>
      <c r="M667" s="117" t="str">
        <f t="shared" si="120"/>
        <v>A8</v>
      </c>
      <c r="N667" s="117" t="str">
        <f>IF(ISBLANK(INDEX('register map'!M:M,'Logical Group Generator'!C667)),"No","Yes")</f>
        <v>No</v>
      </c>
      <c r="O667" s="117" t="str">
        <f>IF(NOT(ISBLANK(INDEX('register map'!N:N,'Logical Group Generator'!C667))),"Yes","")</f>
        <v/>
      </c>
      <c r="P667" s="117" t="str">
        <f t="shared" si="111"/>
        <v>Yes</v>
      </c>
      <c r="Q667" s="117" t="str">
        <f t="shared" si="112"/>
        <v>Yes</v>
      </c>
      <c r="R667" s="117" t="str">
        <f t="shared" si="113"/>
        <v>No</v>
      </c>
      <c r="S667" s="117" t="str">
        <f t="shared" si="114"/>
        <v/>
      </c>
      <c r="T667" s="117" t="b">
        <f t="shared" si="115"/>
        <v>1</v>
      </c>
      <c r="U667" s="117" t="b">
        <f t="shared" si="119"/>
        <v>0</v>
      </c>
      <c r="V667" s="157" t="b">
        <f>INDEX('register map'!P:P,C667)="yes"</f>
        <v>1</v>
      </c>
      <c r="W667" s="157" t="str">
        <f t="shared" si="116"/>
        <v>FALSE</v>
      </c>
    </row>
    <row r="668" spans="2:23">
      <c r="B668" s="157" t="str">
        <f t="array" ref="B668">IF(ROWS($3:668)&lt;=COUNTA('register map'!$L$5:$L$902),INDEX('register map'!$L$5:$L$902,SMALL(IF('register map'!$L$5:$L$902&lt;&gt;"",ROW('register map'!$L$5:$L$902)-MIN(ROW('register map'!$L$5:$L$902))+1),ROWS($3:668))),"")</f>
        <v>OTP_RSVD_38_4B_10</v>
      </c>
      <c r="C668" s="157">
        <f>IF(B668="PART_NUMBER",IF(COUNTIF($B$1:B667,"PART_NUMBER")=0,6,8),MATCH(B668,'register map'!L:L,0))</f>
        <v>799</v>
      </c>
      <c r="D668" s="117" t="str">
        <f>IF(ISBLANK(INDEX('register map'!C:C,'Logical Group Generator'!C668)),"No","Yes")</f>
        <v>No</v>
      </c>
      <c r="E668" s="117" t="str">
        <f>IF(ISBLANK(INDEX('register map'!A:A,C668)),IF(ISBLANK(INDEX('register map'!A:A,C668-1)),IF(ISBLANK(INDEX('register map'!A:A,C668-2)),IF(ISBLANK(INDEX('register map'!A:A,C668-3)),IF(ISBLANK(INDEX('register map'!A:A,C668-4)),IF(ISBLANK(INDEX('register map'!A:A,C668-5)),IF(ISBLANK(INDEX('register map'!A:A,C668-6)),IF(ISBLANK(INDEX('register map'!A:A,C668-7)),IF(ISBLANK(INDEX('register map'!A:A,C668-8)),"ERROR",INDEX('register map'!A:A,C668-8)),INDEX('register map'!A:A,C668-7)),INDEX('register map'!A:A,C668-6)),INDEX('register map'!A:A,C668-5)),INDEX('register map'!A:A,C668-4)),INDEX('register map'!A:A,C668-3)),INDEX('register map'!A:A,C668-2)),INDEX('register map'!A:A,C668-1)),INDEX('register map'!A:A,C668))</f>
        <v>0x38</v>
      </c>
      <c r="F668" s="117" t="str">
        <f>IF(ISBLANK(INDEX('register map'!B:B,C668)),IF(ISBLANK(INDEX('register map'!B:B,C668-1)),IF(ISBLANK(INDEX('register map'!B:B,C668-2)),IF(ISBLANK(INDEX('register map'!B:B,C668-3)),IF(ISBLANK(INDEX('register map'!B:B,C668-4)),IF(ISBLANK(INDEX('register map'!B:B,C668-5)),IF(ISBLANK(INDEX('register map'!B:B,C668-6)),IF(ISBLANK(INDEX('register map'!B:B,C668-7)),IF(ISBLANK(INDEX('register map'!B:B,C668-8)),"ERROR",INDEX('register map'!B:B,C668-8)),INDEX('register map'!B:B,C668-7)),INDEX('register map'!B:B,C668-6)),INDEX('register map'!B:B,C668-5)),INDEX('register map'!B:B,C668-4)),INDEX('register map'!B:B,C668-3)),INDEX('register map'!B:B,C668-2)),INDEX('register map'!B:B,C668-1)),INDEX('register map'!B:B,C668))</f>
        <v>0x4B</v>
      </c>
      <c r="G668" s="117" t="str">
        <f>CONCATENATE(IF(ISNUMBER(INDEX('register map'!D:D,C668)),7,""),IF(ISNUMBER(INDEX('register map'!E:E,C668)),6,""),IF(ISNUMBER(INDEX('register map'!F:F,C668)),5,""),IF(ISNUMBER(INDEX('register map'!G:G,C668)),4,""),IF(ISNUMBER(INDEX('register map'!H:H,C668)),3,""),IF(ISNUMBER(INDEX('register map'!I:I,C668)),2,""),IF(ISNUMBER(INDEX('register map'!J:J,C668)),1,""),IF(ISNUMBER(INDEX('register map'!K:K,C668)),0,""))</f>
        <v>10</v>
      </c>
      <c r="H668" s="117" t="str">
        <f>RIGHT(INDEX('register map'!V:V,MATCH('Logical Group Generator'!B668,'register map'!L:L,0)),LEN(G668))</f>
        <v>00</v>
      </c>
      <c r="I668" s="117" t="str">
        <f>CONCATENATE(IF(ISNUMBER(INDEX('register map'!K:K,C668)),0,""),IF(ISNUMBER(INDEX('register map'!J:J,C668)),1,""),IF(ISNUMBER(INDEX('register map'!I:I,C668)),2,""),IF(ISNUMBER(INDEX('register map'!H:H,C668)),3,""),IF(ISNUMBER(INDEX('register map'!G:G,C668)),4,""),IF(ISNUMBER(INDEX('register map'!F:F,C668)),5,""),IF(ISNUMBER(INDEX('register map'!E:E,C668)),6,""),IF(ISNUMBER(INDEX('register map'!D:D,C668)),7,""))</f>
        <v>01</v>
      </c>
      <c r="J668" s="117" t="str">
        <f t="shared" si="117"/>
        <v>00</v>
      </c>
      <c r="K668" s="117" t="str">
        <f t="shared" si="110"/>
        <v/>
      </c>
      <c r="L668" s="117" t="str">
        <f t="shared" si="118"/>
        <v/>
      </c>
      <c r="M668" s="117" t="str">
        <f t="shared" si="120"/>
        <v/>
      </c>
      <c r="N668" s="117" t="str">
        <f>IF(ISBLANK(INDEX('register map'!M:M,'Logical Group Generator'!C668)),"No","Yes")</f>
        <v>No</v>
      </c>
      <c r="O668" s="117" t="str">
        <f>IF(NOT(ISBLANK(INDEX('register map'!N:N,'Logical Group Generator'!C668))),"Yes","")</f>
        <v>Yes</v>
      </c>
      <c r="P668" s="117" t="str">
        <f t="shared" si="111"/>
        <v/>
      </c>
      <c r="Q668" s="117" t="str">
        <f t="shared" si="112"/>
        <v/>
      </c>
      <c r="R668" s="117" t="str">
        <f t="shared" si="113"/>
        <v/>
      </c>
      <c r="S668" s="117" t="str">
        <f t="shared" si="114"/>
        <v>No</v>
      </c>
      <c r="T668" s="117" t="str">
        <f t="shared" si="115"/>
        <v/>
      </c>
      <c r="U668" s="117" t="b">
        <f t="shared" si="119"/>
        <v>0</v>
      </c>
      <c r="V668" s="157" t="b">
        <f>INDEX('register map'!P:P,C668)="yes"</f>
        <v>1</v>
      </c>
      <c r="W668" s="157" t="str">
        <f t="shared" si="116"/>
        <v>FALSE</v>
      </c>
    </row>
    <row r="669" spans="2:23">
      <c r="B669" s="157" t="str">
        <f t="array" ref="B669">IF(ROWS($3:669)&lt;=COUNTA('register map'!$L$5:$L$902),INDEX('register map'!$L$5:$L$902,SMALL(IF('register map'!$L$5:$L$902&lt;&gt;"",ROW('register map'!$L$5:$L$902)-MIN(ROW('register map'!$L$5:$L$902))+1),ROWS($3:669))),"")</f>
        <v>OTP_RSVD_38_4B_32</v>
      </c>
      <c r="C669" s="157">
        <f>IF(B669="PART_NUMBER",IF(COUNTIF($B$1:B668,"PART_NUMBER")=0,6,8),MATCH(B669,'register map'!L:L,0))</f>
        <v>800</v>
      </c>
      <c r="D669" s="117" t="str">
        <f>IF(ISBLANK(INDEX('register map'!C:C,'Logical Group Generator'!C669)),"No","Yes")</f>
        <v>No</v>
      </c>
      <c r="E669" s="117" t="str">
        <f>IF(ISBLANK(INDEX('register map'!A:A,C669)),IF(ISBLANK(INDEX('register map'!A:A,C669-1)),IF(ISBLANK(INDEX('register map'!A:A,C669-2)),IF(ISBLANK(INDEX('register map'!A:A,C669-3)),IF(ISBLANK(INDEX('register map'!A:A,C669-4)),IF(ISBLANK(INDEX('register map'!A:A,C669-5)),IF(ISBLANK(INDEX('register map'!A:A,C669-6)),IF(ISBLANK(INDEX('register map'!A:A,C669-7)),IF(ISBLANK(INDEX('register map'!A:A,C669-8)),"ERROR",INDEX('register map'!A:A,C669-8)),INDEX('register map'!A:A,C669-7)),INDEX('register map'!A:A,C669-6)),INDEX('register map'!A:A,C669-5)),INDEX('register map'!A:A,C669-4)),INDEX('register map'!A:A,C669-3)),INDEX('register map'!A:A,C669-2)),INDEX('register map'!A:A,C669-1)),INDEX('register map'!A:A,C669))</f>
        <v>0x38</v>
      </c>
      <c r="F669" s="117" t="str">
        <f>IF(ISBLANK(INDEX('register map'!B:B,C669)),IF(ISBLANK(INDEX('register map'!B:B,C669-1)),IF(ISBLANK(INDEX('register map'!B:B,C669-2)),IF(ISBLANK(INDEX('register map'!B:B,C669-3)),IF(ISBLANK(INDEX('register map'!B:B,C669-4)),IF(ISBLANK(INDEX('register map'!B:B,C669-5)),IF(ISBLANK(INDEX('register map'!B:B,C669-6)),IF(ISBLANK(INDEX('register map'!B:B,C669-7)),IF(ISBLANK(INDEX('register map'!B:B,C669-8)),"ERROR",INDEX('register map'!B:B,C669-8)),INDEX('register map'!B:B,C669-7)),INDEX('register map'!B:B,C669-6)),INDEX('register map'!B:B,C669-5)),INDEX('register map'!B:B,C669-4)),INDEX('register map'!B:B,C669-3)),INDEX('register map'!B:B,C669-2)),INDEX('register map'!B:B,C669-1)),INDEX('register map'!B:B,C669))</f>
        <v>0x4B</v>
      </c>
      <c r="G669" s="117" t="str">
        <f>CONCATENATE(IF(ISNUMBER(INDEX('register map'!D:D,C669)),7,""),IF(ISNUMBER(INDEX('register map'!E:E,C669)),6,""),IF(ISNUMBER(INDEX('register map'!F:F,C669)),5,""),IF(ISNUMBER(INDEX('register map'!G:G,C669)),4,""),IF(ISNUMBER(INDEX('register map'!H:H,C669)),3,""),IF(ISNUMBER(INDEX('register map'!I:I,C669)),2,""),IF(ISNUMBER(INDEX('register map'!J:J,C669)),1,""),IF(ISNUMBER(INDEX('register map'!K:K,C669)),0,""))</f>
        <v>32</v>
      </c>
      <c r="H669" s="117" t="str">
        <f>RIGHT(INDEX('register map'!V:V,MATCH('Logical Group Generator'!B669,'register map'!L:L,0)),LEN(G669))</f>
        <v>10</v>
      </c>
      <c r="I669" s="117" t="str">
        <f>CONCATENATE(IF(ISNUMBER(INDEX('register map'!K:K,C669)),0,""),IF(ISNUMBER(INDEX('register map'!J:J,C669)),1,""),IF(ISNUMBER(INDEX('register map'!I:I,C669)),2,""),IF(ISNUMBER(INDEX('register map'!H:H,C669)),3,""),IF(ISNUMBER(INDEX('register map'!G:G,C669)),4,""),IF(ISNUMBER(INDEX('register map'!F:F,C669)),5,""),IF(ISNUMBER(INDEX('register map'!E:E,C669)),6,""),IF(ISNUMBER(INDEX('register map'!D:D,C669)),7,""))</f>
        <v>23</v>
      </c>
      <c r="J669" s="117" t="str">
        <f t="shared" si="117"/>
        <v>01</v>
      </c>
      <c r="K669" s="117" t="str">
        <f t="shared" si="110"/>
        <v/>
      </c>
      <c r="L669" s="117" t="str">
        <f t="shared" si="118"/>
        <v/>
      </c>
      <c r="M669" s="117" t="str">
        <f t="shared" si="120"/>
        <v/>
      </c>
      <c r="N669" s="117" t="str">
        <f>IF(ISBLANK(INDEX('register map'!M:M,'Logical Group Generator'!C669)),"No","Yes")</f>
        <v>Yes</v>
      </c>
      <c r="O669" s="117" t="str">
        <f>IF(NOT(ISBLANK(INDEX('register map'!N:N,'Logical Group Generator'!C669))),"Yes","")</f>
        <v/>
      </c>
      <c r="P669" s="117" t="str">
        <f t="shared" si="111"/>
        <v/>
      </c>
      <c r="Q669" s="117" t="str">
        <f t="shared" si="112"/>
        <v/>
      </c>
      <c r="R669" s="117" t="str">
        <f t="shared" si="113"/>
        <v/>
      </c>
      <c r="S669" s="117" t="str">
        <f t="shared" si="114"/>
        <v>No</v>
      </c>
      <c r="T669" s="117" t="str">
        <f t="shared" si="115"/>
        <v/>
      </c>
      <c r="U669" s="117" t="b">
        <f t="shared" si="119"/>
        <v>0</v>
      </c>
      <c r="V669" s="157" t="b">
        <f>INDEX('register map'!P:P,C669)="yes"</f>
        <v>1</v>
      </c>
      <c r="W669" s="157" t="str">
        <f t="shared" si="116"/>
        <v>FALSE</v>
      </c>
    </row>
    <row r="670" spans="2:23">
      <c r="B670" s="157" t="str">
        <f t="array" ref="B670">IF(ROWS($3:670)&lt;=COUNTA('register map'!$L$5:$L$902),INDEX('register map'!$L$5:$L$902,SMALL(IF('register map'!$L$5:$L$902&lt;&gt;"",ROW('register map'!$L$5:$L$902)-MIN(ROW('register map'!$L$5:$L$902))+1),ROWS($3:670))),"")</f>
        <v>OTP_RSVD_38_4B_54</v>
      </c>
      <c r="C670" s="157">
        <f>IF(B670="PART_NUMBER",IF(COUNTIF($B$1:B669,"PART_NUMBER")=0,6,8),MATCH(B670,'register map'!L:L,0))</f>
        <v>801</v>
      </c>
      <c r="D670" s="117" t="str">
        <f>IF(ISBLANK(INDEX('register map'!C:C,'Logical Group Generator'!C670)),"No","Yes")</f>
        <v>No</v>
      </c>
      <c r="E670" s="117" t="str">
        <f>IF(ISBLANK(INDEX('register map'!A:A,C670)),IF(ISBLANK(INDEX('register map'!A:A,C670-1)),IF(ISBLANK(INDEX('register map'!A:A,C670-2)),IF(ISBLANK(INDEX('register map'!A:A,C670-3)),IF(ISBLANK(INDEX('register map'!A:A,C670-4)),IF(ISBLANK(INDEX('register map'!A:A,C670-5)),IF(ISBLANK(INDEX('register map'!A:A,C670-6)),IF(ISBLANK(INDEX('register map'!A:A,C670-7)),IF(ISBLANK(INDEX('register map'!A:A,C670-8)),"ERROR",INDEX('register map'!A:A,C670-8)),INDEX('register map'!A:A,C670-7)),INDEX('register map'!A:A,C670-6)),INDEX('register map'!A:A,C670-5)),INDEX('register map'!A:A,C670-4)),INDEX('register map'!A:A,C670-3)),INDEX('register map'!A:A,C670-2)),INDEX('register map'!A:A,C670-1)),INDEX('register map'!A:A,C670))</f>
        <v>0x38</v>
      </c>
      <c r="F670" s="117" t="str">
        <f>IF(ISBLANK(INDEX('register map'!B:B,C670)),IF(ISBLANK(INDEX('register map'!B:B,C670-1)),IF(ISBLANK(INDEX('register map'!B:B,C670-2)),IF(ISBLANK(INDEX('register map'!B:B,C670-3)),IF(ISBLANK(INDEX('register map'!B:B,C670-4)),IF(ISBLANK(INDEX('register map'!B:B,C670-5)),IF(ISBLANK(INDEX('register map'!B:B,C670-6)),IF(ISBLANK(INDEX('register map'!B:B,C670-7)),IF(ISBLANK(INDEX('register map'!B:B,C670-8)),"ERROR",INDEX('register map'!B:B,C670-8)),INDEX('register map'!B:B,C670-7)),INDEX('register map'!B:B,C670-6)),INDEX('register map'!B:B,C670-5)),INDEX('register map'!B:B,C670-4)),INDEX('register map'!B:B,C670-3)),INDEX('register map'!B:B,C670-2)),INDEX('register map'!B:B,C670-1)),INDEX('register map'!B:B,C670))</f>
        <v>0x4B</v>
      </c>
      <c r="G670" s="117" t="str">
        <f>CONCATENATE(IF(ISNUMBER(INDEX('register map'!D:D,C670)),7,""),IF(ISNUMBER(INDEX('register map'!E:E,C670)),6,""),IF(ISNUMBER(INDEX('register map'!F:F,C670)),5,""),IF(ISNUMBER(INDEX('register map'!G:G,C670)),4,""),IF(ISNUMBER(INDEX('register map'!H:H,C670)),3,""),IF(ISNUMBER(INDEX('register map'!I:I,C670)),2,""),IF(ISNUMBER(INDEX('register map'!J:J,C670)),1,""),IF(ISNUMBER(INDEX('register map'!K:K,C670)),0,""))</f>
        <v>54</v>
      </c>
      <c r="H670" s="117" t="str">
        <f>RIGHT(INDEX('register map'!V:V,MATCH('Logical Group Generator'!B670,'register map'!L:L,0)),LEN(G670))</f>
        <v>10</v>
      </c>
      <c r="I670" s="117" t="str">
        <f>CONCATENATE(IF(ISNUMBER(INDEX('register map'!K:K,C670)),0,""),IF(ISNUMBER(INDEX('register map'!J:J,C670)),1,""),IF(ISNUMBER(INDEX('register map'!I:I,C670)),2,""),IF(ISNUMBER(INDEX('register map'!H:H,C670)),3,""),IF(ISNUMBER(INDEX('register map'!G:G,C670)),4,""),IF(ISNUMBER(INDEX('register map'!F:F,C670)),5,""),IF(ISNUMBER(INDEX('register map'!E:E,C670)),6,""),IF(ISNUMBER(INDEX('register map'!D:D,C670)),7,""))</f>
        <v>45</v>
      </c>
      <c r="J670" s="117" t="str">
        <f t="shared" si="117"/>
        <v>01</v>
      </c>
      <c r="K670" s="117" t="str">
        <f t="shared" si="110"/>
        <v/>
      </c>
      <c r="L670" s="117" t="str">
        <f t="shared" si="118"/>
        <v/>
      </c>
      <c r="M670" s="117" t="str">
        <f t="shared" si="120"/>
        <v/>
      </c>
      <c r="N670" s="117" t="str">
        <f>IF(ISBLANK(INDEX('register map'!M:M,'Logical Group Generator'!C670)),"No","Yes")</f>
        <v>Yes</v>
      </c>
      <c r="O670" s="117" t="str">
        <f>IF(NOT(ISBLANK(INDEX('register map'!N:N,'Logical Group Generator'!C670))),"Yes","")</f>
        <v/>
      </c>
      <c r="P670" s="117" t="str">
        <f t="shared" si="111"/>
        <v/>
      </c>
      <c r="Q670" s="117" t="str">
        <f t="shared" si="112"/>
        <v/>
      </c>
      <c r="R670" s="117" t="str">
        <f t="shared" si="113"/>
        <v/>
      </c>
      <c r="S670" s="117" t="str">
        <f t="shared" si="114"/>
        <v>No</v>
      </c>
      <c r="T670" s="117" t="str">
        <f t="shared" si="115"/>
        <v/>
      </c>
      <c r="U670" s="117" t="b">
        <f t="shared" si="119"/>
        <v>0</v>
      </c>
      <c r="V670" s="157" t="b">
        <f>INDEX('register map'!P:P,C670)="yes"</f>
        <v>1</v>
      </c>
      <c r="W670" s="157" t="str">
        <f t="shared" si="116"/>
        <v>FALSE</v>
      </c>
    </row>
    <row r="671" spans="2:23">
      <c r="B671" s="157" t="str">
        <f t="array" ref="B671">IF(ROWS($3:671)&lt;=COUNTA('register map'!$L$5:$L$902),INDEX('register map'!$L$5:$L$902,SMALL(IF('register map'!$L$5:$L$902&lt;&gt;"",ROW('register map'!$L$5:$L$902)-MIN(ROW('register map'!$L$5:$L$902))+1),ROWS($3:671))),"")</f>
        <v>OTP_RSVD_38_4B_76</v>
      </c>
      <c r="C671" s="157">
        <f>IF(B671="PART_NUMBER",IF(COUNTIF($B$1:B670,"PART_NUMBER")=0,6,8),MATCH(B671,'register map'!L:L,0))</f>
        <v>802</v>
      </c>
      <c r="D671" s="117" t="str">
        <f>IF(ISBLANK(INDEX('register map'!C:C,'Logical Group Generator'!C671)),"No","Yes")</f>
        <v>No</v>
      </c>
      <c r="E671" s="117" t="str">
        <f>IF(ISBLANK(INDEX('register map'!A:A,C671)),IF(ISBLANK(INDEX('register map'!A:A,C671-1)),IF(ISBLANK(INDEX('register map'!A:A,C671-2)),IF(ISBLANK(INDEX('register map'!A:A,C671-3)),IF(ISBLANK(INDEX('register map'!A:A,C671-4)),IF(ISBLANK(INDEX('register map'!A:A,C671-5)),IF(ISBLANK(INDEX('register map'!A:A,C671-6)),IF(ISBLANK(INDEX('register map'!A:A,C671-7)),IF(ISBLANK(INDEX('register map'!A:A,C671-8)),"ERROR",INDEX('register map'!A:A,C671-8)),INDEX('register map'!A:A,C671-7)),INDEX('register map'!A:A,C671-6)),INDEX('register map'!A:A,C671-5)),INDEX('register map'!A:A,C671-4)),INDEX('register map'!A:A,C671-3)),INDEX('register map'!A:A,C671-2)),INDEX('register map'!A:A,C671-1)),INDEX('register map'!A:A,C671))</f>
        <v>0x38</v>
      </c>
      <c r="F671" s="117" t="str">
        <f>IF(ISBLANK(INDEX('register map'!B:B,C671)),IF(ISBLANK(INDEX('register map'!B:B,C671-1)),IF(ISBLANK(INDEX('register map'!B:B,C671-2)),IF(ISBLANK(INDEX('register map'!B:B,C671-3)),IF(ISBLANK(INDEX('register map'!B:B,C671-4)),IF(ISBLANK(INDEX('register map'!B:B,C671-5)),IF(ISBLANK(INDEX('register map'!B:B,C671-6)),IF(ISBLANK(INDEX('register map'!B:B,C671-7)),IF(ISBLANK(INDEX('register map'!B:B,C671-8)),"ERROR",INDEX('register map'!B:B,C671-8)),INDEX('register map'!B:B,C671-7)),INDEX('register map'!B:B,C671-6)),INDEX('register map'!B:B,C671-5)),INDEX('register map'!B:B,C671-4)),INDEX('register map'!B:B,C671-3)),INDEX('register map'!B:B,C671-2)),INDEX('register map'!B:B,C671-1)),INDEX('register map'!B:B,C671))</f>
        <v>0x4B</v>
      </c>
      <c r="G671" s="117" t="str">
        <f>CONCATENATE(IF(ISNUMBER(INDEX('register map'!D:D,C671)),7,""),IF(ISNUMBER(INDEX('register map'!E:E,C671)),6,""),IF(ISNUMBER(INDEX('register map'!F:F,C671)),5,""),IF(ISNUMBER(INDEX('register map'!G:G,C671)),4,""),IF(ISNUMBER(INDEX('register map'!H:H,C671)),3,""),IF(ISNUMBER(INDEX('register map'!I:I,C671)),2,""),IF(ISNUMBER(INDEX('register map'!J:J,C671)),1,""),IF(ISNUMBER(INDEX('register map'!K:K,C671)),0,""))</f>
        <v>76</v>
      </c>
      <c r="H671" s="117" t="str">
        <f>RIGHT(INDEX('register map'!V:V,MATCH('Logical Group Generator'!B671,'register map'!L:L,0)),LEN(G671))</f>
        <v>10</v>
      </c>
      <c r="I671" s="117" t="str">
        <f>CONCATENATE(IF(ISNUMBER(INDEX('register map'!K:K,C671)),0,""),IF(ISNUMBER(INDEX('register map'!J:J,C671)),1,""),IF(ISNUMBER(INDEX('register map'!I:I,C671)),2,""),IF(ISNUMBER(INDEX('register map'!H:H,C671)),3,""),IF(ISNUMBER(INDEX('register map'!G:G,C671)),4,""),IF(ISNUMBER(INDEX('register map'!F:F,C671)),5,""),IF(ISNUMBER(INDEX('register map'!E:E,C671)),6,""),IF(ISNUMBER(INDEX('register map'!D:D,C671)),7,""))</f>
        <v>67</v>
      </c>
      <c r="J671" s="117" t="str">
        <f t="shared" si="117"/>
        <v>01</v>
      </c>
      <c r="K671" s="117" t="str">
        <f t="shared" si="110"/>
        <v/>
      </c>
      <c r="L671" s="117" t="str">
        <f t="shared" si="118"/>
        <v/>
      </c>
      <c r="M671" s="117" t="str">
        <f t="shared" si="120"/>
        <v/>
      </c>
      <c r="N671" s="117" t="str">
        <f>IF(ISBLANK(INDEX('register map'!M:M,'Logical Group Generator'!C671)),"No","Yes")</f>
        <v>No</v>
      </c>
      <c r="O671" s="117" t="str">
        <f>IF(NOT(ISBLANK(INDEX('register map'!N:N,'Logical Group Generator'!C671))),"Yes","")</f>
        <v>Yes</v>
      </c>
      <c r="P671" s="117" t="str">
        <f t="shared" si="111"/>
        <v/>
      </c>
      <c r="Q671" s="117" t="str">
        <f t="shared" si="112"/>
        <v/>
      </c>
      <c r="R671" s="117" t="str">
        <f t="shared" si="113"/>
        <v/>
      </c>
      <c r="S671" s="117" t="str">
        <f t="shared" si="114"/>
        <v>No</v>
      </c>
      <c r="T671" s="117" t="str">
        <f t="shared" si="115"/>
        <v/>
      </c>
      <c r="U671" s="117" t="b">
        <f t="shared" si="119"/>
        <v>0</v>
      </c>
      <c r="V671" s="157" t="b">
        <f>INDEX('register map'!P:P,C671)="yes"</f>
        <v>1</v>
      </c>
      <c r="W671" s="157" t="str">
        <f t="shared" si="116"/>
        <v>FALSE</v>
      </c>
    </row>
    <row r="672" spans="2:23" s="267" customFormat="1">
      <c r="B672" s="267" t="str">
        <f t="array" ref="B672">IF(ROWS($3:672)&lt;=COUNTA('register map'!$L$5:$L$902),INDEX('register map'!$L$5:$L$902,SMALL(IF('register map'!$L$5:$L$902&lt;&gt;"",ROW('register map'!$L$5:$L$902)-MIN(ROW('register map'!$L$5:$L$902))+1),ROWS($3:672))),"")</f>
        <v>OTP_RSVD_38_4C</v>
      </c>
      <c r="C672" s="267">
        <f>IF(B672="PART_NUMBER",IF(COUNTIF($B$1:B671,"PART_NUMBER")=0,6,8),MATCH(B672,'register map'!L:L,0))</f>
        <v>803</v>
      </c>
      <c r="D672" s="267" t="str">
        <f>IF(ISBLANK(INDEX('register map'!C:C,'Logical Group Generator'!C672)),"No","Yes")</f>
        <v>Yes</v>
      </c>
      <c r="E672" s="267" t="str">
        <f>IF(ISBLANK(INDEX('register map'!A:A,C672)),IF(ISBLANK(INDEX('register map'!A:A,C672-1)),IF(ISBLANK(INDEX('register map'!A:A,C672-2)),IF(ISBLANK(INDEX('register map'!A:A,C672-3)),IF(ISBLANK(INDEX('register map'!A:A,C672-4)),IF(ISBLANK(INDEX('register map'!A:A,C672-5)),IF(ISBLANK(INDEX('register map'!A:A,C672-6)),IF(ISBLANK(INDEX('register map'!A:A,C672-7)),IF(ISBLANK(INDEX('register map'!A:A,C672-8)),"ERROR",INDEX('register map'!A:A,C672-8)),INDEX('register map'!A:A,C672-7)),INDEX('register map'!A:A,C672-6)),INDEX('register map'!A:A,C672-5)),INDEX('register map'!A:A,C672-4)),INDEX('register map'!A:A,C672-3)),INDEX('register map'!A:A,C672-2)),INDEX('register map'!A:A,C672-1)),INDEX('register map'!A:A,C672))</f>
        <v>0x38</v>
      </c>
      <c r="F672" s="267" t="str">
        <f>IF(ISBLANK(INDEX('register map'!B:B,C672)),IF(ISBLANK(INDEX('register map'!B:B,C672-1)),IF(ISBLANK(INDEX('register map'!B:B,C672-2)),IF(ISBLANK(INDEX('register map'!B:B,C672-3)),IF(ISBLANK(INDEX('register map'!B:B,C672-4)),IF(ISBLANK(INDEX('register map'!B:B,C672-5)),IF(ISBLANK(INDEX('register map'!B:B,C672-6)),IF(ISBLANK(INDEX('register map'!B:B,C672-7)),IF(ISBLANK(INDEX('register map'!B:B,C672-8)),"ERROR",INDEX('register map'!B:B,C672-8)),INDEX('register map'!B:B,C672-7)),INDEX('register map'!B:B,C672-6)),INDEX('register map'!B:B,C672-5)),INDEX('register map'!B:B,C672-4)),INDEX('register map'!B:B,C672-3)),INDEX('register map'!B:B,C672-2)),INDEX('register map'!B:B,C672-1)),INDEX('register map'!B:B,C672))</f>
        <v>0x4C</v>
      </c>
      <c r="G672" s="267" t="str">
        <f>CONCATENATE(IF(ISNUMBER(INDEX('register map'!D:D,C672)),7,""),IF(ISNUMBER(INDEX('register map'!E:E,C672)),6,""),IF(ISNUMBER(INDEX('register map'!F:F,C672)),5,""),IF(ISNUMBER(INDEX('register map'!G:G,C672)),4,""),IF(ISNUMBER(INDEX('register map'!H:H,C672)),3,""),IF(ISNUMBER(INDEX('register map'!I:I,C672)),2,""),IF(ISNUMBER(INDEX('register map'!J:J,C672)),1,""),IF(ISNUMBER(INDEX('register map'!K:K,C672)),0,""))</f>
        <v/>
      </c>
      <c r="H672" s="267" t="str">
        <f>RIGHT(INDEX('register map'!V:V,MATCH('Logical Group Generator'!B672,'register map'!L:L,0)),LEN(G672))</f>
        <v/>
      </c>
      <c r="I672" s="267" t="str">
        <f>CONCATENATE(IF(ISNUMBER(INDEX('register map'!K:K,C672)),0,""),IF(ISNUMBER(INDEX('register map'!J:J,C672)),1,""),IF(ISNUMBER(INDEX('register map'!I:I,C672)),2,""),IF(ISNUMBER(INDEX('register map'!H:H,C672)),3,""),IF(ISNUMBER(INDEX('register map'!G:G,C672)),4,""),IF(ISNUMBER(INDEX('register map'!F:F,C672)),5,""),IF(ISNUMBER(INDEX('register map'!E:E,C672)),6,""),IF(ISNUMBER(INDEX('register map'!D:D,C672)),7,""))</f>
        <v/>
      </c>
      <c r="J672" s="267" t="str">
        <f t="shared" si="117"/>
        <v/>
      </c>
      <c r="K672" s="267" t="str">
        <f t="shared" si="110"/>
        <v>10100100</v>
      </c>
      <c r="L672" s="267" t="str">
        <f t="shared" si="118"/>
        <v>00100101</v>
      </c>
      <c r="M672" s="267" t="str">
        <f t="shared" si="120"/>
        <v>25</v>
      </c>
      <c r="N672" s="267" t="str">
        <f>IF(ISBLANK(INDEX('register map'!M:M,'Logical Group Generator'!C672)),"No","Yes")</f>
        <v>No</v>
      </c>
      <c r="O672" s="267" t="str">
        <f>IF(NOT(ISBLANK(INDEX('register map'!N:N,'Logical Group Generator'!C672))),"Yes","")</f>
        <v/>
      </c>
      <c r="P672" s="267" t="s">
        <v>618</v>
      </c>
      <c r="Q672" s="267" t="str">
        <f t="shared" si="112"/>
        <v>No</v>
      </c>
      <c r="R672" s="267" t="str">
        <f t="shared" si="113"/>
        <v>No</v>
      </c>
      <c r="S672" s="267" t="str">
        <f t="shared" si="114"/>
        <v/>
      </c>
      <c r="T672" s="267" t="b">
        <f t="shared" si="115"/>
        <v>1</v>
      </c>
      <c r="U672" s="267" t="b">
        <f t="shared" si="119"/>
        <v>1</v>
      </c>
      <c r="V672" s="267" t="b">
        <f>INDEX('register map'!P:P,C672)="yes"</f>
        <v>1</v>
      </c>
      <c r="W672" s="267" t="str">
        <f t="shared" si="116"/>
        <v>REGISTER</v>
      </c>
    </row>
    <row r="673" spans="2:23" s="267" customFormat="1">
      <c r="B673" s="267" t="str">
        <f t="array" ref="B673">IF(ROWS($3:673)&lt;=COUNTA('register map'!$L$5:$L$902),INDEX('register map'!$L$5:$L$902,SMALL(IF('register map'!$L$5:$L$902&lt;&gt;"",ROW('register map'!$L$5:$L$902)-MIN(ROW('register map'!$L$5:$L$902))+1),ROWS($3:673))),"")</f>
        <v>OTP_RSVD_38_4C_10</v>
      </c>
      <c r="C673" s="267">
        <f>IF(B673="PART_NUMBER",IF(COUNTIF($B$1:B672,"PART_NUMBER")=0,6,8),MATCH(B673,'register map'!L:L,0))</f>
        <v>804</v>
      </c>
      <c r="D673" s="267" t="str">
        <f>IF(ISBLANK(INDEX('register map'!C:C,'Logical Group Generator'!C673)),"No","Yes")</f>
        <v>No</v>
      </c>
      <c r="E673" s="267" t="str">
        <f>IF(ISBLANK(INDEX('register map'!A:A,C673)),IF(ISBLANK(INDEX('register map'!A:A,C673-1)),IF(ISBLANK(INDEX('register map'!A:A,C673-2)),IF(ISBLANK(INDEX('register map'!A:A,C673-3)),IF(ISBLANK(INDEX('register map'!A:A,C673-4)),IF(ISBLANK(INDEX('register map'!A:A,C673-5)),IF(ISBLANK(INDEX('register map'!A:A,C673-6)),IF(ISBLANK(INDEX('register map'!A:A,C673-7)),IF(ISBLANK(INDEX('register map'!A:A,C673-8)),"ERROR",INDEX('register map'!A:A,C673-8)),INDEX('register map'!A:A,C673-7)),INDEX('register map'!A:A,C673-6)),INDEX('register map'!A:A,C673-5)),INDEX('register map'!A:A,C673-4)),INDEX('register map'!A:A,C673-3)),INDEX('register map'!A:A,C673-2)),INDEX('register map'!A:A,C673-1)),INDEX('register map'!A:A,C673))</f>
        <v>0x38</v>
      </c>
      <c r="F673" s="267" t="str">
        <f>IF(ISBLANK(INDEX('register map'!B:B,C673)),IF(ISBLANK(INDEX('register map'!B:B,C673-1)),IF(ISBLANK(INDEX('register map'!B:B,C673-2)),IF(ISBLANK(INDEX('register map'!B:B,C673-3)),IF(ISBLANK(INDEX('register map'!B:B,C673-4)),IF(ISBLANK(INDEX('register map'!B:B,C673-5)),IF(ISBLANK(INDEX('register map'!B:B,C673-6)),IF(ISBLANK(INDEX('register map'!B:B,C673-7)),IF(ISBLANK(INDEX('register map'!B:B,C673-8)),"ERROR",INDEX('register map'!B:B,C673-8)),INDEX('register map'!B:B,C673-7)),INDEX('register map'!B:B,C673-6)),INDEX('register map'!B:B,C673-5)),INDEX('register map'!B:B,C673-4)),INDEX('register map'!B:B,C673-3)),INDEX('register map'!B:B,C673-2)),INDEX('register map'!B:B,C673-1)),INDEX('register map'!B:B,C673))</f>
        <v>0x4C</v>
      </c>
      <c r="G673" s="267" t="str">
        <f>CONCATENATE(IF(ISNUMBER(INDEX('register map'!D:D,C673)),7,""),IF(ISNUMBER(INDEX('register map'!E:E,C673)),6,""),IF(ISNUMBER(INDEX('register map'!F:F,C673)),5,""),IF(ISNUMBER(INDEX('register map'!G:G,C673)),4,""),IF(ISNUMBER(INDEX('register map'!H:H,C673)),3,""),IF(ISNUMBER(INDEX('register map'!I:I,C673)),2,""),IF(ISNUMBER(INDEX('register map'!J:J,C673)),1,""),IF(ISNUMBER(INDEX('register map'!K:K,C673)),0,""))</f>
        <v>10</v>
      </c>
      <c r="H673" s="267" t="str">
        <f>RIGHT(INDEX('register map'!V:V,MATCH('Logical Group Generator'!B673,'register map'!L:L,0)),LEN(G673))</f>
        <v>01</v>
      </c>
      <c r="I673" s="267" t="str">
        <f>CONCATENATE(IF(ISNUMBER(INDEX('register map'!K:K,C673)),0,""),IF(ISNUMBER(INDEX('register map'!J:J,C673)),1,""),IF(ISNUMBER(INDEX('register map'!I:I,C673)),2,""),IF(ISNUMBER(INDEX('register map'!H:H,C673)),3,""),IF(ISNUMBER(INDEX('register map'!G:G,C673)),4,""),IF(ISNUMBER(INDEX('register map'!F:F,C673)),5,""),IF(ISNUMBER(INDEX('register map'!E:E,C673)),6,""),IF(ISNUMBER(INDEX('register map'!D:D,C673)),7,""))</f>
        <v>01</v>
      </c>
      <c r="J673" s="267" t="str">
        <f t="shared" si="117"/>
        <v>10</v>
      </c>
      <c r="K673" s="267" t="str">
        <f t="shared" si="110"/>
        <v/>
      </c>
      <c r="L673" s="267" t="str">
        <f t="shared" si="118"/>
        <v/>
      </c>
      <c r="M673" s="267" t="str">
        <f t="shared" si="120"/>
        <v/>
      </c>
      <c r="N673" s="267" t="str">
        <f>IF(ISBLANK(INDEX('register map'!M:M,'Logical Group Generator'!C673)),"No","Yes")</f>
        <v>Yes</v>
      </c>
      <c r="O673" s="267" t="str">
        <f>IF(NOT(ISBLANK(INDEX('register map'!N:N,'Logical Group Generator'!C673))),"Yes","")</f>
        <v/>
      </c>
      <c r="P673" s="267" t="str">
        <f t="shared" si="111"/>
        <v/>
      </c>
      <c r="Q673" s="267" t="str">
        <f t="shared" si="112"/>
        <v/>
      </c>
      <c r="R673" s="267" t="str">
        <f t="shared" si="113"/>
        <v/>
      </c>
      <c r="S673" s="267" t="str">
        <f t="shared" si="114"/>
        <v>No</v>
      </c>
      <c r="T673" s="267" t="str">
        <f t="shared" si="115"/>
        <v/>
      </c>
      <c r="U673" s="267" t="b">
        <f t="shared" si="119"/>
        <v>0</v>
      </c>
      <c r="V673" s="267" t="b">
        <f>INDEX('register map'!P:P,C673)="yes"</f>
        <v>1</v>
      </c>
      <c r="W673" s="267" t="str">
        <f t="shared" si="116"/>
        <v>FALSE</v>
      </c>
    </row>
    <row r="674" spans="2:23" s="267" customFormat="1">
      <c r="B674" s="267" t="str">
        <f t="array" ref="B674">IF(ROWS($3:674)&lt;=COUNTA('register map'!$L$5:$L$902),INDEX('register map'!$L$5:$L$902,SMALL(IF('register map'!$L$5:$L$902&lt;&gt;"",ROW('register map'!$L$5:$L$902)-MIN(ROW('register map'!$L$5:$L$902))+1),ROWS($3:674))),"")</f>
        <v>OTP_RSVD_38_4C_2</v>
      </c>
      <c r="C674" s="267">
        <f>IF(B674="PART_NUMBER",IF(COUNTIF($B$1:B673,"PART_NUMBER")=0,6,8),MATCH(B674,'register map'!L:L,0))</f>
        <v>805</v>
      </c>
      <c r="D674" s="267" t="str">
        <f>IF(ISBLANK(INDEX('register map'!C:C,'Logical Group Generator'!C674)),"No","Yes")</f>
        <v>No</v>
      </c>
      <c r="E674" s="267" t="str">
        <f>IF(ISBLANK(INDEX('register map'!A:A,C674)),IF(ISBLANK(INDEX('register map'!A:A,C674-1)),IF(ISBLANK(INDEX('register map'!A:A,C674-2)),IF(ISBLANK(INDEX('register map'!A:A,C674-3)),IF(ISBLANK(INDEX('register map'!A:A,C674-4)),IF(ISBLANK(INDEX('register map'!A:A,C674-5)),IF(ISBLANK(INDEX('register map'!A:A,C674-6)),IF(ISBLANK(INDEX('register map'!A:A,C674-7)),IF(ISBLANK(INDEX('register map'!A:A,C674-8)),"ERROR",INDEX('register map'!A:A,C674-8)),INDEX('register map'!A:A,C674-7)),INDEX('register map'!A:A,C674-6)),INDEX('register map'!A:A,C674-5)),INDEX('register map'!A:A,C674-4)),INDEX('register map'!A:A,C674-3)),INDEX('register map'!A:A,C674-2)),INDEX('register map'!A:A,C674-1)),INDEX('register map'!A:A,C674))</f>
        <v>0x38</v>
      </c>
      <c r="F674" s="267" t="str">
        <f>IF(ISBLANK(INDEX('register map'!B:B,C674)),IF(ISBLANK(INDEX('register map'!B:B,C674-1)),IF(ISBLANK(INDEX('register map'!B:B,C674-2)),IF(ISBLANK(INDEX('register map'!B:B,C674-3)),IF(ISBLANK(INDEX('register map'!B:B,C674-4)),IF(ISBLANK(INDEX('register map'!B:B,C674-5)),IF(ISBLANK(INDEX('register map'!B:B,C674-6)),IF(ISBLANK(INDEX('register map'!B:B,C674-7)),IF(ISBLANK(INDEX('register map'!B:B,C674-8)),"ERROR",INDEX('register map'!B:B,C674-8)),INDEX('register map'!B:B,C674-7)),INDEX('register map'!B:B,C674-6)),INDEX('register map'!B:B,C674-5)),INDEX('register map'!B:B,C674-4)),INDEX('register map'!B:B,C674-3)),INDEX('register map'!B:B,C674-2)),INDEX('register map'!B:B,C674-1)),INDEX('register map'!B:B,C674))</f>
        <v>0x4C</v>
      </c>
      <c r="G674" s="267" t="str">
        <f>CONCATENATE(IF(ISNUMBER(INDEX('register map'!D:D,C674)),7,""),IF(ISNUMBER(INDEX('register map'!E:E,C674)),6,""),IF(ISNUMBER(INDEX('register map'!F:F,C674)),5,""),IF(ISNUMBER(INDEX('register map'!G:G,C674)),4,""),IF(ISNUMBER(INDEX('register map'!H:H,C674)),3,""),IF(ISNUMBER(INDEX('register map'!I:I,C674)),2,""),IF(ISNUMBER(INDEX('register map'!J:J,C674)),1,""),IF(ISNUMBER(INDEX('register map'!K:K,C674)),0,""))</f>
        <v>2</v>
      </c>
      <c r="H674" s="267" t="str">
        <f>RIGHT(INDEX('register map'!V:V,MATCH('Logical Group Generator'!B674,'register map'!L:L,0)),LEN(G674))</f>
        <v>1</v>
      </c>
      <c r="I674" s="267" t="str">
        <f>CONCATENATE(IF(ISNUMBER(INDEX('register map'!K:K,C674)),0,""),IF(ISNUMBER(INDEX('register map'!J:J,C674)),1,""),IF(ISNUMBER(INDEX('register map'!I:I,C674)),2,""),IF(ISNUMBER(INDEX('register map'!H:H,C674)),3,""),IF(ISNUMBER(INDEX('register map'!G:G,C674)),4,""),IF(ISNUMBER(INDEX('register map'!F:F,C674)),5,""),IF(ISNUMBER(INDEX('register map'!E:E,C674)),6,""),IF(ISNUMBER(INDEX('register map'!D:D,C674)),7,""))</f>
        <v>2</v>
      </c>
      <c r="J674" s="267" t="str">
        <f t="shared" si="117"/>
        <v>1</v>
      </c>
      <c r="K674" s="267" t="str">
        <f t="shared" si="110"/>
        <v/>
      </c>
      <c r="L674" s="267" t="str">
        <f t="shared" si="118"/>
        <v/>
      </c>
      <c r="M674" s="267" t="str">
        <f t="shared" si="120"/>
        <v/>
      </c>
      <c r="N674" s="267" t="str">
        <f>IF(ISBLANK(INDEX('register map'!M:M,'Logical Group Generator'!C674)),"No","Yes")</f>
        <v>No</v>
      </c>
      <c r="O674" s="267" t="str">
        <f>IF(NOT(ISBLANK(INDEX('register map'!N:N,'Logical Group Generator'!C674))),"Yes","")</f>
        <v/>
      </c>
      <c r="P674" s="267" t="str">
        <f t="shared" si="111"/>
        <v/>
      </c>
      <c r="Q674" s="267" t="str">
        <f t="shared" si="112"/>
        <v/>
      </c>
      <c r="R674" s="267" t="str">
        <f t="shared" si="113"/>
        <v/>
      </c>
      <c r="S674" s="267" t="str">
        <f t="shared" si="114"/>
        <v>No</v>
      </c>
      <c r="T674" s="267" t="str">
        <f t="shared" si="115"/>
        <v/>
      </c>
      <c r="U674" s="267" t="b">
        <f t="shared" si="119"/>
        <v>0</v>
      </c>
      <c r="V674" s="267" t="b">
        <f>INDEX('register map'!P:P,C674)="yes"</f>
        <v>1</v>
      </c>
      <c r="W674" s="267" t="str">
        <f t="shared" si="116"/>
        <v>FALSE</v>
      </c>
    </row>
    <row r="675" spans="2:23" s="267" customFormat="1">
      <c r="B675" s="267" t="str">
        <f t="array" ref="B675">IF(ROWS($3:675)&lt;=COUNTA('register map'!$L$5:$L$902),INDEX('register map'!$L$5:$L$902,SMALL(IF('register map'!$L$5:$L$902&lt;&gt;"",ROW('register map'!$L$5:$L$902)-MIN(ROW('register map'!$L$5:$L$902))+1),ROWS($3:675))),"")</f>
        <v>OTP_RSVD_38_4C_3</v>
      </c>
      <c r="C675" s="267">
        <f>IF(B675="PART_NUMBER",IF(COUNTIF($B$1:B674,"PART_NUMBER")=0,6,8),MATCH(B675,'register map'!L:L,0))</f>
        <v>806</v>
      </c>
      <c r="D675" s="267" t="str">
        <f>IF(ISBLANK(INDEX('register map'!C:C,'Logical Group Generator'!C675)),"No","Yes")</f>
        <v>No</v>
      </c>
      <c r="E675" s="267" t="str">
        <f>IF(ISBLANK(INDEX('register map'!A:A,C675)),IF(ISBLANK(INDEX('register map'!A:A,C675-1)),IF(ISBLANK(INDEX('register map'!A:A,C675-2)),IF(ISBLANK(INDEX('register map'!A:A,C675-3)),IF(ISBLANK(INDEX('register map'!A:A,C675-4)),IF(ISBLANK(INDEX('register map'!A:A,C675-5)),IF(ISBLANK(INDEX('register map'!A:A,C675-6)),IF(ISBLANK(INDEX('register map'!A:A,C675-7)),IF(ISBLANK(INDEX('register map'!A:A,C675-8)),"ERROR",INDEX('register map'!A:A,C675-8)),INDEX('register map'!A:A,C675-7)),INDEX('register map'!A:A,C675-6)),INDEX('register map'!A:A,C675-5)),INDEX('register map'!A:A,C675-4)),INDEX('register map'!A:A,C675-3)),INDEX('register map'!A:A,C675-2)),INDEX('register map'!A:A,C675-1)),INDEX('register map'!A:A,C675))</f>
        <v>0x38</v>
      </c>
      <c r="F675" s="267" t="str">
        <f>IF(ISBLANK(INDEX('register map'!B:B,C675)),IF(ISBLANK(INDEX('register map'!B:B,C675-1)),IF(ISBLANK(INDEX('register map'!B:B,C675-2)),IF(ISBLANK(INDEX('register map'!B:B,C675-3)),IF(ISBLANK(INDEX('register map'!B:B,C675-4)),IF(ISBLANK(INDEX('register map'!B:B,C675-5)),IF(ISBLANK(INDEX('register map'!B:B,C675-6)),IF(ISBLANK(INDEX('register map'!B:B,C675-7)),IF(ISBLANK(INDEX('register map'!B:B,C675-8)),"ERROR",INDEX('register map'!B:B,C675-8)),INDEX('register map'!B:B,C675-7)),INDEX('register map'!B:B,C675-6)),INDEX('register map'!B:B,C675-5)),INDEX('register map'!B:B,C675-4)),INDEX('register map'!B:B,C675-3)),INDEX('register map'!B:B,C675-2)),INDEX('register map'!B:B,C675-1)),INDEX('register map'!B:B,C675))</f>
        <v>0x4C</v>
      </c>
      <c r="G675" s="267" t="str">
        <f>CONCATENATE(IF(ISNUMBER(INDEX('register map'!D:D,C675)),7,""),IF(ISNUMBER(INDEX('register map'!E:E,C675)),6,""),IF(ISNUMBER(INDEX('register map'!F:F,C675)),5,""),IF(ISNUMBER(INDEX('register map'!G:G,C675)),4,""),IF(ISNUMBER(INDEX('register map'!H:H,C675)),3,""),IF(ISNUMBER(INDEX('register map'!I:I,C675)),2,""),IF(ISNUMBER(INDEX('register map'!J:J,C675)),1,""),IF(ISNUMBER(INDEX('register map'!K:K,C675)),0,""))</f>
        <v>3</v>
      </c>
      <c r="H675" s="267" t="str">
        <f>RIGHT(INDEX('register map'!V:V,MATCH('Logical Group Generator'!B675,'register map'!L:L,0)),LEN(G675))</f>
        <v>0</v>
      </c>
      <c r="I675" s="267" t="str">
        <f>CONCATENATE(IF(ISNUMBER(INDEX('register map'!K:K,C675)),0,""),IF(ISNUMBER(INDEX('register map'!J:J,C675)),1,""),IF(ISNUMBER(INDEX('register map'!I:I,C675)),2,""),IF(ISNUMBER(INDEX('register map'!H:H,C675)),3,""),IF(ISNUMBER(INDEX('register map'!G:G,C675)),4,""),IF(ISNUMBER(INDEX('register map'!F:F,C675)),5,""),IF(ISNUMBER(INDEX('register map'!E:E,C675)),6,""),IF(ISNUMBER(INDEX('register map'!D:D,C675)),7,""))</f>
        <v>3</v>
      </c>
      <c r="J675" s="267" t="str">
        <f t="shared" si="117"/>
        <v>0</v>
      </c>
      <c r="K675" s="267" t="str">
        <f t="shared" si="110"/>
        <v/>
      </c>
      <c r="L675" s="267" t="str">
        <f t="shared" si="118"/>
        <v/>
      </c>
      <c r="M675" s="267" t="str">
        <f t="shared" si="120"/>
        <v/>
      </c>
      <c r="N675" s="267" t="str">
        <f>IF(ISBLANK(INDEX('register map'!M:M,'Logical Group Generator'!C675)),"No","Yes")</f>
        <v>No</v>
      </c>
      <c r="O675" s="267" t="str">
        <f>IF(NOT(ISBLANK(INDEX('register map'!N:N,'Logical Group Generator'!C675))),"Yes","")</f>
        <v>Yes</v>
      </c>
      <c r="P675" s="267" t="str">
        <f t="shared" si="111"/>
        <v/>
      </c>
      <c r="Q675" s="267" t="str">
        <f t="shared" si="112"/>
        <v/>
      </c>
      <c r="R675" s="267" t="str">
        <f t="shared" si="113"/>
        <v/>
      </c>
      <c r="S675" s="267" t="str">
        <f t="shared" si="114"/>
        <v>No</v>
      </c>
      <c r="T675" s="267" t="str">
        <f t="shared" si="115"/>
        <v/>
      </c>
      <c r="U675" s="267" t="b">
        <f t="shared" si="119"/>
        <v>0</v>
      </c>
      <c r="V675" s="267" t="b">
        <f>INDEX('register map'!P:P,C675)="yes"</f>
        <v>1</v>
      </c>
      <c r="W675" s="267" t="str">
        <f t="shared" si="116"/>
        <v>FALSE</v>
      </c>
    </row>
    <row r="676" spans="2:23" s="267" customFormat="1">
      <c r="B676" s="267" t="str">
        <f t="array" ref="B676">IF(ROWS($3:676)&lt;=COUNTA('register map'!$L$5:$L$902),INDEX('register map'!$L$5:$L$902,SMALL(IF('register map'!$L$5:$L$902&lt;&gt;"",ROW('register map'!$L$5:$L$902)-MIN(ROW('register map'!$L$5:$L$902))+1),ROWS($3:676))),"")</f>
        <v>OTP_RSVD_38_4C_4</v>
      </c>
      <c r="C676" s="267">
        <f>IF(B676="PART_NUMBER",IF(COUNTIF($B$1:B675,"PART_NUMBER")=0,6,8),MATCH(B676,'register map'!L:L,0))</f>
        <v>807</v>
      </c>
      <c r="D676" s="267" t="str">
        <f>IF(ISBLANK(INDEX('register map'!C:C,'Logical Group Generator'!C676)),"No","Yes")</f>
        <v>No</v>
      </c>
      <c r="E676" s="267" t="str">
        <f>IF(ISBLANK(INDEX('register map'!A:A,C676)),IF(ISBLANK(INDEX('register map'!A:A,C676-1)),IF(ISBLANK(INDEX('register map'!A:A,C676-2)),IF(ISBLANK(INDEX('register map'!A:A,C676-3)),IF(ISBLANK(INDEX('register map'!A:A,C676-4)),IF(ISBLANK(INDEX('register map'!A:A,C676-5)),IF(ISBLANK(INDEX('register map'!A:A,C676-6)),IF(ISBLANK(INDEX('register map'!A:A,C676-7)),IF(ISBLANK(INDEX('register map'!A:A,C676-8)),"ERROR",INDEX('register map'!A:A,C676-8)),INDEX('register map'!A:A,C676-7)),INDEX('register map'!A:A,C676-6)),INDEX('register map'!A:A,C676-5)),INDEX('register map'!A:A,C676-4)),INDEX('register map'!A:A,C676-3)),INDEX('register map'!A:A,C676-2)),INDEX('register map'!A:A,C676-1)),INDEX('register map'!A:A,C676))</f>
        <v>0x38</v>
      </c>
      <c r="F676" s="267" t="str">
        <f>IF(ISBLANK(INDEX('register map'!B:B,C676)),IF(ISBLANK(INDEX('register map'!B:B,C676-1)),IF(ISBLANK(INDEX('register map'!B:B,C676-2)),IF(ISBLANK(INDEX('register map'!B:B,C676-3)),IF(ISBLANK(INDEX('register map'!B:B,C676-4)),IF(ISBLANK(INDEX('register map'!B:B,C676-5)),IF(ISBLANK(INDEX('register map'!B:B,C676-6)),IF(ISBLANK(INDEX('register map'!B:B,C676-7)),IF(ISBLANK(INDEX('register map'!B:B,C676-8)),"ERROR",INDEX('register map'!B:B,C676-8)),INDEX('register map'!B:B,C676-7)),INDEX('register map'!B:B,C676-6)),INDEX('register map'!B:B,C676-5)),INDEX('register map'!B:B,C676-4)),INDEX('register map'!B:B,C676-3)),INDEX('register map'!B:B,C676-2)),INDEX('register map'!B:B,C676-1)),INDEX('register map'!B:B,C676))</f>
        <v>0x4C</v>
      </c>
      <c r="G676" s="267" t="str">
        <f>CONCATENATE(IF(ISNUMBER(INDEX('register map'!D:D,C676)),7,""),IF(ISNUMBER(INDEX('register map'!E:E,C676)),6,""),IF(ISNUMBER(INDEX('register map'!F:F,C676)),5,""),IF(ISNUMBER(INDEX('register map'!G:G,C676)),4,""),IF(ISNUMBER(INDEX('register map'!H:H,C676)),3,""),IF(ISNUMBER(INDEX('register map'!I:I,C676)),2,""),IF(ISNUMBER(INDEX('register map'!J:J,C676)),1,""),IF(ISNUMBER(INDEX('register map'!K:K,C676)),0,""))</f>
        <v>4</v>
      </c>
      <c r="H676" s="267" t="str">
        <f>RIGHT(INDEX('register map'!V:V,MATCH('Logical Group Generator'!B676,'register map'!L:L,0)),LEN(G676))</f>
        <v>0</v>
      </c>
      <c r="I676" s="267" t="str">
        <f>CONCATENATE(IF(ISNUMBER(INDEX('register map'!K:K,C676)),0,""),IF(ISNUMBER(INDEX('register map'!J:J,C676)),1,""),IF(ISNUMBER(INDEX('register map'!I:I,C676)),2,""),IF(ISNUMBER(INDEX('register map'!H:H,C676)),3,""),IF(ISNUMBER(INDEX('register map'!G:G,C676)),4,""),IF(ISNUMBER(INDEX('register map'!F:F,C676)),5,""),IF(ISNUMBER(INDEX('register map'!E:E,C676)),6,""),IF(ISNUMBER(INDEX('register map'!D:D,C676)),7,""))</f>
        <v>4</v>
      </c>
      <c r="J676" s="267" t="str">
        <f t="shared" si="117"/>
        <v>0</v>
      </c>
      <c r="K676" s="267" t="str">
        <f t="shared" si="110"/>
        <v/>
      </c>
      <c r="L676" s="267" t="str">
        <f t="shared" si="118"/>
        <v/>
      </c>
      <c r="M676" s="267" t="str">
        <f t="shared" si="120"/>
        <v/>
      </c>
      <c r="N676" s="267" t="str">
        <f>IF(ISBLANK(INDEX('register map'!M:M,'Logical Group Generator'!C676)),"No","Yes")</f>
        <v>No</v>
      </c>
      <c r="O676" s="267" t="str">
        <f>IF(NOT(ISBLANK(INDEX('register map'!N:N,'Logical Group Generator'!C676))),"Yes","")</f>
        <v>Yes</v>
      </c>
      <c r="P676" s="267" t="str">
        <f t="shared" si="111"/>
        <v/>
      </c>
      <c r="Q676" s="267" t="str">
        <f t="shared" si="112"/>
        <v/>
      </c>
      <c r="R676" s="267" t="str">
        <f t="shared" si="113"/>
        <v/>
      </c>
      <c r="S676" s="267" t="str">
        <f t="shared" si="114"/>
        <v>No</v>
      </c>
      <c r="T676" s="267" t="str">
        <f t="shared" si="115"/>
        <v/>
      </c>
      <c r="U676" s="267" t="b">
        <f t="shared" si="119"/>
        <v>0</v>
      </c>
      <c r="V676" s="267" t="b">
        <f>INDEX('register map'!P:P,C676)="yes"</f>
        <v>1</v>
      </c>
      <c r="W676" s="267" t="str">
        <f t="shared" si="116"/>
        <v>FALSE</v>
      </c>
    </row>
    <row r="677" spans="2:23" s="267" customFormat="1">
      <c r="B677" s="267" t="str">
        <f t="array" ref="B677">IF(ROWS($3:677)&lt;=COUNTA('register map'!$L$5:$L$902),INDEX('register map'!$L$5:$L$902,SMALL(IF('register map'!$L$5:$L$902&lt;&gt;"",ROW('register map'!$L$5:$L$902)-MIN(ROW('register map'!$L$5:$L$902))+1),ROWS($3:677))),"")</f>
        <v>OTP_RSVD_38_4C_5</v>
      </c>
      <c r="C677" s="267">
        <f>IF(B677="PART_NUMBER",IF(COUNTIF($B$1:B676,"PART_NUMBER")=0,6,8),MATCH(B677,'register map'!L:L,0))</f>
        <v>808</v>
      </c>
      <c r="D677" s="267" t="str">
        <f>IF(ISBLANK(INDEX('register map'!C:C,'Logical Group Generator'!C677)),"No","Yes")</f>
        <v>No</v>
      </c>
      <c r="E677" s="267" t="str">
        <f>IF(ISBLANK(INDEX('register map'!A:A,C677)),IF(ISBLANK(INDEX('register map'!A:A,C677-1)),IF(ISBLANK(INDEX('register map'!A:A,C677-2)),IF(ISBLANK(INDEX('register map'!A:A,C677-3)),IF(ISBLANK(INDEX('register map'!A:A,C677-4)),IF(ISBLANK(INDEX('register map'!A:A,C677-5)),IF(ISBLANK(INDEX('register map'!A:A,C677-6)),IF(ISBLANK(INDEX('register map'!A:A,C677-7)),IF(ISBLANK(INDEX('register map'!A:A,C677-8)),"ERROR",INDEX('register map'!A:A,C677-8)),INDEX('register map'!A:A,C677-7)),INDEX('register map'!A:A,C677-6)),INDEX('register map'!A:A,C677-5)),INDEX('register map'!A:A,C677-4)),INDEX('register map'!A:A,C677-3)),INDEX('register map'!A:A,C677-2)),INDEX('register map'!A:A,C677-1)),INDEX('register map'!A:A,C677))</f>
        <v>0x38</v>
      </c>
      <c r="F677" s="267" t="str">
        <f>IF(ISBLANK(INDEX('register map'!B:B,C677)),IF(ISBLANK(INDEX('register map'!B:B,C677-1)),IF(ISBLANK(INDEX('register map'!B:B,C677-2)),IF(ISBLANK(INDEX('register map'!B:B,C677-3)),IF(ISBLANK(INDEX('register map'!B:B,C677-4)),IF(ISBLANK(INDEX('register map'!B:B,C677-5)),IF(ISBLANK(INDEX('register map'!B:B,C677-6)),IF(ISBLANK(INDEX('register map'!B:B,C677-7)),IF(ISBLANK(INDEX('register map'!B:B,C677-8)),"ERROR",INDEX('register map'!B:B,C677-8)),INDEX('register map'!B:B,C677-7)),INDEX('register map'!B:B,C677-6)),INDEX('register map'!B:B,C677-5)),INDEX('register map'!B:B,C677-4)),INDEX('register map'!B:B,C677-3)),INDEX('register map'!B:B,C677-2)),INDEX('register map'!B:B,C677-1)),INDEX('register map'!B:B,C677))</f>
        <v>0x4C</v>
      </c>
      <c r="G677" s="267" t="str">
        <f>CONCATENATE(IF(ISNUMBER(INDEX('register map'!D:D,C677)),7,""),IF(ISNUMBER(INDEX('register map'!E:E,C677)),6,""),IF(ISNUMBER(INDEX('register map'!F:F,C677)),5,""),IF(ISNUMBER(INDEX('register map'!G:G,C677)),4,""),IF(ISNUMBER(INDEX('register map'!H:H,C677)),3,""),IF(ISNUMBER(INDEX('register map'!I:I,C677)),2,""),IF(ISNUMBER(INDEX('register map'!J:J,C677)),1,""),IF(ISNUMBER(INDEX('register map'!K:K,C677)),0,""))</f>
        <v>5</v>
      </c>
      <c r="H677" s="267" t="str">
        <f>RIGHT(INDEX('register map'!V:V,MATCH('Logical Group Generator'!B677,'register map'!L:L,0)),LEN(G677))</f>
        <v>1</v>
      </c>
      <c r="I677" s="267" t="str">
        <f>CONCATENATE(IF(ISNUMBER(INDEX('register map'!K:K,C677)),0,""),IF(ISNUMBER(INDEX('register map'!J:J,C677)),1,""),IF(ISNUMBER(INDEX('register map'!I:I,C677)),2,""),IF(ISNUMBER(INDEX('register map'!H:H,C677)),3,""),IF(ISNUMBER(INDEX('register map'!G:G,C677)),4,""),IF(ISNUMBER(INDEX('register map'!F:F,C677)),5,""),IF(ISNUMBER(INDEX('register map'!E:E,C677)),6,""),IF(ISNUMBER(INDEX('register map'!D:D,C677)),7,""))</f>
        <v>5</v>
      </c>
      <c r="J677" s="267" t="str">
        <f t="shared" si="117"/>
        <v>1</v>
      </c>
      <c r="K677" s="267" t="str">
        <f t="shared" si="110"/>
        <v/>
      </c>
      <c r="L677" s="267" t="str">
        <f t="shared" si="118"/>
        <v/>
      </c>
      <c r="M677" s="267" t="str">
        <f t="shared" si="120"/>
        <v/>
      </c>
      <c r="N677" s="267" t="str">
        <f>IF(ISBLANK(INDEX('register map'!M:M,'Logical Group Generator'!C677)),"No","Yes")</f>
        <v>No</v>
      </c>
      <c r="O677" s="267" t="str">
        <f>IF(NOT(ISBLANK(INDEX('register map'!N:N,'Logical Group Generator'!C677))),"Yes","")</f>
        <v>Yes</v>
      </c>
      <c r="P677" s="267" t="str">
        <f t="shared" si="111"/>
        <v/>
      </c>
      <c r="Q677" s="267" t="str">
        <f t="shared" si="112"/>
        <v/>
      </c>
      <c r="R677" s="267" t="str">
        <f t="shared" si="113"/>
        <v/>
      </c>
      <c r="S677" s="267" t="str">
        <f t="shared" si="114"/>
        <v>No</v>
      </c>
      <c r="T677" s="267" t="str">
        <f t="shared" si="115"/>
        <v/>
      </c>
      <c r="U677" s="267" t="b">
        <f t="shared" si="119"/>
        <v>0</v>
      </c>
      <c r="V677" s="267" t="b">
        <f>INDEX('register map'!P:P,C677)="yes"</f>
        <v>1</v>
      </c>
      <c r="W677" s="267" t="str">
        <f t="shared" si="116"/>
        <v>FALSE</v>
      </c>
    </row>
    <row r="678" spans="2:23" s="267" customFormat="1">
      <c r="B678" s="267" t="str">
        <f t="array" ref="B678">IF(ROWS($3:678)&lt;=COUNTA('register map'!$L$5:$L$902),INDEX('register map'!$L$5:$L$902,SMALL(IF('register map'!$L$5:$L$902&lt;&gt;"",ROW('register map'!$L$5:$L$902)-MIN(ROW('register map'!$L$5:$L$902))+1),ROWS($3:678))),"")</f>
        <v>OTP_RSVD_38_4C_6</v>
      </c>
      <c r="C678" s="267">
        <f>IF(B678="PART_NUMBER",IF(COUNTIF($B$1:B677,"PART_NUMBER")=0,6,8),MATCH(B678,'register map'!L:L,0))</f>
        <v>809</v>
      </c>
      <c r="D678" s="267" t="str">
        <f>IF(ISBLANK(INDEX('register map'!C:C,'Logical Group Generator'!C678)),"No","Yes")</f>
        <v>No</v>
      </c>
      <c r="E678" s="267" t="str">
        <f>IF(ISBLANK(INDEX('register map'!A:A,C678)),IF(ISBLANK(INDEX('register map'!A:A,C678-1)),IF(ISBLANK(INDEX('register map'!A:A,C678-2)),IF(ISBLANK(INDEX('register map'!A:A,C678-3)),IF(ISBLANK(INDEX('register map'!A:A,C678-4)),IF(ISBLANK(INDEX('register map'!A:A,C678-5)),IF(ISBLANK(INDEX('register map'!A:A,C678-6)),IF(ISBLANK(INDEX('register map'!A:A,C678-7)),IF(ISBLANK(INDEX('register map'!A:A,C678-8)),"ERROR",INDEX('register map'!A:A,C678-8)),INDEX('register map'!A:A,C678-7)),INDEX('register map'!A:A,C678-6)),INDEX('register map'!A:A,C678-5)),INDEX('register map'!A:A,C678-4)),INDEX('register map'!A:A,C678-3)),INDEX('register map'!A:A,C678-2)),INDEX('register map'!A:A,C678-1)),INDEX('register map'!A:A,C678))</f>
        <v>0x38</v>
      </c>
      <c r="F678" s="267" t="str">
        <f>IF(ISBLANK(INDEX('register map'!B:B,C678)),IF(ISBLANK(INDEX('register map'!B:B,C678-1)),IF(ISBLANK(INDEX('register map'!B:B,C678-2)),IF(ISBLANK(INDEX('register map'!B:B,C678-3)),IF(ISBLANK(INDEX('register map'!B:B,C678-4)),IF(ISBLANK(INDEX('register map'!B:B,C678-5)),IF(ISBLANK(INDEX('register map'!B:B,C678-6)),IF(ISBLANK(INDEX('register map'!B:B,C678-7)),IF(ISBLANK(INDEX('register map'!B:B,C678-8)),"ERROR",INDEX('register map'!B:B,C678-8)),INDEX('register map'!B:B,C678-7)),INDEX('register map'!B:B,C678-6)),INDEX('register map'!B:B,C678-5)),INDEX('register map'!B:B,C678-4)),INDEX('register map'!B:B,C678-3)),INDEX('register map'!B:B,C678-2)),INDEX('register map'!B:B,C678-1)),INDEX('register map'!B:B,C678))</f>
        <v>0x4C</v>
      </c>
      <c r="G678" s="267" t="str">
        <f>CONCATENATE(IF(ISNUMBER(INDEX('register map'!D:D,C678)),7,""),IF(ISNUMBER(INDEX('register map'!E:E,C678)),6,""),IF(ISNUMBER(INDEX('register map'!F:F,C678)),5,""),IF(ISNUMBER(INDEX('register map'!G:G,C678)),4,""),IF(ISNUMBER(INDEX('register map'!H:H,C678)),3,""),IF(ISNUMBER(INDEX('register map'!I:I,C678)),2,""),IF(ISNUMBER(INDEX('register map'!J:J,C678)),1,""),IF(ISNUMBER(INDEX('register map'!K:K,C678)),0,""))</f>
        <v>6</v>
      </c>
      <c r="H678" s="267" t="str">
        <f>RIGHT(INDEX('register map'!V:V,MATCH('Logical Group Generator'!B678,'register map'!L:L,0)),LEN(G678))</f>
        <v>0</v>
      </c>
      <c r="I678" s="267" t="str">
        <f>CONCATENATE(IF(ISNUMBER(INDEX('register map'!K:K,C678)),0,""),IF(ISNUMBER(INDEX('register map'!J:J,C678)),1,""),IF(ISNUMBER(INDEX('register map'!I:I,C678)),2,""),IF(ISNUMBER(INDEX('register map'!H:H,C678)),3,""),IF(ISNUMBER(INDEX('register map'!G:G,C678)),4,""),IF(ISNUMBER(INDEX('register map'!F:F,C678)),5,""),IF(ISNUMBER(INDEX('register map'!E:E,C678)),6,""),IF(ISNUMBER(INDEX('register map'!D:D,C678)),7,""))</f>
        <v>6</v>
      </c>
      <c r="J678" s="267" t="str">
        <f t="shared" si="117"/>
        <v>0</v>
      </c>
      <c r="K678" s="267" t="str">
        <f t="shared" si="110"/>
        <v/>
      </c>
      <c r="L678" s="267" t="str">
        <f t="shared" si="118"/>
        <v/>
      </c>
      <c r="M678" s="267" t="str">
        <f t="shared" si="120"/>
        <v/>
      </c>
      <c r="N678" s="267" t="str">
        <f>IF(ISBLANK(INDEX('register map'!M:M,'Logical Group Generator'!C678)),"No","Yes")</f>
        <v>No</v>
      </c>
      <c r="O678" s="267" t="str">
        <f>IF(NOT(ISBLANK(INDEX('register map'!N:N,'Logical Group Generator'!C678))),"Yes","")</f>
        <v>Yes</v>
      </c>
      <c r="P678" s="267" t="str">
        <f t="shared" si="111"/>
        <v/>
      </c>
      <c r="Q678" s="267" t="str">
        <f t="shared" si="112"/>
        <v/>
      </c>
      <c r="R678" s="267" t="str">
        <f t="shared" si="113"/>
        <v/>
      </c>
      <c r="S678" s="267" t="str">
        <f t="shared" si="114"/>
        <v>No</v>
      </c>
      <c r="T678" s="267" t="str">
        <f t="shared" si="115"/>
        <v/>
      </c>
      <c r="U678" s="267" t="b">
        <f t="shared" si="119"/>
        <v>0</v>
      </c>
      <c r="V678" s="267" t="b">
        <f>INDEX('register map'!P:P,C678)="yes"</f>
        <v>1</v>
      </c>
      <c r="W678" s="267" t="str">
        <f t="shared" si="116"/>
        <v>FALSE</v>
      </c>
    </row>
    <row r="679" spans="2:23" s="267" customFormat="1">
      <c r="B679" s="267" t="str">
        <f t="array" ref="B679">IF(ROWS($3:679)&lt;=COUNTA('register map'!$L$5:$L$902),INDEX('register map'!$L$5:$L$902,SMALL(IF('register map'!$L$5:$L$902&lt;&gt;"",ROW('register map'!$L$5:$L$902)-MIN(ROW('register map'!$L$5:$L$902))+1),ROWS($3:679))),"")</f>
        <v>OTP_RSVD_38_4C_7</v>
      </c>
      <c r="C679" s="267">
        <f>IF(B679="PART_NUMBER",IF(COUNTIF($B$1:B678,"PART_NUMBER")=0,6,8),MATCH(B679,'register map'!L:L,0))</f>
        <v>810</v>
      </c>
      <c r="D679" s="267" t="str">
        <f>IF(ISBLANK(INDEX('register map'!C:C,'Logical Group Generator'!C679)),"No","Yes")</f>
        <v>No</v>
      </c>
      <c r="E679" s="267" t="str">
        <f>IF(ISBLANK(INDEX('register map'!A:A,C679)),IF(ISBLANK(INDEX('register map'!A:A,C679-1)),IF(ISBLANK(INDEX('register map'!A:A,C679-2)),IF(ISBLANK(INDEX('register map'!A:A,C679-3)),IF(ISBLANK(INDEX('register map'!A:A,C679-4)),IF(ISBLANK(INDEX('register map'!A:A,C679-5)),IF(ISBLANK(INDEX('register map'!A:A,C679-6)),IF(ISBLANK(INDEX('register map'!A:A,C679-7)),IF(ISBLANK(INDEX('register map'!A:A,C679-8)),"ERROR",INDEX('register map'!A:A,C679-8)),INDEX('register map'!A:A,C679-7)),INDEX('register map'!A:A,C679-6)),INDEX('register map'!A:A,C679-5)),INDEX('register map'!A:A,C679-4)),INDEX('register map'!A:A,C679-3)),INDEX('register map'!A:A,C679-2)),INDEX('register map'!A:A,C679-1)),INDEX('register map'!A:A,C679))</f>
        <v>0x38</v>
      </c>
      <c r="F679" s="267" t="str">
        <f>IF(ISBLANK(INDEX('register map'!B:B,C679)),IF(ISBLANK(INDEX('register map'!B:B,C679-1)),IF(ISBLANK(INDEX('register map'!B:B,C679-2)),IF(ISBLANK(INDEX('register map'!B:B,C679-3)),IF(ISBLANK(INDEX('register map'!B:B,C679-4)),IF(ISBLANK(INDEX('register map'!B:B,C679-5)),IF(ISBLANK(INDEX('register map'!B:B,C679-6)),IF(ISBLANK(INDEX('register map'!B:B,C679-7)),IF(ISBLANK(INDEX('register map'!B:B,C679-8)),"ERROR",INDEX('register map'!B:B,C679-8)),INDEX('register map'!B:B,C679-7)),INDEX('register map'!B:B,C679-6)),INDEX('register map'!B:B,C679-5)),INDEX('register map'!B:B,C679-4)),INDEX('register map'!B:B,C679-3)),INDEX('register map'!B:B,C679-2)),INDEX('register map'!B:B,C679-1)),INDEX('register map'!B:B,C679))</f>
        <v>0x4C</v>
      </c>
      <c r="G679" s="267" t="str">
        <f>CONCATENATE(IF(ISNUMBER(INDEX('register map'!D:D,C679)),7,""),IF(ISNUMBER(INDEX('register map'!E:E,C679)),6,""),IF(ISNUMBER(INDEX('register map'!F:F,C679)),5,""),IF(ISNUMBER(INDEX('register map'!G:G,C679)),4,""),IF(ISNUMBER(INDEX('register map'!H:H,C679)),3,""),IF(ISNUMBER(INDEX('register map'!I:I,C679)),2,""),IF(ISNUMBER(INDEX('register map'!J:J,C679)),1,""),IF(ISNUMBER(INDEX('register map'!K:K,C679)),0,""))</f>
        <v>7</v>
      </c>
      <c r="H679" s="267" t="str">
        <f>RIGHT(INDEX('register map'!V:V,MATCH('Logical Group Generator'!B679,'register map'!L:L,0)),LEN(G679))</f>
        <v>0</v>
      </c>
      <c r="I679" s="267" t="str">
        <f>CONCATENATE(IF(ISNUMBER(INDEX('register map'!K:K,C679)),0,""),IF(ISNUMBER(INDEX('register map'!J:J,C679)),1,""),IF(ISNUMBER(INDEX('register map'!I:I,C679)),2,""),IF(ISNUMBER(INDEX('register map'!H:H,C679)),3,""),IF(ISNUMBER(INDEX('register map'!G:G,C679)),4,""),IF(ISNUMBER(INDEX('register map'!F:F,C679)),5,""),IF(ISNUMBER(INDEX('register map'!E:E,C679)),6,""),IF(ISNUMBER(INDEX('register map'!D:D,C679)),7,""))</f>
        <v>7</v>
      </c>
      <c r="J679" s="267" t="str">
        <f t="shared" si="117"/>
        <v>0</v>
      </c>
      <c r="K679" s="267" t="str">
        <f t="shared" si="110"/>
        <v/>
      </c>
      <c r="L679" s="267" t="str">
        <f t="shared" si="118"/>
        <v/>
      </c>
      <c r="M679" s="267" t="str">
        <f t="shared" si="120"/>
        <v/>
      </c>
      <c r="N679" s="267" t="str">
        <f>IF(ISBLANK(INDEX('register map'!M:M,'Logical Group Generator'!C679)),"No","Yes")</f>
        <v>No</v>
      </c>
      <c r="O679" s="267" t="str">
        <f>IF(NOT(ISBLANK(INDEX('register map'!N:N,'Logical Group Generator'!C679))),"Yes","")</f>
        <v>Yes</v>
      </c>
      <c r="P679" s="267" t="str">
        <f t="shared" si="111"/>
        <v/>
      </c>
      <c r="Q679" s="267" t="str">
        <f t="shared" si="112"/>
        <v/>
      </c>
      <c r="R679" s="267" t="str">
        <f t="shared" si="113"/>
        <v/>
      </c>
      <c r="S679" s="267" t="str">
        <f t="shared" si="114"/>
        <v>No</v>
      </c>
      <c r="T679" s="267" t="str">
        <f t="shared" si="115"/>
        <v/>
      </c>
      <c r="U679" s="267" t="b">
        <f t="shared" si="119"/>
        <v>0</v>
      </c>
      <c r="V679" s="267" t="b">
        <f>INDEX('register map'!P:P,C679)="yes"</f>
        <v>1</v>
      </c>
      <c r="W679" s="267" t="str">
        <f t="shared" si="116"/>
        <v>FALSE</v>
      </c>
    </row>
    <row r="680" spans="2:23">
      <c r="B680" s="157" t="str">
        <f t="array" ref="B680">IF(ROWS($3:680)&lt;=COUNTA('register map'!$L$5:$L$902),INDEX('register map'!$L$5:$L$902,SMALL(IF('register map'!$L$5:$L$902&lt;&gt;"",ROW('register map'!$L$5:$L$902)-MIN(ROW('register map'!$L$5:$L$902))+1),ROWS($3:680))),"")</f>
        <v>OTP_RSVD_38_4D</v>
      </c>
      <c r="C680" s="157">
        <f>IF(B680="PART_NUMBER",IF(COUNTIF($B$1:B679,"PART_NUMBER")=0,6,8),MATCH(B680,'register map'!L:L,0))</f>
        <v>811</v>
      </c>
      <c r="D680" s="117" t="str">
        <f>IF(ISBLANK(INDEX('register map'!C:C,'Logical Group Generator'!C680)),"No","Yes")</f>
        <v>Yes</v>
      </c>
      <c r="E680" s="117" t="str">
        <f>IF(ISBLANK(INDEX('register map'!A:A,C680)),IF(ISBLANK(INDEX('register map'!A:A,C680-1)),IF(ISBLANK(INDEX('register map'!A:A,C680-2)),IF(ISBLANK(INDEX('register map'!A:A,C680-3)),IF(ISBLANK(INDEX('register map'!A:A,C680-4)),IF(ISBLANK(INDEX('register map'!A:A,C680-5)),IF(ISBLANK(INDEX('register map'!A:A,C680-6)),IF(ISBLANK(INDEX('register map'!A:A,C680-7)),IF(ISBLANK(INDEX('register map'!A:A,C680-8)),"ERROR",INDEX('register map'!A:A,C680-8)),INDEX('register map'!A:A,C680-7)),INDEX('register map'!A:A,C680-6)),INDEX('register map'!A:A,C680-5)),INDEX('register map'!A:A,C680-4)),INDEX('register map'!A:A,C680-3)),INDEX('register map'!A:A,C680-2)),INDEX('register map'!A:A,C680-1)),INDEX('register map'!A:A,C680))</f>
        <v>0x38</v>
      </c>
      <c r="F680" s="117" t="str">
        <f>IF(ISBLANK(INDEX('register map'!B:B,C680)),IF(ISBLANK(INDEX('register map'!B:B,C680-1)),IF(ISBLANK(INDEX('register map'!B:B,C680-2)),IF(ISBLANK(INDEX('register map'!B:B,C680-3)),IF(ISBLANK(INDEX('register map'!B:B,C680-4)),IF(ISBLANK(INDEX('register map'!B:B,C680-5)),IF(ISBLANK(INDEX('register map'!B:B,C680-6)),IF(ISBLANK(INDEX('register map'!B:B,C680-7)),IF(ISBLANK(INDEX('register map'!B:B,C680-8)),"ERROR",INDEX('register map'!B:B,C680-8)),INDEX('register map'!B:B,C680-7)),INDEX('register map'!B:B,C680-6)),INDEX('register map'!B:B,C680-5)),INDEX('register map'!B:B,C680-4)),INDEX('register map'!B:B,C680-3)),INDEX('register map'!B:B,C680-2)),INDEX('register map'!B:B,C680-1)),INDEX('register map'!B:B,C680))</f>
        <v>0x4D</v>
      </c>
      <c r="G680" s="117" t="str">
        <f>CONCATENATE(IF(ISNUMBER(INDEX('register map'!D:D,C680)),7,""),IF(ISNUMBER(INDEX('register map'!E:E,C680)),6,""),IF(ISNUMBER(INDEX('register map'!F:F,C680)),5,""),IF(ISNUMBER(INDEX('register map'!G:G,C680)),4,""),IF(ISNUMBER(INDEX('register map'!H:H,C680)),3,""),IF(ISNUMBER(INDEX('register map'!I:I,C680)),2,""),IF(ISNUMBER(INDEX('register map'!J:J,C680)),1,""),IF(ISNUMBER(INDEX('register map'!K:K,C680)),0,""))</f>
        <v/>
      </c>
      <c r="H680" s="117" t="str">
        <f>RIGHT(INDEX('register map'!V:V,MATCH('Logical Group Generator'!B680,'register map'!L:L,0)),LEN(G680))</f>
        <v/>
      </c>
      <c r="I680" s="117" t="str">
        <f>CONCATENATE(IF(ISNUMBER(INDEX('register map'!K:K,C680)),0,""),IF(ISNUMBER(INDEX('register map'!J:J,C680)),1,""),IF(ISNUMBER(INDEX('register map'!I:I,C680)),2,""),IF(ISNUMBER(INDEX('register map'!H:H,C680)),3,""),IF(ISNUMBER(INDEX('register map'!G:G,C680)),4,""),IF(ISNUMBER(INDEX('register map'!F:F,C680)),5,""),IF(ISNUMBER(INDEX('register map'!E:E,C680)),6,""),IF(ISNUMBER(INDEX('register map'!D:D,C680)),7,""))</f>
        <v/>
      </c>
      <c r="J680" s="117" t="str">
        <f t="shared" si="117"/>
        <v/>
      </c>
      <c r="K680" s="117" t="str">
        <f t="shared" si="110"/>
        <v>00110010</v>
      </c>
      <c r="L680" s="117" t="str">
        <f t="shared" si="118"/>
        <v>01001100</v>
      </c>
      <c r="M680" s="117" t="str">
        <f t="shared" si="120"/>
        <v>4C</v>
      </c>
      <c r="N680" s="117" t="str">
        <f>IF(ISBLANK(INDEX('register map'!M:M,'Logical Group Generator'!C680)),"No","Yes")</f>
        <v>No</v>
      </c>
      <c r="O680" s="117" t="str">
        <f>IF(NOT(ISBLANK(INDEX('register map'!N:N,'Logical Group Generator'!C680))),"Yes","")</f>
        <v/>
      </c>
      <c r="P680" s="117" t="str">
        <f t="shared" si="111"/>
        <v>Yes</v>
      </c>
      <c r="Q680" s="117" t="str">
        <f t="shared" si="112"/>
        <v>Yes</v>
      </c>
      <c r="R680" s="117" t="str">
        <f t="shared" si="113"/>
        <v>No</v>
      </c>
      <c r="S680" s="117" t="str">
        <f t="shared" si="114"/>
        <v/>
      </c>
      <c r="T680" s="117" t="b">
        <f t="shared" si="115"/>
        <v>1</v>
      </c>
      <c r="U680" s="117" t="b">
        <f t="shared" si="119"/>
        <v>0</v>
      </c>
      <c r="V680" s="157" t="b">
        <f>INDEX('register map'!P:P,C680)="yes"</f>
        <v>1</v>
      </c>
      <c r="W680" s="157" t="str">
        <f t="shared" si="116"/>
        <v>FALSE</v>
      </c>
    </row>
    <row r="681" spans="2:23">
      <c r="B681" s="157" t="str">
        <f t="array" ref="B681">IF(ROWS($3:681)&lt;=COUNTA('register map'!$L$5:$L$902),INDEX('register map'!$L$5:$L$902,SMALL(IF('register map'!$L$5:$L$902&lt;&gt;"",ROW('register map'!$L$5:$L$902)-MIN(ROW('register map'!$L$5:$L$902))+1),ROWS($3:681))),"")</f>
        <v>OTP_RSVD_38_4D_210</v>
      </c>
      <c r="C681" s="157">
        <f>IF(B681="PART_NUMBER",IF(COUNTIF($B$1:B680,"PART_NUMBER")=0,6,8),MATCH(B681,'register map'!L:L,0))</f>
        <v>812</v>
      </c>
      <c r="D681" s="117" t="str">
        <f>IF(ISBLANK(INDEX('register map'!C:C,'Logical Group Generator'!C681)),"No","Yes")</f>
        <v>No</v>
      </c>
      <c r="E681" s="117" t="str">
        <f>IF(ISBLANK(INDEX('register map'!A:A,C681)),IF(ISBLANK(INDEX('register map'!A:A,C681-1)),IF(ISBLANK(INDEX('register map'!A:A,C681-2)),IF(ISBLANK(INDEX('register map'!A:A,C681-3)),IF(ISBLANK(INDEX('register map'!A:A,C681-4)),IF(ISBLANK(INDEX('register map'!A:A,C681-5)),IF(ISBLANK(INDEX('register map'!A:A,C681-6)),IF(ISBLANK(INDEX('register map'!A:A,C681-7)),IF(ISBLANK(INDEX('register map'!A:A,C681-8)),"ERROR",INDEX('register map'!A:A,C681-8)),INDEX('register map'!A:A,C681-7)),INDEX('register map'!A:A,C681-6)),INDEX('register map'!A:A,C681-5)),INDEX('register map'!A:A,C681-4)),INDEX('register map'!A:A,C681-3)),INDEX('register map'!A:A,C681-2)),INDEX('register map'!A:A,C681-1)),INDEX('register map'!A:A,C681))</f>
        <v>0x38</v>
      </c>
      <c r="F681" s="117" t="str">
        <f>IF(ISBLANK(INDEX('register map'!B:B,C681)),IF(ISBLANK(INDEX('register map'!B:B,C681-1)),IF(ISBLANK(INDEX('register map'!B:B,C681-2)),IF(ISBLANK(INDEX('register map'!B:B,C681-3)),IF(ISBLANK(INDEX('register map'!B:B,C681-4)),IF(ISBLANK(INDEX('register map'!B:B,C681-5)),IF(ISBLANK(INDEX('register map'!B:B,C681-6)),IF(ISBLANK(INDEX('register map'!B:B,C681-7)),IF(ISBLANK(INDEX('register map'!B:B,C681-8)),"ERROR",INDEX('register map'!B:B,C681-8)),INDEX('register map'!B:B,C681-7)),INDEX('register map'!B:B,C681-6)),INDEX('register map'!B:B,C681-5)),INDEX('register map'!B:B,C681-4)),INDEX('register map'!B:B,C681-3)),INDEX('register map'!B:B,C681-2)),INDEX('register map'!B:B,C681-1)),INDEX('register map'!B:B,C681))</f>
        <v>0x4D</v>
      </c>
      <c r="G681" s="117" t="str">
        <f>CONCATENATE(IF(ISNUMBER(INDEX('register map'!D:D,C681)),7,""),IF(ISNUMBER(INDEX('register map'!E:E,C681)),6,""),IF(ISNUMBER(INDEX('register map'!F:F,C681)),5,""),IF(ISNUMBER(INDEX('register map'!G:G,C681)),4,""),IF(ISNUMBER(INDEX('register map'!H:H,C681)),3,""),IF(ISNUMBER(INDEX('register map'!I:I,C681)),2,""),IF(ISNUMBER(INDEX('register map'!J:J,C681)),1,""),IF(ISNUMBER(INDEX('register map'!K:K,C681)),0,""))</f>
        <v>210</v>
      </c>
      <c r="H681" s="117" t="str">
        <f>RIGHT(INDEX('register map'!V:V,MATCH('Logical Group Generator'!B681,'register map'!L:L,0)),LEN(G681))</f>
        <v>100</v>
      </c>
      <c r="I681" s="117" t="str">
        <f>CONCATENATE(IF(ISNUMBER(INDEX('register map'!K:K,C681)),0,""),IF(ISNUMBER(INDEX('register map'!J:J,C681)),1,""),IF(ISNUMBER(INDEX('register map'!I:I,C681)),2,""),IF(ISNUMBER(INDEX('register map'!H:H,C681)),3,""),IF(ISNUMBER(INDEX('register map'!G:G,C681)),4,""),IF(ISNUMBER(INDEX('register map'!F:F,C681)),5,""),IF(ISNUMBER(INDEX('register map'!E:E,C681)),6,""),IF(ISNUMBER(INDEX('register map'!D:D,C681)),7,""))</f>
        <v>012</v>
      </c>
      <c r="J681" s="117" t="str">
        <f t="shared" si="117"/>
        <v>001</v>
      </c>
      <c r="K681" s="117" t="str">
        <f t="shared" si="110"/>
        <v/>
      </c>
      <c r="L681" s="117" t="str">
        <f t="shared" si="118"/>
        <v/>
      </c>
      <c r="M681" s="117" t="str">
        <f t="shared" si="120"/>
        <v/>
      </c>
      <c r="N681" s="117" t="str">
        <f>IF(ISBLANK(INDEX('register map'!M:M,'Logical Group Generator'!C681)),"No","Yes")</f>
        <v>Yes</v>
      </c>
      <c r="O681" s="117" t="str">
        <f>IF(NOT(ISBLANK(INDEX('register map'!N:N,'Logical Group Generator'!C681))),"Yes","")</f>
        <v/>
      </c>
      <c r="P681" s="117" t="str">
        <f t="shared" si="111"/>
        <v/>
      </c>
      <c r="Q681" s="117" t="str">
        <f t="shared" si="112"/>
        <v/>
      </c>
      <c r="R681" s="117" t="str">
        <f t="shared" si="113"/>
        <v/>
      </c>
      <c r="S681" s="117" t="str">
        <f t="shared" si="114"/>
        <v>No</v>
      </c>
      <c r="T681" s="117" t="str">
        <f t="shared" si="115"/>
        <v/>
      </c>
      <c r="U681" s="117" t="b">
        <f t="shared" si="119"/>
        <v>0</v>
      </c>
      <c r="V681" s="157" t="b">
        <f>INDEX('register map'!P:P,C681)="yes"</f>
        <v>1</v>
      </c>
      <c r="W681" s="157" t="str">
        <f t="shared" si="116"/>
        <v>FALSE</v>
      </c>
    </row>
    <row r="682" spans="2:23">
      <c r="B682" s="157" t="str">
        <f t="array" ref="B682">IF(ROWS($3:682)&lt;=COUNTA('register map'!$L$5:$L$902),INDEX('register map'!$L$5:$L$902,SMALL(IF('register map'!$L$5:$L$902&lt;&gt;"",ROW('register map'!$L$5:$L$902)-MIN(ROW('register map'!$L$5:$L$902))+1),ROWS($3:682))),"")</f>
        <v>OTP_RSVD_38_4D_43</v>
      </c>
      <c r="C682" s="157">
        <f>IF(B682="PART_NUMBER",IF(COUNTIF($B$1:B681,"PART_NUMBER")=0,6,8),MATCH(B682,'register map'!L:L,0))</f>
        <v>813</v>
      </c>
      <c r="D682" s="117" t="str">
        <f>IF(ISBLANK(INDEX('register map'!C:C,'Logical Group Generator'!C682)),"No","Yes")</f>
        <v>No</v>
      </c>
      <c r="E682" s="117" t="str">
        <f>IF(ISBLANK(INDEX('register map'!A:A,C682)),IF(ISBLANK(INDEX('register map'!A:A,C682-1)),IF(ISBLANK(INDEX('register map'!A:A,C682-2)),IF(ISBLANK(INDEX('register map'!A:A,C682-3)),IF(ISBLANK(INDEX('register map'!A:A,C682-4)),IF(ISBLANK(INDEX('register map'!A:A,C682-5)),IF(ISBLANK(INDEX('register map'!A:A,C682-6)),IF(ISBLANK(INDEX('register map'!A:A,C682-7)),IF(ISBLANK(INDEX('register map'!A:A,C682-8)),"ERROR",INDEX('register map'!A:A,C682-8)),INDEX('register map'!A:A,C682-7)),INDEX('register map'!A:A,C682-6)),INDEX('register map'!A:A,C682-5)),INDEX('register map'!A:A,C682-4)),INDEX('register map'!A:A,C682-3)),INDEX('register map'!A:A,C682-2)),INDEX('register map'!A:A,C682-1)),INDEX('register map'!A:A,C682))</f>
        <v>0x38</v>
      </c>
      <c r="F682" s="117" t="str">
        <f>IF(ISBLANK(INDEX('register map'!B:B,C682)),IF(ISBLANK(INDEX('register map'!B:B,C682-1)),IF(ISBLANK(INDEX('register map'!B:B,C682-2)),IF(ISBLANK(INDEX('register map'!B:B,C682-3)),IF(ISBLANK(INDEX('register map'!B:B,C682-4)),IF(ISBLANK(INDEX('register map'!B:B,C682-5)),IF(ISBLANK(INDEX('register map'!B:B,C682-6)),IF(ISBLANK(INDEX('register map'!B:B,C682-7)),IF(ISBLANK(INDEX('register map'!B:B,C682-8)),"ERROR",INDEX('register map'!B:B,C682-8)),INDEX('register map'!B:B,C682-7)),INDEX('register map'!B:B,C682-6)),INDEX('register map'!B:B,C682-5)),INDEX('register map'!B:B,C682-4)),INDEX('register map'!B:B,C682-3)),INDEX('register map'!B:B,C682-2)),INDEX('register map'!B:B,C682-1)),INDEX('register map'!B:B,C682))</f>
        <v>0x4D</v>
      </c>
      <c r="G682" s="117" t="str">
        <f>CONCATENATE(IF(ISNUMBER(INDEX('register map'!D:D,C682)),7,""),IF(ISNUMBER(INDEX('register map'!E:E,C682)),6,""),IF(ISNUMBER(INDEX('register map'!F:F,C682)),5,""),IF(ISNUMBER(INDEX('register map'!G:G,C682)),4,""),IF(ISNUMBER(INDEX('register map'!H:H,C682)),3,""),IF(ISNUMBER(INDEX('register map'!I:I,C682)),2,""),IF(ISNUMBER(INDEX('register map'!J:J,C682)),1,""),IF(ISNUMBER(INDEX('register map'!K:K,C682)),0,""))</f>
        <v>43</v>
      </c>
      <c r="H682" s="117" t="str">
        <f>RIGHT(INDEX('register map'!V:V,MATCH('Logical Group Generator'!B682,'register map'!L:L,0)),LEN(G682))</f>
        <v>01</v>
      </c>
      <c r="I682" s="117" t="str">
        <f>CONCATENATE(IF(ISNUMBER(INDEX('register map'!K:K,C682)),0,""),IF(ISNUMBER(INDEX('register map'!J:J,C682)),1,""),IF(ISNUMBER(INDEX('register map'!I:I,C682)),2,""),IF(ISNUMBER(INDEX('register map'!H:H,C682)),3,""),IF(ISNUMBER(INDEX('register map'!G:G,C682)),4,""),IF(ISNUMBER(INDEX('register map'!F:F,C682)),5,""),IF(ISNUMBER(INDEX('register map'!E:E,C682)),6,""),IF(ISNUMBER(INDEX('register map'!D:D,C682)),7,""))</f>
        <v>34</v>
      </c>
      <c r="J682" s="117" t="str">
        <f t="shared" si="117"/>
        <v>10</v>
      </c>
      <c r="K682" s="117" t="str">
        <f t="shared" si="110"/>
        <v/>
      </c>
      <c r="L682" s="117" t="str">
        <f t="shared" si="118"/>
        <v/>
      </c>
      <c r="M682" s="117" t="str">
        <f t="shared" si="120"/>
        <v/>
      </c>
      <c r="N682" s="117" t="str">
        <f>IF(ISBLANK(INDEX('register map'!M:M,'Logical Group Generator'!C682)),"No","Yes")</f>
        <v>Yes</v>
      </c>
      <c r="O682" s="117" t="str">
        <f>IF(NOT(ISBLANK(INDEX('register map'!N:N,'Logical Group Generator'!C682))),"Yes","")</f>
        <v/>
      </c>
      <c r="P682" s="117" t="str">
        <f t="shared" si="111"/>
        <v/>
      </c>
      <c r="Q682" s="117" t="str">
        <f t="shared" si="112"/>
        <v/>
      </c>
      <c r="R682" s="117" t="str">
        <f t="shared" si="113"/>
        <v/>
      </c>
      <c r="S682" s="117" t="str">
        <f t="shared" si="114"/>
        <v>No</v>
      </c>
      <c r="T682" s="117" t="str">
        <f t="shared" si="115"/>
        <v/>
      </c>
      <c r="U682" s="117" t="b">
        <f t="shared" si="119"/>
        <v>0</v>
      </c>
      <c r="V682" s="157" t="b">
        <f>INDEX('register map'!P:P,C682)="yes"</f>
        <v>1</v>
      </c>
      <c r="W682" s="157" t="str">
        <f t="shared" si="116"/>
        <v>FALSE</v>
      </c>
    </row>
    <row r="683" spans="2:23">
      <c r="B683" s="157" t="str">
        <f t="array" ref="B683">IF(ROWS($3:683)&lt;=COUNTA('register map'!$L$5:$L$902),INDEX('register map'!$L$5:$L$902,SMALL(IF('register map'!$L$5:$L$902&lt;&gt;"",ROW('register map'!$L$5:$L$902)-MIN(ROW('register map'!$L$5:$L$902))+1),ROWS($3:683))),"")</f>
        <v>OTP_RSVD_38_4D_65</v>
      </c>
      <c r="C683" s="157">
        <f>IF(B683="PART_NUMBER",IF(COUNTIF($B$1:B682,"PART_NUMBER")=0,6,8),MATCH(B683,'register map'!L:L,0))</f>
        <v>814</v>
      </c>
      <c r="D683" s="117" t="str">
        <f>IF(ISBLANK(INDEX('register map'!C:C,'Logical Group Generator'!C683)),"No","Yes")</f>
        <v>No</v>
      </c>
      <c r="E683" s="117" t="str">
        <f>IF(ISBLANK(INDEX('register map'!A:A,C683)),IF(ISBLANK(INDEX('register map'!A:A,C683-1)),IF(ISBLANK(INDEX('register map'!A:A,C683-2)),IF(ISBLANK(INDEX('register map'!A:A,C683-3)),IF(ISBLANK(INDEX('register map'!A:A,C683-4)),IF(ISBLANK(INDEX('register map'!A:A,C683-5)),IF(ISBLANK(INDEX('register map'!A:A,C683-6)),IF(ISBLANK(INDEX('register map'!A:A,C683-7)),IF(ISBLANK(INDEX('register map'!A:A,C683-8)),"ERROR",INDEX('register map'!A:A,C683-8)),INDEX('register map'!A:A,C683-7)),INDEX('register map'!A:A,C683-6)),INDEX('register map'!A:A,C683-5)),INDEX('register map'!A:A,C683-4)),INDEX('register map'!A:A,C683-3)),INDEX('register map'!A:A,C683-2)),INDEX('register map'!A:A,C683-1)),INDEX('register map'!A:A,C683))</f>
        <v>0x38</v>
      </c>
      <c r="F683" s="117" t="str">
        <f>IF(ISBLANK(INDEX('register map'!B:B,C683)),IF(ISBLANK(INDEX('register map'!B:B,C683-1)),IF(ISBLANK(INDEX('register map'!B:B,C683-2)),IF(ISBLANK(INDEX('register map'!B:B,C683-3)),IF(ISBLANK(INDEX('register map'!B:B,C683-4)),IF(ISBLANK(INDEX('register map'!B:B,C683-5)),IF(ISBLANK(INDEX('register map'!B:B,C683-6)),IF(ISBLANK(INDEX('register map'!B:B,C683-7)),IF(ISBLANK(INDEX('register map'!B:B,C683-8)),"ERROR",INDEX('register map'!B:B,C683-8)),INDEX('register map'!B:B,C683-7)),INDEX('register map'!B:B,C683-6)),INDEX('register map'!B:B,C683-5)),INDEX('register map'!B:B,C683-4)),INDEX('register map'!B:B,C683-3)),INDEX('register map'!B:B,C683-2)),INDEX('register map'!B:B,C683-1)),INDEX('register map'!B:B,C683))</f>
        <v>0x4D</v>
      </c>
      <c r="G683" s="117" t="str">
        <f>CONCATENATE(IF(ISNUMBER(INDEX('register map'!D:D,C683)),7,""),IF(ISNUMBER(INDEX('register map'!E:E,C683)),6,""),IF(ISNUMBER(INDEX('register map'!F:F,C683)),5,""),IF(ISNUMBER(INDEX('register map'!G:G,C683)),4,""),IF(ISNUMBER(INDEX('register map'!H:H,C683)),3,""),IF(ISNUMBER(INDEX('register map'!I:I,C683)),2,""),IF(ISNUMBER(INDEX('register map'!J:J,C683)),1,""),IF(ISNUMBER(INDEX('register map'!K:K,C683)),0,""))</f>
        <v>65</v>
      </c>
      <c r="H683" s="117" t="str">
        <f>RIGHT(INDEX('register map'!V:V,MATCH('Logical Group Generator'!B683,'register map'!L:L,0)),LEN(G683))</f>
        <v>10</v>
      </c>
      <c r="I683" s="117" t="str">
        <f>CONCATENATE(IF(ISNUMBER(INDEX('register map'!K:K,C683)),0,""),IF(ISNUMBER(INDEX('register map'!J:J,C683)),1,""),IF(ISNUMBER(INDEX('register map'!I:I,C683)),2,""),IF(ISNUMBER(INDEX('register map'!H:H,C683)),3,""),IF(ISNUMBER(INDEX('register map'!G:G,C683)),4,""),IF(ISNUMBER(INDEX('register map'!F:F,C683)),5,""),IF(ISNUMBER(INDEX('register map'!E:E,C683)),6,""),IF(ISNUMBER(INDEX('register map'!D:D,C683)),7,""))</f>
        <v>56</v>
      </c>
      <c r="J683" s="117" t="str">
        <f t="shared" si="117"/>
        <v>01</v>
      </c>
      <c r="K683" s="117" t="str">
        <f t="shared" si="110"/>
        <v/>
      </c>
      <c r="L683" s="117" t="str">
        <f t="shared" si="118"/>
        <v/>
      </c>
      <c r="M683" s="117" t="str">
        <f t="shared" si="120"/>
        <v/>
      </c>
      <c r="N683" s="117" t="str">
        <f>IF(ISBLANK(INDEX('register map'!M:M,'Logical Group Generator'!C683)),"No","Yes")</f>
        <v>Yes</v>
      </c>
      <c r="O683" s="117" t="str">
        <f>IF(NOT(ISBLANK(INDEX('register map'!N:N,'Logical Group Generator'!C683))),"Yes","")</f>
        <v/>
      </c>
      <c r="P683" s="117" t="str">
        <f t="shared" si="111"/>
        <v/>
      </c>
      <c r="Q683" s="117" t="str">
        <f t="shared" si="112"/>
        <v/>
      </c>
      <c r="R683" s="117" t="str">
        <f t="shared" si="113"/>
        <v/>
      </c>
      <c r="S683" s="117" t="str">
        <f t="shared" si="114"/>
        <v>No</v>
      </c>
      <c r="T683" s="117" t="str">
        <f t="shared" si="115"/>
        <v/>
      </c>
      <c r="U683" s="117" t="b">
        <f t="shared" si="119"/>
        <v>0</v>
      </c>
      <c r="V683" s="157" t="b">
        <f>INDEX('register map'!P:P,C683)="yes"</f>
        <v>1</v>
      </c>
      <c r="W683" s="157" t="str">
        <f t="shared" si="116"/>
        <v>FALSE</v>
      </c>
    </row>
    <row r="684" spans="2:23">
      <c r="B684" s="157" t="str">
        <f t="array" ref="B684">IF(ROWS($3:684)&lt;=COUNTA('register map'!$L$5:$L$902),INDEX('register map'!$L$5:$L$902,SMALL(IF('register map'!$L$5:$L$902&lt;&gt;"",ROW('register map'!$L$5:$L$902)-MIN(ROW('register map'!$L$5:$L$902))+1),ROWS($3:684))),"")</f>
        <v>OTP_RSVD_38_4D_7</v>
      </c>
      <c r="C684" s="157">
        <f>IF(B684="PART_NUMBER",IF(COUNTIF($B$1:B683,"PART_NUMBER")=0,6,8),MATCH(B684,'register map'!L:L,0))</f>
        <v>815</v>
      </c>
      <c r="D684" s="117" t="str">
        <f>IF(ISBLANK(INDEX('register map'!C:C,'Logical Group Generator'!C684)),"No","Yes")</f>
        <v>No</v>
      </c>
      <c r="E684" s="117" t="str">
        <f>IF(ISBLANK(INDEX('register map'!A:A,C684)),IF(ISBLANK(INDEX('register map'!A:A,C684-1)),IF(ISBLANK(INDEX('register map'!A:A,C684-2)),IF(ISBLANK(INDEX('register map'!A:A,C684-3)),IF(ISBLANK(INDEX('register map'!A:A,C684-4)),IF(ISBLANK(INDEX('register map'!A:A,C684-5)),IF(ISBLANK(INDEX('register map'!A:A,C684-6)),IF(ISBLANK(INDEX('register map'!A:A,C684-7)),IF(ISBLANK(INDEX('register map'!A:A,C684-8)),"ERROR",INDEX('register map'!A:A,C684-8)),INDEX('register map'!A:A,C684-7)),INDEX('register map'!A:A,C684-6)),INDEX('register map'!A:A,C684-5)),INDEX('register map'!A:A,C684-4)),INDEX('register map'!A:A,C684-3)),INDEX('register map'!A:A,C684-2)),INDEX('register map'!A:A,C684-1)),INDEX('register map'!A:A,C684))</f>
        <v>0x38</v>
      </c>
      <c r="F684" s="117" t="str">
        <f>IF(ISBLANK(INDEX('register map'!B:B,C684)),IF(ISBLANK(INDEX('register map'!B:B,C684-1)),IF(ISBLANK(INDEX('register map'!B:B,C684-2)),IF(ISBLANK(INDEX('register map'!B:B,C684-3)),IF(ISBLANK(INDEX('register map'!B:B,C684-4)),IF(ISBLANK(INDEX('register map'!B:B,C684-5)),IF(ISBLANK(INDEX('register map'!B:B,C684-6)),IF(ISBLANK(INDEX('register map'!B:B,C684-7)),IF(ISBLANK(INDEX('register map'!B:B,C684-8)),"ERROR",INDEX('register map'!B:B,C684-8)),INDEX('register map'!B:B,C684-7)),INDEX('register map'!B:B,C684-6)),INDEX('register map'!B:B,C684-5)),INDEX('register map'!B:B,C684-4)),INDEX('register map'!B:B,C684-3)),INDEX('register map'!B:B,C684-2)),INDEX('register map'!B:B,C684-1)),INDEX('register map'!B:B,C684))</f>
        <v>0x4D</v>
      </c>
      <c r="G684" s="117" t="str">
        <f>CONCATENATE(IF(ISNUMBER(INDEX('register map'!D:D,C684)),7,""),IF(ISNUMBER(INDEX('register map'!E:E,C684)),6,""),IF(ISNUMBER(INDEX('register map'!F:F,C684)),5,""),IF(ISNUMBER(INDEX('register map'!G:G,C684)),4,""),IF(ISNUMBER(INDEX('register map'!H:H,C684)),3,""),IF(ISNUMBER(INDEX('register map'!I:I,C684)),2,""),IF(ISNUMBER(INDEX('register map'!J:J,C684)),1,""),IF(ISNUMBER(INDEX('register map'!K:K,C684)),0,""))</f>
        <v>7</v>
      </c>
      <c r="H684" s="117" t="str">
        <f>RIGHT(INDEX('register map'!V:V,MATCH('Logical Group Generator'!B684,'register map'!L:L,0)),LEN(G684))</f>
        <v>0</v>
      </c>
      <c r="I684" s="117" t="str">
        <f>CONCATENATE(IF(ISNUMBER(INDEX('register map'!K:K,C684)),0,""),IF(ISNUMBER(INDEX('register map'!J:J,C684)),1,""),IF(ISNUMBER(INDEX('register map'!I:I,C684)),2,""),IF(ISNUMBER(INDEX('register map'!H:H,C684)),3,""),IF(ISNUMBER(INDEX('register map'!G:G,C684)),4,""),IF(ISNUMBER(INDEX('register map'!F:F,C684)),5,""),IF(ISNUMBER(INDEX('register map'!E:E,C684)),6,""),IF(ISNUMBER(INDEX('register map'!D:D,C684)),7,""))</f>
        <v>7</v>
      </c>
      <c r="J684" s="117" t="str">
        <f t="shared" si="117"/>
        <v>0</v>
      </c>
      <c r="K684" s="117" t="str">
        <f t="shared" si="110"/>
        <v/>
      </c>
      <c r="L684" s="117" t="str">
        <f t="shared" si="118"/>
        <v/>
      </c>
      <c r="M684" s="117" t="str">
        <f t="shared" si="120"/>
        <v/>
      </c>
      <c r="N684" s="117" t="str">
        <f>IF(ISBLANK(INDEX('register map'!M:M,'Logical Group Generator'!C684)),"No","Yes")</f>
        <v>No</v>
      </c>
      <c r="O684" s="117" t="str">
        <f>IF(NOT(ISBLANK(INDEX('register map'!N:N,'Logical Group Generator'!C684))),"Yes","")</f>
        <v>Yes</v>
      </c>
      <c r="P684" s="117" t="str">
        <f t="shared" si="111"/>
        <v/>
      </c>
      <c r="Q684" s="117" t="str">
        <f t="shared" si="112"/>
        <v/>
      </c>
      <c r="R684" s="117" t="str">
        <f t="shared" si="113"/>
        <v/>
      </c>
      <c r="S684" s="117" t="str">
        <f t="shared" si="114"/>
        <v>No</v>
      </c>
      <c r="T684" s="117" t="str">
        <f t="shared" si="115"/>
        <v/>
      </c>
      <c r="U684" s="117" t="b">
        <f t="shared" si="119"/>
        <v>0</v>
      </c>
      <c r="V684" s="157" t="b">
        <f>INDEX('register map'!P:P,C684)="yes"</f>
        <v>1</v>
      </c>
      <c r="W684" s="157" t="str">
        <f t="shared" si="116"/>
        <v>FALSE</v>
      </c>
    </row>
    <row r="685" spans="2:23">
      <c r="B685" s="157" t="str">
        <f t="array" ref="B685">IF(ROWS($3:685)&lt;=COUNTA('register map'!$L$5:$L$902),INDEX('register map'!$L$5:$L$902,SMALL(IF('register map'!$L$5:$L$902&lt;&gt;"",ROW('register map'!$L$5:$L$902)-MIN(ROW('register map'!$L$5:$L$902))+1),ROWS($3:685))),"")</f>
        <v>OTP_RSVD_38_4E</v>
      </c>
      <c r="C685" s="157">
        <f>IF(B685="PART_NUMBER",IF(COUNTIF($B$1:B684,"PART_NUMBER")=0,6,8),MATCH(B685,'register map'!L:L,0))</f>
        <v>816</v>
      </c>
      <c r="D685" s="117" t="str">
        <f>IF(ISBLANK(INDEX('register map'!C:C,'Logical Group Generator'!C685)),"No","Yes")</f>
        <v>Yes</v>
      </c>
      <c r="E685" s="117" t="str">
        <f>IF(ISBLANK(INDEX('register map'!A:A,C685)),IF(ISBLANK(INDEX('register map'!A:A,C685-1)),IF(ISBLANK(INDEX('register map'!A:A,C685-2)),IF(ISBLANK(INDEX('register map'!A:A,C685-3)),IF(ISBLANK(INDEX('register map'!A:A,C685-4)),IF(ISBLANK(INDEX('register map'!A:A,C685-5)),IF(ISBLANK(INDEX('register map'!A:A,C685-6)),IF(ISBLANK(INDEX('register map'!A:A,C685-7)),IF(ISBLANK(INDEX('register map'!A:A,C685-8)),"ERROR",INDEX('register map'!A:A,C685-8)),INDEX('register map'!A:A,C685-7)),INDEX('register map'!A:A,C685-6)),INDEX('register map'!A:A,C685-5)),INDEX('register map'!A:A,C685-4)),INDEX('register map'!A:A,C685-3)),INDEX('register map'!A:A,C685-2)),INDEX('register map'!A:A,C685-1)),INDEX('register map'!A:A,C685))</f>
        <v>0x38</v>
      </c>
      <c r="F685" s="117" t="str">
        <f>IF(ISBLANK(INDEX('register map'!B:B,C685)),IF(ISBLANK(INDEX('register map'!B:B,C685-1)),IF(ISBLANK(INDEX('register map'!B:B,C685-2)),IF(ISBLANK(INDEX('register map'!B:B,C685-3)),IF(ISBLANK(INDEX('register map'!B:B,C685-4)),IF(ISBLANK(INDEX('register map'!B:B,C685-5)),IF(ISBLANK(INDEX('register map'!B:B,C685-6)),IF(ISBLANK(INDEX('register map'!B:B,C685-7)),IF(ISBLANK(INDEX('register map'!B:B,C685-8)),"ERROR",INDEX('register map'!B:B,C685-8)),INDEX('register map'!B:B,C685-7)),INDEX('register map'!B:B,C685-6)),INDEX('register map'!B:B,C685-5)),INDEX('register map'!B:B,C685-4)),INDEX('register map'!B:B,C685-3)),INDEX('register map'!B:B,C685-2)),INDEX('register map'!B:B,C685-1)),INDEX('register map'!B:B,C685))</f>
        <v>0x4E</v>
      </c>
      <c r="G685" s="117" t="str">
        <f>CONCATENATE(IF(ISNUMBER(INDEX('register map'!D:D,C685)),7,""),IF(ISNUMBER(INDEX('register map'!E:E,C685)),6,""),IF(ISNUMBER(INDEX('register map'!F:F,C685)),5,""),IF(ISNUMBER(INDEX('register map'!G:G,C685)),4,""),IF(ISNUMBER(INDEX('register map'!H:H,C685)),3,""),IF(ISNUMBER(INDEX('register map'!I:I,C685)),2,""),IF(ISNUMBER(INDEX('register map'!J:J,C685)),1,""),IF(ISNUMBER(INDEX('register map'!K:K,C685)),0,""))</f>
        <v/>
      </c>
      <c r="H685" s="117" t="str">
        <f>RIGHT(INDEX('register map'!V:V,MATCH('Logical Group Generator'!B685,'register map'!L:L,0)),LEN(G685))</f>
        <v/>
      </c>
      <c r="I685" s="117" t="str">
        <f>CONCATENATE(IF(ISNUMBER(INDEX('register map'!K:K,C685)),0,""),IF(ISNUMBER(INDEX('register map'!J:J,C685)),1,""),IF(ISNUMBER(INDEX('register map'!I:I,C685)),2,""),IF(ISNUMBER(INDEX('register map'!H:H,C685)),3,""),IF(ISNUMBER(INDEX('register map'!G:G,C685)),4,""),IF(ISNUMBER(INDEX('register map'!F:F,C685)),5,""),IF(ISNUMBER(INDEX('register map'!E:E,C685)),6,""),IF(ISNUMBER(INDEX('register map'!D:D,C685)),7,""))</f>
        <v/>
      </c>
      <c r="J685" s="117" t="str">
        <f t="shared" si="117"/>
        <v/>
      </c>
      <c r="K685" s="117" t="str">
        <f t="shared" si="110"/>
        <v>00110010</v>
      </c>
      <c r="L685" s="117" t="str">
        <f t="shared" si="118"/>
        <v>01001100</v>
      </c>
      <c r="M685" s="117" t="str">
        <f t="shared" si="120"/>
        <v>4C</v>
      </c>
      <c r="N685" s="117" t="str">
        <f>IF(ISBLANK(INDEX('register map'!M:M,'Logical Group Generator'!C685)),"No","Yes")</f>
        <v>No</v>
      </c>
      <c r="O685" s="117" t="str">
        <f>IF(NOT(ISBLANK(INDEX('register map'!N:N,'Logical Group Generator'!C685))),"Yes","")</f>
        <v/>
      </c>
      <c r="P685" s="117" t="str">
        <f t="shared" si="111"/>
        <v>Yes</v>
      </c>
      <c r="Q685" s="117" t="str">
        <f t="shared" si="112"/>
        <v>Yes</v>
      </c>
      <c r="R685" s="117" t="str">
        <f t="shared" si="113"/>
        <v>No</v>
      </c>
      <c r="S685" s="117" t="str">
        <f t="shared" si="114"/>
        <v/>
      </c>
      <c r="T685" s="117" t="b">
        <f t="shared" si="115"/>
        <v>1</v>
      </c>
      <c r="U685" s="117" t="b">
        <f t="shared" si="119"/>
        <v>0</v>
      </c>
      <c r="V685" s="157" t="b">
        <f>INDEX('register map'!P:P,C685)="yes"</f>
        <v>1</v>
      </c>
      <c r="W685" s="157" t="str">
        <f t="shared" si="116"/>
        <v>FALSE</v>
      </c>
    </row>
    <row r="686" spans="2:23">
      <c r="B686" s="157" t="str">
        <f t="array" ref="B686">IF(ROWS($3:686)&lt;=COUNTA('register map'!$L$5:$L$902),INDEX('register map'!$L$5:$L$902,SMALL(IF('register map'!$L$5:$L$902&lt;&gt;"",ROW('register map'!$L$5:$L$902)-MIN(ROW('register map'!$L$5:$L$902))+1),ROWS($3:686))),"")</f>
        <v>OTP_RSVD_38_4E_210</v>
      </c>
      <c r="C686" s="157">
        <f>IF(B686="PART_NUMBER",IF(COUNTIF($B$1:B685,"PART_NUMBER")=0,6,8),MATCH(B686,'register map'!L:L,0))</f>
        <v>817</v>
      </c>
      <c r="D686" s="117" t="str">
        <f>IF(ISBLANK(INDEX('register map'!C:C,'Logical Group Generator'!C686)),"No","Yes")</f>
        <v>No</v>
      </c>
      <c r="E686" s="117" t="str">
        <f>IF(ISBLANK(INDEX('register map'!A:A,C686)),IF(ISBLANK(INDEX('register map'!A:A,C686-1)),IF(ISBLANK(INDEX('register map'!A:A,C686-2)),IF(ISBLANK(INDEX('register map'!A:A,C686-3)),IF(ISBLANK(INDEX('register map'!A:A,C686-4)),IF(ISBLANK(INDEX('register map'!A:A,C686-5)),IF(ISBLANK(INDEX('register map'!A:A,C686-6)),IF(ISBLANK(INDEX('register map'!A:A,C686-7)),IF(ISBLANK(INDEX('register map'!A:A,C686-8)),"ERROR",INDEX('register map'!A:A,C686-8)),INDEX('register map'!A:A,C686-7)),INDEX('register map'!A:A,C686-6)),INDEX('register map'!A:A,C686-5)),INDEX('register map'!A:A,C686-4)),INDEX('register map'!A:A,C686-3)),INDEX('register map'!A:A,C686-2)),INDEX('register map'!A:A,C686-1)),INDEX('register map'!A:A,C686))</f>
        <v>0x38</v>
      </c>
      <c r="F686" s="117" t="str">
        <f>IF(ISBLANK(INDEX('register map'!B:B,C686)),IF(ISBLANK(INDEX('register map'!B:B,C686-1)),IF(ISBLANK(INDEX('register map'!B:B,C686-2)),IF(ISBLANK(INDEX('register map'!B:B,C686-3)),IF(ISBLANK(INDEX('register map'!B:B,C686-4)),IF(ISBLANK(INDEX('register map'!B:B,C686-5)),IF(ISBLANK(INDEX('register map'!B:B,C686-6)),IF(ISBLANK(INDEX('register map'!B:B,C686-7)),IF(ISBLANK(INDEX('register map'!B:B,C686-8)),"ERROR",INDEX('register map'!B:B,C686-8)),INDEX('register map'!B:B,C686-7)),INDEX('register map'!B:B,C686-6)),INDEX('register map'!B:B,C686-5)),INDEX('register map'!B:B,C686-4)),INDEX('register map'!B:B,C686-3)),INDEX('register map'!B:B,C686-2)),INDEX('register map'!B:B,C686-1)),INDEX('register map'!B:B,C686))</f>
        <v>0x4E</v>
      </c>
      <c r="G686" s="117" t="str">
        <f>CONCATENATE(IF(ISNUMBER(INDEX('register map'!D:D,C686)),7,""),IF(ISNUMBER(INDEX('register map'!E:E,C686)),6,""),IF(ISNUMBER(INDEX('register map'!F:F,C686)),5,""),IF(ISNUMBER(INDEX('register map'!G:G,C686)),4,""),IF(ISNUMBER(INDEX('register map'!H:H,C686)),3,""),IF(ISNUMBER(INDEX('register map'!I:I,C686)),2,""),IF(ISNUMBER(INDEX('register map'!J:J,C686)),1,""),IF(ISNUMBER(INDEX('register map'!K:K,C686)),0,""))</f>
        <v>210</v>
      </c>
      <c r="H686" s="117" t="str">
        <f>RIGHT(INDEX('register map'!V:V,MATCH('Logical Group Generator'!B686,'register map'!L:L,0)),LEN(G686))</f>
        <v>100</v>
      </c>
      <c r="I686" s="117" t="str">
        <f>CONCATENATE(IF(ISNUMBER(INDEX('register map'!K:K,C686)),0,""),IF(ISNUMBER(INDEX('register map'!J:J,C686)),1,""),IF(ISNUMBER(INDEX('register map'!I:I,C686)),2,""),IF(ISNUMBER(INDEX('register map'!H:H,C686)),3,""),IF(ISNUMBER(INDEX('register map'!G:G,C686)),4,""),IF(ISNUMBER(INDEX('register map'!F:F,C686)),5,""),IF(ISNUMBER(INDEX('register map'!E:E,C686)),6,""),IF(ISNUMBER(INDEX('register map'!D:D,C686)),7,""))</f>
        <v>012</v>
      </c>
      <c r="J686" s="117" t="str">
        <f t="shared" si="117"/>
        <v>001</v>
      </c>
      <c r="K686" s="117" t="str">
        <f t="shared" si="110"/>
        <v/>
      </c>
      <c r="L686" s="117" t="str">
        <f t="shared" si="118"/>
        <v/>
      </c>
      <c r="M686" s="117" t="str">
        <f t="shared" si="120"/>
        <v/>
      </c>
      <c r="N686" s="117" t="str">
        <f>IF(ISBLANK(INDEX('register map'!M:M,'Logical Group Generator'!C686)),"No","Yes")</f>
        <v>Yes</v>
      </c>
      <c r="O686" s="117" t="str">
        <f>IF(NOT(ISBLANK(INDEX('register map'!N:N,'Logical Group Generator'!C686))),"Yes","")</f>
        <v/>
      </c>
      <c r="P686" s="117" t="str">
        <f t="shared" si="111"/>
        <v/>
      </c>
      <c r="Q686" s="117" t="str">
        <f t="shared" si="112"/>
        <v/>
      </c>
      <c r="R686" s="117" t="str">
        <f t="shared" si="113"/>
        <v/>
      </c>
      <c r="S686" s="117" t="str">
        <f t="shared" si="114"/>
        <v>No</v>
      </c>
      <c r="T686" s="117" t="str">
        <f t="shared" si="115"/>
        <v/>
      </c>
      <c r="U686" s="117" t="b">
        <f t="shared" si="119"/>
        <v>0</v>
      </c>
      <c r="V686" s="157" t="b">
        <f>INDEX('register map'!P:P,C686)="yes"</f>
        <v>1</v>
      </c>
      <c r="W686" s="157" t="str">
        <f t="shared" si="116"/>
        <v>FALSE</v>
      </c>
    </row>
    <row r="687" spans="2:23">
      <c r="B687" s="157" t="str">
        <f t="array" ref="B687">IF(ROWS($3:687)&lt;=COUNTA('register map'!$L$5:$L$902),INDEX('register map'!$L$5:$L$902,SMALL(IF('register map'!$L$5:$L$902&lt;&gt;"",ROW('register map'!$L$5:$L$902)-MIN(ROW('register map'!$L$5:$L$902))+1),ROWS($3:687))),"")</f>
        <v>OTP_RSVD_38_4E_43</v>
      </c>
      <c r="C687" s="157">
        <f>IF(B687="PART_NUMBER",IF(COUNTIF($B$1:B686,"PART_NUMBER")=0,6,8),MATCH(B687,'register map'!L:L,0))</f>
        <v>818</v>
      </c>
      <c r="D687" s="117" t="str">
        <f>IF(ISBLANK(INDEX('register map'!C:C,'Logical Group Generator'!C687)),"No","Yes")</f>
        <v>No</v>
      </c>
      <c r="E687" s="117" t="str">
        <f>IF(ISBLANK(INDEX('register map'!A:A,C687)),IF(ISBLANK(INDEX('register map'!A:A,C687-1)),IF(ISBLANK(INDEX('register map'!A:A,C687-2)),IF(ISBLANK(INDEX('register map'!A:A,C687-3)),IF(ISBLANK(INDEX('register map'!A:A,C687-4)),IF(ISBLANK(INDEX('register map'!A:A,C687-5)),IF(ISBLANK(INDEX('register map'!A:A,C687-6)),IF(ISBLANK(INDEX('register map'!A:A,C687-7)),IF(ISBLANK(INDEX('register map'!A:A,C687-8)),"ERROR",INDEX('register map'!A:A,C687-8)),INDEX('register map'!A:A,C687-7)),INDEX('register map'!A:A,C687-6)),INDEX('register map'!A:A,C687-5)),INDEX('register map'!A:A,C687-4)),INDEX('register map'!A:A,C687-3)),INDEX('register map'!A:A,C687-2)),INDEX('register map'!A:A,C687-1)),INDEX('register map'!A:A,C687))</f>
        <v>0x38</v>
      </c>
      <c r="F687" s="117" t="str">
        <f>IF(ISBLANK(INDEX('register map'!B:B,C687)),IF(ISBLANK(INDEX('register map'!B:B,C687-1)),IF(ISBLANK(INDEX('register map'!B:B,C687-2)),IF(ISBLANK(INDEX('register map'!B:B,C687-3)),IF(ISBLANK(INDEX('register map'!B:B,C687-4)),IF(ISBLANK(INDEX('register map'!B:B,C687-5)),IF(ISBLANK(INDEX('register map'!B:B,C687-6)),IF(ISBLANK(INDEX('register map'!B:B,C687-7)),IF(ISBLANK(INDEX('register map'!B:B,C687-8)),"ERROR",INDEX('register map'!B:B,C687-8)),INDEX('register map'!B:B,C687-7)),INDEX('register map'!B:B,C687-6)),INDEX('register map'!B:B,C687-5)),INDEX('register map'!B:B,C687-4)),INDEX('register map'!B:B,C687-3)),INDEX('register map'!B:B,C687-2)),INDEX('register map'!B:B,C687-1)),INDEX('register map'!B:B,C687))</f>
        <v>0x4E</v>
      </c>
      <c r="G687" s="117" t="str">
        <f>CONCATENATE(IF(ISNUMBER(INDEX('register map'!D:D,C687)),7,""),IF(ISNUMBER(INDEX('register map'!E:E,C687)),6,""),IF(ISNUMBER(INDEX('register map'!F:F,C687)),5,""),IF(ISNUMBER(INDEX('register map'!G:G,C687)),4,""),IF(ISNUMBER(INDEX('register map'!H:H,C687)),3,""),IF(ISNUMBER(INDEX('register map'!I:I,C687)),2,""),IF(ISNUMBER(INDEX('register map'!J:J,C687)),1,""),IF(ISNUMBER(INDEX('register map'!K:K,C687)),0,""))</f>
        <v>43</v>
      </c>
      <c r="H687" s="117" t="str">
        <f>RIGHT(INDEX('register map'!V:V,MATCH('Logical Group Generator'!B687,'register map'!L:L,0)),LEN(G687))</f>
        <v>01</v>
      </c>
      <c r="I687" s="117" t="str">
        <f>CONCATENATE(IF(ISNUMBER(INDEX('register map'!K:K,C687)),0,""),IF(ISNUMBER(INDEX('register map'!J:J,C687)),1,""),IF(ISNUMBER(INDEX('register map'!I:I,C687)),2,""),IF(ISNUMBER(INDEX('register map'!H:H,C687)),3,""),IF(ISNUMBER(INDEX('register map'!G:G,C687)),4,""),IF(ISNUMBER(INDEX('register map'!F:F,C687)),5,""),IF(ISNUMBER(INDEX('register map'!E:E,C687)),6,""),IF(ISNUMBER(INDEX('register map'!D:D,C687)),7,""))</f>
        <v>34</v>
      </c>
      <c r="J687" s="117" t="str">
        <f t="shared" si="117"/>
        <v>10</v>
      </c>
      <c r="K687" s="117" t="str">
        <f t="shared" si="110"/>
        <v/>
      </c>
      <c r="L687" s="117" t="str">
        <f t="shared" si="118"/>
        <v/>
      </c>
      <c r="M687" s="117" t="str">
        <f t="shared" si="120"/>
        <v/>
      </c>
      <c r="N687" s="117" t="str">
        <f>IF(ISBLANK(INDEX('register map'!M:M,'Logical Group Generator'!C687)),"No","Yes")</f>
        <v>Yes</v>
      </c>
      <c r="O687" s="117" t="str">
        <f>IF(NOT(ISBLANK(INDEX('register map'!N:N,'Logical Group Generator'!C687))),"Yes","")</f>
        <v/>
      </c>
      <c r="P687" s="117" t="str">
        <f t="shared" si="111"/>
        <v/>
      </c>
      <c r="Q687" s="117" t="str">
        <f t="shared" si="112"/>
        <v/>
      </c>
      <c r="R687" s="117" t="str">
        <f t="shared" si="113"/>
        <v/>
      </c>
      <c r="S687" s="117" t="str">
        <f t="shared" si="114"/>
        <v>No</v>
      </c>
      <c r="T687" s="117" t="str">
        <f t="shared" si="115"/>
        <v/>
      </c>
      <c r="U687" s="117" t="b">
        <f t="shared" si="119"/>
        <v>0</v>
      </c>
      <c r="V687" s="157" t="b">
        <f>INDEX('register map'!P:P,C687)="yes"</f>
        <v>1</v>
      </c>
      <c r="W687" s="157" t="str">
        <f t="shared" si="116"/>
        <v>FALSE</v>
      </c>
    </row>
    <row r="688" spans="2:23">
      <c r="B688" s="157" t="str">
        <f t="array" ref="B688">IF(ROWS($3:688)&lt;=COUNTA('register map'!$L$5:$L$902),INDEX('register map'!$L$5:$L$902,SMALL(IF('register map'!$L$5:$L$902&lt;&gt;"",ROW('register map'!$L$5:$L$902)-MIN(ROW('register map'!$L$5:$L$902))+1),ROWS($3:688))),"")</f>
        <v>OTP_RSVD_38_4E_65</v>
      </c>
      <c r="C688" s="157">
        <f>IF(B688="PART_NUMBER",IF(COUNTIF($B$1:B687,"PART_NUMBER")=0,6,8),MATCH(B688,'register map'!L:L,0))</f>
        <v>819</v>
      </c>
      <c r="D688" s="117" t="str">
        <f>IF(ISBLANK(INDEX('register map'!C:C,'Logical Group Generator'!C688)),"No","Yes")</f>
        <v>No</v>
      </c>
      <c r="E688" s="117" t="str">
        <f>IF(ISBLANK(INDEX('register map'!A:A,C688)),IF(ISBLANK(INDEX('register map'!A:A,C688-1)),IF(ISBLANK(INDEX('register map'!A:A,C688-2)),IF(ISBLANK(INDEX('register map'!A:A,C688-3)),IF(ISBLANK(INDEX('register map'!A:A,C688-4)),IF(ISBLANK(INDEX('register map'!A:A,C688-5)),IF(ISBLANK(INDEX('register map'!A:A,C688-6)),IF(ISBLANK(INDEX('register map'!A:A,C688-7)),IF(ISBLANK(INDEX('register map'!A:A,C688-8)),"ERROR",INDEX('register map'!A:A,C688-8)),INDEX('register map'!A:A,C688-7)),INDEX('register map'!A:A,C688-6)),INDEX('register map'!A:A,C688-5)),INDEX('register map'!A:A,C688-4)),INDEX('register map'!A:A,C688-3)),INDEX('register map'!A:A,C688-2)),INDEX('register map'!A:A,C688-1)),INDEX('register map'!A:A,C688))</f>
        <v>0x38</v>
      </c>
      <c r="F688" s="117" t="str">
        <f>IF(ISBLANK(INDEX('register map'!B:B,C688)),IF(ISBLANK(INDEX('register map'!B:B,C688-1)),IF(ISBLANK(INDEX('register map'!B:B,C688-2)),IF(ISBLANK(INDEX('register map'!B:B,C688-3)),IF(ISBLANK(INDEX('register map'!B:B,C688-4)),IF(ISBLANK(INDEX('register map'!B:B,C688-5)),IF(ISBLANK(INDEX('register map'!B:B,C688-6)),IF(ISBLANK(INDEX('register map'!B:B,C688-7)),IF(ISBLANK(INDEX('register map'!B:B,C688-8)),"ERROR",INDEX('register map'!B:B,C688-8)),INDEX('register map'!B:B,C688-7)),INDEX('register map'!B:B,C688-6)),INDEX('register map'!B:B,C688-5)),INDEX('register map'!B:B,C688-4)),INDEX('register map'!B:B,C688-3)),INDEX('register map'!B:B,C688-2)),INDEX('register map'!B:B,C688-1)),INDEX('register map'!B:B,C688))</f>
        <v>0x4E</v>
      </c>
      <c r="G688" s="117" t="str">
        <f>CONCATENATE(IF(ISNUMBER(INDEX('register map'!D:D,C688)),7,""),IF(ISNUMBER(INDEX('register map'!E:E,C688)),6,""),IF(ISNUMBER(INDEX('register map'!F:F,C688)),5,""),IF(ISNUMBER(INDEX('register map'!G:G,C688)),4,""),IF(ISNUMBER(INDEX('register map'!H:H,C688)),3,""),IF(ISNUMBER(INDEX('register map'!I:I,C688)),2,""),IF(ISNUMBER(INDEX('register map'!J:J,C688)),1,""),IF(ISNUMBER(INDEX('register map'!K:K,C688)),0,""))</f>
        <v>65</v>
      </c>
      <c r="H688" s="117" t="str">
        <f>RIGHT(INDEX('register map'!V:V,MATCH('Logical Group Generator'!B688,'register map'!L:L,0)),LEN(G688))</f>
        <v>10</v>
      </c>
      <c r="I688" s="117" t="str">
        <f>CONCATENATE(IF(ISNUMBER(INDEX('register map'!K:K,C688)),0,""),IF(ISNUMBER(INDEX('register map'!J:J,C688)),1,""),IF(ISNUMBER(INDEX('register map'!I:I,C688)),2,""),IF(ISNUMBER(INDEX('register map'!H:H,C688)),3,""),IF(ISNUMBER(INDEX('register map'!G:G,C688)),4,""),IF(ISNUMBER(INDEX('register map'!F:F,C688)),5,""),IF(ISNUMBER(INDEX('register map'!E:E,C688)),6,""),IF(ISNUMBER(INDEX('register map'!D:D,C688)),7,""))</f>
        <v>56</v>
      </c>
      <c r="J688" s="117" t="str">
        <f t="shared" si="117"/>
        <v>01</v>
      </c>
      <c r="K688" s="117" t="str">
        <f t="shared" si="110"/>
        <v/>
      </c>
      <c r="L688" s="117" t="str">
        <f t="shared" si="118"/>
        <v/>
      </c>
      <c r="M688" s="117" t="str">
        <f t="shared" si="120"/>
        <v/>
      </c>
      <c r="N688" s="117" t="str">
        <f>IF(ISBLANK(INDEX('register map'!M:M,'Logical Group Generator'!C688)),"No","Yes")</f>
        <v>Yes</v>
      </c>
      <c r="O688" s="117" t="str">
        <f>IF(NOT(ISBLANK(INDEX('register map'!N:N,'Logical Group Generator'!C688))),"Yes","")</f>
        <v/>
      </c>
      <c r="P688" s="117" t="str">
        <f t="shared" si="111"/>
        <v/>
      </c>
      <c r="Q688" s="117" t="str">
        <f t="shared" si="112"/>
        <v/>
      </c>
      <c r="R688" s="117" t="str">
        <f t="shared" si="113"/>
        <v/>
      </c>
      <c r="S688" s="117" t="str">
        <f t="shared" si="114"/>
        <v>No</v>
      </c>
      <c r="T688" s="117" t="str">
        <f t="shared" si="115"/>
        <v/>
      </c>
      <c r="U688" s="117" t="b">
        <f t="shared" si="119"/>
        <v>0</v>
      </c>
      <c r="V688" s="157" t="b">
        <f>INDEX('register map'!P:P,C688)="yes"</f>
        <v>1</v>
      </c>
      <c r="W688" s="157" t="str">
        <f t="shared" si="116"/>
        <v>FALSE</v>
      </c>
    </row>
    <row r="689" spans="2:23">
      <c r="B689" s="157" t="str">
        <f t="array" ref="B689">IF(ROWS($3:689)&lt;=COUNTA('register map'!$L$5:$L$902),INDEX('register map'!$L$5:$L$902,SMALL(IF('register map'!$L$5:$L$902&lt;&gt;"",ROW('register map'!$L$5:$L$902)-MIN(ROW('register map'!$L$5:$L$902))+1),ROWS($3:689))),"")</f>
        <v>OTP_RSVD_38_4E_7</v>
      </c>
      <c r="C689" s="157">
        <f>IF(B689="PART_NUMBER",IF(COUNTIF($B$1:B688,"PART_NUMBER")=0,6,8),MATCH(B689,'register map'!L:L,0))</f>
        <v>820</v>
      </c>
      <c r="D689" s="117" t="str">
        <f>IF(ISBLANK(INDEX('register map'!C:C,'Logical Group Generator'!C689)),"No","Yes")</f>
        <v>No</v>
      </c>
      <c r="E689" s="117" t="str">
        <f>IF(ISBLANK(INDEX('register map'!A:A,C689)),IF(ISBLANK(INDEX('register map'!A:A,C689-1)),IF(ISBLANK(INDEX('register map'!A:A,C689-2)),IF(ISBLANK(INDEX('register map'!A:A,C689-3)),IF(ISBLANK(INDEX('register map'!A:A,C689-4)),IF(ISBLANK(INDEX('register map'!A:A,C689-5)),IF(ISBLANK(INDEX('register map'!A:A,C689-6)),IF(ISBLANK(INDEX('register map'!A:A,C689-7)),IF(ISBLANK(INDEX('register map'!A:A,C689-8)),"ERROR",INDEX('register map'!A:A,C689-8)),INDEX('register map'!A:A,C689-7)),INDEX('register map'!A:A,C689-6)),INDEX('register map'!A:A,C689-5)),INDEX('register map'!A:A,C689-4)),INDEX('register map'!A:A,C689-3)),INDEX('register map'!A:A,C689-2)),INDEX('register map'!A:A,C689-1)),INDEX('register map'!A:A,C689))</f>
        <v>0x38</v>
      </c>
      <c r="F689" s="117" t="str">
        <f>IF(ISBLANK(INDEX('register map'!B:B,C689)),IF(ISBLANK(INDEX('register map'!B:B,C689-1)),IF(ISBLANK(INDEX('register map'!B:B,C689-2)),IF(ISBLANK(INDEX('register map'!B:B,C689-3)),IF(ISBLANK(INDEX('register map'!B:B,C689-4)),IF(ISBLANK(INDEX('register map'!B:B,C689-5)),IF(ISBLANK(INDEX('register map'!B:B,C689-6)),IF(ISBLANK(INDEX('register map'!B:B,C689-7)),IF(ISBLANK(INDEX('register map'!B:B,C689-8)),"ERROR",INDEX('register map'!B:B,C689-8)),INDEX('register map'!B:B,C689-7)),INDEX('register map'!B:B,C689-6)),INDEX('register map'!B:B,C689-5)),INDEX('register map'!B:B,C689-4)),INDEX('register map'!B:B,C689-3)),INDEX('register map'!B:B,C689-2)),INDEX('register map'!B:B,C689-1)),INDEX('register map'!B:B,C689))</f>
        <v>0x4E</v>
      </c>
      <c r="G689" s="117" t="str">
        <f>CONCATENATE(IF(ISNUMBER(INDEX('register map'!D:D,C689)),7,""),IF(ISNUMBER(INDEX('register map'!E:E,C689)),6,""),IF(ISNUMBER(INDEX('register map'!F:F,C689)),5,""),IF(ISNUMBER(INDEX('register map'!G:G,C689)),4,""),IF(ISNUMBER(INDEX('register map'!H:H,C689)),3,""),IF(ISNUMBER(INDEX('register map'!I:I,C689)),2,""),IF(ISNUMBER(INDEX('register map'!J:J,C689)),1,""),IF(ISNUMBER(INDEX('register map'!K:K,C689)),0,""))</f>
        <v>7</v>
      </c>
      <c r="H689" s="117" t="str">
        <f>RIGHT(INDEX('register map'!V:V,MATCH('Logical Group Generator'!B689,'register map'!L:L,0)),LEN(G689))</f>
        <v>0</v>
      </c>
      <c r="I689" s="117" t="str">
        <f>CONCATENATE(IF(ISNUMBER(INDEX('register map'!K:K,C689)),0,""),IF(ISNUMBER(INDEX('register map'!J:J,C689)),1,""),IF(ISNUMBER(INDEX('register map'!I:I,C689)),2,""),IF(ISNUMBER(INDEX('register map'!H:H,C689)),3,""),IF(ISNUMBER(INDEX('register map'!G:G,C689)),4,""),IF(ISNUMBER(INDEX('register map'!F:F,C689)),5,""),IF(ISNUMBER(INDEX('register map'!E:E,C689)),6,""),IF(ISNUMBER(INDEX('register map'!D:D,C689)),7,""))</f>
        <v>7</v>
      </c>
      <c r="J689" s="117" t="str">
        <f t="shared" si="117"/>
        <v>0</v>
      </c>
      <c r="K689" s="117" t="str">
        <f t="shared" si="110"/>
        <v/>
      </c>
      <c r="L689" s="117" t="str">
        <f t="shared" si="118"/>
        <v/>
      </c>
      <c r="M689" s="117" t="str">
        <f t="shared" si="120"/>
        <v/>
      </c>
      <c r="N689" s="117" t="str">
        <f>IF(ISBLANK(INDEX('register map'!M:M,'Logical Group Generator'!C689)),"No","Yes")</f>
        <v>No</v>
      </c>
      <c r="O689" s="117" t="str">
        <f>IF(NOT(ISBLANK(INDEX('register map'!N:N,'Logical Group Generator'!C689))),"Yes","")</f>
        <v>Yes</v>
      </c>
      <c r="P689" s="117" t="str">
        <f t="shared" si="111"/>
        <v/>
      </c>
      <c r="Q689" s="117" t="str">
        <f t="shared" si="112"/>
        <v/>
      </c>
      <c r="R689" s="117" t="str">
        <f t="shared" si="113"/>
        <v/>
      </c>
      <c r="S689" s="117" t="str">
        <f t="shared" si="114"/>
        <v>No</v>
      </c>
      <c r="T689" s="117" t="str">
        <f t="shared" si="115"/>
        <v/>
      </c>
      <c r="U689" s="117" t="b">
        <f t="shared" si="119"/>
        <v>0</v>
      </c>
      <c r="V689" s="157" t="b">
        <f>INDEX('register map'!P:P,C689)="yes"</f>
        <v>1</v>
      </c>
      <c r="W689" s="157" t="str">
        <f t="shared" si="116"/>
        <v>FALSE</v>
      </c>
    </row>
    <row r="690" spans="2:23">
      <c r="B690" s="157" t="str">
        <f t="array" ref="B690">IF(ROWS($3:690)&lt;=COUNTA('register map'!$L$5:$L$902),INDEX('register map'!$L$5:$L$902,SMALL(IF('register map'!$L$5:$L$902&lt;&gt;"",ROW('register map'!$L$5:$L$902)-MIN(ROW('register map'!$L$5:$L$902))+1),ROWS($3:690))),"")</f>
        <v>OTP_RSVD_38_4F</v>
      </c>
      <c r="C690" s="157">
        <f>IF(B690="PART_NUMBER",IF(COUNTIF($B$1:B689,"PART_NUMBER")=0,6,8),MATCH(B690,'register map'!L:L,0))</f>
        <v>821</v>
      </c>
      <c r="D690" s="117" t="str">
        <f>IF(ISBLANK(INDEX('register map'!C:C,'Logical Group Generator'!C690)),"No","Yes")</f>
        <v>Yes</v>
      </c>
      <c r="E690" s="117" t="str">
        <f>IF(ISBLANK(INDEX('register map'!A:A,C690)),IF(ISBLANK(INDEX('register map'!A:A,C690-1)),IF(ISBLANK(INDEX('register map'!A:A,C690-2)),IF(ISBLANK(INDEX('register map'!A:A,C690-3)),IF(ISBLANK(INDEX('register map'!A:A,C690-4)),IF(ISBLANK(INDEX('register map'!A:A,C690-5)),IF(ISBLANK(INDEX('register map'!A:A,C690-6)),IF(ISBLANK(INDEX('register map'!A:A,C690-7)),IF(ISBLANK(INDEX('register map'!A:A,C690-8)),"ERROR",INDEX('register map'!A:A,C690-8)),INDEX('register map'!A:A,C690-7)),INDEX('register map'!A:A,C690-6)),INDEX('register map'!A:A,C690-5)),INDEX('register map'!A:A,C690-4)),INDEX('register map'!A:A,C690-3)),INDEX('register map'!A:A,C690-2)),INDEX('register map'!A:A,C690-1)),INDEX('register map'!A:A,C690))</f>
        <v>0x38</v>
      </c>
      <c r="F690" s="117" t="str">
        <f>IF(ISBLANK(INDEX('register map'!B:B,C690)),IF(ISBLANK(INDEX('register map'!B:B,C690-1)),IF(ISBLANK(INDEX('register map'!B:B,C690-2)),IF(ISBLANK(INDEX('register map'!B:B,C690-3)),IF(ISBLANK(INDEX('register map'!B:B,C690-4)),IF(ISBLANK(INDEX('register map'!B:B,C690-5)),IF(ISBLANK(INDEX('register map'!B:B,C690-6)),IF(ISBLANK(INDEX('register map'!B:B,C690-7)),IF(ISBLANK(INDEX('register map'!B:B,C690-8)),"ERROR",INDEX('register map'!B:B,C690-8)),INDEX('register map'!B:B,C690-7)),INDEX('register map'!B:B,C690-6)),INDEX('register map'!B:B,C690-5)),INDEX('register map'!B:B,C690-4)),INDEX('register map'!B:B,C690-3)),INDEX('register map'!B:B,C690-2)),INDEX('register map'!B:B,C690-1)),INDEX('register map'!B:B,C690))</f>
        <v>0x4F</v>
      </c>
      <c r="G690" s="117" t="str">
        <f>CONCATENATE(IF(ISNUMBER(INDEX('register map'!D:D,C690)),7,""),IF(ISNUMBER(INDEX('register map'!E:E,C690)),6,""),IF(ISNUMBER(INDEX('register map'!F:F,C690)),5,""),IF(ISNUMBER(INDEX('register map'!G:G,C690)),4,""),IF(ISNUMBER(INDEX('register map'!H:H,C690)),3,""),IF(ISNUMBER(INDEX('register map'!I:I,C690)),2,""),IF(ISNUMBER(INDEX('register map'!J:J,C690)),1,""),IF(ISNUMBER(INDEX('register map'!K:K,C690)),0,""))</f>
        <v/>
      </c>
      <c r="H690" s="117" t="str">
        <f>RIGHT(INDEX('register map'!V:V,MATCH('Logical Group Generator'!B690,'register map'!L:L,0)),LEN(G690))</f>
        <v/>
      </c>
      <c r="I690" s="117" t="str">
        <f>CONCATENATE(IF(ISNUMBER(INDEX('register map'!K:K,C690)),0,""),IF(ISNUMBER(INDEX('register map'!J:J,C690)),1,""),IF(ISNUMBER(INDEX('register map'!I:I,C690)),2,""),IF(ISNUMBER(INDEX('register map'!H:H,C690)),3,""),IF(ISNUMBER(INDEX('register map'!G:G,C690)),4,""),IF(ISNUMBER(INDEX('register map'!F:F,C690)),5,""),IF(ISNUMBER(INDEX('register map'!E:E,C690)),6,""),IF(ISNUMBER(INDEX('register map'!D:D,C690)),7,""))</f>
        <v/>
      </c>
      <c r="J690" s="117" t="str">
        <f t="shared" si="117"/>
        <v/>
      </c>
      <c r="K690" s="117" t="str">
        <f t="shared" si="110"/>
        <v>10010010</v>
      </c>
      <c r="L690" s="117" t="str">
        <f t="shared" si="118"/>
        <v>01001001</v>
      </c>
      <c r="M690" s="117" t="str">
        <f t="shared" si="120"/>
        <v>49</v>
      </c>
      <c r="N690" s="117" t="str">
        <f>IF(ISBLANK(INDEX('register map'!M:M,'Logical Group Generator'!C690)),"No","Yes")</f>
        <v>No</v>
      </c>
      <c r="O690" s="117" t="str">
        <f>IF(NOT(ISBLANK(INDEX('register map'!N:N,'Logical Group Generator'!C690))),"Yes","")</f>
        <v/>
      </c>
      <c r="P690" s="117" t="str">
        <f t="shared" si="111"/>
        <v>Yes</v>
      </c>
      <c r="Q690" s="117" t="str">
        <f t="shared" si="112"/>
        <v>Yes</v>
      </c>
      <c r="R690" s="117" t="str">
        <f t="shared" si="113"/>
        <v>No</v>
      </c>
      <c r="S690" s="117" t="str">
        <f t="shared" si="114"/>
        <v/>
      </c>
      <c r="T690" s="117" t="b">
        <f t="shared" si="115"/>
        <v>1</v>
      </c>
      <c r="U690" s="117" t="b">
        <f t="shared" si="119"/>
        <v>0</v>
      </c>
      <c r="V690" s="157" t="b">
        <f>INDEX('register map'!P:P,C690)="yes"</f>
        <v>1</v>
      </c>
      <c r="W690" s="157" t="str">
        <f t="shared" si="116"/>
        <v>FALSE</v>
      </c>
    </row>
    <row r="691" spans="2:23">
      <c r="B691" s="157" t="str">
        <f t="array" ref="B691">IF(ROWS($3:691)&lt;=COUNTA('register map'!$L$5:$L$902),INDEX('register map'!$L$5:$L$902,SMALL(IF('register map'!$L$5:$L$902&lt;&gt;"",ROW('register map'!$L$5:$L$902)-MIN(ROW('register map'!$L$5:$L$902))+1),ROWS($3:691))),"")</f>
        <v>OTP_RSVD_38_4F_10</v>
      </c>
      <c r="C691" s="157">
        <f>IF(B691="PART_NUMBER",IF(COUNTIF($B$1:B690,"PART_NUMBER")=0,6,8),MATCH(B691,'register map'!L:L,0))</f>
        <v>822</v>
      </c>
      <c r="D691" s="117" t="str">
        <f>IF(ISBLANK(INDEX('register map'!C:C,'Logical Group Generator'!C691)),"No","Yes")</f>
        <v>No</v>
      </c>
      <c r="E691" s="117" t="str">
        <f>IF(ISBLANK(INDEX('register map'!A:A,C691)),IF(ISBLANK(INDEX('register map'!A:A,C691-1)),IF(ISBLANK(INDEX('register map'!A:A,C691-2)),IF(ISBLANK(INDEX('register map'!A:A,C691-3)),IF(ISBLANK(INDEX('register map'!A:A,C691-4)),IF(ISBLANK(INDEX('register map'!A:A,C691-5)),IF(ISBLANK(INDEX('register map'!A:A,C691-6)),IF(ISBLANK(INDEX('register map'!A:A,C691-7)),IF(ISBLANK(INDEX('register map'!A:A,C691-8)),"ERROR",INDEX('register map'!A:A,C691-8)),INDEX('register map'!A:A,C691-7)),INDEX('register map'!A:A,C691-6)),INDEX('register map'!A:A,C691-5)),INDEX('register map'!A:A,C691-4)),INDEX('register map'!A:A,C691-3)),INDEX('register map'!A:A,C691-2)),INDEX('register map'!A:A,C691-1)),INDEX('register map'!A:A,C691))</f>
        <v>0x38</v>
      </c>
      <c r="F691" s="117" t="str">
        <f>IF(ISBLANK(INDEX('register map'!B:B,C691)),IF(ISBLANK(INDEX('register map'!B:B,C691-1)),IF(ISBLANK(INDEX('register map'!B:B,C691-2)),IF(ISBLANK(INDEX('register map'!B:B,C691-3)),IF(ISBLANK(INDEX('register map'!B:B,C691-4)),IF(ISBLANK(INDEX('register map'!B:B,C691-5)),IF(ISBLANK(INDEX('register map'!B:B,C691-6)),IF(ISBLANK(INDEX('register map'!B:B,C691-7)),IF(ISBLANK(INDEX('register map'!B:B,C691-8)),"ERROR",INDEX('register map'!B:B,C691-8)),INDEX('register map'!B:B,C691-7)),INDEX('register map'!B:B,C691-6)),INDEX('register map'!B:B,C691-5)),INDEX('register map'!B:B,C691-4)),INDEX('register map'!B:B,C691-3)),INDEX('register map'!B:B,C691-2)),INDEX('register map'!B:B,C691-1)),INDEX('register map'!B:B,C691))</f>
        <v>0x4F</v>
      </c>
      <c r="G691" s="117" t="str">
        <f>CONCATENATE(IF(ISNUMBER(INDEX('register map'!D:D,C691)),7,""),IF(ISNUMBER(INDEX('register map'!E:E,C691)),6,""),IF(ISNUMBER(INDEX('register map'!F:F,C691)),5,""),IF(ISNUMBER(INDEX('register map'!G:G,C691)),4,""),IF(ISNUMBER(INDEX('register map'!H:H,C691)),3,""),IF(ISNUMBER(INDEX('register map'!I:I,C691)),2,""),IF(ISNUMBER(INDEX('register map'!J:J,C691)),1,""),IF(ISNUMBER(INDEX('register map'!K:K,C691)),0,""))</f>
        <v>10</v>
      </c>
      <c r="H691" s="117" t="str">
        <f>RIGHT(INDEX('register map'!V:V,MATCH('Logical Group Generator'!B691,'register map'!L:L,0)),LEN(G691))</f>
        <v>01</v>
      </c>
      <c r="I691" s="117" t="str">
        <f>CONCATENATE(IF(ISNUMBER(INDEX('register map'!K:K,C691)),0,""),IF(ISNUMBER(INDEX('register map'!J:J,C691)),1,""),IF(ISNUMBER(INDEX('register map'!I:I,C691)),2,""),IF(ISNUMBER(INDEX('register map'!H:H,C691)),3,""),IF(ISNUMBER(INDEX('register map'!G:G,C691)),4,""),IF(ISNUMBER(INDEX('register map'!F:F,C691)),5,""),IF(ISNUMBER(INDEX('register map'!E:E,C691)),6,""),IF(ISNUMBER(INDEX('register map'!D:D,C691)),7,""))</f>
        <v>01</v>
      </c>
      <c r="J691" s="117" t="str">
        <f t="shared" si="117"/>
        <v>10</v>
      </c>
      <c r="K691" s="117" t="str">
        <f t="shared" si="110"/>
        <v/>
      </c>
      <c r="L691" s="117" t="str">
        <f t="shared" si="118"/>
        <v/>
      </c>
      <c r="M691" s="117" t="str">
        <f t="shared" si="120"/>
        <v/>
      </c>
      <c r="N691" s="117" t="str">
        <f>IF(ISBLANK(INDEX('register map'!M:M,'Logical Group Generator'!C691)),"No","Yes")</f>
        <v>Yes</v>
      </c>
      <c r="O691" s="117" t="str">
        <f>IF(NOT(ISBLANK(INDEX('register map'!N:N,'Logical Group Generator'!C691))),"Yes","")</f>
        <v/>
      </c>
      <c r="P691" s="117" t="str">
        <f t="shared" si="111"/>
        <v/>
      </c>
      <c r="Q691" s="117" t="str">
        <f t="shared" si="112"/>
        <v/>
      </c>
      <c r="R691" s="117" t="str">
        <f t="shared" si="113"/>
        <v/>
      </c>
      <c r="S691" s="117" t="str">
        <f t="shared" si="114"/>
        <v>No</v>
      </c>
      <c r="T691" s="117" t="str">
        <f t="shared" si="115"/>
        <v/>
      </c>
      <c r="U691" s="117" t="b">
        <f t="shared" si="119"/>
        <v>0</v>
      </c>
      <c r="V691" s="157" t="b">
        <f>INDEX('register map'!P:P,C691)="yes"</f>
        <v>1</v>
      </c>
      <c r="W691" s="157" t="str">
        <f t="shared" si="116"/>
        <v>FALSE</v>
      </c>
    </row>
    <row r="692" spans="2:23">
      <c r="B692" s="157" t="str">
        <f t="array" ref="B692">IF(ROWS($3:692)&lt;=COUNTA('register map'!$L$5:$L$902),INDEX('register map'!$L$5:$L$902,SMALL(IF('register map'!$L$5:$L$902&lt;&gt;"",ROW('register map'!$L$5:$L$902)-MIN(ROW('register map'!$L$5:$L$902))+1),ROWS($3:692))),"")</f>
        <v>OTP_RSVD_38_4F_32</v>
      </c>
      <c r="C692" s="157">
        <f>IF(B692="PART_NUMBER",IF(COUNTIF($B$1:B691,"PART_NUMBER")=0,6,8),MATCH(B692,'register map'!L:L,0))</f>
        <v>823</v>
      </c>
      <c r="D692" s="117" t="str">
        <f>IF(ISBLANK(INDEX('register map'!C:C,'Logical Group Generator'!C692)),"No","Yes")</f>
        <v>No</v>
      </c>
      <c r="E692" s="117" t="str">
        <f>IF(ISBLANK(INDEX('register map'!A:A,C692)),IF(ISBLANK(INDEX('register map'!A:A,C692-1)),IF(ISBLANK(INDEX('register map'!A:A,C692-2)),IF(ISBLANK(INDEX('register map'!A:A,C692-3)),IF(ISBLANK(INDEX('register map'!A:A,C692-4)),IF(ISBLANK(INDEX('register map'!A:A,C692-5)),IF(ISBLANK(INDEX('register map'!A:A,C692-6)),IF(ISBLANK(INDEX('register map'!A:A,C692-7)),IF(ISBLANK(INDEX('register map'!A:A,C692-8)),"ERROR",INDEX('register map'!A:A,C692-8)),INDEX('register map'!A:A,C692-7)),INDEX('register map'!A:A,C692-6)),INDEX('register map'!A:A,C692-5)),INDEX('register map'!A:A,C692-4)),INDEX('register map'!A:A,C692-3)),INDEX('register map'!A:A,C692-2)),INDEX('register map'!A:A,C692-1)),INDEX('register map'!A:A,C692))</f>
        <v>0x38</v>
      </c>
      <c r="F692" s="117" t="str">
        <f>IF(ISBLANK(INDEX('register map'!B:B,C692)),IF(ISBLANK(INDEX('register map'!B:B,C692-1)),IF(ISBLANK(INDEX('register map'!B:B,C692-2)),IF(ISBLANK(INDEX('register map'!B:B,C692-3)),IF(ISBLANK(INDEX('register map'!B:B,C692-4)),IF(ISBLANK(INDEX('register map'!B:B,C692-5)),IF(ISBLANK(INDEX('register map'!B:B,C692-6)),IF(ISBLANK(INDEX('register map'!B:B,C692-7)),IF(ISBLANK(INDEX('register map'!B:B,C692-8)),"ERROR",INDEX('register map'!B:B,C692-8)),INDEX('register map'!B:B,C692-7)),INDEX('register map'!B:B,C692-6)),INDEX('register map'!B:B,C692-5)),INDEX('register map'!B:B,C692-4)),INDEX('register map'!B:B,C692-3)),INDEX('register map'!B:B,C692-2)),INDEX('register map'!B:B,C692-1)),INDEX('register map'!B:B,C692))</f>
        <v>0x4F</v>
      </c>
      <c r="G692" s="117" t="str">
        <f>CONCATENATE(IF(ISNUMBER(INDEX('register map'!D:D,C692)),7,""),IF(ISNUMBER(INDEX('register map'!E:E,C692)),6,""),IF(ISNUMBER(INDEX('register map'!F:F,C692)),5,""),IF(ISNUMBER(INDEX('register map'!G:G,C692)),4,""),IF(ISNUMBER(INDEX('register map'!H:H,C692)),3,""),IF(ISNUMBER(INDEX('register map'!I:I,C692)),2,""),IF(ISNUMBER(INDEX('register map'!J:J,C692)),1,""),IF(ISNUMBER(INDEX('register map'!K:K,C692)),0,""))</f>
        <v>32</v>
      </c>
      <c r="H692" s="117" t="str">
        <f>RIGHT(INDEX('register map'!V:V,MATCH('Logical Group Generator'!B692,'register map'!L:L,0)),LEN(G692))</f>
        <v>10</v>
      </c>
      <c r="I692" s="117" t="str">
        <f>CONCATENATE(IF(ISNUMBER(INDEX('register map'!K:K,C692)),0,""),IF(ISNUMBER(INDEX('register map'!J:J,C692)),1,""),IF(ISNUMBER(INDEX('register map'!I:I,C692)),2,""),IF(ISNUMBER(INDEX('register map'!H:H,C692)),3,""),IF(ISNUMBER(INDEX('register map'!G:G,C692)),4,""),IF(ISNUMBER(INDEX('register map'!F:F,C692)),5,""),IF(ISNUMBER(INDEX('register map'!E:E,C692)),6,""),IF(ISNUMBER(INDEX('register map'!D:D,C692)),7,""))</f>
        <v>23</v>
      </c>
      <c r="J692" s="117" t="str">
        <f t="shared" si="117"/>
        <v>01</v>
      </c>
      <c r="K692" s="117" t="str">
        <f t="shared" si="110"/>
        <v/>
      </c>
      <c r="L692" s="117" t="str">
        <f t="shared" si="118"/>
        <v/>
      </c>
      <c r="M692" s="117" t="str">
        <f t="shared" si="120"/>
        <v/>
      </c>
      <c r="N692" s="117" t="str">
        <f>IF(ISBLANK(INDEX('register map'!M:M,'Logical Group Generator'!C692)),"No","Yes")</f>
        <v>Yes</v>
      </c>
      <c r="O692" s="117" t="str">
        <f>IF(NOT(ISBLANK(INDEX('register map'!N:N,'Logical Group Generator'!C692))),"Yes","")</f>
        <v/>
      </c>
      <c r="P692" s="117" t="str">
        <f t="shared" si="111"/>
        <v/>
      </c>
      <c r="Q692" s="117" t="str">
        <f t="shared" si="112"/>
        <v/>
      </c>
      <c r="R692" s="117" t="str">
        <f t="shared" si="113"/>
        <v/>
      </c>
      <c r="S692" s="117" t="str">
        <f t="shared" si="114"/>
        <v>No</v>
      </c>
      <c r="T692" s="117" t="str">
        <f t="shared" si="115"/>
        <v/>
      </c>
      <c r="U692" s="117" t="b">
        <f t="shared" si="119"/>
        <v>0</v>
      </c>
      <c r="V692" s="157" t="b">
        <f>INDEX('register map'!P:P,C692)="yes"</f>
        <v>1</v>
      </c>
      <c r="W692" s="157" t="str">
        <f t="shared" si="116"/>
        <v>FALSE</v>
      </c>
    </row>
    <row r="693" spans="2:23">
      <c r="B693" s="157" t="str">
        <f t="array" ref="B693">IF(ROWS($3:693)&lt;=COUNTA('register map'!$L$5:$L$902),INDEX('register map'!$L$5:$L$902,SMALL(IF('register map'!$L$5:$L$902&lt;&gt;"",ROW('register map'!$L$5:$L$902)-MIN(ROW('register map'!$L$5:$L$902))+1),ROWS($3:693))),"")</f>
        <v>OTP_RSVD_38_4F_654</v>
      </c>
      <c r="C693" s="157">
        <f>IF(B693="PART_NUMBER",IF(COUNTIF($B$1:B692,"PART_NUMBER")=0,6,8),MATCH(B693,'register map'!L:L,0))</f>
        <v>824</v>
      </c>
      <c r="D693" s="117" t="str">
        <f>IF(ISBLANK(INDEX('register map'!C:C,'Logical Group Generator'!C693)),"No","Yes")</f>
        <v>No</v>
      </c>
      <c r="E693" s="117" t="str">
        <f>IF(ISBLANK(INDEX('register map'!A:A,C693)),IF(ISBLANK(INDEX('register map'!A:A,C693-1)),IF(ISBLANK(INDEX('register map'!A:A,C693-2)),IF(ISBLANK(INDEX('register map'!A:A,C693-3)),IF(ISBLANK(INDEX('register map'!A:A,C693-4)),IF(ISBLANK(INDEX('register map'!A:A,C693-5)),IF(ISBLANK(INDEX('register map'!A:A,C693-6)),IF(ISBLANK(INDEX('register map'!A:A,C693-7)),IF(ISBLANK(INDEX('register map'!A:A,C693-8)),"ERROR",INDEX('register map'!A:A,C693-8)),INDEX('register map'!A:A,C693-7)),INDEX('register map'!A:A,C693-6)),INDEX('register map'!A:A,C693-5)),INDEX('register map'!A:A,C693-4)),INDEX('register map'!A:A,C693-3)),INDEX('register map'!A:A,C693-2)),INDEX('register map'!A:A,C693-1)),INDEX('register map'!A:A,C693))</f>
        <v>0x38</v>
      </c>
      <c r="F693" s="117" t="str">
        <f>IF(ISBLANK(INDEX('register map'!B:B,C693)),IF(ISBLANK(INDEX('register map'!B:B,C693-1)),IF(ISBLANK(INDEX('register map'!B:B,C693-2)),IF(ISBLANK(INDEX('register map'!B:B,C693-3)),IF(ISBLANK(INDEX('register map'!B:B,C693-4)),IF(ISBLANK(INDEX('register map'!B:B,C693-5)),IF(ISBLANK(INDEX('register map'!B:B,C693-6)),IF(ISBLANK(INDEX('register map'!B:B,C693-7)),IF(ISBLANK(INDEX('register map'!B:B,C693-8)),"ERROR",INDEX('register map'!B:B,C693-8)),INDEX('register map'!B:B,C693-7)),INDEX('register map'!B:B,C693-6)),INDEX('register map'!B:B,C693-5)),INDEX('register map'!B:B,C693-4)),INDEX('register map'!B:B,C693-3)),INDEX('register map'!B:B,C693-2)),INDEX('register map'!B:B,C693-1)),INDEX('register map'!B:B,C693))</f>
        <v>0x4F</v>
      </c>
      <c r="G693" s="117" t="str">
        <f>CONCATENATE(IF(ISNUMBER(INDEX('register map'!D:D,C693)),7,""),IF(ISNUMBER(INDEX('register map'!E:E,C693)),6,""),IF(ISNUMBER(INDEX('register map'!F:F,C693)),5,""),IF(ISNUMBER(INDEX('register map'!G:G,C693)),4,""),IF(ISNUMBER(INDEX('register map'!H:H,C693)),3,""),IF(ISNUMBER(INDEX('register map'!I:I,C693)),2,""),IF(ISNUMBER(INDEX('register map'!J:J,C693)),1,""),IF(ISNUMBER(INDEX('register map'!K:K,C693)),0,""))</f>
        <v>654</v>
      </c>
      <c r="H693" s="117" t="str">
        <f>RIGHT(INDEX('register map'!V:V,MATCH('Logical Group Generator'!B693,'register map'!L:L,0)),LEN(G693))</f>
        <v>100</v>
      </c>
      <c r="I693" s="117" t="str">
        <f>CONCATENATE(IF(ISNUMBER(INDEX('register map'!K:K,C693)),0,""),IF(ISNUMBER(INDEX('register map'!J:J,C693)),1,""),IF(ISNUMBER(INDEX('register map'!I:I,C693)),2,""),IF(ISNUMBER(INDEX('register map'!H:H,C693)),3,""),IF(ISNUMBER(INDEX('register map'!G:G,C693)),4,""),IF(ISNUMBER(INDEX('register map'!F:F,C693)),5,""),IF(ISNUMBER(INDEX('register map'!E:E,C693)),6,""),IF(ISNUMBER(INDEX('register map'!D:D,C693)),7,""))</f>
        <v>456</v>
      </c>
      <c r="J693" s="117" t="str">
        <f t="shared" si="117"/>
        <v>001</v>
      </c>
      <c r="K693" s="117" t="str">
        <f t="shared" si="110"/>
        <v/>
      </c>
      <c r="L693" s="117" t="str">
        <f t="shared" si="118"/>
        <v/>
      </c>
      <c r="M693" s="117" t="str">
        <f t="shared" si="120"/>
        <v/>
      </c>
      <c r="N693" s="117" t="str">
        <f>IF(ISBLANK(INDEX('register map'!M:M,'Logical Group Generator'!C693)),"No","Yes")</f>
        <v>Yes</v>
      </c>
      <c r="O693" s="117" t="str">
        <f>IF(NOT(ISBLANK(INDEX('register map'!N:N,'Logical Group Generator'!C693))),"Yes","")</f>
        <v/>
      </c>
      <c r="P693" s="117" t="str">
        <f t="shared" si="111"/>
        <v/>
      </c>
      <c r="Q693" s="117" t="str">
        <f t="shared" si="112"/>
        <v/>
      </c>
      <c r="R693" s="117" t="str">
        <f t="shared" si="113"/>
        <v/>
      </c>
      <c r="S693" s="117" t="str">
        <f t="shared" si="114"/>
        <v>No</v>
      </c>
      <c r="T693" s="117" t="str">
        <f t="shared" si="115"/>
        <v/>
      </c>
      <c r="U693" s="117" t="b">
        <f t="shared" si="119"/>
        <v>0</v>
      </c>
      <c r="V693" s="157" t="b">
        <f>INDEX('register map'!P:P,C693)="yes"</f>
        <v>1</v>
      </c>
      <c r="W693" s="157" t="str">
        <f t="shared" si="116"/>
        <v>FALSE</v>
      </c>
    </row>
    <row r="694" spans="2:23">
      <c r="B694" s="157" t="str">
        <f t="array" ref="B694">IF(ROWS($3:694)&lt;=COUNTA('register map'!$L$5:$L$902),INDEX('register map'!$L$5:$L$902,SMALL(IF('register map'!$L$5:$L$902&lt;&gt;"",ROW('register map'!$L$5:$L$902)-MIN(ROW('register map'!$L$5:$L$902))+1),ROWS($3:694))),"")</f>
        <v>OTP_RSVD_38_4F_7</v>
      </c>
      <c r="C694" s="157">
        <f>IF(B694="PART_NUMBER",IF(COUNTIF($B$1:B693,"PART_NUMBER")=0,6,8),MATCH(B694,'register map'!L:L,0))</f>
        <v>825</v>
      </c>
      <c r="D694" s="117" t="str">
        <f>IF(ISBLANK(INDEX('register map'!C:C,'Logical Group Generator'!C694)),"No","Yes")</f>
        <v>No</v>
      </c>
      <c r="E694" s="117" t="str">
        <f>IF(ISBLANK(INDEX('register map'!A:A,C694)),IF(ISBLANK(INDEX('register map'!A:A,C694-1)),IF(ISBLANK(INDEX('register map'!A:A,C694-2)),IF(ISBLANK(INDEX('register map'!A:A,C694-3)),IF(ISBLANK(INDEX('register map'!A:A,C694-4)),IF(ISBLANK(INDEX('register map'!A:A,C694-5)),IF(ISBLANK(INDEX('register map'!A:A,C694-6)),IF(ISBLANK(INDEX('register map'!A:A,C694-7)),IF(ISBLANK(INDEX('register map'!A:A,C694-8)),"ERROR",INDEX('register map'!A:A,C694-8)),INDEX('register map'!A:A,C694-7)),INDEX('register map'!A:A,C694-6)),INDEX('register map'!A:A,C694-5)),INDEX('register map'!A:A,C694-4)),INDEX('register map'!A:A,C694-3)),INDEX('register map'!A:A,C694-2)),INDEX('register map'!A:A,C694-1)),INDEX('register map'!A:A,C694))</f>
        <v>0x38</v>
      </c>
      <c r="F694" s="117" t="str">
        <f>IF(ISBLANK(INDEX('register map'!B:B,C694)),IF(ISBLANK(INDEX('register map'!B:B,C694-1)),IF(ISBLANK(INDEX('register map'!B:B,C694-2)),IF(ISBLANK(INDEX('register map'!B:B,C694-3)),IF(ISBLANK(INDEX('register map'!B:B,C694-4)),IF(ISBLANK(INDEX('register map'!B:B,C694-5)),IF(ISBLANK(INDEX('register map'!B:B,C694-6)),IF(ISBLANK(INDEX('register map'!B:B,C694-7)),IF(ISBLANK(INDEX('register map'!B:B,C694-8)),"ERROR",INDEX('register map'!B:B,C694-8)),INDEX('register map'!B:B,C694-7)),INDEX('register map'!B:B,C694-6)),INDEX('register map'!B:B,C694-5)),INDEX('register map'!B:B,C694-4)),INDEX('register map'!B:B,C694-3)),INDEX('register map'!B:B,C694-2)),INDEX('register map'!B:B,C694-1)),INDEX('register map'!B:B,C694))</f>
        <v>0x4F</v>
      </c>
      <c r="G694" s="117" t="str">
        <f>CONCATENATE(IF(ISNUMBER(INDEX('register map'!D:D,C694)),7,""),IF(ISNUMBER(INDEX('register map'!E:E,C694)),6,""),IF(ISNUMBER(INDEX('register map'!F:F,C694)),5,""),IF(ISNUMBER(INDEX('register map'!G:G,C694)),4,""),IF(ISNUMBER(INDEX('register map'!H:H,C694)),3,""),IF(ISNUMBER(INDEX('register map'!I:I,C694)),2,""),IF(ISNUMBER(INDEX('register map'!J:J,C694)),1,""),IF(ISNUMBER(INDEX('register map'!K:K,C694)),0,""))</f>
        <v>7</v>
      </c>
      <c r="H694" s="117" t="str">
        <f>RIGHT(INDEX('register map'!V:V,MATCH('Logical Group Generator'!B694,'register map'!L:L,0)),LEN(G694))</f>
        <v>0</v>
      </c>
      <c r="I694" s="117" t="str">
        <f>CONCATENATE(IF(ISNUMBER(INDEX('register map'!K:K,C694)),0,""),IF(ISNUMBER(INDEX('register map'!J:J,C694)),1,""),IF(ISNUMBER(INDEX('register map'!I:I,C694)),2,""),IF(ISNUMBER(INDEX('register map'!H:H,C694)),3,""),IF(ISNUMBER(INDEX('register map'!G:G,C694)),4,""),IF(ISNUMBER(INDEX('register map'!F:F,C694)),5,""),IF(ISNUMBER(INDEX('register map'!E:E,C694)),6,""),IF(ISNUMBER(INDEX('register map'!D:D,C694)),7,""))</f>
        <v>7</v>
      </c>
      <c r="J694" s="117" t="str">
        <f t="shared" si="117"/>
        <v>0</v>
      </c>
      <c r="K694" s="117" t="str">
        <f t="shared" si="110"/>
        <v/>
      </c>
      <c r="L694" s="117" t="str">
        <f t="shared" si="118"/>
        <v/>
      </c>
      <c r="M694" s="117" t="str">
        <f t="shared" si="120"/>
        <v/>
      </c>
      <c r="N694" s="117" t="str">
        <f>IF(ISBLANK(INDEX('register map'!M:M,'Logical Group Generator'!C694)),"No","Yes")</f>
        <v>No</v>
      </c>
      <c r="O694" s="117" t="str">
        <f>IF(NOT(ISBLANK(INDEX('register map'!N:N,'Logical Group Generator'!C694))),"Yes","")</f>
        <v>Yes</v>
      </c>
      <c r="P694" s="117" t="str">
        <f t="shared" si="111"/>
        <v/>
      </c>
      <c r="Q694" s="117" t="str">
        <f t="shared" si="112"/>
        <v/>
      </c>
      <c r="R694" s="117" t="str">
        <f t="shared" si="113"/>
        <v/>
      </c>
      <c r="S694" s="117" t="str">
        <f t="shared" si="114"/>
        <v>No</v>
      </c>
      <c r="T694" s="117" t="str">
        <f t="shared" si="115"/>
        <v/>
      </c>
      <c r="U694" s="117" t="b">
        <f t="shared" si="119"/>
        <v>0</v>
      </c>
      <c r="V694" s="157" t="b">
        <f>INDEX('register map'!P:P,C694)="yes"</f>
        <v>1</v>
      </c>
      <c r="W694" s="157" t="str">
        <f t="shared" si="116"/>
        <v>FALSE</v>
      </c>
    </row>
    <row r="695" spans="2:23">
      <c r="B695" s="157" t="str">
        <f t="array" ref="B695">IF(ROWS($3:695)&lt;=COUNTA('register map'!$L$5:$L$902),INDEX('register map'!$L$5:$L$902,SMALL(IF('register map'!$L$5:$L$902&lt;&gt;"",ROW('register map'!$L$5:$L$902)-MIN(ROW('register map'!$L$5:$L$902))+1),ROWS($3:695))),"")</f>
        <v>OTP_RSVD_38_50</v>
      </c>
      <c r="C695" s="157">
        <f>IF(B695="PART_NUMBER",IF(COUNTIF($B$1:B694,"PART_NUMBER")=0,6,8),MATCH(B695,'register map'!L:L,0))</f>
        <v>826</v>
      </c>
      <c r="D695" s="117" t="str">
        <f>IF(ISBLANK(INDEX('register map'!C:C,'Logical Group Generator'!C695)),"No","Yes")</f>
        <v>Yes</v>
      </c>
      <c r="E695" s="117" t="str">
        <f>IF(ISBLANK(INDEX('register map'!A:A,C695)),IF(ISBLANK(INDEX('register map'!A:A,C695-1)),IF(ISBLANK(INDEX('register map'!A:A,C695-2)),IF(ISBLANK(INDEX('register map'!A:A,C695-3)),IF(ISBLANK(INDEX('register map'!A:A,C695-4)),IF(ISBLANK(INDEX('register map'!A:A,C695-5)),IF(ISBLANK(INDEX('register map'!A:A,C695-6)),IF(ISBLANK(INDEX('register map'!A:A,C695-7)),IF(ISBLANK(INDEX('register map'!A:A,C695-8)),"ERROR",INDEX('register map'!A:A,C695-8)),INDEX('register map'!A:A,C695-7)),INDEX('register map'!A:A,C695-6)),INDEX('register map'!A:A,C695-5)),INDEX('register map'!A:A,C695-4)),INDEX('register map'!A:A,C695-3)),INDEX('register map'!A:A,C695-2)),INDEX('register map'!A:A,C695-1)),INDEX('register map'!A:A,C695))</f>
        <v>0x38</v>
      </c>
      <c r="F695" s="117" t="str">
        <f>IF(ISBLANK(INDEX('register map'!B:B,C695)),IF(ISBLANK(INDEX('register map'!B:B,C695-1)),IF(ISBLANK(INDEX('register map'!B:B,C695-2)),IF(ISBLANK(INDEX('register map'!B:B,C695-3)),IF(ISBLANK(INDEX('register map'!B:B,C695-4)),IF(ISBLANK(INDEX('register map'!B:B,C695-5)),IF(ISBLANK(INDEX('register map'!B:B,C695-6)),IF(ISBLANK(INDEX('register map'!B:B,C695-7)),IF(ISBLANK(INDEX('register map'!B:B,C695-8)),"ERROR",INDEX('register map'!B:B,C695-8)),INDEX('register map'!B:B,C695-7)),INDEX('register map'!B:B,C695-6)),INDEX('register map'!B:B,C695-5)),INDEX('register map'!B:B,C695-4)),INDEX('register map'!B:B,C695-3)),INDEX('register map'!B:B,C695-2)),INDEX('register map'!B:B,C695-1)),INDEX('register map'!B:B,C695))</f>
        <v>0x50</v>
      </c>
      <c r="G695" s="117" t="str">
        <f>CONCATENATE(IF(ISNUMBER(INDEX('register map'!D:D,C695)),7,""),IF(ISNUMBER(INDEX('register map'!E:E,C695)),6,""),IF(ISNUMBER(INDEX('register map'!F:F,C695)),5,""),IF(ISNUMBER(INDEX('register map'!G:G,C695)),4,""),IF(ISNUMBER(INDEX('register map'!H:H,C695)),3,""),IF(ISNUMBER(INDEX('register map'!I:I,C695)),2,""),IF(ISNUMBER(INDEX('register map'!J:J,C695)),1,""),IF(ISNUMBER(INDEX('register map'!K:K,C695)),0,""))</f>
        <v/>
      </c>
      <c r="H695" s="117" t="str">
        <f>RIGHT(INDEX('register map'!V:V,MATCH('Logical Group Generator'!B695,'register map'!L:L,0)),LEN(G695))</f>
        <v/>
      </c>
      <c r="I695" s="117" t="str">
        <f>CONCATENATE(IF(ISNUMBER(INDEX('register map'!K:K,C695)),0,""),IF(ISNUMBER(INDEX('register map'!J:J,C695)),1,""),IF(ISNUMBER(INDEX('register map'!I:I,C695)),2,""),IF(ISNUMBER(INDEX('register map'!H:H,C695)),3,""),IF(ISNUMBER(INDEX('register map'!G:G,C695)),4,""),IF(ISNUMBER(INDEX('register map'!F:F,C695)),5,""),IF(ISNUMBER(INDEX('register map'!E:E,C695)),6,""),IF(ISNUMBER(INDEX('register map'!D:D,C695)),7,""))</f>
        <v/>
      </c>
      <c r="J695" s="117" t="str">
        <f t="shared" si="117"/>
        <v/>
      </c>
      <c r="K695" s="117" t="str">
        <f t="shared" si="110"/>
        <v>11111111</v>
      </c>
      <c r="L695" s="117" t="str">
        <f t="shared" si="118"/>
        <v>11111111</v>
      </c>
      <c r="M695" s="117" t="str">
        <f t="shared" si="120"/>
        <v>FF</v>
      </c>
      <c r="N695" s="117" t="str">
        <f>IF(ISBLANK(INDEX('register map'!M:M,'Logical Group Generator'!C695)),"No","Yes")</f>
        <v>No</v>
      </c>
      <c r="O695" s="117" t="str">
        <f>IF(NOT(ISBLANK(INDEX('register map'!N:N,'Logical Group Generator'!C695))),"Yes","")</f>
        <v/>
      </c>
      <c r="P695" s="117" t="str">
        <f t="shared" si="111"/>
        <v>Yes</v>
      </c>
      <c r="Q695" s="117" t="str">
        <f t="shared" si="112"/>
        <v>Yes</v>
      </c>
      <c r="R695" s="117" t="str">
        <f t="shared" si="113"/>
        <v>No</v>
      </c>
      <c r="S695" s="117" t="str">
        <f t="shared" si="114"/>
        <v/>
      </c>
      <c r="T695" s="117" t="b">
        <f t="shared" si="115"/>
        <v>1</v>
      </c>
      <c r="U695" s="117" t="b">
        <f t="shared" si="119"/>
        <v>0</v>
      </c>
      <c r="V695" s="157" t="b">
        <f>INDEX('register map'!P:P,C695)="yes"</f>
        <v>1</v>
      </c>
      <c r="W695" s="157" t="str">
        <f t="shared" si="116"/>
        <v>FALSE</v>
      </c>
    </row>
    <row r="696" spans="2:23">
      <c r="B696" s="157" t="str">
        <f t="array" ref="B696">IF(ROWS($3:696)&lt;=COUNTA('register map'!$L$5:$L$902),INDEX('register map'!$L$5:$L$902,SMALL(IF('register map'!$L$5:$L$902&lt;&gt;"",ROW('register map'!$L$5:$L$902)-MIN(ROW('register map'!$L$5:$L$902))+1),ROWS($3:696))),"")</f>
        <v>OTP_RSVD_38_50_10</v>
      </c>
      <c r="C696" s="157">
        <f>IF(B696="PART_NUMBER",IF(COUNTIF($B$1:B695,"PART_NUMBER")=0,6,8),MATCH(B696,'register map'!L:L,0))</f>
        <v>827</v>
      </c>
      <c r="D696" s="117" t="str">
        <f>IF(ISBLANK(INDEX('register map'!C:C,'Logical Group Generator'!C696)),"No","Yes")</f>
        <v>No</v>
      </c>
      <c r="E696" s="117" t="str">
        <f>IF(ISBLANK(INDEX('register map'!A:A,C696)),IF(ISBLANK(INDEX('register map'!A:A,C696-1)),IF(ISBLANK(INDEX('register map'!A:A,C696-2)),IF(ISBLANK(INDEX('register map'!A:A,C696-3)),IF(ISBLANK(INDEX('register map'!A:A,C696-4)),IF(ISBLANK(INDEX('register map'!A:A,C696-5)),IF(ISBLANK(INDEX('register map'!A:A,C696-6)),IF(ISBLANK(INDEX('register map'!A:A,C696-7)),IF(ISBLANK(INDEX('register map'!A:A,C696-8)),"ERROR",INDEX('register map'!A:A,C696-8)),INDEX('register map'!A:A,C696-7)),INDEX('register map'!A:A,C696-6)),INDEX('register map'!A:A,C696-5)),INDEX('register map'!A:A,C696-4)),INDEX('register map'!A:A,C696-3)),INDEX('register map'!A:A,C696-2)),INDEX('register map'!A:A,C696-1)),INDEX('register map'!A:A,C696))</f>
        <v>0x38</v>
      </c>
      <c r="F696" s="117" t="str">
        <f>IF(ISBLANK(INDEX('register map'!B:B,C696)),IF(ISBLANK(INDEX('register map'!B:B,C696-1)),IF(ISBLANK(INDEX('register map'!B:B,C696-2)),IF(ISBLANK(INDEX('register map'!B:B,C696-3)),IF(ISBLANK(INDEX('register map'!B:B,C696-4)),IF(ISBLANK(INDEX('register map'!B:B,C696-5)),IF(ISBLANK(INDEX('register map'!B:B,C696-6)),IF(ISBLANK(INDEX('register map'!B:B,C696-7)),IF(ISBLANK(INDEX('register map'!B:B,C696-8)),"ERROR",INDEX('register map'!B:B,C696-8)),INDEX('register map'!B:B,C696-7)),INDEX('register map'!B:B,C696-6)),INDEX('register map'!B:B,C696-5)),INDEX('register map'!B:B,C696-4)),INDEX('register map'!B:B,C696-3)),INDEX('register map'!B:B,C696-2)),INDEX('register map'!B:B,C696-1)),INDEX('register map'!B:B,C696))</f>
        <v>0x50</v>
      </c>
      <c r="G696" s="117" t="str">
        <f>CONCATENATE(IF(ISNUMBER(INDEX('register map'!D:D,C696)),7,""),IF(ISNUMBER(INDEX('register map'!E:E,C696)),6,""),IF(ISNUMBER(INDEX('register map'!F:F,C696)),5,""),IF(ISNUMBER(INDEX('register map'!G:G,C696)),4,""),IF(ISNUMBER(INDEX('register map'!H:H,C696)),3,""),IF(ISNUMBER(INDEX('register map'!I:I,C696)),2,""),IF(ISNUMBER(INDEX('register map'!J:J,C696)),1,""),IF(ISNUMBER(INDEX('register map'!K:K,C696)),0,""))</f>
        <v>10</v>
      </c>
      <c r="H696" s="117" t="str">
        <f>RIGHT(INDEX('register map'!V:V,MATCH('Logical Group Generator'!B696,'register map'!L:L,0)),LEN(G696))</f>
        <v>11</v>
      </c>
      <c r="I696" s="117" t="str">
        <f>CONCATENATE(IF(ISNUMBER(INDEX('register map'!K:K,C696)),0,""),IF(ISNUMBER(INDEX('register map'!J:J,C696)),1,""),IF(ISNUMBER(INDEX('register map'!I:I,C696)),2,""),IF(ISNUMBER(INDEX('register map'!H:H,C696)),3,""),IF(ISNUMBER(INDEX('register map'!G:G,C696)),4,""),IF(ISNUMBER(INDEX('register map'!F:F,C696)),5,""),IF(ISNUMBER(INDEX('register map'!E:E,C696)),6,""),IF(ISNUMBER(INDEX('register map'!D:D,C696)),7,""))</f>
        <v>01</v>
      </c>
      <c r="J696" s="117" t="str">
        <f t="shared" si="117"/>
        <v>11</v>
      </c>
      <c r="K696" s="117" t="str">
        <f t="shared" si="110"/>
        <v/>
      </c>
      <c r="L696" s="117" t="str">
        <f t="shared" si="118"/>
        <v/>
      </c>
      <c r="M696" s="117" t="str">
        <f t="shared" si="120"/>
        <v/>
      </c>
      <c r="N696" s="117" t="str">
        <f>IF(ISBLANK(INDEX('register map'!M:M,'Logical Group Generator'!C696)),"No","Yes")</f>
        <v>Yes</v>
      </c>
      <c r="O696" s="117" t="str">
        <f>IF(NOT(ISBLANK(INDEX('register map'!N:N,'Logical Group Generator'!C696))),"Yes","")</f>
        <v/>
      </c>
      <c r="P696" s="117" t="str">
        <f t="shared" si="111"/>
        <v/>
      </c>
      <c r="Q696" s="117" t="str">
        <f t="shared" si="112"/>
        <v/>
      </c>
      <c r="R696" s="117" t="str">
        <f t="shared" si="113"/>
        <v/>
      </c>
      <c r="S696" s="117" t="str">
        <f t="shared" si="114"/>
        <v>No</v>
      </c>
      <c r="T696" s="117" t="str">
        <f t="shared" si="115"/>
        <v/>
      </c>
      <c r="U696" s="117" t="b">
        <f t="shared" si="119"/>
        <v>0</v>
      </c>
      <c r="V696" s="157" t="b">
        <f>INDEX('register map'!P:P,C696)="yes"</f>
        <v>1</v>
      </c>
      <c r="W696" s="157" t="str">
        <f t="shared" si="116"/>
        <v>FALSE</v>
      </c>
    </row>
    <row r="697" spans="2:23">
      <c r="B697" s="157" t="str">
        <f t="array" ref="B697">IF(ROWS($3:697)&lt;=COUNTA('register map'!$L$5:$L$902),INDEX('register map'!$L$5:$L$902,SMALL(IF('register map'!$L$5:$L$902&lt;&gt;"",ROW('register map'!$L$5:$L$902)-MIN(ROW('register map'!$L$5:$L$902))+1),ROWS($3:697))),"")</f>
        <v>OTP_RSVD_38_50_32</v>
      </c>
      <c r="C697" s="157">
        <f>IF(B697="PART_NUMBER",IF(COUNTIF($B$1:B696,"PART_NUMBER")=0,6,8),MATCH(B697,'register map'!L:L,0))</f>
        <v>828</v>
      </c>
      <c r="D697" s="117" t="str">
        <f>IF(ISBLANK(INDEX('register map'!C:C,'Logical Group Generator'!C697)),"No","Yes")</f>
        <v>No</v>
      </c>
      <c r="E697" s="117" t="str">
        <f>IF(ISBLANK(INDEX('register map'!A:A,C697)),IF(ISBLANK(INDEX('register map'!A:A,C697-1)),IF(ISBLANK(INDEX('register map'!A:A,C697-2)),IF(ISBLANK(INDEX('register map'!A:A,C697-3)),IF(ISBLANK(INDEX('register map'!A:A,C697-4)),IF(ISBLANK(INDEX('register map'!A:A,C697-5)),IF(ISBLANK(INDEX('register map'!A:A,C697-6)),IF(ISBLANK(INDEX('register map'!A:A,C697-7)),IF(ISBLANK(INDEX('register map'!A:A,C697-8)),"ERROR",INDEX('register map'!A:A,C697-8)),INDEX('register map'!A:A,C697-7)),INDEX('register map'!A:A,C697-6)),INDEX('register map'!A:A,C697-5)),INDEX('register map'!A:A,C697-4)),INDEX('register map'!A:A,C697-3)),INDEX('register map'!A:A,C697-2)),INDEX('register map'!A:A,C697-1)),INDEX('register map'!A:A,C697))</f>
        <v>0x38</v>
      </c>
      <c r="F697" s="117" t="str">
        <f>IF(ISBLANK(INDEX('register map'!B:B,C697)),IF(ISBLANK(INDEX('register map'!B:B,C697-1)),IF(ISBLANK(INDEX('register map'!B:B,C697-2)),IF(ISBLANK(INDEX('register map'!B:B,C697-3)),IF(ISBLANK(INDEX('register map'!B:B,C697-4)),IF(ISBLANK(INDEX('register map'!B:B,C697-5)),IF(ISBLANK(INDEX('register map'!B:B,C697-6)),IF(ISBLANK(INDEX('register map'!B:B,C697-7)),IF(ISBLANK(INDEX('register map'!B:B,C697-8)),"ERROR",INDEX('register map'!B:B,C697-8)),INDEX('register map'!B:B,C697-7)),INDEX('register map'!B:B,C697-6)),INDEX('register map'!B:B,C697-5)),INDEX('register map'!B:B,C697-4)),INDEX('register map'!B:B,C697-3)),INDEX('register map'!B:B,C697-2)),INDEX('register map'!B:B,C697-1)),INDEX('register map'!B:B,C697))</f>
        <v>0x50</v>
      </c>
      <c r="G697" s="117" t="str">
        <f>CONCATENATE(IF(ISNUMBER(INDEX('register map'!D:D,C697)),7,""),IF(ISNUMBER(INDEX('register map'!E:E,C697)),6,""),IF(ISNUMBER(INDEX('register map'!F:F,C697)),5,""),IF(ISNUMBER(INDEX('register map'!G:G,C697)),4,""),IF(ISNUMBER(INDEX('register map'!H:H,C697)),3,""),IF(ISNUMBER(INDEX('register map'!I:I,C697)),2,""),IF(ISNUMBER(INDEX('register map'!J:J,C697)),1,""),IF(ISNUMBER(INDEX('register map'!K:K,C697)),0,""))</f>
        <v>32</v>
      </c>
      <c r="H697" s="117" t="str">
        <f>RIGHT(INDEX('register map'!V:V,MATCH('Logical Group Generator'!B697,'register map'!L:L,0)),LEN(G697))</f>
        <v>11</v>
      </c>
      <c r="I697" s="117" t="str">
        <f>CONCATENATE(IF(ISNUMBER(INDEX('register map'!K:K,C697)),0,""),IF(ISNUMBER(INDEX('register map'!J:J,C697)),1,""),IF(ISNUMBER(INDEX('register map'!I:I,C697)),2,""),IF(ISNUMBER(INDEX('register map'!H:H,C697)),3,""),IF(ISNUMBER(INDEX('register map'!G:G,C697)),4,""),IF(ISNUMBER(INDEX('register map'!F:F,C697)),5,""),IF(ISNUMBER(INDEX('register map'!E:E,C697)),6,""),IF(ISNUMBER(INDEX('register map'!D:D,C697)),7,""))</f>
        <v>23</v>
      </c>
      <c r="J697" s="117" t="str">
        <f t="shared" si="117"/>
        <v>11</v>
      </c>
      <c r="K697" s="117" t="str">
        <f t="shared" si="110"/>
        <v/>
      </c>
      <c r="L697" s="117" t="str">
        <f t="shared" si="118"/>
        <v/>
      </c>
      <c r="M697" s="117" t="str">
        <f t="shared" si="120"/>
        <v/>
      </c>
      <c r="N697" s="117" t="str">
        <f>IF(ISBLANK(INDEX('register map'!M:M,'Logical Group Generator'!C697)),"No","Yes")</f>
        <v>Yes</v>
      </c>
      <c r="O697" s="117" t="str">
        <f>IF(NOT(ISBLANK(INDEX('register map'!N:N,'Logical Group Generator'!C697))),"Yes","")</f>
        <v/>
      </c>
      <c r="P697" s="117" t="str">
        <f t="shared" si="111"/>
        <v/>
      </c>
      <c r="Q697" s="117" t="str">
        <f t="shared" si="112"/>
        <v/>
      </c>
      <c r="R697" s="117" t="str">
        <f t="shared" si="113"/>
        <v/>
      </c>
      <c r="S697" s="117" t="str">
        <f t="shared" si="114"/>
        <v>No</v>
      </c>
      <c r="T697" s="117" t="str">
        <f t="shared" si="115"/>
        <v/>
      </c>
      <c r="U697" s="117" t="b">
        <f t="shared" si="119"/>
        <v>0</v>
      </c>
      <c r="V697" s="157" t="b">
        <f>INDEX('register map'!P:P,C697)="yes"</f>
        <v>1</v>
      </c>
      <c r="W697" s="157" t="str">
        <f t="shared" si="116"/>
        <v>FALSE</v>
      </c>
    </row>
    <row r="698" spans="2:23">
      <c r="B698" s="157" t="str">
        <f t="array" ref="B698">IF(ROWS($3:698)&lt;=COUNTA('register map'!$L$5:$L$902),INDEX('register map'!$L$5:$L$902,SMALL(IF('register map'!$L$5:$L$902&lt;&gt;"",ROW('register map'!$L$5:$L$902)-MIN(ROW('register map'!$L$5:$L$902))+1),ROWS($3:698))),"")</f>
        <v>OTP_RSVD_38_50_54</v>
      </c>
      <c r="C698" s="157">
        <f>IF(B698="PART_NUMBER",IF(COUNTIF($B$1:B697,"PART_NUMBER")=0,6,8),MATCH(B698,'register map'!L:L,0))</f>
        <v>829</v>
      </c>
      <c r="D698" s="117" t="str">
        <f>IF(ISBLANK(INDEX('register map'!C:C,'Logical Group Generator'!C698)),"No","Yes")</f>
        <v>No</v>
      </c>
      <c r="E698" s="117" t="str">
        <f>IF(ISBLANK(INDEX('register map'!A:A,C698)),IF(ISBLANK(INDEX('register map'!A:A,C698-1)),IF(ISBLANK(INDEX('register map'!A:A,C698-2)),IF(ISBLANK(INDEX('register map'!A:A,C698-3)),IF(ISBLANK(INDEX('register map'!A:A,C698-4)),IF(ISBLANK(INDEX('register map'!A:A,C698-5)),IF(ISBLANK(INDEX('register map'!A:A,C698-6)),IF(ISBLANK(INDEX('register map'!A:A,C698-7)),IF(ISBLANK(INDEX('register map'!A:A,C698-8)),"ERROR",INDEX('register map'!A:A,C698-8)),INDEX('register map'!A:A,C698-7)),INDEX('register map'!A:A,C698-6)),INDEX('register map'!A:A,C698-5)),INDEX('register map'!A:A,C698-4)),INDEX('register map'!A:A,C698-3)),INDEX('register map'!A:A,C698-2)),INDEX('register map'!A:A,C698-1)),INDEX('register map'!A:A,C698))</f>
        <v>0x38</v>
      </c>
      <c r="F698" s="117" t="str">
        <f>IF(ISBLANK(INDEX('register map'!B:B,C698)),IF(ISBLANK(INDEX('register map'!B:B,C698-1)),IF(ISBLANK(INDEX('register map'!B:B,C698-2)),IF(ISBLANK(INDEX('register map'!B:B,C698-3)),IF(ISBLANK(INDEX('register map'!B:B,C698-4)),IF(ISBLANK(INDEX('register map'!B:B,C698-5)),IF(ISBLANK(INDEX('register map'!B:B,C698-6)),IF(ISBLANK(INDEX('register map'!B:B,C698-7)),IF(ISBLANK(INDEX('register map'!B:B,C698-8)),"ERROR",INDEX('register map'!B:B,C698-8)),INDEX('register map'!B:B,C698-7)),INDEX('register map'!B:B,C698-6)),INDEX('register map'!B:B,C698-5)),INDEX('register map'!B:B,C698-4)),INDEX('register map'!B:B,C698-3)),INDEX('register map'!B:B,C698-2)),INDEX('register map'!B:B,C698-1)),INDEX('register map'!B:B,C698))</f>
        <v>0x50</v>
      </c>
      <c r="G698" s="117" t="str">
        <f>CONCATENATE(IF(ISNUMBER(INDEX('register map'!D:D,C698)),7,""),IF(ISNUMBER(INDEX('register map'!E:E,C698)),6,""),IF(ISNUMBER(INDEX('register map'!F:F,C698)),5,""),IF(ISNUMBER(INDEX('register map'!G:G,C698)),4,""),IF(ISNUMBER(INDEX('register map'!H:H,C698)),3,""),IF(ISNUMBER(INDEX('register map'!I:I,C698)),2,""),IF(ISNUMBER(INDEX('register map'!J:J,C698)),1,""),IF(ISNUMBER(INDEX('register map'!K:K,C698)),0,""))</f>
        <v>54</v>
      </c>
      <c r="H698" s="117" t="str">
        <f>RIGHT(INDEX('register map'!V:V,MATCH('Logical Group Generator'!B698,'register map'!L:L,0)),LEN(G698))</f>
        <v>11</v>
      </c>
      <c r="I698" s="117" t="str">
        <f>CONCATENATE(IF(ISNUMBER(INDEX('register map'!K:K,C698)),0,""),IF(ISNUMBER(INDEX('register map'!J:J,C698)),1,""),IF(ISNUMBER(INDEX('register map'!I:I,C698)),2,""),IF(ISNUMBER(INDEX('register map'!H:H,C698)),3,""),IF(ISNUMBER(INDEX('register map'!G:G,C698)),4,""),IF(ISNUMBER(INDEX('register map'!F:F,C698)),5,""),IF(ISNUMBER(INDEX('register map'!E:E,C698)),6,""),IF(ISNUMBER(INDEX('register map'!D:D,C698)),7,""))</f>
        <v>45</v>
      </c>
      <c r="J698" s="117" t="str">
        <f t="shared" si="117"/>
        <v>11</v>
      </c>
      <c r="K698" s="117" t="str">
        <f t="shared" si="110"/>
        <v/>
      </c>
      <c r="L698" s="117" t="str">
        <f t="shared" si="118"/>
        <v/>
      </c>
      <c r="M698" s="117" t="str">
        <f t="shared" si="120"/>
        <v/>
      </c>
      <c r="N698" s="117" t="str">
        <f>IF(ISBLANK(INDEX('register map'!M:M,'Logical Group Generator'!C698)),"No","Yes")</f>
        <v>Yes</v>
      </c>
      <c r="O698" s="117" t="str">
        <f>IF(NOT(ISBLANK(INDEX('register map'!N:N,'Logical Group Generator'!C698))),"Yes","")</f>
        <v/>
      </c>
      <c r="P698" s="117" t="str">
        <f t="shared" si="111"/>
        <v/>
      </c>
      <c r="Q698" s="117" t="str">
        <f t="shared" si="112"/>
        <v/>
      </c>
      <c r="R698" s="117" t="str">
        <f t="shared" si="113"/>
        <v/>
      </c>
      <c r="S698" s="117" t="str">
        <f t="shared" si="114"/>
        <v>No</v>
      </c>
      <c r="T698" s="117" t="str">
        <f t="shared" si="115"/>
        <v/>
      </c>
      <c r="U698" s="117" t="b">
        <f t="shared" si="119"/>
        <v>0</v>
      </c>
      <c r="V698" s="157" t="b">
        <f>INDEX('register map'!P:P,C698)="yes"</f>
        <v>1</v>
      </c>
      <c r="W698" s="157" t="str">
        <f t="shared" si="116"/>
        <v>FALSE</v>
      </c>
    </row>
    <row r="699" spans="2:23">
      <c r="B699" s="157" t="str">
        <f t="array" ref="B699">IF(ROWS($3:699)&lt;=COUNTA('register map'!$L$5:$L$902),INDEX('register map'!$L$5:$L$902,SMALL(IF('register map'!$L$5:$L$902&lt;&gt;"",ROW('register map'!$L$5:$L$902)-MIN(ROW('register map'!$L$5:$L$902))+1),ROWS($3:699))),"")</f>
        <v>OTP_RSVD_38_50_76</v>
      </c>
      <c r="C699" s="157">
        <f>IF(B699="PART_NUMBER",IF(COUNTIF($B$1:B698,"PART_NUMBER")=0,6,8),MATCH(B699,'register map'!L:L,0))</f>
        <v>830</v>
      </c>
      <c r="D699" s="117" t="str">
        <f>IF(ISBLANK(INDEX('register map'!C:C,'Logical Group Generator'!C699)),"No","Yes")</f>
        <v>No</v>
      </c>
      <c r="E699" s="117" t="str">
        <f>IF(ISBLANK(INDEX('register map'!A:A,C699)),IF(ISBLANK(INDEX('register map'!A:A,C699-1)),IF(ISBLANK(INDEX('register map'!A:A,C699-2)),IF(ISBLANK(INDEX('register map'!A:A,C699-3)),IF(ISBLANK(INDEX('register map'!A:A,C699-4)),IF(ISBLANK(INDEX('register map'!A:A,C699-5)),IF(ISBLANK(INDEX('register map'!A:A,C699-6)),IF(ISBLANK(INDEX('register map'!A:A,C699-7)),IF(ISBLANK(INDEX('register map'!A:A,C699-8)),"ERROR",INDEX('register map'!A:A,C699-8)),INDEX('register map'!A:A,C699-7)),INDEX('register map'!A:A,C699-6)),INDEX('register map'!A:A,C699-5)),INDEX('register map'!A:A,C699-4)),INDEX('register map'!A:A,C699-3)),INDEX('register map'!A:A,C699-2)),INDEX('register map'!A:A,C699-1)),INDEX('register map'!A:A,C699))</f>
        <v>0x38</v>
      </c>
      <c r="F699" s="117" t="str">
        <f>IF(ISBLANK(INDEX('register map'!B:B,C699)),IF(ISBLANK(INDEX('register map'!B:B,C699-1)),IF(ISBLANK(INDEX('register map'!B:B,C699-2)),IF(ISBLANK(INDEX('register map'!B:B,C699-3)),IF(ISBLANK(INDEX('register map'!B:B,C699-4)),IF(ISBLANK(INDEX('register map'!B:B,C699-5)),IF(ISBLANK(INDEX('register map'!B:B,C699-6)),IF(ISBLANK(INDEX('register map'!B:B,C699-7)),IF(ISBLANK(INDEX('register map'!B:B,C699-8)),"ERROR",INDEX('register map'!B:B,C699-8)),INDEX('register map'!B:B,C699-7)),INDEX('register map'!B:B,C699-6)),INDEX('register map'!B:B,C699-5)),INDEX('register map'!B:B,C699-4)),INDEX('register map'!B:B,C699-3)),INDEX('register map'!B:B,C699-2)),INDEX('register map'!B:B,C699-1)),INDEX('register map'!B:B,C699))</f>
        <v>0x50</v>
      </c>
      <c r="G699" s="117" t="str">
        <f>CONCATENATE(IF(ISNUMBER(INDEX('register map'!D:D,C699)),7,""),IF(ISNUMBER(INDEX('register map'!E:E,C699)),6,""),IF(ISNUMBER(INDEX('register map'!F:F,C699)),5,""),IF(ISNUMBER(INDEX('register map'!G:G,C699)),4,""),IF(ISNUMBER(INDEX('register map'!H:H,C699)),3,""),IF(ISNUMBER(INDEX('register map'!I:I,C699)),2,""),IF(ISNUMBER(INDEX('register map'!J:J,C699)),1,""),IF(ISNUMBER(INDEX('register map'!K:K,C699)),0,""))</f>
        <v>76</v>
      </c>
      <c r="H699" s="117" t="str">
        <f>RIGHT(INDEX('register map'!V:V,MATCH('Logical Group Generator'!B699,'register map'!L:L,0)),LEN(G699))</f>
        <v>11</v>
      </c>
      <c r="I699" s="117" t="str">
        <f>CONCATENATE(IF(ISNUMBER(INDEX('register map'!K:K,C699)),0,""),IF(ISNUMBER(INDEX('register map'!J:J,C699)),1,""),IF(ISNUMBER(INDEX('register map'!I:I,C699)),2,""),IF(ISNUMBER(INDEX('register map'!H:H,C699)),3,""),IF(ISNUMBER(INDEX('register map'!G:G,C699)),4,""),IF(ISNUMBER(INDEX('register map'!F:F,C699)),5,""),IF(ISNUMBER(INDEX('register map'!E:E,C699)),6,""),IF(ISNUMBER(INDEX('register map'!D:D,C699)),7,""))</f>
        <v>67</v>
      </c>
      <c r="J699" s="117" t="str">
        <f t="shared" si="117"/>
        <v>11</v>
      </c>
      <c r="K699" s="117" t="str">
        <f t="shared" si="110"/>
        <v/>
      </c>
      <c r="L699" s="117" t="str">
        <f t="shared" si="118"/>
        <v/>
      </c>
      <c r="M699" s="117" t="str">
        <f t="shared" si="120"/>
        <v/>
      </c>
      <c r="N699" s="117" t="str">
        <f>IF(ISBLANK(INDEX('register map'!M:M,'Logical Group Generator'!C699)),"No","Yes")</f>
        <v>Yes</v>
      </c>
      <c r="O699" s="117" t="str">
        <f>IF(NOT(ISBLANK(INDEX('register map'!N:N,'Logical Group Generator'!C699))),"Yes","")</f>
        <v/>
      </c>
      <c r="P699" s="117" t="str">
        <f t="shared" si="111"/>
        <v/>
      </c>
      <c r="Q699" s="117" t="str">
        <f t="shared" si="112"/>
        <v/>
      </c>
      <c r="R699" s="117" t="str">
        <f t="shared" si="113"/>
        <v/>
      </c>
      <c r="S699" s="117" t="str">
        <f t="shared" si="114"/>
        <v>No</v>
      </c>
      <c r="T699" s="117" t="str">
        <f t="shared" si="115"/>
        <v/>
      </c>
      <c r="U699" s="117" t="b">
        <f t="shared" si="119"/>
        <v>0</v>
      </c>
      <c r="V699" s="157" t="b">
        <f>INDEX('register map'!P:P,C699)="yes"</f>
        <v>1</v>
      </c>
      <c r="W699" s="157" t="str">
        <f t="shared" si="116"/>
        <v>FALSE</v>
      </c>
    </row>
    <row r="700" spans="2:23">
      <c r="B700" s="157" t="str">
        <f t="array" ref="B700">IF(ROWS($3:700)&lt;=COUNTA('register map'!$L$5:$L$902),INDEX('register map'!$L$5:$L$902,SMALL(IF('register map'!$L$5:$L$902&lt;&gt;"",ROW('register map'!$L$5:$L$902)-MIN(ROW('register map'!$L$5:$L$902))+1),ROWS($3:700))),"")</f>
        <v>OTP_RSVD_38_52</v>
      </c>
      <c r="C700" s="157">
        <f>IF(B700="PART_NUMBER",IF(COUNTIF($B$1:B699,"PART_NUMBER")=0,6,8),MATCH(B700,'register map'!L:L,0))</f>
        <v>837</v>
      </c>
      <c r="D700" s="117" t="str">
        <f>IF(ISBLANK(INDEX('register map'!C:C,'Logical Group Generator'!C700)),"No","Yes")</f>
        <v>Yes</v>
      </c>
      <c r="E700" s="117" t="str">
        <f>IF(ISBLANK(INDEX('register map'!A:A,C700)),IF(ISBLANK(INDEX('register map'!A:A,C700-1)),IF(ISBLANK(INDEX('register map'!A:A,C700-2)),IF(ISBLANK(INDEX('register map'!A:A,C700-3)),IF(ISBLANK(INDEX('register map'!A:A,C700-4)),IF(ISBLANK(INDEX('register map'!A:A,C700-5)),IF(ISBLANK(INDEX('register map'!A:A,C700-6)),IF(ISBLANK(INDEX('register map'!A:A,C700-7)),IF(ISBLANK(INDEX('register map'!A:A,C700-8)),"ERROR",INDEX('register map'!A:A,C700-8)),INDEX('register map'!A:A,C700-7)),INDEX('register map'!A:A,C700-6)),INDEX('register map'!A:A,C700-5)),INDEX('register map'!A:A,C700-4)),INDEX('register map'!A:A,C700-3)),INDEX('register map'!A:A,C700-2)),INDEX('register map'!A:A,C700-1)),INDEX('register map'!A:A,C700))</f>
        <v>0x38</v>
      </c>
      <c r="F700" s="117" t="str">
        <f>IF(ISBLANK(INDEX('register map'!B:B,C700)),IF(ISBLANK(INDEX('register map'!B:B,C700-1)),IF(ISBLANK(INDEX('register map'!B:B,C700-2)),IF(ISBLANK(INDEX('register map'!B:B,C700-3)),IF(ISBLANK(INDEX('register map'!B:B,C700-4)),IF(ISBLANK(INDEX('register map'!B:B,C700-5)),IF(ISBLANK(INDEX('register map'!B:B,C700-6)),IF(ISBLANK(INDEX('register map'!B:B,C700-7)),IF(ISBLANK(INDEX('register map'!B:B,C700-8)),"ERROR",INDEX('register map'!B:B,C700-8)),INDEX('register map'!B:B,C700-7)),INDEX('register map'!B:B,C700-6)),INDEX('register map'!B:B,C700-5)),INDEX('register map'!B:B,C700-4)),INDEX('register map'!B:B,C700-3)),INDEX('register map'!B:B,C700-2)),INDEX('register map'!B:B,C700-1)),INDEX('register map'!B:B,C700))</f>
        <v>0x52</v>
      </c>
      <c r="G700" s="117" t="str">
        <f>CONCATENATE(IF(ISNUMBER(INDEX('register map'!D:D,C700)),7,""),IF(ISNUMBER(INDEX('register map'!E:E,C700)),6,""),IF(ISNUMBER(INDEX('register map'!F:F,C700)),5,""),IF(ISNUMBER(INDEX('register map'!G:G,C700)),4,""),IF(ISNUMBER(INDEX('register map'!H:H,C700)),3,""),IF(ISNUMBER(INDEX('register map'!I:I,C700)),2,""),IF(ISNUMBER(INDEX('register map'!J:J,C700)),1,""),IF(ISNUMBER(INDEX('register map'!K:K,C700)),0,""))</f>
        <v/>
      </c>
      <c r="H700" s="117" t="str">
        <f>RIGHT(INDEX('register map'!V:V,MATCH('Logical Group Generator'!B700,'register map'!L:L,0)),LEN(G700))</f>
        <v/>
      </c>
      <c r="I700" s="117" t="str">
        <f>CONCATENATE(IF(ISNUMBER(INDEX('register map'!K:K,C700)),0,""),IF(ISNUMBER(INDEX('register map'!J:J,C700)),1,""),IF(ISNUMBER(INDEX('register map'!I:I,C700)),2,""),IF(ISNUMBER(INDEX('register map'!H:H,C700)),3,""),IF(ISNUMBER(INDEX('register map'!G:G,C700)),4,""),IF(ISNUMBER(INDEX('register map'!F:F,C700)),5,""),IF(ISNUMBER(INDEX('register map'!E:E,C700)),6,""),IF(ISNUMBER(INDEX('register map'!D:D,C700)),7,""))</f>
        <v/>
      </c>
      <c r="J700" s="117" t="str">
        <f t="shared" si="117"/>
        <v/>
      </c>
      <c r="K700" s="117" t="str">
        <f t="shared" si="110"/>
        <v>00010010</v>
      </c>
      <c r="L700" s="117" t="str">
        <f t="shared" si="118"/>
        <v>01001000</v>
      </c>
      <c r="M700" s="117" t="str">
        <f t="shared" si="120"/>
        <v>48</v>
      </c>
      <c r="N700" s="117" t="str">
        <f>IF(ISBLANK(INDEX('register map'!M:M,'Logical Group Generator'!C700)),"No","Yes")</f>
        <v>No</v>
      </c>
      <c r="O700" s="117" t="str">
        <f>IF(NOT(ISBLANK(INDEX('register map'!N:N,'Logical Group Generator'!C700))),"Yes","")</f>
        <v/>
      </c>
      <c r="P700" s="117" t="str">
        <f t="shared" si="111"/>
        <v>Yes</v>
      </c>
      <c r="Q700" s="117" t="str">
        <f t="shared" si="112"/>
        <v>Yes</v>
      </c>
      <c r="R700" s="117" t="str">
        <f t="shared" si="113"/>
        <v>No</v>
      </c>
      <c r="S700" s="117" t="str">
        <f t="shared" si="114"/>
        <v/>
      </c>
      <c r="T700" s="117" t="b">
        <f t="shared" si="115"/>
        <v>1</v>
      </c>
      <c r="U700" s="117" t="b">
        <f t="shared" si="119"/>
        <v>0</v>
      </c>
      <c r="V700" s="157" t="b">
        <f>INDEX('register map'!P:P,C700)="yes"</f>
        <v>1</v>
      </c>
      <c r="W700" s="157" t="str">
        <f t="shared" si="116"/>
        <v>FALSE</v>
      </c>
    </row>
    <row r="701" spans="2:23">
      <c r="B701" s="157" t="str">
        <f t="array" ref="B701">IF(ROWS($3:701)&lt;=COUNTA('register map'!$L$5:$L$902),INDEX('register map'!$L$5:$L$902,SMALL(IF('register map'!$L$5:$L$902&lt;&gt;"",ROW('register map'!$L$5:$L$902)-MIN(ROW('register map'!$L$5:$L$902))+1),ROWS($3:701))),"")</f>
        <v>OTP_RSVD_38_52_3210</v>
      </c>
      <c r="C701" s="157">
        <f>IF(B701="PART_NUMBER",IF(COUNTIF($B$1:B700,"PART_NUMBER")=0,6,8),MATCH(B701,'register map'!L:L,0))</f>
        <v>838</v>
      </c>
      <c r="D701" s="117" t="str">
        <f>IF(ISBLANK(INDEX('register map'!C:C,'Logical Group Generator'!C701)),"No","Yes")</f>
        <v>No</v>
      </c>
      <c r="E701" s="117" t="str">
        <f>IF(ISBLANK(INDEX('register map'!A:A,C701)),IF(ISBLANK(INDEX('register map'!A:A,C701-1)),IF(ISBLANK(INDEX('register map'!A:A,C701-2)),IF(ISBLANK(INDEX('register map'!A:A,C701-3)),IF(ISBLANK(INDEX('register map'!A:A,C701-4)),IF(ISBLANK(INDEX('register map'!A:A,C701-5)),IF(ISBLANK(INDEX('register map'!A:A,C701-6)),IF(ISBLANK(INDEX('register map'!A:A,C701-7)),IF(ISBLANK(INDEX('register map'!A:A,C701-8)),"ERROR",INDEX('register map'!A:A,C701-8)),INDEX('register map'!A:A,C701-7)),INDEX('register map'!A:A,C701-6)),INDEX('register map'!A:A,C701-5)),INDEX('register map'!A:A,C701-4)),INDEX('register map'!A:A,C701-3)),INDEX('register map'!A:A,C701-2)),INDEX('register map'!A:A,C701-1)),INDEX('register map'!A:A,C701))</f>
        <v>0x38</v>
      </c>
      <c r="F701" s="117" t="str">
        <f>IF(ISBLANK(INDEX('register map'!B:B,C701)),IF(ISBLANK(INDEX('register map'!B:B,C701-1)),IF(ISBLANK(INDEX('register map'!B:B,C701-2)),IF(ISBLANK(INDEX('register map'!B:B,C701-3)),IF(ISBLANK(INDEX('register map'!B:B,C701-4)),IF(ISBLANK(INDEX('register map'!B:B,C701-5)),IF(ISBLANK(INDEX('register map'!B:B,C701-6)),IF(ISBLANK(INDEX('register map'!B:B,C701-7)),IF(ISBLANK(INDEX('register map'!B:B,C701-8)),"ERROR",INDEX('register map'!B:B,C701-8)),INDEX('register map'!B:B,C701-7)),INDEX('register map'!B:B,C701-6)),INDEX('register map'!B:B,C701-5)),INDEX('register map'!B:B,C701-4)),INDEX('register map'!B:B,C701-3)),INDEX('register map'!B:B,C701-2)),INDEX('register map'!B:B,C701-1)),INDEX('register map'!B:B,C701))</f>
        <v>0x52</v>
      </c>
      <c r="G701" s="117" t="str">
        <f>CONCATENATE(IF(ISNUMBER(INDEX('register map'!D:D,C701)),7,""),IF(ISNUMBER(INDEX('register map'!E:E,C701)),6,""),IF(ISNUMBER(INDEX('register map'!F:F,C701)),5,""),IF(ISNUMBER(INDEX('register map'!G:G,C701)),4,""),IF(ISNUMBER(INDEX('register map'!H:H,C701)),3,""),IF(ISNUMBER(INDEX('register map'!I:I,C701)),2,""),IF(ISNUMBER(INDEX('register map'!J:J,C701)),1,""),IF(ISNUMBER(INDEX('register map'!K:K,C701)),0,""))</f>
        <v>3210</v>
      </c>
      <c r="H701" s="117" t="str">
        <f>RIGHT(INDEX('register map'!V:V,MATCH('Logical Group Generator'!B701,'register map'!L:L,0)),LEN(G701))</f>
        <v>1000</v>
      </c>
      <c r="I701" s="117" t="str">
        <f>CONCATENATE(IF(ISNUMBER(INDEX('register map'!K:K,C701)),0,""),IF(ISNUMBER(INDEX('register map'!J:J,C701)),1,""),IF(ISNUMBER(INDEX('register map'!I:I,C701)),2,""),IF(ISNUMBER(INDEX('register map'!H:H,C701)),3,""),IF(ISNUMBER(INDEX('register map'!G:G,C701)),4,""),IF(ISNUMBER(INDEX('register map'!F:F,C701)),5,""),IF(ISNUMBER(INDEX('register map'!E:E,C701)),6,""),IF(ISNUMBER(INDEX('register map'!D:D,C701)),7,""))</f>
        <v>0123</v>
      </c>
      <c r="J701" s="117" t="str">
        <f t="shared" si="117"/>
        <v>0001</v>
      </c>
      <c r="K701" s="117" t="str">
        <f t="shared" si="110"/>
        <v/>
      </c>
      <c r="L701" s="117" t="str">
        <f t="shared" si="118"/>
        <v/>
      </c>
      <c r="M701" s="117" t="str">
        <f t="shared" si="120"/>
        <v/>
      </c>
      <c r="N701" s="117" t="str">
        <f>IF(ISBLANK(INDEX('register map'!M:M,'Logical Group Generator'!C701)),"No","Yes")</f>
        <v>Yes</v>
      </c>
      <c r="O701" s="117" t="str">
        <f>IF(NOT(ISBLANK(INDEX('register map'!N:N,'Logical Group Generator'!C701))),"Yes","")</f>
        <v/>
      </c>
      <c r="P701" s="117" t="str">
        <f t="shared" si="111"/>
        <v/>
      </c>
      <c r="Q701" s="117" t="str">
        <f t="shared" si="112"/>
        <v/>
      </c>
      <c r="R701" s="117" t="str">
        <f t="shared" si="113"/>
        <v/>
      </c>
      <c r="S701" s="117" t="str">
        <f t="shared" si="114"/>
        <v>No</v>
      </c>
      <c r="T701" s="117" t="str">
        <f t="shared" si="115"/>
        <v/>
      </c>
      <c r="U701" s="117" t="b">
        <f t="shared" si="119"/>
        <v>0</v>
      </c>
      <c r="V701" s="157" t="b">
        <f>INDEX('register map'!P:P,C701)="yes"</f>
        <v>1</v>
      </c>
      <c r="W701" s="157" t="str">
        <f t="shared" si="116"/>
        <v>FALSE</v>
      </c>
    </row>
    <row r="702" spans="2:23">
      <c r="B702" s="157" t="str">
        <f t="array" ref="B702">IF(ROWS($3:702)&lt;=COUNTA('register map'!$L$5:$L$902),INDEX('register map'!$L$5:$L$902,SMALL(IF('register map'!$L$5:$L$902&lt;&gt;"",ROW('register map'!$L$5:$L$902)-MIN(ROW('register map'!$L$5:$L$902))+1),ROWS($3:702))),"")</f>
        <v>OTP_RSVD_38_52_654</v>
      </c>
      <c r="C702" s="157">
        <f>IF(B702="PART_NUMBER",IF(COUNTIF($B$1:B701,"PART_NUMBER")=0,6,8),MATCH(B702,'register map'!L:L,0))</f>
        <v>839</v>
      </c>
      <c r="D702" s="117" t="str">
        <f>IF(ISBLANK(INDEX('register map'!C:C,'Logical Group Generator'!C702)),"No","Yes")</f>
        <v>No</v>
      </c>
      <c r="E702" s="117" t="str">
        <f>IF(ISBLANK(INDEX('register map'!A:A,C702)),IF(ISBLANK(INDEX('register map'!A:A,C702-1)),IF(ISBLANK(INDEX('register map'!A:A,C702-2)),IF(ISBLANK(INDEX('register map'!A:A,C702-3)),IF(ISBLANK(INDEX('register map'!A:A,C702-4)),IF(ISBLANK(INDEX('register map'!A:A,C702-5)),IF(ISBLANK(INDEX('register map'!A:A,C702-6)),IF(ISBLANK(INDEX('register map'!A:A,C702-7)),IF(ISBLANK(INDEX('register map'!A:A,C702-8)),"ERROR",INDEX('register map'!A:A,C702-8)),INDEX('register map'!A:A,C702-7)),INDEX('register map'!A:A,C702-6)),INDEX('register map'!A:A,C702-5)),INDEX('register map'!A:A,C702-4)),INDEX('register map'!A:A,C702-3)),INDEX('register map'!A:A,C702-2)),INDEX('register map'!A:A,C702-1)),INDEX('register map'!A:A,C702))</f>
        <v>0x38</v>
      </c>
      <c r="F702" s="117" t="str">
        <f>IF(ISBLANK(INDEX('register map'!B:B,C702)),IF(ISBLANK(INDEX('register map'!B:B,C702-1)),IF(ISBLANK(INDEX('register map'!B:B,C702-2)),IF(ISBLANK(INDEX('register map'!B:B,C702-3)),IF(ISBLANK(INDEX('register map'!B:B,C702-4)),IF(ISBLANK(INDEX('register map'!B:B,C702-5)),IF(ISBLANK(INDEX('register map'!B:B,C702-6)),IF(ISBLANK(INDEX('register map'!B:B,C702-7)),IF(ISBLANK(INDEX('register map'!B:B,C702-8)),"ERROR",INDEX('register map'!B:B,C702-8)),INDEX('register map'!B:B,C702-7)),INDEX('register map'!B:B,C702-6)),INDEX('register map'!B:B,C702-5)),INDEX('register map'!B:B,C702-4)),INDEX('register map'!B:B,C702-3)),INDEX('register map'!B:B,C702-2)),INDEX('register map'!B:B,C702-1)),INDEX('register map'!B:B,C702))</f>
        <v>0x52</v>
      </c>
      <c r="G702" s="117" t="str">
        <f>CONCATENATE(IF(ISNUMBER(INDEX('register map'!D:D,C702)),7,""),IF(ISNUMBER(INDEX('register map'!E:E,C702)),6,""),IF(ISNUMBER(INDEX('register map'!F:F,C702)),5,""),IF(ISNUMBER(INDEX('register map'!G:G,C702)),4,""),IF(ISNUMBER(INDEX('register map'!H:H,C702)),3,""),IF(ISNUMBER(INDEX('register map'!I:I,C702)),2,""),IF(ISNUMBER(INDEX('register map'!J:J,C702)),1,""),IF(ISNUMBER(INDEX('register map'!K:K,C702)),0,""))</f>
        <v>654</v>
      </c>
      <c r="H702" s="117" t="str">
        <f>RIGHT(INDEX('register map'!V:V,MATCH('Logical Group Generator'!B702,'register map'!L:L,0)),LEN(G702))</f>
        <v>100</v>
      </c>
      <c r="I702" s="117" t="str">
        <f>CONCATENATE(IF(ISNUMBER(INDEX('register map'!K:K,C702)),0,""),IF(ISNUMBER(INDEX('register map'!J:J,C702)),1,""),IF(ISNUMBER(INDEX('register map'!I:I,C702)),2,""),IF(ISNUMBER(INDEX('register map'!H:H,C702)),3,""),IF(ISNUMBER(INDEX('register map'!G:G,C702)),4,""),IF(ISNUMBER(INDEX('register map'!F:F,C702)),5,""),IF(ISNUMBER(INDEX('register map'!E:E,C702)),6,""),IF(ISNUMBER(INDEX('register map'!D:D,C702)),7,""))</f>
        <v>456</v>
      </c>
      <c r="J702" s="117" t="str">
        <f t="shared" si="117"/>
        <v>001</v>
      </c>
      <c r="K702" s="117" t="str">
        <f t="shared" si="110"/>
        <v/>
      </c>
      <c r="L702" s="117" t="str">
        <f t="shared" si="118"/>
        <v/>
      </c>
      <c r="M702" s="117" t="str">
        <f t="shared" si="120"/>
        <v/>
      </c>
      <c r="N702" s="117" t="str">
        <f>IF(ISBLANK(INDEX('register map'!M:M,'Logical Group Generator'!C702)),"No","Yes")</f>
        <v>No</v>
      </c>
      <c r="O702" s="117" t="str">
        <f>IF(NOT(ISBLANK(INDEX('register map'!N:N,'Logical Group Generator'!C702))),"Yes","")</f>
        <v>Yes</v>
      </c>
      <c r="P702" s="117" t="str">
        <f t="shared" si="111"/>
        <v/>
      </c>
      <c r="Q702" s="117" t="str">
        <f t="shared" si="112"/>
        <v/>
      </c>
      <c r="R702" s="117" t="str">
        <f t="shared" si="113"/>
        <v/>
      </c>
      <c r="S702" s="117" t="str">
        <f t="shared" si="114"/>
        <v>No</v>
      </c>
      <c r="T702" s="117" t="str">
        <f t="shared" si="115"/>
        <v/>
      </c>
      <c r="U702" s="117" t="b">
        <f t="shared" si="119"/>
        <v>0</v>
      </c>
      <c r="V702" s="157" t="b">
        <f>INDEX('register map'!P:P,C702)="yes"</f>
        <v>1</v>
      </c>
      <c r="W702" s="157" t="str">
        <f t="shared" si="116"/>
        <v>FALSE</v>
      </c>
    </row>
    <row r="703" spans="2:23">
      <c r="B703" s="157" t="str">
        <f t="array" ref="B703">IF(ROWS($3:703)&lt;=COUNTA('register map'!$L$5:$L$902),INDEX('register map'!$L$5:$L$902,SMALL(IF('register map'!$L$5:$L$902&lt;&gt;"",ROW('register map'!$L$5:$L$902)-MIN(ROW('register map'!$L$5:$L$902))+1),ROWS($3:703))),"")</f>
        <v>OTP_RSVD_38_52_7</v>
      </c>
      <c r="C703" s="157">
        <f>IF(B703="PART_NUMBER",IF(COUNTIF($B$1:B702,"PART_NUMBER")=0,6,8),MATCH(B703,'register map'!L:L,0))</f>
        <v>840</v>
      </c>
      <c r="D703" s="117" t="str">
        <f>IF(ISBLANK(INDEX('register map'!C:C,'Logical Group Generator'!C703)),"No","Yes")</f>
        <v>No</v>
      </c>
      <c r="E703" s="117" t="str">
        <f>IF(ISBLANK(INDEX('register map'!A:A,C703)),IF(ISBLANK(INDEX('register map'!A:A,C703-1)),IF(ISBLANK(INDEX('register map'!A:A,C703-2)),IF(ISBLANK(INDEX('register map'!A:A,C703-3)),IF(ISBLANK(INDEX('register map'!A:A,C703-4)),IF(ISBLANK(INDEX('register map'!A:A,C703-5)),IF(ISBLANK(INDEX('register map'!A:A,C703-6)),IF(ISBLANK(INDEX('register map'!A:A,C703-7)),IF(ISBLANK(INDEX('register map'!A:A,C703-8)),"ERROR",INDEX('register map'!A:A,C703-8)),INDEX('register map'!A:A,C703-7)),INDEX('register map'!A:A,C703-6)),INDEX('register map'!A:A,C703-5)),INDEX('register map'!A:A,C703-4)),INDEX('register map'!A:A,C703-3)),INDEX('register map'!A:A,C703-2)),INDEX('register map'!A:A,C703-1)),INDEX('register map'!A:A,C703))</f>
        <v>0x38</v>
      </c>
      <c r="F703" s="117" t="str">
        <f>IF(ISBLANK(INDEX('register map'!B:B,C703)),IF(ISBLANK(INDEX('register map'!B:B,C703-1)),IF(ISBLANK(INDEX('register map'!B:B,C703-2)),IF(ISBLANK(INDEX('register map'!B:B,C703-3)),IF(ISBLANK(INDEX('register map'!B:B,C703-4)),IF(ISBLANK(INDEX('register map'!B:B,C703-5)),IF(ISBLANK(INDEX('register map'!B:B,C703-6)),IF(ISBLANK(INDEX('register map'!B:B,C703-7)),IF(ISBLANK(INDEX('register map'!B:B,C703-8)),"ERROR",INDEX('register map'!B:B,C703-8)),INDEX('register map'!B:B,C703-7)),INDEX('register map'!B:B,C703-6)),INDEX('register map'!B:B,C703-5)),INDEX('register map'!B:B,C703-4)),INDEX('register map'!B:B,C703-3)),INDEX('register map'!B:B,C703-2)),INDEX('register map'!B:B,C703-1)),INDEX('register map'!B:B,C703))</f>
        <v>0x52</v>
      </c>
      <c r="G703" s="117" t="str">
        <f>CONCATENATE(IF(ISNUMBER(INDEX('register map'!D:D,C703)),7,""),IF(ISNUMBER(INDEX('register map'!E:E,C703)),6,""),IF(ISNUMBER(INDEX('register map'!F:F,C703)),5,""),IF(ISNUMBER(INDEX('register map'!G:G,C703)),4,""),IF(ISNUMBER(INDEX('register map'!H:H,C703)),3,""),IF(ISNUMBER(INDEX('register map'!I:I,C703)),2,""),IF(ISNUMBER(INDEX('register map'!J:J,C703)),1,""),IF(ISNUMBER(INDEX('register map'!K:K,C703)),0,""))</f>
        <v>7</v>
      </c>
      <c r="H703" s="117" t="str">
        <f>RIGHT(INDEX('register map'!V:V,MATCH('Logical Group Generator'!B703,'register map'!L:L,0)),LEN(G703))</f>
        <v>0</v>
      </c>
      <c r="I703" s="117" t="str">
        <f>CONCATENATE(IF(ISNUMBER(INDEX('register map'!K:K,C703)),0,""),IF(ISNUMBER(INDEX('register map'!J:J,C703)),1,""),IF(ISNUMBER(INDEX('register map'!I:I,C703)),2,""),IF(ISNUMBER(INDEX('register map'!H:H,C703)),3,""),IF(ISNUMBER(INDEX('register map'!G:G,C703)),4,""),IF(ISNUMBER(INDEX('register map'!F:F,C703)),5,""),IF(ISNUMBER(INDEX('register map'!E:E,C703)),6,""),IF(ISNUMBER(INDEX('register map'!D:D,C703)),7,""))</f>
        <v>7</v>
      </c>
      <c r="J703" s="117" t="str">
        <f t="shared" si="117"/>
        <v>0</v>
      </c>
      <c r="K703" s="117" t="str">
        <f t="shared" si="110"/>
        <v/>
      </c>
      <c r="L703" s="117" t="str">
        <f t="shared" si="118"/>
        <v/>
      </c>
      <c r="M703" s="117" t="str">
        <f t="shared" si="120"/>
        <v/>
      </c>
      <c r="N703" s="117" t="str">
        <f>IF(ISBLANK(INDEX('register map'!M:M,'Logical Group Generator'!C703)),"No","Yes")</f>
        <v>No</v>
      </c>
      <c r="O703" s="117" t="str">
        <f>IF(NOT(ISBLANK(INDEX('register map'!N:N,'Logical Group Generator'!C703))),"Yes","")</f>
        <v>Yes</v>
      </c>
      <c r="P703" s="117" t="str">
        <f t="shared" si="111"/>
        <v/>
      </c>
      <c r="Q703" s="117" t="str">
        <f t="shared" si="112"/>
        <v/>
      </c>
      <c r="R703" s="117" t="str">
        <f t="shared" si="113"/>
        <v/>
      </c>
      <c r="S703" s="117" t="str">
        <f t="shared" si="114"/>
        <v>No</v>
      </c>
      <c r="T703" s="117" t="str">
        <f t="shared" si="115"/>
        <v/>
      </c>
      <c r="U703" s="117" t="b">
        <f t="shared" si="119"/>
        <v>0</v>
      </c>
      <c r="V703" s="157" t="b">
        <f>INDEX('register map'!P:P,C703)="yes"</f>
        <v>1</v>
      </c>
      <c r="W703" s="157" t="str">
        <f t="shared" si="116"/>
        <v>FALSE</v>
      </c>
    </row>
    <row r="704" spans="2:23" s="267" customFormat="1">
      <c r="B704" s="267" t="str">
        <f t="array" ref="B704">IF(ROWS($3:704)&lt;=COUNTA('register map'!$L$5:$L$902),INDEX('register map'!$L$5:$L$902,SMALL(IF('register map'!$L$5:$L$902&lt;&gt;"",ROW('register map'!$L$5:$L$902)-MIN(ROW('register map'!$L$5:$L$902))+1),ROWS($3:704))),"")</f>
        <v>OTP_RSVD_38_53</v>
      </c>
      <c r="C704" s="267">
        <f>IF(B704="PART_NUMBER",IF(COUNTIF($B$1:B703,"PART_NUMBER")=0,6,8),MATCH(B704,'register map'!L:L,0))</f>
        <v>841</v>
      </c>
      <c r="D704" s="267" t="str">
        <f>IF(ISBLANK(INDEX('register map'!C:C,'Logical Group Generator'!C704)),"No","Yes")</f>
        <v>Yes</v>
      </c>
      <c r="E704" s="267" t="str">
        <f>IF(ISBLANK(INDEX('register map'!A:A,C704)),IF(ISBLANK(INDEX('register map'!A:A,C704-1)),IF(ISBLANK(INDEX('register map'!A:A,C704-2)),IF(ISBLANK(INDEX('register map'!A:A,C704-3)),IF(ISBLANK(INDEX('register map'!A:A,C704-4)),IF(ISBLANK(INDEX('register map'!A:A,C704-5)),IF(ISBLANK(INDEX('register map'!A:A,C704-6)),IF(ISBLANK(INDEX('register map'!A:A,C704-7)),IF(ISBLANK(INDEX('register map'!A:A,C704-8)),"ERROR",INDEX('register map'!A:A,C704-8)),INDEX('register map'!A:A,C704-7)),INDEX('register map'!A:A,C704-6)),INDEX('register map'!A:A,C704-5)),INDEX('register map'!A:A,C704-4)),INDEX('register map'!A:A,C704-3)),INDEX('register map'!A:A,C704-2)),INDEX('register map'!A:A,C704-1)),INDEX('register map'!A:A,C704))</f>
        <v>0x38</v>
      </c>
      <c r="F704" s="267" t="str">
        <f>IF(ISBLANK(INDEX('register map'!B:B,C704)),IF(ISBLANK(INDEX('register map'!B:B,C704-1)),IF(ISBLANK(INDEX('register map'!B:B,C704-2)),IF(ISBLANK(INDEX('register map'!B:B,C704-3)),IF(ISBLANK(INDEX('register map'!B:B,C704-4)),IF(ISBLANK(INDEX('register map'!B:B,C704-5)),IF(ISBLANK(INDEX('register map'!B:B,C704-6)),IF(ISBLANK(INDEX('register map'!B:B,C704-7)),IF(ISBLANK(INDEX('register map'!B:B,C704-8)),"ERROR",INDEX('register map'!B:B,C704-8)),INDEX('register map'!B:B,C704-7)),INDEX('register map'!B:B,C704-6)),INDEX('register map'!B:B,C704-5)),INDEX('register map'!B:B,C704-4)),INDEX('register map'!B:B,C704-3)),INDEX('register map'!B:B,C704-2)),INDEX('register map'!B:B,C704-1)),INDEX('register map'!B:B,C704))</f>
        <v>0x53</v>
      </c>
      <c r="G704" s="267" t="str">
        <f>CONCATENATE(IF(ISNUMBER(INDEX('register map'!D:D,C704)),7,""),IF(ISNUMBER(INDEX('register map'!E:E,C704)),6,""),IF(ISNUMBER(INDEX('register map'!F:F,C704)),5,""),IF(ISNUMBER(INDEX('register map'!G:G,C704)),4,""),IF(ISNUMBER(INDEX('register map'!H:H,C704)),3,""),IF(ISNUMBER(INDEX('register map'!I:I,C704)),2,""),IF(ISNUMBER(INDEX('register map'!J:J,C704)),1,""),IF(ISNUMBER(INDEX('register map'!K:K,C704)),0,""))</f>
        <v/>
      </c>
      <c r="H704" s="267" t="str">
        <f>RIGHT(INDEX('register map'!V:V,MATCH('Logical Group Generator'!B704,'register map'!L:L,0)),LEN(G704))</f>
        <v/>
      </c>
      <c r="I704" s="267" t="str">
        <f>CONCATENATE(IF(ISNUMBER(INDEX('register map'!K:K,C704)),0,""),IF(ISNUMBER(INDEX('register map'!J:J,C704)),1,""),IF(ISNUMBER(INDEX('register map'!I:I,C704)),2,""),IF(ISNUMBER(INDEX('register map'!H:H,C704)),3,""),IF(ISNUMBER(INDEX('register map'!G:G,C704)),4,""),IF(ISNUMBER(INDEX('register map'!F:F,C704)),5,""),IF(ISNUMBER(INDEX('register map'!E:E,C704)),6,""),IF(ISNUMBER(INDEX('register map'!D:D,C704)),7,""))</f>
        <v/>
      </c>
      <c r="J704" s="267" t="str">
        <f t="shared" si="117"/>
        <v/>
      </c>
      <c r="K704" s="267" t="str">
        <f t="shared" si="110"/>
        <v>00010101</v>
      </c>
      <c r="L704" s="267" t="str">
        <f t="shared" si="118"/>
        <v>10101000</v>
      </c>
      <c r="M704" s="267" t="str">
        <f t="shared" si="120"/>
        <v>A8</v>
      </c>
      <c r="N704" s="267" t="str">
        <f>IF(ISBLANK(INDEX('register map'!M:M,'Logical Group Generator'!C704)),"No","Yes")</f>
        <v>No</v>
      </c>
      <c r="O704" s="267" t="str">
        <f>IF(NOT(ISBLANK(INDEX('register map'!N:N,'Logical Group Generator'!C704))),"Yes","")</f>
        <v/>
      </c>
      <c r="P704" s="267" t="s">
        <v>618</v>
      </c>
      <c r="Q704" s="267" t="str">
        <f t="shared" si="112"/>
        <v>No</v>
      </c>
      <c r="R704" s="267" t="str">
        <f t="shared" si="113"/>
        <v>No</v>
      </c>
      <c r="S704" s="267" t="str">
        <f t="shared" si="114"/>
        <v/>
      </c>
      <c r="T704" s="267" t="b">
        <f t="shared" si="115"/>
        <v>1</v>
      </c>
      <c r="U704" s="267" t="b">
        <f t="shared" si="119"/>
        <v>1</v>
      </c>
      <c r="V704" s="267" t="b">
        <f>INDEX('register map'!P:P,C704)="yes"</f>
        <v>1</v>
      </c>
      <c r="W704" s="267" t="str">
        <f t="shared" si="116"/>
        <v>REGISTER</v>
      </c>
    </row>
    <row r="705" spans="2:23" s="267" customFormat="1">
      <c r="B705" s="267" t="str">
        <f t="array" ref="B705">IF(ROWS($3:705)&lt;=COUNTA('register map'!$L$5:$L$902),INDEX('register map'!$L$5:$L$902,SMALL(IF('register map'!$L$5:$L$902&lt;&gt;"",ROW('register map'!$L$5:$L$902)-MIN(ROW('register map'!$L$5:$L$902))+1),ROWS($3:705))),"")</f>
        <v>OTP_RSVD_38_53_0</v>
      </c>
      <c r="C705" s="267">
        <f>IF(B705="PART_NUMBER",IF(COUNTIF($B$1:B704,"PART_NUMBER")=0,6,8),MATCH(B705,'register map'!L:L,0))</f>
        <v>842</v>
      </c>
      <c r="D705" s="267" t="str">
        <f>IF(ISBLANK(INDEX('register map'!C:C,'Logical Group Generator'!C705)),"No","Yes")</f>
        <v>No</v>
      </c>
      <c r="E705" s="267" t="str">
        <f>IF(ISBLANK(INDEX('register map'!A:A,C705)),IF(ISBLANK(INDEX('register map'!A:A,C705-1)),IF(ISBLANK(INDEX('register map'!A:A,C705-2)),IF(ISBLANK(INDEX('register map'!A:A,C705-3)),IF(ISBLANK(INDEX('register map'!A:A,C705-4)),IF(ISBLANK(INDEX('register map'!A:A,C705-5)),IF(ISBLANK(INDEX('register map'!A:A,C705-6)),IF(ISBLANK(INDEX('register map'!A:A,C705-7)),IF(ISBLANK(INDEX('register map'!A:A,C705-8)),"ERROR",INDEX('register map'!A:A,C705-8)),INDEX('register map'!A:A,C705-7)),INDEX('register map'!A:A,C705-6)),INDEX('register map'!A:A,C705-5)),INDEX('register map'!A:A,C705-4)),INDEX('register map'!A:A,C705-3)),INDEX('register map'!A:A,C705-2)),INDEX('register map'!A:A,C705-1)),INDEX('register map'!A:A,C705))</f>
        <v>0x38</v>
      </c>
      <c r="F705" s="267" t="str">
        <f>IF(ISBLANK(INDEX('register map'!B:B,C705)),IF(ISBLANK(INDEX('register map'!B:B,C705-1)),IF(ISBLANK(INDEX('register map'!B:B,C705-2)),IF(ISBLANK(INDEX('register map'!B:B,C705-3)),IF(ISBLANK(INDEX('register map'!B:B,C705-4)),IF(ISBLANK(INDEX('register map'!B:B,C705-5)),IF(ISBLANK(INDEX('register map'!B:B,C705-6)),IF(ISBLANK(INDEX('register map'!B:B,C705-7)),IF(ISBLANK(INDEX('register map'!B:B,C705-8)),"ERROR",INDEX('register map'!B:B,C705-8)),INDEX('register map'!B:B,C705-7)),INDEX('register map'!B:B,C705-6)),INDEX('register map'!B:B,C705-5)),INDEX('register map'!B:B,C705-4)),INDEX('register map'!B:B,C705-3)),INDEX('register map'!B:B,C705-2)),INDEX('register map'!B:B,C705-1)),INDEX('register map'!B:B,C705))</f>
        <v>0x53</v>
      </c>
      <c r="G705" s="267" t="str">
        <f>CONCATENATE(IF(ISNUMBER(INDEX('register map'!D:D,C705)),7,""),IF(ISNUMBER(INDEX('register map'!E:E,C705)),6,""),IF(ISNUMBER(INDEX('register map'!F:F,C705)),5,""),IF(ISNUMBER(INDEX('register map'!G:G,C705)),4,""),IF(ISNUMBER(INDEX('register map'!H:H,C705)),3,""),IF(ISNUMBER(INDEX('register map'!I:I,C705)),2,""),IF(ISNUMBER(INDEX('register map'!J:J,C705)),1,""),IF(ISNUMBER(INDEX('register map'!K:K,C705)),0,""))</f>
        <v>0</v>
      </c>
      <c r="H705" s="267" t="str">
        <f>RIGHT(INDEX('register map'!V:V,MATCH('Logical Group Generator'!B705,'register map'!L:L,0)),LEN(G705))</f>
        <v>0</v>
      </c>
      <c r="I705" s="267" t="str">
        <f>CONCATENATE(IF(ISNUMBER(INDEX('register map'!K:K,C705)),0,""),IF(ISNUMBER(INDEX('register map'!J:J,C705)),1,""),IF(ISNUMBER(INDEX('register map'!I:I,C705)),2,""),IF(ISNUMBER(INDEX('register map'!H:H,C705)),3,""),IF(ISNUMBER(INDEX('register map'!G:G,C705)),4,""),IF(ISNUMBER(INDEX('register map'!F:F,C705)),5,""),IF(ISNUMBER(INDEX('register map'!E:E,C705)),6,""),IF(ISNUMBER(INDEX('register map'!D:D,C705)),7,""))</f>
        <v>0</v>
      </c>
      <c r="J705" s="267" t="str">
        <f t="shared" si="117"/>
        <v>0</v>
      </c>
      <c r="K705" s="267" t="str">
        <f t="shared" si="110"/>
        <v/>
      </c>
      <c r="L705" s="267" t="str">
        <f t="shared" si="118"/>
        <v/>
      </c>
      <c r="M705" s="267" t="str">
        <f t="shared" si="120"/>
        <v/>
      </c>
      <c r="N705" s="267" t="str">
        <f>IF(ISBLANK(INDEX('register map'!M:M,'Logical Group Generator'!C705)),"No","Yes")</f>
        <v>No</v>
      </c>
      <c r="O705" s="267" t="str">
        <f>IF(NOT(ISBLANK(INDEX('register map'!N:N,'Logical Group Generator'!C705))),"Yes","")</f>
        <v>Yes</v>
      </c>
      <c r="P705" s="267" t="str">
        <f t="shared" si="111"/>
        <v/>
      </c>
      <c r="Q705" s="267" t="str">
        <f t="shared" si="112"/>
        <v/>
      </c>
      <c r="R705" s="267" t="str">
        <f t="shared" si="113"/>
        <v/>
      </c>
      <c r="S705" s="267" t="str">
        <f t="shared" si="114"/>
        <v>No</v>
      </c>
      <c r="T705" s="267" t="str">
        <f t="shared" si="115"/>
        <v/>
      </c>
      <c r="U705" s="267" t="b">
        <f t="shared" si="119"/>
        <v>0</v>
      </c>
      <c r="V705" s="267" t="b">
        <f>INDEX('register map'!P:P,C705)="yes"</f>
        <v>1</v>
      </c>
      <c r="W705" s="267" t="str">
        <f t="shared" si="116"/>
        <v>FALSE</v>
      </c>
    </row>
    <row r="706" spans="2:23" s="267" customFormat="1">
      <c r="B706" s="267" t="str">
        <f t="array" ref="B706">IF(ROWS($3:706)&lt;=COUNTA('register map'!$L$5:$L$902),INDEX('register map'!$L$5:$L$902,SMALL(IF('register map'!$L$5:$L$902&lt;&gt;"",ROW('register map'!$L$5:$L$902)-MIN(ROW('register map'!$L$5:$L$902))+1),ROWS($3:706))),"")</f>
        <v>OTP_RSVD_38_53_21</v>
      </c>
      <c r="C706" s="267">
        <f>IF(B706="PART_NUMBER",IF(COUNTIF($B$1:B705,"PART_NUMBER")=0,6,8),MATCH(B706,'register map'!L:L,0))</f>
        <v>843</v>
      </c>
      <c r="D706" s="267" t="str">
        <f>IF(ISBLANK(INDEX('register map'!C:C,'Logical Group Generator'!C706)),"No","Yes")</f>
        <v>No</v>
      </c>
      <c r="E706" s="267" t="str">
        <f>IF(ISBLANK(INDEX('register map'!A:A,C706)),IF(ISBLANK(INDEX('register map'!A:A,C706-1)),IF(ISBLANK(INDEX('register map'!A:A,C706-2)),IF(ISBLANK(INDEX('register map'!A:A,C706-3)),IF(ISBLANK(INDEX('register map'!A:A,C706-4)),IF(ISBLANK(INDEX('register map'!A:A,C706-5)),IF(ISBLANK(INDEX('register map'!A:A,C706-6)),IF(ISBLANK(INDEX('register map'!A:A,C706-7)),IF(ISBLANK(INDEX('register map'!A:A,C706-8)),"ERROR",INDEX('register map'!A:A,C706-8)),INDEX('register map'!A:A,C706-7)),INDEX('register map'!A:A,C706-6)),INDEX('register map'!A:A,C706-5)),INDEX('register map'!A:A,C706-4)),INDEX('register map'!A:A,C706-3)),INDEX('register map'!A:A,C706-2)),INDEX('register map'!A:A,C706-1)),INDEX('register map'!A:A,C706))</f>
        <v>0x38</v>
      </c>
      <c r="F706" s="267" t="str">
        <f>IF(ISBLANK(INDEX('register map'!B:B,C706)),IF(ISBLANK(INDEX('register map'!B:B,C706-1)),IF(ISBLANK(INDEX('register map'!B:B,C706-2)),IF(ISBLANK(INDEX('register map'!B:B,C706-3)),IF(ISBLANK(INDEX('register map'!B:B,C706-4)),IF(ISBLANK(INDEX('register map'!B:B,C706-5)),IF(ISBLANK(INDEX('register map'!B:B,C706-6)),IF(ISBLANK(INDEX('register map'!B:B,C706-7)),IF(ISBLANK(INDEX('register map'!B:B,C706-8)),"ERROR",INDEX('register map'!B:B,C706-8)),INDEX('register map'!B:B,C706-7)),INDEX('register map'!B:B,C706-6)),INDEX('register map'!B:B,C706-5)),INDEX('register map'!B:B,C706-4)),INDEX('register map'!B:B,C706-3)),INDEX('register map'!B:B,C706-2)),INDEX('register map'!B:B,C706-1)),INDEX('register map'!B:B,C706))</f>
        <v>0x53</v>
      </c>
      <c r="G706" s="267" t="str">
        <f>CONCATENATE(IF(ISNUMBER(INDEX('register map'!D:D,C706)),7,""),IF(ISNUMBER(INDEX('register map'!E:E,C706)),6,""),IF(ISNUMBER(INDEX('register map'!F:F,C706)),5,""),IF(ISNUMBER(INDEX('register map'!G:G,C706)),4,""),IF(ISNUMBER(INDEX('register map'!H:H,C706)),3,""),IF(ISNUMBER(INDEX('register map'!I:I,C706)),2,""),IF(ISNUMBER(INDEX('register map'!J:J,C706)),1,""),IF(ISNUMBER(INDEX('register map'!K:K,C706)),0,""))</f>
        <v>21</v>
      </c>
      <c r="H706" s="267" t="str">
        <f>RIGHT(INDEX('register map'!V:V,MATCH('Logical Group Generator'!B706,'register map'!L:L,0)),LEN(G706))</f>
        <v>00</v>
      </c>
      <c r="I706" s="267" t="str">
        <f>CONCATENATE(IF(ISNUMBER(INDEX('register map'!K:K,C706)),0,""),IF(ISNUMBER(INDEX('register map'!J:J,C706)),1,""),IF(ISNUMBER(INDEX('register map'!I:I,C706)),2,""),IF(ISNUMBER(INDEX('register map'!H:H,C706)),3,""),IF(ISNUMBER(INDEX('register map'!G:G,C706)),4,""),IF(ISNUMBER(INDEX('register map'!F:F,C706)),5,""),IF(ISNUMBER(INDEX('register map'!E:E,C706)),6,""),IF(ISNUMBER(INDEX('register map'!D:D,C706)),7,""))</f>
        <v>12</v>
      </c>
      <c r="J706" s="267" t="str">
        <f t="shared" si="117"/>
        <v>00</v>
      </c>
      <c r="K706" s="267" t="str">
        <f t="shared" si="110"/>
        <v/>
      </c>
      <c r="L706" s="267" t="str">
        <f t="shared" si="118"/>
        <v/>
      </c>
      <c r="M706" s="267" t="str">
        <f t="shared" si="120"/>
        <v/>
      </c>
      <c r="N706" s="267" t="str">
        <f>IF(ISBLANK(INDEX('register map'!M:M,'Logical Group Generator'!C706)),"No","Yes")</f>
        <v>No</v>
      </c>
      <c r="O706" s="267" t="str">
        <f>IF(NOT(ISBLANK(INDEX('register map'!N:N,'Logical Group Generator'!C706))),"Yes","")</f>
        <v/>
      </c>
      <c r="P706" s="267" t="str">
        <f t="shared" si="111"/>
        <v/>
      </c>
      <c r="Q706" s="267" t="str">
        <f t="shared" si="112"/>
        <v/>
      </c>
      <c r="R706" s="267" t="str">
        <f t="shared" si="113"/>
        <v/>
      </c>
      <c r="S706" s="267" t="str">
        <f t="shared" si="114"/>
        <v>No</v>
      </c>
      <c r="T706" s="267" t="str">
        <f t="shared" si="115"/>
        <v/>
      </c>
      <c r="U706" s="267" t="b">
        <f t="shared" si="119"/>
        <v>0</v>
      </c>
      <c r="V706" s="267" t="b">
        <f>INDEX('register map'!P:P,C706)="yes"</f>
        <v>1</v>
      </c>
      <c r="W706" s="267" t="str">
        <f t="shared" si="116"/>
        <v>FALSE</v>
      </c>
    </row>
    <row r="707" spans="2:23" s="267" customFormat="1">
      <c r="B707" s="267" t="str">
        <f t="array" ref="B707">IF(ROWS($3:707)&lt;=COUNTA('register map'!$L$5:$L$902),INDEX('register map'!$L$5:$L$902,SMALL(IF('register map'!$L$5:$L$902&lt;&gt;"",ROW('register map'!$L$5:$L$902)-MIN(ROW('register map'!$L$5:$L$902))+1),ROWS($3:707))),"")</f>
        <v>OTP_RSVD_38_53_3</v>
      </c>
      <c r="C707" s="267">
        <f>IF(B707="PART_NUMBER",IF(COUNTIF($B$1:B706,"PART_NUMBER")=0,6,8),MATCH(B707,'register map'!L:L,0))</f>
        <v>844</v>
      </c>
      <c r="D707" s="267" t="str">
        <f>IF(ISBLANK(INDEX('register map'!C:C,'Logical Group Generator'!C707)),"No","Yes")</f>
        <v>No</v>
      </c>
      <c r="E707" s="267" t="str">
        <f>IF(ISBLANK(INDEX('register map'!A:A,C707)),IF(ISBLANK(INDEX('register map'!A:A,C707-1)),IF(ISBLANK(INDEX('register map'!A:A,C707-2)),IF(ISBLANK(INDEX('register map'!A:A,C707-3)),IF(ISBLANK(INDEX('register map'!A:A,C707-4)),IF(ISBLANK(INDEX('register map'!A:A,C707-5)),IF(ISBLANK(INDEX('register map'!A:A,C707-6)),IF(ISBLANK(INDEX('register map'!A:A,C707-7)),IF(ISBLANK(INDEX('register map'!A:A,C707-8)),"ERROR",INDEX('register map'!A:A,C707-8)),INDEX('register map'!A:A,C707-7)),INDEX('register map'!A:A,C707-6)),INDEX('register map'!A:A,C707-5)),INDEX('register map'!A:A,C707-4)),INDEX('register map'!A:A,C707-3)),INDEX('register map'!A:A,C707-2)),INDEX('register map'!A:A,C707-1)),INDEX('register map'!A:A,C707))</f>
        <v>0x38</v>
      </c>
      <c r="F707" s="267" t="str">
        <f>IF(ISBLANK(INDEX('register map'!B:B,C707)),IF(ISBLANK(INDEX('register map'!B:B,C707-1)),IF(ISBLANK(INDEX('register map'!B:B,C707-2)),IF(ISBLANK(INDEX('register map'!B:B,C707-3)),IF(ISBLANK(INDEX('register map'!B:B,C707-4)),IF(ISBLANK(INDEX('register map'!B:B,C707-5)),IF(ISBLANK(INDEX('register map'!B:B,C707-6)),IF(ISBLANK(INDEX('register map'!B:B,C707-7)),IF(ISBLANK(INDEX('register map'!B:B,C707-8)),"ERROR",INDEX('register map'!B:B,C707-8)),INDEX('register map'!B:B,C707-7)),INDEX('register map'!B:B,C707-6)),INDEX('register map'!B:B,C707-5)),INDEX('register map'!B:B,C707-4)),INDEX('register map'!B:B,C707-3)),INDEX('register map'!B:B,C707-2)),INDEX('register map'!B:B,C707-1)),INDEX('register map'!B:B,C707))</f>
        <v>0x53</v>
      </c>
      <c r="G707" s="267" t="str">
        <f>CONCATENATE(IF(ISNUMBER(INDEX('register map'!D:D,C707)),7,""),IF(ISNUMBER(INDEX('register map'!E:E,C707)),6,""),IF(ISNUMBER(INDEX('register map'!F:F,C707)),5,""),IF(ISNUMBER(INDEX('register map'!G:G,C707)),4,""),IF(ISNUMBER(INDEX('register map'!H:H,C707)),3,""),IF(ISNUMBER(INDEX('register map'!I:I,C707)),2,""),IF(ISNUMBER(INDEX('register map'!J:J,C707)),1,""),IF(ISNUMBER(INDEX('register map'!K:K,C707)),0,""))</f>
        <v>3</v>
      </c>
      <c r="H707" s="267" t="str">
        <f>RIGHT(INDEX('register map'!V:V,MATCH('Logical Group Generator'!B707,'register map'!L:L,0)),LEN(G707))</f>
        <v>1</v>
      </c>
      <c r="I707" s="267" t="str">
        <f>CONCATENATE(IF(ISNUMBER(INDEX('register map'!K:K,C707)),0,""),IF(ISNUMBER(INDEX('register map'!J:J,C707)),1,""),IF(ISNUMBER(INDEX('register map'!I:I,C707)),2,""),IF(ISNUMBER(INDEX('register map'!H:H,C707)),3,""),IF(ISNUMBER(INDEX('register map'!G:G,C707)),4,""),IF(ISNUMBER(INDEX('register map'!F:F,C707)),5,""),IF(ISNUMBER(INDEX('register map'!E:E,C707)),6,""),IF(ISNUMBER(INDEX('register map'!D:D,C707)),7,""))</f>
        <v>3</v>
      </c>
      <c r="J707" s="267" t="str">
        <f t="shared" si="117"/>
        <v>1</v>
      </c>
      <c r="K707" s="267" t="str">
        <f t="shared" ref="K707:K744" si="121">IF(D707="Yes",CONCATENATE(IF(F708=F707,J708,""),IF(F709=F707,J709,""),IF(F710=F707,J710,""),IF(F711=F707,J711,""),IF(F712=F707,J712,""),IF(F713=F707,J713,""),IF(F714=F707,J714,""),IF(F715=F707,J715,"")),"")</f>
        <v/>
      </c>
      <c r="L707" s="267" t="str">
        <f t="shared" si="118"/>
        <v/>
      </c>
      <c r="M707" s="267" t="str">
        <f t="shared" si="120"/>
        <v/>
      </c>
      <c r="N707" s="267" t="str">
        <f>IF(ISBLANK(INDEX('register map'!M:M,'Logical Group Generator'!C707)),"No","Yes")</f>
        <v>No</v>
      </c>
      <c r="O707" s="267" t="str">
        <f>IF(NOT(ISBLANK(INDEX('register map'!N:N,'Logical Group Generator'!C707))),"Yes","")</f>
        <v>Yes</v>
      </c>
      <c r="P707" s="267" t="str">
        <f t="shared" ref="P707:P744" si="122">IF(D707="Yes",IF(OR(AND(F708=F707,N708="Yes"),AND(F709=F707,N709="Yes"),AND(F710=F707,N710="Yes"),AND(F711=F707,N711="Yes"),AND(F712=F707,N712="Yes"),AND(F713=F707,N713="Yes"),AND(F714=F707,N714="Yes"),AND(F715=F707,N715="Yes")),"Yes","No"),"")</f>
        <v/>
      </c>
      <c r="Q707" s="267" t="str">
        <f t="shared" ref="Q707:Q744" si="123">IF(D707="Yes",IF(AND(IF(F708=F707,OR(N708="Yes",O708="Yes"),TRUE),IF(F709=F707,OR(N709="Yes",O709="Yes"),TRUE),IF(F710=F707,OR(N710="Yes",O710="Yes"),TRUE),IF(F711=F707,OR(N711="Yes",O711="Yes"),TRUE),IF(F712=F707,OR(N712="Yes",O712="Yes"),TRUE),IF(F713=F707,OR(N713="Yes",O713="Yes"),TRUE),IF(F714=F707,OR(N714="Yes",O714="Yes"),TRUE),IF(F715=F707,OR(N715="Yes",O715="Yes"),TRUE)),"Yes","No"),"")</f>
        <v/>
      </c>
      <c r="R707" s="267" t="str">
        <f t="shared" ref="R707:R744" si="124">IF(D707="Yes",IF(AND(P707="Yes",Q707="No"),"Yes","No"),"")</f>
        <v/>
      </c>
      <c r="S707" s="267" t="str">
        <f t="shared" ref="S707:S744" si="125">IF(D707="No",IF(AND(N707="No",NOT(O707="Yes"),INDEX(R:R,MATCH(F707,F:F,0))="Yes"),"Yes","No"),"")</f>
        <v>No</v>
      </c>
      <c r="T707" s="267" t="str">
        <f t="shared" ref="T707:T744" si="126">IF(D707="Yes",LEN(L707)=8,"")</f>
        <v/>
      </c>
      <c r="U707" s="267" t="b">
        <f t="shared" si="119"/>
        <v>0</v>
      </c>
      <c r="V707" s="267" t="b">
        <f>INDEX('register map'!P:P,C707)="yes"</f>
        <v>1</v>
      </c>
      <c r="W707" s="267" t="str">
        <f t="shared" ref="W707:W744" si="127">IF(AND(D707="Yes",P707="No",Q707="No",V707),"REGISTER",IF(AND(D707="No",S707="Yes",V707),"BIT","FALSE"))</f>
        <v>FALSE</v>
      </c>
    </row>
    <row r="708" spans="2:23" s="267" customFormat="1">
      <c r="B708" s="267" t="str">
        <f t="array" ref="B708">IF(ROWS($3:708)&lt;=COUNTA('register map'!$L$5:$L$902),INDEX('register map'!$L$5:$L$902,SMALL(IF('register map'!$L$5:$L$902&lt;&gt;"",ROW('register map'!$L$5:$L$902)-MIN(ROW('register map'!$L$5:$L$902))+1),ROWS($3:708))),"")</f>
        <v>OTP_RSVD_38_53_54</v>
      </c>
      <c r="C708" s="267">
        <f>IF(B708="PART_NUMBER",IF(COUNTIF($B$1:B707,"PART_NUMBER")=0,6,8),MATCH(B708,'register map'!L:L,0))</f>
        <v>845</v>
      </c>
      <c r="D708" s="267" t="str">
        <f>IF(ISBLANK(INDEX('register map'!C:C,'Logical Group Generator'!C708)),"No","Yes")</f>
        <v>No</v>
      </c>
      <c r="E708" s="267" t="str">
        <f>IF(ISBLANK(INDEX('register map'!A:A,C708)),IF(ISBLANK(INDEX('register map'!A:A,C708-1)),IF(ISBLANK(INDEX('register map'!A:A,C708-2)),IF(ISBLANK(INDEX('register map'!A:A,C708-3)),IF(ISBLANK(INDEX('register map'!A:A,C708-4)),IF(ISBLANK(INDEX('register map'!A:A,C708-5)),IF(ISBLANK(INDEX('register map'!A:A,C708-6)),IF(ISBLANK(INDEX('register map'!A:A,C708-7)),IF(ISBLANK(INDEX('register map'!A:A,C708-8)),"ERROR",INDEX('register map'!A:A,C708-8)),INDEX('register map'!A:A,C708-7)),INDEX('register map'!A:A,C708-6)),INDEX('register map'!A:A,C708-5)),INDEX('register map'!A:A,C708-4)),INDEX('register map'!A:A,C708-3)),INDEX('register map'!A:A,C708-2)),INDEX('register map'!A:A,C708-1)),INDEX('register map'!A:A,C708))</f>
        <v>0x38</v>
      </c>
      <c r="F708" s="267" t="str">
        <f>IF(ISBLANK(INDEX('register map'!B:B,C708)),IF(ISBLANK(INDEX('register map'!B:B,C708-1)),IF(ISBLANK(INDEX('register map'!B:B,C708-2)),IF(ISBLANK(INDEX('register map'!B:B,C708-3)),IF(ISBLANK(INDEX('register map'!B:B,C708-4)),IF(ISBLANK(INDEX('register map'!B:B,C708-5)),IF(ISBLANK(INDEX('register map'!B:B,C708-6)),IF(ISBLANK(INDEX('register map'!B:B,C708-7)),IF(ISBLANK(INDEX('register map'!B:B,C708-8)),"ERROR",INDEX('register map'!B:B,C708-8)),INDEX('register map'!B:B,C708-7)),INDEX('register map'!B:B,C708-6)),INDEX('register map'!B:B,C708-5)),INDEX('register map'!B:B,C708-4)),INDEX('register map'!B:B,C708-3)),INDEX('register map'!B:B,C708-2)),INDEX('register map'!B:B,C708-1)),INDEX('register map'!B:B,C708))</f>
        <v>0x53</v>
      </c>
      <c r="G708" s="267" t="str">
        <f>CONCATENATE(IF(ISNUMBER(INDEX('register map'!D:D,C708)),7,""),IF(ISNUMBER(INDEX('register map'!E:E,C708)),6,""),IF(ISNUMBER(INDEX('register map'!F:F,C708)),5,""),IF(ISNUMBER(INDEX('register map'!G:G,C708)),4,""),IF(ISNUMBER(INDEX('register map'!H:H,C708)),3,""),IF(ISNUMBER(INDEX('register map'!I:I,C708)),2,""),IF(ISNUMBER(INDEX('register map'!J:J,C708)),1,""),IF(ISNUMBER(INDEX('register map'!K:K,C708)),0,""))</f>
        <v>54</v>
      </c>
      <c r="H708" s="267" t="str">
        <f>RIGHT(INDEX('register map'!V:V,MATCH('Logical Group Generator'!B708,'register map'!L:L,0)),LEN(G708))</f>
        <v>10</v>
      </c>
      <c r="I708" s="267" t="str">
        <f>CONCATENATE(IF(ISNUMBER(INDEX('register map'!K:K,C708)),0,""),IF(ISNUMBER(INDEX('register map'!J:J,C708)),1,""),IF(ISNUMBER(INDEX('register map'!I:I,C708)),2,""),IF(ISNUMBER(INDEX('register map'!H:H,C708)),3,""),IF(ISNUMBER(INDEX('register map'!G:G,C708)),4,""),IF(ISNUMBER(INDEX('register map'!F:F,C708)),5,""),IF(ISNUMBER(INDEX('register map'!E:E,C708)),6,""),IF(ISNUMBER(INDEX('register map'!D:D,C708)),7,""))</f>
        <v>45</v>
      </c>
      <c r="J708" s="267" t="str">
        <f t="shared" ref="J708:J715" si="128">MID(H708,20,1) &amp; MID(H708,19,1) &amp; MID(H708,18,1) &amp; MID(H708,17,1) &amp; MID(H708,16,1) &amp; MID(H708,15,1) &amp; MID(H708,14,1) &amp; MID(H708,13,1) &amp; MID(H708,12,1) &amp; MID(H708,11,1) &amp; MID(H708,10,1) &amp; MID(H708,9,1) &amp; MID(H708,8,1) &amp; MID(H708,7,1) &amp; MID(H708,6,1) &amp; MID(H708,5,1) &amp; MID(H708,4,1) &amp; MID(H708,3,1) &amp; MID(H708,2,1) &amp; MID(H708,1,1)</f>
        <v>01</v>
      </c>
      <c r="K708" s="267" t="str">
        <f t="shared" si="121"/>
        <v/>
      </c>
      <c r="L708" s="267" t="str">
        <f t="shared" ref="L708:L729" si="129">MID(K708,20,1) &amp; MID(K708,19,1) &amp; MID(K708,18,1) &amp; MID(K708,17,1) &amp; MID(K708,16,1) &amp; MID(K708,15,1) &amp; MID(K708,14,1) &amp; MID(K708,13,1) &amp; MID(K708,12,1) &amp; MID(K708,11,1) &amp; MID(K708,10,1) &amp; MID(K708,9,1) &amp; MID(K708,8,1) &amp; MID(K708,7,1) &amp; MID(K708,6,1) &amp; MID(K708,5,1) &amp; MID(K708,4,1) &amp; MID(K708,3,1) &amp; MID(K708,2,1) &amp; MID(K708,1,1)</f>
        <v/>
      </c>
      <c r="M708" s="267" t="str">
        <f t="shared" si="120"/>
        <v/>
      </c>
      <c r="N708" s="267" t="str">
        <f>IF(ISBLANK(INDEX('register map'!M:M,'Logical Group Generator'!C708)),"No","Yes")</f>
        <v>Yes</v>
      </c>
      <c r="O708" s="267" t="str">
        <f>IF(NOT(ISBLANK(INDEX('register map'!N:N,'Logical Group Generator'!C708))),"Yes","")</f>
        <v/>
      </c>
      <c r="P708" s="267" t="str">
        <f t="shared" si="122"/>
        <v/>
      </c>
      <c r="Q708" s="267" t="str">
        <f t="shared" si="123"/>
        <v/>
      </c>
      <c r="R708" s="267" t="str">
        <f t="shared" si="124"/>
        <v/>
      </c>
      <c r="S708" s="267" t="str">
        <f t="shared" si="125"/>
        <v>No</v>
      </c>
      <c r="T708" s="267" t="str">
        <f t="shared" si="126"/>
        <v/>
      </c>
      <c r="U708" s="267" t="b">
        <f t="shared" ref="U708:U729" si="130">OR(P708="No",S708="Yes")</f>
        <v>0</v>
      </c>
      <c r="V708" s="267" t="b">
        <f>INDEX('register map'!P:P,C708)="yes"</f>
        <v>1</v>
      </c>
      <c r="W708" s="267" t="str">
        <f t="shared" si="127"/>
        <v>FALSE</v>
      </c>
    </row>
    <row r="709" spans="2:23" s="267" customFormat="1">
      <c r="B709" s="267" t="str">
        <f t="array" ref="B709">IF(ROWS($3:709)&lt;=COUNTA('register map'!$L$5:$L$902),INDEX('register map'!$L$5:$L$902,SMALL(IF('register map'!$L$5:$L$902&lt;&gt;"",ROW('register map'!$L$5:$L$902)-MIN(ROW('register map'!$L$5:$L$902))+1),ROWS($3:709))),"")</f>
        <v>OTP_RSVD_38_53_76</v>
      </c>
      <c r="C709" s="267">
        <f>IF(B709="PART_NUMBER",IF(COUNTIF($B$1:B708,"PART_NUMBER")=0,6,8),MATCH(B709,'register map'!L:L,0))</f>
        <v>846</v>
      </c>
      <c r="D709" s="267" t="str">
        <f>IF(ISBLANK(INDEX('register map'!C:C,'Logical Group Generator'!C709)),"No","Yes")</f>
        <v>No</v>
      </c>
      <c r="E709" s="267" t="str">
        <f>IF(ISBLANK(INDEX('register map'!A:A,C709)),IF(ISBLANK(INDEX('register map'!A:A,C709-1)),IF(ISBLANK(INDEX('register map'!A:A,C709-2)),IF(ISBLANK(INDEX('register map'!A:A,C709-3)),IF(ISBLANK(INDEX('register map'!A:A,C709-4)),IF(ISBLANK(INDEX('register map'!A:A,C709-5)),IF(ISBLANK(INDEX('register map'!A:A,C709-6)),IF(ISBLANK(INDEX('register map'!A:A,C709-7)),IF(ISBLANK(INDEX('register map'!A:A,C709-8)),"ERROR",INDEX('register map'!A:A,C709-8)),INDEX('register map'!A:A,C709-7)),INDEX('register map'!A:A,C709-6)),INDEX('register map'!A:A,C709-5)),INDEX('register map'!A:A,C709-4)),INDEX('register map'!A:A,C709-3)),INDEX('register map'!A:A,C709-2)),INDEX('register map'!A:A,C709-1)),INDEX('register map'!A:A,C709))</f>
        <v>0x38</v>
      </c>
      <c r="F709" s="267" t="str">
        <f>IF(ISBLANK(INDEX('register map'!B:B,C709)),IF(ISBLANK(INDEX('register map'!B:B,C709-1)),IF(ISBLANK(INDEX('register map'!B:B,C709-2)),IF(ISBLANK(INDEX('register map'!B:B,C709-3)),IF(ISBLANK(INDEX('register map'!B:B,C709-4)),IF(ISBLANK(INDEX('register map'!B:B,C709-5)),IF(ISBLANK(INDEX('register map'!B:B,C709-6)),IF(ISBLANK(INDEX('register map'!B:B,C709-7)),IF(ISBLANK(INDEX('register map'!B:B,C709-8)),"ERROR",INDEX('register map'!B:B,C709-8)),INDEX('register map'!B:B,C709-7)),INDEX('register map'!B:B,C709-6)),INDEX('register map'!B:B,C709-5)),INDEX('register map'!B:B,C709-4)),INDEX('register map'!B:B,C709-3)),INDEX('register map'!B:B,C709-2)),INDEX('register map'!B:B,C709-1)),INDEX('register map'!B:B,C709))</f>
        <v>0x53</v>
      </c>
      <c r="G709" s="267" t="str">
        <f>CONCATENATE(IF(ISNUMBER(INDEX('register map'!D:D,C709)),7,""),IF(ISNUMBER(INDEX('register map'!E:E,C709)),6,""),IF(ISNUMBER(INDEX('register map'!F:F,C709)),5,""),IF(ISNUMBER(INDEX('register map'!G:G,C709)),4,""),IF(ISNUMBER(INDEX('register map'!H:H,C709)),3,""),IF(ISNUMBER(INDEX('register map'!I:I,C709)),2,""),IF(ISNUMBER(INDEX('register map'!J:J,C709)),1,""),IF(ISNUMBER(INDEX('register map'!K:K,C709)),0,""))</f>
        <v>76</v>
      </c>
      <c r="H709" s="267" t="str">
        <f>RIGHT(INDEX('register map'!V:V,MATCH('Logical Group Generator'!B709,'register map'!L:L,0)),LEN(G709))</f>
        <v>10</v>
      </c>
      <c r="I709" s="267" t="str">
        <f>CONCATENATE(IF(ISNUMBER(INDEX('register map'!K:K,C709)),0,""),IF(ISNUMBER(INDEX('register map'!J:J,C709)),1,""),IF(ISNUMBER(INDEX('register map'!I:I,C709)),2,""),IF(ISNUMBER(INDEX('register map'!H:H,C709)),3,""),IF(ISNUMBER(INDEX('register map'!G:G,C709)),4,""),IF(ISNUMBER(INDEX('register map'!F:F,C709)),5,""),IF(ISNUMBER(INDEX('register map'!E:E,C709)),6,""),IF(ISNUMBER(INDEX('register map'!D:D,C709)),7,""))</f>
        <v>67</v>
      </c>
      <c r="J709" s="267" t="str">
        <f t="shared" si="128"/>
        <v>01</v>
      </c>
      <c r="K709" s="267" t="str">
        <f t="shared" si="121"/>
        <v/>
      </c>
      <c r="L709" s="267" t="str">
        <f t="shared" si="129"/>
        <v/>
      </c>
      <c r="M709" s="267" t="str">
        <f t="shared" ref="M709:M729" si="131">IF(L709="","",BIN2HEX(L709,2))</f>
        <v/>
      </c>
      <c r="N709" s="267" t="str">
        <f>IF(ISBLANK(INDEX('register map'!M:M,'Logical Group Generator'!C709)),"No","Yes")</f>
        <v>Yes</v>
      </c>
      <c r="O709" s="267" t="str">
        <f>IF(NOT(ISBLANK(INDEX('register map'!N:N,'Logical Group Generator'!C709))),"Yes","")</f>
        <v/>
      </c>
      <c r="P709" s="267" t="str">
        <f t="shared" si="122"/>
        <v/>
      </c>
      <c r="Q709" s="267" t="str">
        <f t="shared" si="123"/>
        <v/>
      </c>
      <c r="R709" s="267" t="str">
        <f t="shared" si="124"/>
        <v/>
      </c>
      <c r="S709" s="267" t="str">
        <f t="shared" si="125"/>
        <v>No</v>
      </c>
      <c r="T709" s="267" t="str">
        <f t="shared" si="126"/>
        <v/>
      </c>
      <c r="U709" s="267" t="b">
        <f t="shared" si="130"/>
        <v>0</v>
      </c>
      <c r="V709" s="267" t="b">
        <f>INDEX('register map'!P:P,C709)="yes"</f>
        <v>1</v>
      </c>
      <c r="W709" s="267" t="str">
        <f t="shared" si="127"/>
        <v>FALSE</v>
      </c>
    </row>
    <row r="710" spans="2:23">
      <c r="B710" s="157" t="str">
        <f t="array" ref="B710">IF(ROWS($3:710)&lt;=COUNTA('register map'!$L$5:$L$902),INDEX('register map'!$L$5:$L$902,SMALL(IF('register map'!$L$5:$L$902&lt;&gt;"",ROW('register map'!$L$5:$L$902)-MIN(ROW('register map'!$L$5:$L$902))+1),ROWS($3:710))),"")</f>
        <v>OTP_RSVD_38_54</v>
      </c>
      <c r="C710" s="157">
        <f>IF(B710="PART_NUMBER",IF(COUNTIF($B$1:B709,"PART_NUMBER")=0,6,8),MATCH(B710,'register map'!L:L,0))</f>
        <v>847</v>
      </c>
      <c r="D710" s="117" t="str">
        <f>IF(ISBLANK(INDEX('register map'!C:C,'Logical Group Generator'!C710)),"No","Yes")</f>
        <v>Yes</v>
      </c>
      <c r="E710" s="117" t="str">
        <f>IF(ISBLANK(INDEX('register map'!A:A,C710)),IF(ISBLANK(INDEX('register map'!A:A,C710-1)),IF(ISBLANK(INDEX('register map'!A:A,C710-2)),IF(ISBLANK(INDEX('register map'!A:A,C710-3)),IF(ISBLANK(INDEX('register map'!A:A,C710-4)),IF(ISBLANK(INDEX('register map'!A:A,C710-5)),IF(ISBLANK(INDEX('register map'!A:A,C710-6)),IF(ISBLANK(INDEX('register map'!A:A,C710-7)),IF(ISBLANK(INDEX('register map'!A:A,C710-8)),"ERROR",INDEX('register map'!A:A,C710-8)),INDEX('register map'!A:A,C710-7)),INDEX('register map'!A:A,C710-6)),INDEX('register map'!A:A,C710-5)),INDEX('register map'!A:A,C710-4)),INDEX('register map'!A:A,C710-3)),INDEX('register map'!A:A,C710-2)),INDEX('register map'!A:A,C710-1)),INDEX('register map'!A:A,C710))</f>
        <v>0x38</v>
      </c>
      <c r="F710" s="117" t="str">
        <f>IF(ISBLANK(INDEX('register map'!B:B,C710)),IF(ISBLANK(INDEX('register map'!B:B,C710-1)),IF(ISBLANK(INDEX('register map'!B:B,C710-2)),IF(ISBLANK(INDEX('register map'!B:B,C710-3)),IF(ISBLANK(INDEX('register map'!B:B,C710-4)),IF(ISBLANK(INDEX('register map'!B:B,C710-5)),IF(ISBLANK(INDEX('register map'!B:B,C710-6)),IF(ISBLANK(INDEX('register map'!B:B,C710-7)),IF(ISBLANK(INDEX('register map'!B:B,C710-8)),"ERROR",INDEX('register map'!B:B,C710-8)),INDEX('register map'!B:B,C710-7)),INDEX('register map'!B:B,C710-6)),INDEX('register map'!B:B,C710-5)),INDEX('register map'!B:B,C710-4)),INDEX('register map'!B:B,C710-3)),INDEX('register map'!B:B,C710-2)),INDEX('register map'!B:B,C710-1)),INDEX('register map'!B:B,C710))</f>
        <v>0x54</v>
      </c>
      <c r="G710" s="117" t="str">
        <f>CONCATENATE(IF(ISNUMBER(INDEX('register map'!D:D,C710)),7,""),IF(ISNUMBER(INDEX('register map'!E:E,C710)),6,""),IF(ISNUMBER(INDEX('register map'!F:F,C710)),5,""),IF(ISNUMBER(INDEX('register map'!G:G,C710)),4,""),IF(ISNUMBER(INDEX('register map'!H:H,C710)),3,""),IF(ISNUMBER(INDEX('register map'!I:I,C710)),2,""),IF(ISNUMBER(INDEX('register map'!J:J,C710)),1,""),IF(ISNUMBER(INDEX('register map'!K:K,C710)),0,""))</f>
        <v/>
      </c>
      <c r="H710" s="117" t="str">
        <f>RIGHT(INDEX('register map'!V:V,MATCH('Logical Group Generator'!B710,'register map'!L:L,0)),LEN(G710))</f>
        <v/>
      </c>
      <c r="I710" s="117" t="str">
        <f>CONCATENATE(IF(ISNUMBER(INDEX('register map'!K:K,C710)),0,""),IF(ISNUMBER(INDEX('register map'!J:J,C710)),1,""),IF(ISNUMBER(INDEX('register map'!I:I,C710)),2,""),IF(ISNUMBER(INDEX('register map'!H:H,C710)),3,""),IF(ISNUMBER(INDEX('register map'!G:G,C710)),4,""),IF(ISNUMBER(INDEX('register map'!F:F,C710)),5,""),IF(ISNUMBER(INDEX('register map'!E:E,C710)),6,""),IF(ISNUMBER(INDEX('register map'!D:D,C710)),7,""))</f>
        <v/>
      </c>
      <c r="J710" s="117" t="str">
        <f t="shared" si="128"/>
        <v/>
      </c>
      <c r="K710" s="117" t="str">
        <f t="shared" si="121"/>
        <v>10010010</v>
      </c>
      <c r="L710" s="117" t="str">
        <f t="shared" si="129"/>
        <v>01001001</v>
      </c>
      <c r="M710" s="117" t="str">
        <f t="shared" si="131"/>
        <v>49</v>
      </c>
      <c r="N710" s="117" t="str">
        <f>IF(ISBLANK(INDEX('register map'!M:M,'Logical Group Generator'!C710)),"No","Yes")</f>
        <v>No</v>
      </c>
      <c r="O710" s="117" t="str">
        <f>IF(NOT(ISBLANK(INDEX('register map'!N:N,'Logical Group Generator'!C710))),"Yes","")</f>
        <v/>
      </c>
      <c r="P710" s="117" t="str">
        <f t="shared" si="122"/>
        <v>Yes</v>
      </c>
      <c r="Q710" s="117" t="str">
        <f t="shared" si="123"/>
        <v>Yes</v>
      </c>
      <c r="R710" s="117" t="str">
        <f t="shared" si="124"/>
        <v>No</v>
      </c>
      <c r="S710" s="117" t="str">
        <f t="shared" si="125"/>
        <v/>
      </c>
      <c r="T710" s="117" t="b">
        <f t="shared" si="126"/>
        <v>1</v>
      </c>
      <c r="U710" s="117" t="b">
        <f t="shared" si="130"/>
        <v>0</v>
      </c>
      <c r="V710" s="157" t="b">
        <f>INDEX('register map'!P:P,C710)="yes"</f>
        <v>1</v>
      </c>
      <c r="W710" s="157" t="str">
        <f t="shared" si="127"/>
        <v>FALSE</v>
      </c>
    </row>
    <row r="711" spans="2:23">
      <c r="B711" s="157" t="str">
        <f t="array" ref="B711">IF(ROWS($3:711)&lt;=COUNTA('register map'!$L$5:$L$902),INDEX('register map'!$L$5:$L$902,SMALL(IF('register map'!$L$5:$L$902&lt;&gt;"",ROW('register map'!$L$5:$L$902)-MIN(ROW('register map'!$L$5:$L$902))+1),ROWS($3:711))),"")</f>
        <v>OTP_RSVD_38_54_3210</v>
      </c>
      <c r="C711" s="157">
        <f>IF(B711="PART_NUMBER",IF(COUNTIF($B$1:B710,"PART_NUMBER")=0,6,8),MATCH(B711,'register map'!L:L,0))</f>
        <v>848</v>
      </c>
      <c r="D711" s="117" t="str">
        <f>IF(ISBLANK(INDEX('register map'!C:C,'Logical Group Generator'!C711)),"No","Yes")</f>
        <v>No</v>
      </c>
      <c r="E711" s="117" t="str">
        <f>IF(ISBLANK(INDEX('register map'!A:A,C711)),IF(ISBLANK(INDEX('register map'!A:A,C711-1)),IF(ISBLANK(INDEX('register map'!A:A,C711-2)),IF(ISBLANK(INDEX('register map'!A:A,C711-3)),IF(ISBLANK(INDEX('register map'!A:A,C711-4)),IF(ISBLANK(INDEX('register map'!A:A,C711-5)),IF(ISBLANK(INDEX('register map'!A:A,C711-6)),IF(ISBLANK(INDEX('register map'!A:A,C711-7)),IF(ISBLANK(INDEX('register map'!A:A,C711-8)),"ERROR",INDEX('register map'!A:A,C711-8)),INDEX('register map'!A:A,C711-7)),INDEX('register map'!A:A,C711-6)),INDEX('register map'!A:A,C711-5)),INDEX('register map'!A:A,C711-4)),INDEX('register map'!A:A,C711-3)),INDEX('register map'!A:A,C711-2)),INDEX('register map'!A:A,C711-1)),INDEX('register map'!A:A,C711))</f>
        <v>0x38</v>
      </c>
      <c r="F711" s="117" t="str">
        <f>IF(ISBLANK(INDEX('register map'!B:B,C711)),IF(ISBLANK(INDEX('register map'!B:B,C711-1)),IF(ISBLANK(INDEX('register map'!B:B,C711-2)),IF(ISBLANK(INDEX('register map'!B:B,C711-3)),IF(ISBLANK(INDEX('register map'!B:B,C711-4)),IF(ISBLANK(INDEX('register map'!B:B,C711-5)),IF(ISBLANK(INDEX('register map'!B:B,C711-6)),IF(ISBLANK(INDEX('register map'!B:B,C711-7)),IF(ISBLANK(INDEX('register map'!B:B,C711-8)),"ERROR",INDEX('register map'!B:B,C711-8)),INDEX('register map'!B:B,C711-7)),INDEX('register map'!B:B,C711-6)),INDEX('register map'!B:B,C711-5)),INDEX('register map'!B:B,C711-4)),INDEX('register map'!B:B,C711-3)),INDEX('register map'!B:B,C711-2)),INDEX('register map'!B:B,C711-1)),INDEX('register map'!B:B,C711))</f>
        <v>0x54</v>
      </c>
      <c r="G711" s="117" t="str">
        <f>CONCATENATE(IF(ISNUMBER(INDEX('register map'!D:D,C711)),7,""),IF(ISNUMBER(INDEX('register map'!E:E,C711)),6,""),IF(ISNUMBER(INDEX('register map'!F:F,C711)),5,""),IF(ISNUMBER(INDEX('register map'!G:G,C711)),4,""),IF(ISNUMBER(INDEX('register map'!H:H,C711)),3,""),IF(ISNUMBER(INDEX('register map'!I:I,C711)),2,""),IF(ISNUMBER(INDEX('register map'!J:J,C711)),1,""),IF(ISNUMBER(INDEX('register map'!K:K,C711)),0,""))</f>
        <v>3210</v>
      </c>
      <c r="H711" s="117" t="str">
        <f>RIGHT(INDEX('register map'!V:V,MATCH('Logical Group Generator'!B711,'register map'!L:L,0)),LEN(G711))</f>
        <v>1001</v>
      </c>
      <c r="I711" s="117" t="str">
        <f>CONCATENATE(IF(ISNUMBER(INDEX('register map'!K:K,C711)),0,""),IF(ISNUMBER(INDEX('register map'!J:J,C711)),1,""),IF(ISNUMBER(INDEX('register map'!I:I,C711)),2,""),IF(ISNUMBER(INDEX('register map'!H:H,C711)),3,""),IF(ISNUMBER(INDEX('register map'!G:G,C711)),4,""),IF(ISNUMBER(INDEX('register map'!F:F,C711)),5,""),IF(ISNUMBER(INDEX('register map'!E:E,C711)),6,""),IF(ISNUMBER(INDEX('register map'!D:D,C711)),7,""))</f>
        <v>0123</v>
      </c>
      <c r="J711" s="117" t="str">
        <f t="shared" si="128"/>
        <v>1001</v>
      </c>
      <c r="K711" s="117" t="str">
        <f t="shared" si="121"/>
        <v/>
      </c>
      <c r="L711" s="117" t="str">
        <f t="shared" si="129"/>
        <v/>
      </c>
      <c r="M711" s="117" t="str">
        <f t="shared" si="131"/>
        <v/>
      </c>
      <c r="N711" s="117" t="str">
        <f>IF(ISBLANK(INDEX('register map'!M:M,'Logical Group Generator'!C711)),"No","Yes")</f>
        <v>No</v>
      </c>
      <c r="O711" s="117" t="str">
        <f>IF(NOT(ISBLANK(INDEX('register map'!N:N,'Logical Group Generator'!C711))),"Yes","")</f>
        <v>Yes</v>
      </c>
      <c r="P711" s="117" t="str">
        <f t="shared" si="122"/>
        <v/>
      </c>
      <c r="Q711" s="117" t="str">
        <f t="shared" si="123"/>
        <v/>
      </c>
      <c r="R711" s="117" t="str">
        <f t="shared" si="124"/>
        <v/>
      </c>
      <c r="S711" s="117" t="str">
        <f t="shared" si="125"/>
        <v>No</v>
      </c>
      <c r="T711" s="117" t="str">
        <f t="shared" si="126"/>
        <v/>
      </c>
      <c r="U711" s="117" t="b">
        <f t="shared" si="130"/>
        <v>0</v>
      </c>
      <c r="V711" s="157" t="b">
        <f>INDEX('register map'!P:P,C711)="yes"</f>
        <v>1</v>
      </c>
      <c r="W711" s="157" t="str">
        <f t="shared" si="127"/>
        <v>FALSE</v>
      </c>
    </row>
    <row r="712" spans="2:23">
      <c r="B712" s="157" t="str">
        <f t="array" ref="B712">IF(ROWS($3:712)&lt;=COUNTA('register map'!$L$5:$L$902),INDEX('register map'!$L$5:$L$902,SMALL(IF('register map'!$L$5:$L$902&lt;&gt;"",ROW('register map'!$L$5:$L$902)-MIN(ROW('register map'!$L$5:$L$902))+1),ROWS($3:712))),"")</f>
        <v>OTP_RSVD_38_54_654</v>
      </c>
      <c r="C712" s="157">
        <f>IF(B712="PART_NUMBER",IF(COUNTIF($B$1:B711,"PART_NUMBER")=0,6,8),MATCH(B712,'register map'!L:L,0))</f>
        <v>849</v>
      </c>
      <c r="D712" s="117" t="str">
        <f>IF(ISBLANK(INDEX('register map'!C:C,'Logical Group Generator'!C712)),"No","Yes")</f>
        <v>No</v>
      </c>
      <c r="E712" s="117" t="str">
        <f>IF(ISBLANK(INDEX('register map'!A:A,C712)),IF(ISBLANK(INDEX('register map'!A:A,C712-1)),IF(ISBLANK(INDEX('register map'!A:A,C712-2)),IF(ISBLANK(INDEX('register map'!A:A,C712-3)),IF(ISBLANK(INDEX('register map'!A:A,C712-4)),IF(ISBLANK(INDEX('register map'!A:A,C712-5)),IF(ISBLANK(INDEX('register map'!A:A,C712-6)),IF(ISBLANK(INDEX('register map'!A:A,C712-7)),IF(ISBLANK(INDEX('register map'!A:A,C712-8)),"ERROR",INDEX('register map'!A:A,C712-8)),INDEX('register map'!A:A,C712-7)),INDEX('register map'!A:A,C712-6)),INDEX('register map'!A:A,C712-5)),INDEX('register map'!A:A,C712-4)),INDEX('register map'!A:A,C712-3)),INDEX('register map'!A:A,C712-2)),INDEX('register map'!A:A,C712-1)),INDEX('register map'!A:A,C712))</f>
        <v>0x38</v>
      </c>
      <c r="F712" s="117" t="str">
        <f>IF(ISBLANK(INDEX('register map'!B:B,C712)),IF(ISBLANK(INDEX('register map'!B:B,C712-1)),IF(ISBLANK(INDEX('register map'!B:B,C712-2)),IF(ISBLANK(INDEX('register map'!B:B,C712-3)),IF(ISBLANK(INDEX('register map'!B:B,C712-4)),IF(ISBLANK(INDEX('register map'!B:B,C712-5)),IF(ISBLANK(INDEX('register map'!B:B,C712-6)),IF(ISBLANK(INDEX('register map'!B:B,C712-7)),IF(ISBLANK(INDEX('register map'!B:B,C712-8)),"ERROR",INDEX('register map'!B:B,C712-8)),INDEX('register map'!B:B,C712-7)),INDEX('register map'!B:B,C712-6)),INDEX('register map'!B:B,C712-5)),INDEX('register map'!B:B,C712-4)),INDEX('register map'!B:B,C712-3)),INDEX('register map'!B:B,C712-2)),INDEX('register map'!B:B,C712-1)),INDEX('register map'!B:B,C712))</f>
        <v>0x54</v>
      </c>
      <c r="G712" s="117" t="str">
        <f>CONCATENATE(IF(ISNUMBER(INDEX('register map'!D:D,C712)),7,""),IF(ISNUMBER(INDEX('register map'!E:E,C712)),6,""),IF(ISNUMBER(INDEX('register map'!F:F,C712)),5,""),IF(ISNUMBER(INDEX('register map'!G:G,C712)),4,""),IF(ISNUMBER(INDEX('register map'!H:H,C712)),3,""),IF(ISNUMBER(INDEX('register map'!I:I,C712)),2,""),IF(ISNUMBER(INDEX('register map'!J:J,C712)),1,""),IF(ISNUMBER(INDEX('register map'!K:K,C712)),0,""))</f>
        <v>654</v>
      </c>
      <c r="H712" s="117" t="str">
        <f>RIGHT(INDEX('register map'!V:V,MATCH('Logical Group Generator'!B712,'register map'!L:L,0)),LEN(G712))</f>
        <v>100</v>
      </c>
      <c r="I712" s="117" t="str">
        <f>CONCATENATE(IF(ISNUMBER(INDEX('register map'!K:K,C712)),0,""),IF(ISNUMBER(INDEX('register map'!J:J,C712)),1,""),IF(ISNUMBER(INDEX('register map'!I:I,C712)),2,""),IF(ISNUMBER(INDEX('register map'!H:H,C712)),3,""),IF(ISNUMBER(INDEX('register map'!G:G,C712)),4,""),IF(ISNUMBER(INDEX('register map'!F:F,C712)),5,""),IF(ISNUMBER(INDEX('register map'!E:E,C712)),6,""),IF(ISNUMBER(INDEX('register map'!D:D,C712)),7,""))</f>
        <v>456</v>
      </c>
      <c r="J712" s="117" t="str">
        <f t="shared" si="128"/>
        <v>001</v>
      </c>
      <c r="K712" s="117" t="str">
        <f t="shared" si="121"/>
        <v/>
      </c>
      <c r="L712" s="117" t="str">
        <f t="shared" si="129"/>
        <v/>
      </c>
      <c r="M712" s="117" t="str">
        <f t="shared" si="131"/>
        <v/>
      </c>
      <c r="N712" s="117" t="str">
        <f>IF(ISBLANK(INDEX('register map'!M:M,'Logical Group Generator'!C712)),"No","Yes")</f>
        <v>Yes</v>
      </c>
      <c r="O712" s="117" t="str">
        <f>IF(NOT(ISBLANK(INDEX('register map'!N:N,'Logical Group Generator'!C712))),"Yes","")</f>
        <v/>
      </c>
      <c r="P712" s="117" t="str">
        <f t="shared" si="122"/>
        <v/>
      </c>
      <c r="Q712" s="117" t="str">
        <f t="shared" si="123"/>
        <v/>
      </c>
      <c r="R712" s="117" t="str">
        <f t="shared" si="124"/>
        <v/>
      </c>
      <c r="S712" s="117" t="str">
        <f t="shared" si="125"/>
        <v>No</v>
      </c>
      <c r="T712" s="117" t="str">
        <f t="shared" si="126"/>
        <v/>
      </c>
      <c r="U712" s="117" t="b">
        <f t="shared" si="130"/>
        <v>0</v>
      </c>
      <c r="V712" s="157" t="b">
        <f>INDEX('register map'!P:P,C712)="yes"</f>
        <v>1</v>
      </c>
      <c r="W712" s="157" t="str">
        <f t="shared" si="127"/>
        <v>FALSE</v>
      </c>
    </row>
    <row r="713" spans="2:23">
      <c r="B713" s="157" t="str">
        <f t="array" ref="B713">IF(ROWS($3:713)&lt;=COUNTA('register map'!$L$5:$L$902),INDEX('register map'!$L$5:$L$902,SMALL(IF('register map'!$L$5:$L$902&lt;&gt;"",ROW('register map'!$L$5:$L$902)-MIN(ROW('register map'!$L$5:$L$902))+1),ROWS($3:713))),"")</f>
        <v>OTP_RSVD_38_54_7</v>
      </c>
      <c r="C713" s="157">
        <f>IF(B713="PART_NUMBER",IF(COUNTIF($B$1:B712,"PART_NUMBER")=0,6,8),MATCH(B713,'register map'!L:L,0))</f>
        <v>850</v>
      </c>
      <c r="D713" s="117" t="str">
        <f>IF(ISBLANK(INDEX('register map'!C:C,'Logical Group Generator'!C713)),"No","Yes")</f>
        <v>No</v>
      </c>
      <c r="E713" s="117" t="str">
        <f>IF(ISBLANK(INDEX('register map'!A:A,C713)),IF(ISBLANK(INDEX('register map'!A:A,C713-1)),IF(ISBLANK(INDEX('register map'!A:A,C713-2)),IF(ISBLANK(INDEX('register map'!A:A,C713-3)),IF(ISBLANK(INDEX('register map'!A:A,C713-4)),IF(ISBLANK(INDEX('register map'!A:A,C713-5)),IF(ISBLANK(INDEX('register map'!A:A,C713-6)),IF(ISBLANK(INDEX('register map'!A:A,C713-7)),IF(ISBLANK(INDEX('register map'!A:A,C713-8)),"ERROR",INDEX('register map'!A:A,C713-8)),INDEX('register map'!A:A,C713-7)),INDEX('register map'!A:A,C713-6)),INDEX('register map'!A:A,C713-5)),INDEX('register map'!A:A,C713-4)),INDEX('register map'!A:A,C713-3)),INDEX('register map'!A:A,C713-2)),INDEX('register map'!A:A,C713-1)),INDEX('register map'!A:A,C713))</f>
        <v>0x38</v>
      </c>
      <c r="F713" s="117" t="str">
        <f>IF(ISBLANK(INDEX('register map'!B:B,C713)),IF(ISBLANK(INDEX('register map'!B:B,C713-1)),IF(ISBLANK(INDEX('register map'!B:B,C713-2)),IF(ISBLANK(INDEX('register map'!B:B,C713-3)),IF(ISBLANK(INDEX('register map'!B:B,C713-4)),IF(ISBLANK(INDEX('register map'!B:B,C713-5)),IF(ISBLANK(INDEX('register map'!B:B,C713-6)),IF(ISBLANK(INDEX('register map'!B:B,C713-7)),IF(ISBLANK(INDEX('register map'!B:B,C713-8)),"ERROR",INDEX('register map'!B:B,C713-8)),INDEX('register map'!B:B,C713-7)),INDEX('register map'!B:B,C713-6)),INDEX('register map'!B:B,C713-5)),INDEX('register map'!B:B,C713-4)),INDEX('register map'!B:B,C713-3)),INDEX('register map'!B:B,C713-2)),INDEX('register map'!B:B,C713-1)),INDEX('register map'!B:B,C713))</f>
        <v>0x54</v>
      </c>
      <c r="G713" s="117" t="str">
        <f>CONCATENATE(IF(ISNUMBER(INDEX('register map'!D:D,C713)),7,""),IF(ISNUMBER(INDEX('register map'!E:E,C713)),6,""),IF(ISNUMBER(INDEX('register map'!F:F,C713)),5,""),IF(ISNUMBER(INDEX('register map'!G:G,C713)),4,""),IF(ISNUMBER(INDEX('register map'!H:H,C713)),3,""),IF(ISNUMBER(INDEX('register map'!I:I,C713)),2,""),IF(ISNUMBER(INDEX('register map'!J:J,C713)),1,""),IF(ISNUMBER(INDEX('register map'!K:K,C713)),0,""))</f>
        <v>7</v>
      </c>
      <c r="H713" s="117" t="str">
        <f>RIGHT(INDEX('register map'!V:V,MATCH('Logical Group Generator'!B713,'register map'!L:L,0)),LEN(G713))</f>
        <v>0</v>
      </c>
      <c r="I713" s="117" t="str">
        <f>CONCATENATE(IF(ISNUMBER(INDEX('register map'!K:K,C713)),0,""),IF(ISNUMBER(INDEX('register map'!J:J,C713)),1,""),IF(ISNUMBER(INDEX('register map'!I:I,C713)),2,""),IF(ISNUMBER(INDEX('register map'!H:H,C713)),3,""),IF(ISNUMBER(INDEX('register map'!G:G,C713)),4,""),IF(ISNUMBER(INDEX('register map'!F:F,C713)),5,""),IF(ISNUMBER(INDEX('register map'!E:E,C713)),6,""),IF(ISNUMBER(INDEX('register map'!D:D,C713)),7,""))</f>
        <v>7</v>
      </c>
      <c r="J713" s="117" t="str">
        <f t="shared" si="128"/>
        <v>0</v>
      </c>
      <c r="K713" s="117" t="str">
        <f t="shared" si="121"/>
        <v/>
      </c>
      <c r="L713" s="117" t="str">
        <f t="shared" si="129"/>
        <v/>
      </c>
      <c r="M713" s="117" t="str">
        <f t="shared" si="131"/>
        <v/>
      </c>
      <c r="N713" s="117" t="str">
        <f>IF(ISBLANK(INDEX('register map'!M:M,'Logical Group Generator'!C713)),"No","Yes")</f>
        <v>No</v>
      </c>
      <c r="O713" s="117" t="str">
        <f>IF(NOT(ISBLANK(INDEX('register map'!N:N,'Logical Group Generator'!C713))),"Yes","")</f>
        <v>Yes</v>
      </c>
      <c r="P713" s="117" t="str">
        <f t="shared" si="122"/>
        <v/>
      </c>
      <c r="Q713" s="117" t="str">
        <f t="shared" si="123"/>
        <v/>
      </c>
      <c r="R713" s="117" t="str">
        <f t="shared" si="124"/>
        <v/>
      </c>
      <c r="S713" s="117" t="str">
        <f t="shared" si="125"/>
        <v>No</v>
      </c>
      <c r="T713" s="117" t="str">
        <f t="shared" si="126"/>
        <v/>
      </c>
      <c r="U713" s="117" t="b">
        <f t="shared" si="130"/>
        <v>0</v>
      </c>
      <c r="V713" s="157" t="b">
        <f>INDEX('register map'!P:P,C713)="yes"</f>
        <v>1</v>
      </c>
      <c r="W713" s="157" t="str">
        <f t="shared" si="127"/>
        <v>FALSE</v>
      </c>
    </row>
    <row r="714" spans="2:23">
      <c r="B714" s="157" t="str">
        <f t="array" ref="B714">IF(ROWS($3:714)&lt;=COUNTA('register map'!$L$5:$L$902),INDEX('register map'!$L$5:$L$902,SMALL(IF('register map'!$L$5:$L$902&lt;&gt;"",ROW('register map'!$L$5:$L$902)-MIN(ROW('register map'!$L$5:$L$902))+1),ROWS($3:714))),"")</f>
        <v>OTP_RSVD_38_55</v>
      </c>
      <c r="C714" s="157">
        <f>IF(B714="PART_NUMBER",IF(COUNTIF($B$1:B713,"PART_NUMBER")=0,6,8),MATCH(B714,'register map'!L:L,0))</f>
        <v>851</v>
      </c>
      <c r="D714" s="117" t="str">
        <f>IF(ISBLANK(INDEX('register map'!C:C,'Logical Group Generator'!C714)),"No","Yes")</f>
        <v>Yes</v>
      </c>
      <c r="E714" s="117" t="str">
        <f>IF(ISBLANK(INDEX('register map'!A:A,C714)),IF(ISBLANK(INDEX('register map'!A:A,C714-1)),IF(ISBLANK(INDEX('register map'!A:A,C714-2)),IF(ISBLANK(INDEX('register map'!A:A,C714-3)),IF(ISBLANK(INDEX('register map'!A:A,C714-4)),IF(ISBLANK(INDEX('register map'!A:A,C714-5)),IF(ISBLANK(INDEX('register map'!A:A,C714-6)),IF(ISBLANK(INDEX('register map'!A:A,C714-7)),IF(ISBLANK(INDEX('register map'!A:A,C714-8)),"ERROR",INDEX('register map'!A:A,C714-8)),INDEX('register map'!A:A,C714-7)),INDEX('register map'!A:A,C714-6)),INDEX('register map'!A:A,C714-5)),INDEX('register map'!A:A,C714-4)),INDEX('register map'!A:A,C714-3)),INDEX('register map'!A:A,C714-2)),INDEX('register map'!A:A,C714-1)),INDEX('register map'!A:A,C714))</f>
        <v>0x38</v>
      </c>
      <c r="F714" s="117" t="str">
        <f>IF(ISBLANK(INDEX('register map'!B:B,C714)),IF(ISBLANK(INDEX('register map'!B:B,C714-1)),IF(ISBLANK(INDEX('register map'!B:B,C714-2)),IF(ISBLANK(INDEX('register map'!B:B,C714-3)),IF(ISBLANK(INDEX('register map'!B:B,C714-4)),IF(ISBLANK(INDEX('register map'!B:B,C714-5)),IF(ISBLANK(INDEX('register map'!B:B,C714-6)),IF(ISBLANK(INDEX('register map'!B:B,C714-7)),IF(ISBLANK(INDEX('register map'!B:B,C714-8)),"ERROR",INDEX('register map'!B:B,C714-8)),INDEX('register map'!B:B,C714-7)),INDEX('register map'!B:B,C714-6)),INDEX('register map'!B:B,C714-5)),INDEX('register map'!B:B,C714-4)),INDEX('register map'!B:B,C714-3)),INDEX('register map'!B:B,C714-2)),INDEX('register map'!B:B,C714-1)),INDEX('register map'!B:B,C714))</f>
        <v>0x55</v>
      </c>
      <c r="G714" s="117" t="str">
        <f>CONCATENATE(IF(ISNUMBER(INDEX('register map'!D:D,C714)),7,""),IF(ISNUMBER(INDEX('register map'!E:E,C714)),6,""),IF(ISNUMBER(INDEX('register map'!F:F,C714)),5,""),IF(ISNUMBER(INDEX('register map'!G:G,C714)),4,""),IF(ISNUMBER(INDEX('register map'!H:H,C714)),3,""),IF(ISNUMBER(INDEX('register map'!I:I,C714)),2,""),IF(ISNUMBER(INDEX('register map'!J:J,C714)),1,""),IF(ISNUMBER(INDEX('register map'!K:K,C714)),0,""))</f>
        <v/>
      </c>
      <c r="H714" s="117" t="str">
        <f>RIGHT(INDEX('register map'!V:V,MATCH('Logical Group Generator'!B714,'register map'!L:L,0)),LEN(G714))</f>
        <v/>
      </c>
      <c r="I714" s="117" t="str">
        <f>CONCATENATE(IF(ISNUMBER(INDEX('register map'!K:K,C714)),0,""),IF(ISNUMBER(INDEX('register map'!J:J,C714)),1,""),IF(ISNUMBER(INDEX('register map'!I:I,C714)),2,""),IF(ISNUMBER(INDEX('register map'!H:H,C714)),3,""),IF(ISNUMBER(INDEX('register map'!G:G,C714)),4,""),IF(ISNUMBER(INDEX('register map'!F:F,C714)),5,""),IF(ISNUMBER(INDEX('register map'!E:E,C714)),6,""),IF(ISNUMBER(INDEX('register map'!D:D,C714)),7,""))</f>
        <v/>
      </c>
      <c r="J714" s="117" t="str">
        <f t="shared" si="128"/>
        <v/>
      </c>
      <c r="K714" s="117" t="str">
        <f t="shared" si="121"/>
        <v>00001000</v>
      </c>
      <c r="L714" s="117" t="str">
        <f t="shared" si="129"/>
        <v>00010000</v>
      </c>
      <c r="M714" s="117" t="str">
        <f t="shared" si="131"/>
        <v>10</v>
      </c>
      <c r="N714" s="117" t="str">
        <f>IF(ISBLANK(INDEX('register map'!M:M,'Logical Group Generator'!C714)),"No","Yes")</f>
        <v>No</v>
      </c>
      <c r="O714" s="117" t="str">
        <f>IF(NOT(ISBLANK(INDEX('register map'!N:N,'Logical Group Generator'!C714))),"Yes","")</f>
        <v/>
      </c>
      <c r="P714" s="117" t="str">
        <f t="shared" si="122"/>
        <v>Yes</v>
      </c>
      <c r="Q714" s="117" t="str">
        <f t="shared" si="123"/>
        <v>Yes</v>
      </c>
      <c r="R714" s="117" t="str">
        <f t="shared" si="124"/>
        <v>No</v>
      </c>
      <c r="S714" s="117" t="str">
        <f t="shared" si="125"/>
        <v/>
      </c>
      <c r="T714" s="117" t="b">
        <f t="shared" si="126"/>
        <v>1</v>
      </c>
      <c r="U714" s="117" t="b">
        <f t="shared" si="130"/>
        <v>0</v>
      </c>
      <c r="V714" s="157" t="b">
        <f>INDEX('register map'!P:P,C714)="yes"</f>
        <v>1</v>
      </c>
      <c r="W714" s="157" t="str">
        <f t="shared" si="127"/>
        <v>FALSE</v>
      </c>
    </row>
    <row r="715" spans="2:23">
      <c r="B715" s="157" t="str">
        <f t="array" ref="B715">IF(ROWS($3:715)&lt;=COUNTA('register map'!$L$5:$L$902),INDEX('register map'!$L$5:$L$902,SMALL(IF('register map'!$L$5:$L$902&lt;&gt;"",ROW('register map'!$L$5:$L$902)-MIN(ROW('register map'!$L$5:$L$902))+1),ROWS($3:715))),"")</f>
        <v>OTP_RSVD_38_55_43210</v>
      </c>
      <c r="C715" s="157">
        <f>IF(B715="PART_NUMBER",IF(COUNTIF($B$1:B714,"PART_NUMBER")=0,6,8),MATCH(B715,'register map'!L:L,0))</f>
        <v>852</v>
      </c>
      <c r="D715" s="117" t="str">
        <f>IF(ISBLANK(INDEX('register map'!C:C,'Logical Group Generator'!C715)),"No","Yes")</f>
        <v>No</v>
      </c>
      <c r="E715" s="117" t="str">
        <f>IF(ISBLANK(INDEX('register map'!A:A,C715)),IF(ISBLANK(INDEX('register map'!A:A,C715-1)),IF(ISBLANK(INDEX('register map'!A:A,C715-2)),IF(ISBLANK(INDEX('register map'!A:A,C715-3)),IF(ISBLANK(INDEX('register map'!A:A,C715-4)),IF(ISBLANK(INDEX('register map'!A:A,C715-5)),IF(ISBLANK(INDEX('register map'!A:A,C715-6)),IF(ISBLANK(INDEX('register map'!A:A,C715-7)),IF(ISBLANK(INDEX('register map'!A:A,C715-8)),"ERROR",INDEX('register map'!A:A,C715-8)),INDEX('register map'!A:A,C715-7)),INDEX('register map'!A:A,C715-6)),INDEX('register map'!A:A,C715-5)),INDEX('register map'!A:A,C715-4)),INDEX('register map'!A:A,C715-3)),INDEX('register map'!A:A,C715-2)),INDEX('register map'!A:A,C715-1)),INDEX('register map'!A:A,C715))</f>
        <v>0x38</v>
      </c>
      <c r="F715" s="117" t="str">
        <f>IF(ISBLANK(INDEX('register map'!B:B,C715)),IF(ISBLANK(INDEX('register map'!B:B,C715-1)),IF(ISBLANK(INDEX('register map'!B:B,C715-2)),IF(ISBLANK(INDEX('register map'!B:B,C715-3)),IF(ISBLANK(INDEX('register map'!B:B,C715-4)),IF(ISBLANK(INDEX('register map'!B:B,C715-5)),IF(ISBLANK(INDEX('register map'!B:B,C715-6)),IF(ISBLANK(INDEX('register map'!B:B,C715-7)),IF(ISBLANK(INDEX('register map'!B:B,C715-8)),"ERROR",INDEX('register map'!B:B,C715-8)),INDEX('register map'!B:B,C715-7)),INDEX('register map'!B:B,C715-6)),INDEX('register map'!B:B,C715-5)),INDEX('register map'!B:B,C715-4)),INDEX('register map'!B:B,C715-3)),INDEX('register map'!B:B,C715-2)),INDEX('register map'!B:B,C715-1)),INDEX('register map'!B:B,C715))</f>
        <v>0x55</v>
      </c>
      <c r="G715" s="117" t="str">
        <f>CONCATENATE(IF(ISNUMBER(INDEX('register map'!D:D,C715)),7,""),IF(ISNUMBER(INDEX('register map'!E:E,C715)),6,""),IF(ISNUMBER(INDEX('register map'!F:F,C715)),5,""),IF(ISNUMBER(INDEX('register map'!G:G,C715)),4,""),IF(ISNUMBER(INDEX('register map'!H:H,C715)),3,""),IF(ISNUMBER(INDEX('register map'!I:I,C715)),2,""),IF(ISNUMBER(INDEX('register map'!J:J,C715)),1,""),IF(ISNUMBER(INDEX('register map'!K:K,C715)),0,""))</f>
        <v>43210</v>
      </c>
      <c r="H715" s="117" t="str">
        <f>RIGHT(INDEX('register map'!V:V,MATCH('Logical Group Generator'!B715,'register map'!L:L,0)),LEN(G715))</f>
        <v>10000</v>
      </c>
      <c r="I715" s="117" t="str">
        <f>CONCATENATE(IF(ISNUMBER(INDEX('register map'!K:K,C715)),0,""),IF(ISNUMBER(INDEX('register map'!J:J,C715)),1,""),IF(ISNUMBER(INDEX('register map'!I:I,C715)),2,""),IF(ISNUMBER(INDEX('register map'!H:H,C715)),3,""),IF(ISNUMBER(INDEX('register map'!G:G,C715)),4,""),IF(ISNUMBER(INDEX('register map'!F:F,C715)),5,""),IF(ISNUMBER(INDEX('register map'!E:E,C715)),6,""),IF(ISNUMBER(INDEX('register map'!D:D,C715)),7,""))</f>
        <v>01234</v>
      </c>
      <c r="J715" s="117" t="str">
        <f t="shared" si="128"/>
        <v>00001</v>
      </c>
      <c r="K715" s="117" t="str">
        <f t="shared" si="121"/>
        <v/>
      </c>
      <c r="L715" s="117" t="str">
        <f t="shared" si="129"/>
        <v/>
      </c>
      <c r="M715" s="117" t="str">
        <f t="shared" si="131"/>
        <v/>
      </c>
      <c r="N715" s="117" t="str">
        <f>IF(ISBLANK(INDEX('register map'!M:M,'Logical Group Generator'!C715)),"No","Yes")</f>
        <v>Yes</v>
      </c>
      <c r="O715" s="117" t="str">
        <f>IF(NOT(ISBLANK(INDEX('register map'!N:N,'Logical Group Generator'!C715))),"Yes","")</f>
        <v/>
      </c>
      <c r="P715" s="117" t="str">
        <f t="shared" si="122"/>
        <v/>
      </c>
      <c r="Q715" s="117" t="str">
        <f t="shared" si="123"/>
        <v/>
      </c>
      <c r="R715" s="117" t="str">
        <f t="shared" si="124"/>
        <v/>
      </c>
      <c r="S715" s="117" t="str">
        <f t="shared" si="125"/>
        <v>No</v>
      </c>
      <c r="T715" s="117" t="str">
        <f t="shared" si="126"/>
        <v/>
      </c>
      <c r="U715" s="117" t="b">
        <f t="shared" si="130"/>
        <v>0</v>
      </c>
      <c r="V715" s="157" t="b">
        <f>INDEX('register map'!P:P,C715)="yes"</f>
        <v>1</v>
      </c>
      <c r="W715" s="157" t="str">
        <f t="shared" si="127"/>
        <v>FALSE</v>
      </c>
    </row>
    <row r="716" spans="2:23">
      <c r="B716" s="157" t="str">
        <f t="array" ref="B716">IF(ROWS($3:716)&lt;=COUNTA('register map'!$L$5:$L$902),INDEX('register map'!$L$5:$L$902,SMALL(IF('register map'!$L$5:$L$902&lt;&gt;"",ROW('register map'!$L$5:$L$902)-MIN(ROW('register map'!$L$5:$L$902))+1),ROWS($3:716))),"")</f>
        <v>OTP_RSVD_38_55_765</v>
      </c>
      <c r="C716" s="157">
        <f>IF(B716="PART_NUMBER",IF(COUNTIF($B$1:B715,"PART_NUMBER")=0,6,8),MATCH(B716,'register map'!L:L,0))</f>
        <v>853</v>
      </c>
      <c r="D716" s="117" t="str">
        <f>IF(ISBLANK(INDEX('register map'!C:C,'Logical Group Generator'!C716)),"No","Yes")</f>
        <v>No</v>
      </c>
      <c r="E716" s="117" t="str">
        <f>IF(ISBLANK(INDEX('register map'!A:A,C716)),IF(ISBLANK(INDEX('register map'!A:A,C716-1)),IF(ISBLANK(INDEX('register map'!A:A,C716-2)),IF(ISBLANK(INDEX('register map'!A:A,C716-3)),IF(ISBLANK(INDEX('register map'!A:A,C716-4)),IF(ISBLANK(INDEX('register map'!A:A,C716-5)),IF(ISBLANK(INDEX('register map'!A:A,C716-6)),IF(ISBLANK(INDEX('register map'!A:A,C716-7)),IF(ISBLANK(INDEX('register map'!A:A,C716-8)),"ERROR",INDEX('register map'!A:A,C716-8)),INDEX('register map'!A:A,C716-7)),INDEX('register map'!A:A,C716-6)),INDEX('register map'!A:A,C716-5)),INDEX('register map'!A:A,C716-4)),INDEX('register map'!A:A,C716-3)),INDEX('register map'!A:A,C716-2)),INDEX('register map'!A:A,C716-1)),INDEX('register map'!A:A,C716))</f>
        <v>0x38</v>
      </c>
      <c r="F716" s="117" t="str">
        <f>IF(ISBLANK(INDEX('register map'!B:B,C716)),IF(ISBLANK(INDEX('register map'!B:B,C716-1)),IF(ISBLANK(INDEX('register map'!B:B,C716-2)),IF(ISBLANK(INDEX('register map'!B:B,C716-3)),IF(ISBLANK(INDEX('register map'!B:B,C716-4)),IF(ISBLANK(INDEX('register map'!B:B,C716-5)),IF(ISBLANK(INDEX('register map'!B:B,C716-6)),IF(ISBLANK(INDEX('register map'!B:B,C716-7)),IF(ISBLANK(INDEX('register map'!B:B,C716-8)),"ERROR",INDEX('register map'!B:B,C716-8)),INDEX('register map'!B:B,C716-7)),INDEX('register map'!B:B,C716-6)),INDEX('register map'!B:B,C716-5)),INDEX('register map'!B:B,C716-4)),INDEX('register map'!B:B,C716-3)),INDEX('register map'!B:B,C716-2)),INDEX('register map'!B:B,C716-1)),INDEX('register map'!B:B,C716))</f>
        <v>0x55</v>
      </c>
      <c r="G716" s="117" t="str">
        <f>CONCATENATE(IF(ISNUMBER(INDEX('register map'!D:D,C716)),7,""),IF(ISNUMBER(INDEX('register map'!E:E,C716)),6,""),IF(ISNUMBER(INDEX('register map'!F:F,C716)),5,""),IF(ISNUMBER(INDEX('register map'!G:G,C716)),4,""),IF(ISNUMBER(INDEX('register map'!H:H,C716)),3,""),IF(ISNUMBER(INDEX('register map'!I:I,C716)),2,""),IF(ISNUMBER(INDEX('register map'!J:J,C716)),1,""),IF(ISNUMBER(INDEX('register map'!K:K,C716)),0,""))</f>
        <v>765</v>
      </c>
      <c r="H716" s="117" t="str">
        <f>RIGHT(INDEX('register map'!V:V,MATCH('Logical Group Generator'!B716,'register map'!L:L,0)),LEN(G716))</f>
        <v>000</v>
      </c>
      <c r="I716" s="117" t="str">
        <f>CONCATENATE(IF(ISNUMBER(INDEX('register map'!K:K,C716)),0,""),IF(ISNUMBER(INDEX('register map'!J:J,C716)),1,""),IF(ISNUMBER(INDEX('register map'!I:I,C716)),2,""),IF(ISNUMBER(INDEX('register map'!H:H,C716)),3,""),IF(ISNUMBER(INDEX('register map'!G:G,C716)),4,""),IF(ISNUMBER(INDEX('register map'!F:F,C716)),5,""),IF(ISNUMBER(INDEX('register map'!E:E,C716)),6,""),IF(ISNUMBER(INDEX('register map'!D:D,C716)),7,""))</f>
        <v>567</v>
      </c>
      <c r="J716" s="117" t="str">
        <f t="shared" ref="J716:J729" si="132">MID(H716,20,1) &amp; MID(H716,19,1) &amp; MID(H716,18,1) &amp; MID(H716,17,1) &amp; MID(H716,16,1) &amp; MID(H716,15,1) &amp; MID(H716,14,1) &amp; MID(H716,13,1) &amp; MID(H716,12,1) &amp; MID(H716,11,1) &amp; MID(H716,10,1) &amp; MID(H716,9,1) &amp; MID(H716,8,1) &amp; MID(H716,7,1) &amp; MID(H716,6,1) &amp; MID(H716,5,1) &amp; MID(H716,4,1) &amp; MID(H716,3,1) &amp; MID(H716,2,1) &amp; MID(H716,1,1)</f>
        <v>000</v>
      </c>
      <c r="K716" s="117" t="str">
        <f t="shared" si="121"/>
        <v/>
      </c>
      <c r="L716" s="117" t="str">
        <f t="shared" si="129"/>
        <v/>
      </c>
      <c r="M716" s="117" t="str">
        <f t="shared" si="131"/>
        <v/>
      </c>
      <c r="N716" s="117" t="str">
        <f>IF(ISBLANK(INDEX('register map'!M:M,'Logical Group Generator'!C716)),"No","Yes")</f>
        <v>No</v>
      </c>
      <c r="O716" s="117" t="str">
        <f>IF(NOT(ISBLANK(INDEX('register map'!N:N,'Logical Group Generator'!C716))),"Yes","")</f>
        <v>Yes</v>
      </c>
      <c r="P716" s="117" t="str">
        <f t="shared" si="122"/>
        <v/>
      </c>
      <c r="Q716" s="117" t="str">
        <f t="shared" si="123"/>
        <v/>
      </c>
      <c r="R716" s="117" t="str">
        <f t="shared" si="124"/>
        <v/>
      </c>
      <c r="S716" s="117" t="str">
        <f t="shared" si="125"/>
        <v>No</v>
      </c>
      <c r="T716" s="117" t="str">
        <f t="shared" si="126"/>
        <v/>
      </c>
      <c r="U716" s="117" t="b">
        <f t="shared" si="130"/>
        <v>0</v>
      </c>
      <c r="V716" s="157" t="b">
        <f>INDEX('register map'!P:P,C716)="yes"</f>
        <v>1</v>
      </c>
      <c r="W716" s="157" t="str">
        <f t="shared" si="127"/>
        <v>FALSE</v>
      </c>
    </row>
    <row r="717" spans="2:23">
      <c r="B717" s="157" t="str">
        <f t="array" ref="B717">IF(ROWS($3:717)&lt;=COUNTA('register map'!$L$5:$L$902),INDEX('register map'!$L$5:$L$902,SMALL(IF('register map'!$L$5:$L$902&lt;&gt;"",ROW('register map'!$L$5:$L$902)-MIN(ROW('register map'!$L$5:$L$902))+1),ROWS($3:717))),"")</f>
        <v>OTP_RSVD_38_56</v>
      </c>
      <c r="C717" s="157">
        <f>IF(B717="PART_NUMBER",IF(COUNTIF($B$1:B716,"PART_NUMBER")=0,6,8),MATCH(B717,'register map'!L:L,0))</f>
        <v>854</v>
      </c>
      <c r="D717" s="117" t="str">
        <f>IF(ISBLANK(INDEX('register map'!C:C,'Logical Group Generator'!C717)),"No","Yes")</f>
        <v>Yes</v>
      </c>
      <c r="E717" s="117" t="str">
        <f>IF(ISBLANK(INDEX('register map'!A:A,C717)),IF(ISBLANK(INDEX('register map'!A:A,C717-1)),IF(ISBLANK(INDEX('register map'!A:A,C717-2)),IF(ISBLANK(INDEX('register map'!A:A,C717-3)),IF(ISBLANK(INDEX('register map'!A:A,C717-4)),IF(ISBLANK(INDEX('register map'!A:A,C717-5)),IF(ISBLANK(INDEX('register map'!A:A,C717-6)),IF(ISBLANK(INDEX('register map'!A:A,C717-7)),IF(ISBLANK(INDEX('register map'!A:A,C717-8)),"ERROR",INDEX('register map'!A:A,C717-8)),INDEX('register map'!A:A,C717-7)),INDEX('register map'!A:A,C717-6)),INDEX('register map'!A:A,C717-5)),INDEX('register map'!A:A,C717-4)),INDEX('register map'!A:A,C717-3)),INDEX('register map'!A:A,C717-2)),INDEX('register map'!A:A,C717-1)),INDEX('register map'!A:A,C717))</f>
        <v>0x38</v>
      </c>
      <c r="F717" s="117" t="str">
        <f>IF(ISBLANK(INDEX('register map'!B:B,C717)),IF(ISBLANK(INDEX('register map'!B:B,C717-1)),IF(ISBLANK(INDEX('register map'!B:B,C717-2)),IF(ISBLANK(INDEX('register map'!B:B,C717-3)),IF(ISBLANK(INDEX('register map'!B:B,C717-4)),IF(ISBLANK(INDEX('register map'!B:B,C717-5)),IF(ISBLANK(INDEX('register map'!B:B,C717-6)),IF(ISBLANK(INDEX('register map'!B:B,C717-7)),IF(ISBLANK(INDEX('register map'!B:B,C717-8)),"ERROR",INDEX('register map'!B:B,C717-8)),INDEX('register map'!B:B,C717-7)),INDEX('register map'!B:B,C717-6)),INDEX('register map'!B:B,C717-5)),INDEX('register map'!B:B,C717-4)),INDEX('register map'!B:B,C717-3)),INDEX('register map'!B:B,C717-2)),INDEX('register map'!B:B,C717-1)),INDEX('register map'!B:B,C717))</f>
        <v>0x56</v>
      </c>
      <c r="G717" s="117" t="str">
        <f>CONCATENATE(IF(ISNUMBER(INDEX('register map'!D:D,C717)),7,""),IF(ISNUMBER(INDEX('register map'!E:E,C717)),6,""),IF(ISNUMBER(INDEX('register map'!F:F,C717)),5,""),IF(ISNUMBER(INDEX('register map'!G:G,C717)),4,""),IF(ISNUMBER(INDEX('register map'!H:H,C717)),3,""),IF(ISNUMBER(INDEX('register map'!I:I,C717)),2,""),IF(ISNUMBER(INDEX('register map'!J:J,C717)),1,""),IF(ISNUMBER(INDEX('register map'!K:K,C717)),0,""))</f>
        <v/>
      </c>
      <c r="H717" s="117" t="str">
        <f>RIGHT(INDEX('register map'!V:V,MATCH('Logical Group Generator'!B717,'register map'!L:L,0)),LEN(G717))</f>
        <v/>
      </c>
      <c r="I717" s="117" t="str">
        <f>CONCATENATE(IF(ISNUMBER(INDEX('register map'!K:K,C717)),0,""),IF(ISNUMBER(INDEX('register map'!J:J,C717)),1,""),IF(ISNUMBER(INDEX('register map'!I:I,C717)),2,""),IF(ISNUMBER(INDEX('register map'!H:H,C717)),3,""),IF(ISNUMBER(INDEX('register map'!G:G,C717)),4,""),IF(ISNUMBER(INDEX('register map'!F:F,C717)),5,""),IF(ISNUMBER(INDEX('register map'!E:E,C717)),6,""),IF(ISNUMBER(INDEX('register map'!D:D,C717)),7,""))</f>
        <v/>
      </c>
      <c r="J717" s="117" t="str">
        <f t="shared" si="132"/>
        <v/>
      </c>
      <c r="K717" s="117" t="str">
        <f t="shared" si="121"/>
        <v>00010000</v>
      </c>
      <c r="L717" s="117" t="str">
        <f t="shared" si="129"/>
        <v>00001000</v>
      </c>
      <c r="M717" s="117" t="str">
        <f t="shared" si="131"/>
        <v>08</v>
      </c>
      <c r="N717" s="117" t="str">
        <f>IF(ISBLANK(INDEX('register map'!M:M,'Logical Group Generator'!C717)),"No","Yes")</f>
        <v>No</v>
      </c>
      <c r="O717" s="117" t="str">
        <f>IF(NOT(ISBLANK(INDEX('register map'!N:N,'Logical Group Generator'!C717))),"Yes","")</f>
        <v/>
      </c>
      <c r="P717" s="117" t="str">
        <f t="shared" si="122"/>
        <v>Yes</v>
      </c>
      <c r="Q717" s="117" t="str">
        <f t="shared" si="123"/>
        <v>Yes</v>
      </c>
      <c r="R717" s="117" t="str">
        <f t="shared" si="124"/>
        <v>No</v>
      </c>
      <c r="S717" s="117" t="str">
        <f t="shared" si="125"/>
        <v/>
      </c>
      <c r="T717" s="117" t="b">
        <f t="shared" si="126"/>
        <v>1</v>
      </c>
      <c r="U717" s="117" t="b">
        <f t="shared" si="130"/>
        <v>0</v>
      </c>
      <c r="V717" s="157" t="b">
        <f>INDEX('register map'!P:P,C717)="yes"</f>
        <v>1</v>
      </c>
      <c r="W717" s="157" t="str">
        <f t="shared" si="127"/>
        <v>FALSE</v>
      </c>
    </row>
    <row r="718" spans="2:23">
      <c r="B718" s="157" t="str">
        <f t="array" ref="B718">IF(ROWS($3:718)&lt;=COUNTA('register map'!$L$5:$L$902),INDEX('register map'!$L$5:$L$902,SMALL(IF('register map'!$L$5:$L$902&lt;&gt;"",ROW('register map'!$L$5:$L$902)-MIN(ROW('register map'!$L$5:$L$902))+1),ROWS($3:718))),"")</f>
        <v>OTP_RSVD_38_56_3210</v>
      </c>
      <c r="C718" s="157">
        <f>IF(B718="PART_NUMBER",IF(COUNTIF($B$1:B717,"PART_NUMBER")=0,6,8),MATCH(B718,'register map'!L:L,0))</f>
        <v>855</v>
      </c>
      <c r="D718" s="117" t="str">
        <f>IF(ISBLANK(INDEX('register map'!C:C,'Logical Group Generator'!C718)),"No","Yes")</f>
        <v>No</v>
      </c>
      <c r="E718" s="117" t="str">
        <f>IF(ISBLANK(INDEX('register map'!A:A,C718)),IF(ISBLANK(INDEX('register map'!A:A,C718-1)),IF(ISBLANK(INDEX('register map'!A:A,C718-2)),IF(ISBLANK(INDEX('register map'!A:A,C718-3)),IF(ISBLANK(INDEX('register map'!A:A,C718-4)),IF(ISBLANK(INDEX('register map'!A:A,C718-5)),IF(ISBLANK(INDEX('register map'!A:A,C718-6)),IF(ISBLANK(INDEX('register map'!A:A,C718-7)),IF(ISBLANK(INDEX('register map'!A:A,C718-8)),"ERROR",INDEX('register map'!A:A,C718-8)),INDEX('register map'!A:A,C718-7)),INDEX('register map'!A:A,C718-6)),INDEX('register map'!A:A,C718-5)),INDEX('register map'!A:A,C718-4)),INDEX('register map'!A:A,C718-3)),INDEX('register map'!A:A,C718-2)),INDEX('register map'!A:A,C718-1)),INDEX('register map'!A:A,C718))</f>
        <v>0x38</v>
      </c>
      <c r="F718" s="117" t="str">
        <f>IF(ISBLANK(INDEX('register map'!B:B,C718)),IF(ISBLANK(INDEX('register map'!B:B,C718-1)),IF(ISBLANK(INDEX('register map'!B:B,C718-2)),IF(ISBLANK(INDEX('register map'!B:B,C718-3)),IF(ISBLANK(INDEX('register map'!B:B,C718-4)),IF(ISBLANK(INDEX('register map'!B:B,C718-5)),IF(ISBLANK(INDEX('register map'!B:B,C718-6)),IF(ISBLANK(INDEX('register map'!B:B,C718-7)),IF(ISBLANK(INDEX('register map'!B:B,C718-8)),"ERROR",INDEX('register map'!B:B,C718-8)),INDEX('register map'!B:B,C718-7)),INDEX('register map'!B:B,C718-6)),INDEX('register map'!B:B,C718-5)),INDEX('register map'!B:B,C718-4)),INDEX('register map'!B:B,C718-3)),INDEX('register map'!B:B,C718-2)),INDEX('register map'!B:B,C718-1)),INDEX('register map'!B:B,C718))</f>
        <v>0x56</v>
      </c>
      <c r="G718" s="117" t="str">
        <f>CONCATENATE(IF(ISNUMBER(INDEX('register map'!D:D,C718)),7,""),IF(ISNUMBER(INDEX('register map'!E:E,C718)),6,""),IF(ISNUMBER(INDEX('register map'!F:F,C718)),5,""),IF(ISNUMBER(INDEX('register map'!G:G,C718)),4,""),IF(ISNUMBER(INDEX('register map'!H:H,C718)),3,""),IF(ISNUMBER(INDEX('register map'!I:I,C718)),2,""),IF(ISNUMBER(INDEX('register map'!J:J,C718)),1,""),IF(ISNUMBER(INDEX('register map'!K:K,C718)),0,""))</f>
        <v>3210</v>
      </c>
      <c r="H718" s="117" t="str">
        <f>RIGHT(INDEX('register map'!V:V,MATCH('Logical Group Generator'!B718,'register map'!L:L,0)),LEN(G718))</f>
        <v>1000</v>
      </c>
      <c r="I718" s="117" t="str">
        <f>CONCATENATE(IF(ISNUMBER(INDEX('register map'!K:K,C718)),0,""),IF(ISNUMBER(INDEX('register map'!J:J,C718)),1,""),IF(ISNUMBER(INDEX('register map'!I:I,C718)),2,""),IF(ISNUMBER(INDEX('register map'!H:H,C718)),3,""),IF(ISNUMBER(INDEX('register map'!G:G,C718)),4,""),IF(ISNUMBER(INDEX('register map'!F:F,C718)),5,""),IF(ISNUMBER(INDEX('register map'!E:E,C718)),6,""),IF(ISNUMBER(INDEX('register map'!D:D,C718)),7,""))</f>
        <v>0123</v>
      </c>
      <c r="J718" s="117" t="str">
        <f t="shared" si="132"/>
        <v>0001</v>
      </c>
      <c r="K718" s="117" t="str">
        <f t="shared" si="121"/>
        <v/>
      </c>
      <c r="L718" s="117" t="str">
        <f t="shared" si="129"/>
        <v/>
      </c>
      <c r="M718" s="117" t="str">
        <f t="shared" si="131"/>
        <v/>
      </c>
      <c r="N718" s="117" t="str">
        <f>IF(ISBLANK(INDEX('register map'!M:M,'Logical Group Generator'!C718)),"No","Yes")</f>
        <v>Yes</v>
      </c>
      <c r="O718" s="117" t="str">
        <f>IF(NOT(ISBLANK(INDEX('register map'!N:N,'Logical Group Generator'!C718))),"Yes","")</f>
        <v/>
      </c>
      <c r="P718" s="117" t="str">
        <f t="shared" si="122"/>
        <v/>
      </c>
      <c r="Q718" s="117" t="str">
        <f t="shared" si="123"/>
        <v/>
      </c>
      <c r="R718" s="117" t="str">
        <f t="shared" si="124"/>
        <v/>
      </c>
      <c r="S718" s="117" t="str">
        <f t="shared" si="125"/>
        <v>No</v>
      </c>
      <c r="T718" s="117" t="str">
        <f t="shared" si="126"/>
        <v/>
      </c>
      <c r="U718" s="117" t="b">
        <f t="shared" si="130"/>
        <v>0</v>
      </c>
      <c r="V718" s="157" t="b">
        <f>INDEX('register map'!P:P,C718)="yes"</f>
        <v>1</v>
      </c>
      <c r="W718" s="157" t="str">
        <f t="shared" si="127"/>
        <v>FALSE</v>
      </c>
    </row>
    <row r="719" spans="2:23">
      <c r="B719" s="157" t="str">
        <f t="array" ref="B719">IF(ROWS($3:719)&lt;=COUNTA('register map'!$L$5:$L$902),INDEX('register map'!$L$5:$L$902,SMALL(IF('register map'!$L$5:$L$902&lt;&gt;"",ROW('register map'!$L$5:$L$902)-MIN(ROW('register map'!$L$5:$L$902))+1),ROWS($3:719))),"")</f>
        <v>OTP_RSVD_38_56_4</v>
      </c>
      <c r="C719" s="157">
        <f>IF(B719="PART_NUMBER",IF(COUNTIF($B$1:B718,"PART_NUMBER")=0,6,8),MATCH(B719,'register map'!L:L,0))</f>
        <v>856</v>
      </c>
      <c r="D719" s="117" t="str">
        <f>IF(ISBLANK(INDEX('register map'!C:C,'Logical Group Generator'!C719)),"No","Yes")</f>
        <v>No</v>
      </c>
      <c r="E719" s="117" t="str">
        <f>IF(ISBLANK(INDEX('register map'!A:A,C719)),IF(ISBLANK(INDEX('register map'!A:A,C719-1)),IF(ISBLANK(INDEX('register map'!A:A,C719-2)),IF(ISBLANK(INDEX('register map'!A:A,C719-3)),IF(ISBLANK(INDEX('register map'!A:A,C719-4)),IF(ISBLANK(INDEX('register map'!A:A,C719-5)),IF(ISBLANK(INDEX('register map'!A:A,C719-6)),IF(ISBLANK(INDEX('register map'!A:A,C719-7)),IF(ISBLANK(INDEX('register map'!A:A,C719-8)),"ERROR",INDEX('register map'!A:A,C719-8)),INDEX('register map'!A:A,C719-7)),INDEX('register map'!A:A,C719-6)),INDEX('register map'!A:A,C719-5)),INDEX('register map'!A:A,C719-4)),INDEX('register map'!A:A,C719-3)),INDEX('register map'!A:A,C719-2)),INDEX('register map'!A:A,C719-1)),INDEX('register map'!A:A,C719))</f>
        <v>0x38</v>
      </c>
      <c r="F719" s="117" t="str">
        <f>IF(ISBLANK(INDEX('register map'!B:B,C719)),IF(ISBLANK(INDEX('register map'!B:B,C719-1)),IF(ISBLANK(INDEX('register map'!B:B,C719-2)),IF(ISBLANK(INDEX('register map'!B:B,C719-3)),IF(ISBLANK(INDEX('register map'!B:B,C719-4)),IF(ISBLANK(INDEX('register map'!B:B,C719-5)),IF(ISBLANK(INDEX('register map'!B:B,C719-6)),IF(ISBLANK(INDEX('register map'!B:B,C719-7)),IF(ISBLANK(INDEX('register map'!B:B,C719-8)),"ERROR",INDEX('register map'!B:B,C719-8)),INDEX('register map'!B:B,C719-7)),INDEX('register map'!B:B,C719-6)),INDEX('register map'!B:B,C719-5)),INDEX('register map'!B:B,C719-4)),INDEX('register map'!B:B,C719-3)),INDEX('register map'!B:B,C719-2)),INDEX('register map'!B:B,C719-1)),INDEX('register map'!B:B,C719))</f>
        <v>0x56</v>
      </c>
      <c r="G719" s="117" t="str">
        <f>CONCATENATE(IF(ISNUMBER(INDEX('register map'!D:D,C719)),7,""),IF(ISNUMBER(INDEX('register map'!E:E,C719)),6,""),IF(ISNUMBER(INDEX('register map'!F:F,C719)),5,""),IF(ISNUMBER(INDEX('register map'!G:G,C719)),4,""),IF(ISNUMBER(INDEX('register map'!H:H,C719)),3,""),IF(ISNUMBER(INDEX('register map'!I:I,C719)),2,""),IF(ISNUMBER(INDEX('register map'!J:J,C719)),1,""),IF(ISNUMBER(INDEX('register map'!K:K,C719)),0,""))</f>
        <v>4</v>
      </c>
      <c r="H719" s="117" t="str">
        <f>RIGHT(INDEX('register map'!V:V,MATCH('Logical Group Generator'!B719,'register map'!L:L,0)),LEN(G719))</f>
        <v>0</v>
      </c>
      <c r="I719" s="117" t="str">
        <f>CONCATENATE(IF(ISNUMBER(INDEX('register map'!K:K,C719)),0,""),IF(ISNUMBER(INDEX('register map'!J:J,C719)),1,""),IF(ISNUMBER(INDEX('register map'!I:I,C719)),2,""),IF(ISNUMBER(INDEX('register map'!H:H,C719)),3,""),IF(ISNUMBER(INDEX('register map'!G:G,C719)),4,""),IF(ISNUMBER(INDEX('register map'!F:F,C719)),5,""),IF(ISNUMBER(INDEX('register map'!E:E,C719)),6,""),IF(ISNUMBER(INDEX('register map'!D:D,C719)),7,""))</f>
        <v>4</v>
      </c>
      <c r="J719" s="117" t="str">
        <f t="shared" si="132"/>
        <v>0</v>
      </c>
      <c r="K719" s="117" t="str">
        <f t="shared" si="121"/>
        <v/>
      </c>
      <c r="L719" s="117" t="str">
        <f t="shared" si="129"/>
        <v/>
      </c>
      <c r="M719" s="117" t="str">
        <f t="shared" si="131"/>
        <v/>
      </c>
      <c r="N719" s="117" t="str">
        <f>IF(ISBLANK(INDEX('register map'!M:M,'Logical Group Generator'!C719)),"No","Yes")</f>
        <v>No</v>
      </c>
      <c r="O719" s="117" t="str">
        <f>IF(NOT(ISBLANK(INDEX('register map'!N:N,'Logical Group Generator'!C719))),"Yes","")</f>
        <v>Yes</v>
      </c>
      <c r="P719" s="117" t="str">
        <f t="shared" si="122"/>
        <v/>
      </c>
      <c r="Q719" s="117" t="str">
        <f t="shared" si="123"/>
        <v/>
      </c>
      <c r="R719" s="117" t="str">
        <f t="shared" si="124"/>
        <v/>
      </c>
      <c r="S719" s="117" t="str">
        <f t="shared" si="125"/>
        <v>No</v>
      </c>
      <c r="T719" s="117" t="str">
        <f t="shared" si="126"/>
        <v/>
      </c>
      <c r="U719" s="117" t="b">
        <f t="shared" si="130"/>
        <v>0</v>
      </c>
      <c r="V719" s="157" t="b">
        <f>INDEX('register map'!P:P,C719)="yes"</f>
        <v>1</v>
      </c>
      <c r="W719" s="157" t="str">
        <f t="shared" si="127"/>
        <v>FALSE</v>
      </c>
    </row>
    <row r="720" spans="2:23">
      <c r="B720" s="157" t="str">
        <f t="array" ref="B720">IF(ROWS($3:720)&lt;=COUNTA('register map'!$L$5:$L$902),INDEX('register map'!$L$5:$L$902,SMALL(IF('register map'!$L$5:$L$902&lt;&gt;"",ROW('register map'!$L$5:$L$902)-MIN(ROW('register map'!$L$5:$L$902))+1),ROWS($3:720))),"")</f>
        <v>OTP_RSVD_38_56_65</v>
      </c>
      <c r="C720" s="157">
        <f>IF(B720="PART_NUMBER",IF(COUNTIF($B$1:B719,"PART_NUMBER")=0,6,8),MATCH(B720,'register map'!L:L,0))</f>
        <v>857</v>
      </c>
      <c r="D720" s="117" t="str">
        <f>IF(ISBLANK(INDEX('register map'!C:C,'Logical Group Generator'!C720)),"No","Yes")</f>
        <v>No</v>
      </c>
      <c r="E720" s="117" t="str">
        <f>IF(ISBLANK(INDEX('register map'!A:A,C720)),IF(ISBLANK(INDEX('register map'!A:A,C720-1)),IF(ISBLANK(INDEX('register map'!A:A,C720-2)),IF(ISBLANK(INDEX('register map'!A:A,C720-3)),IF(ISBLANK(INDEX('register map'!A:A,C720-4)),IF(ISBLANK(INDEX('register map'!A:A,C720-5)),IF(ISBLANK(INDEX('register map'!A:A,C720-6)),IF(ISBLANK(INDEX('register map'!A:A,C720-7)),IF(ISBLANK(INDEX('register map'!A:A,C720-8)),"ERROR",INDEX('register map'!A:A,C720-8)),INDEX('register map'!A:A,C720-7)),INDEX('register map'!A:A,C720-6)),INDEX('register map'!A:A,C720-5)),INDEX('register map'!A:A,C720-4)),INDEX('register map'!A:A,C720-3)),INDEX('register map'!A:A,C720-2)),INDEX('register map'!A:A,C720-1)),INDEX('register map'!A:A,C720))</f>
        <v>0x38</v>
      </c>
      <c r="F720" s="117" t="str">
        <f>IF(ISBLANK(INDEX('register map'!B:B,C720)),IF(ISBLANK(INDEX('register map'!B:B,C720-1)),IF(ISBLANK(INDEX('register map'!B:B,C720-2)),IF(ISBLANK(INDEX('register map'!B:B,C720-3)),IF(ISBLANK(INDEX('register map'!B:B,C720-4)),IF(ISBLANK(INDEX('register map'!B:B,C720-5)),IF(ISBLANK(INDEX('register map'!B:B,C720-6)),IF(ISBLANK(INDEX('register map'!B:B,C720-7)),IF(ISBLANK(INDEX('register map'!B:B,C720-8)),"ERROR",INDEX('register map'!B:B,C720-8)),INDEX('register map'!B:B,C720-7)),INDEX('register map'!B:B,C720-6)),INDEX('register map'!B:B,C720-5)),INDEX('register map'!B:B,C720-4)),INDEX('register map'!B:B,C720-3)),INDEX('register map'!B:B,C720-2)),INDEX('register map'!B:B,C720-1)),INDEX('register map'!B:B,C720))</f>
        <v>0x56</v>
      </c>
      <c r="G720" s="117" t="str">
        <f>CONCATENATE(IF(ISNUMBER(INDEX('register map'!D:D,C720)),7,""),IF(ISNUMBER(INDEX('register map'!E:E,C720)),6,""),IF(ISNUMBER(INDEX('register map'!F:F,C720)),5,""),IF(ISNUMBER(INDEX('register map'!G:G,C720)),4,""),IF(ISNUMBER(INDEX('register map'!H:H,C720)),3,""),IF(ISNUMBER(INDEX('register map'!I:I,C720)),2,""),IF(ISNUMBER(INDEX('register map'!J:J,C720)),1,""),IF(ISNUMBER(INDEX('register map'!K:K,C720)),0,""))</f>
        <v>65</v>
      </c>
      <c r="H720" s="117" t="str">
        <f>RIGHT(INDEX('register map'!V:V,MATCH('Logical Group Generator'!B720,'register map'!L:L,0)),LEN(G720))</f>
        <v>00</v>
      </c>
      <c r="I720" s="117" t="str">
        <f>CONCATENATE(IF(ISNUMBER(INDEX('register map'!K:K,C720)),0,""),IF(ISNUMBER(INDEX('register map'!J:J,C720)),1,""),IF(ISNUMBER(INDEX('register map'!I:I,C720)),2,""),IF(ISNUMBER(INDEX('register map'!H:H,C720)),3,""),IF(ISNUMBER(INDEX('register map'!G:G,C720)),4,""),IF(ISNUMBER(INDEX('register map'!F:F,C720)),5,""),IF(ISNUMBER(INDEX('register map'!E:E,C720)),6,""),IF(ISNUMBER(INDEX('register map'!D:D,C720)),7,""))</f>
        <v>56</v>
      </c>
      <c r="J720" s="117" t="str">
        <f t="shared" si="132"/>
        <v>00</v>
      </c>
      <c r="K720" s="117" t="str">
        <f t="shared" si="121"/>
        <v/>
      </c>
      <c r="L720" s="117" t="str">
        <f t="shared" si="129"/>
        <v/>
      </c>
      <c r="M720" s="117" t="str">
        <f t="shared" si="131"/>
        <v/>
      </c>
      <c r="N720" s="117" t="str">
        <f>IF(ISBLANK(INDEX('register map'!M:M,'Logical Group Generator'!C720)),"No","Yes")</f>
        <v>No</v>
      </c>
      <c r="O720" s="117" t="str">
        <f>IF(NOT(ISBLANK(INDEX('register map'!N:N,'Logical Group Generator'!C720))),"Yes","")</f>
        <v>Yes</v>
      </c>
      <c r="P720" s="117" t="str">
        <f t="shared" si="122"/>
        <v/>
      </c>
      <c r="Q720" s="117" t="str">
        <f t="shared" si="123"/>
        <v/>
      </c>
      <c r="R720" s="117" t="str">
        <f t="shared" si="124"/>
        <v/>
      </c>
      <c r="S720" s="117" t="str">
        <f t="shared" si="125"/>
        <v>No</v>
      </c>
      <c r="T720" s="117" t="str">
        <f t="shared" si="126"/>
        <v/>
      </c>
      <c r="U720" s="117" t="b">
        <f t="shared" si="130"/>
        <v>0</v>
      </c>
      <c r="V720" s="157" t="b">
        <f>INDEX('register map'!P:P,C720)="yes"</f>
        <v>1</v>
      </c>
      <c r="W720" s="157" t="str">
        <f t="shared" si="127"/>
        <v>FALSE</v>
      </c>
    </row>
    <row r="721" spans="2:23">
      <c r="B721" s="157" t="str">
        <f t="array" ref="B721">IF(ROWS($3:721)&lt;=COUNTA('register map'!$L$5:$L$902),INDEX('register map'!$L$5:$L$902,SMALL(IF('register map'!$L$5:$L$902&lt;&gt;"",ROW('register map'!$L$5:$L$902)-MIN(ROW('register map'!$L$5:$L$902))+1),ROWS($3:721))),"")</f>
        <v>OTP_RSVD_38_56_7</v>
      </c>
      <c r="C721" s="157">
        <f>IF(B721="PART_NUMBER",IF(COUNTIF($B$1:B720,"PART_NUMBER")=0,6,8),MATCH(B721,'register map'!L:L,0))</f>
        <v>858</v>
      </c>
      <c r="D721" s="117" t="str">
        <f>IF(ISBLANK(INDEX('register map'!C:C,'Logical Group Generator'!C721)),"No","Yes")</f>
        <v>No</v>
      </c>
      <c r="E721" s="117" t="str">
        <f>IF(ISBLANK(INDEX('register map'!A:A,C721)),IF(ISBLANK(INDEX('register map'!A:A,C721-1)),IF(ISBLANK(INDEX('register map'!A:A,C721-2)),IF(ISBLANK(INDEX('register map'!A:A,C721-3)),IF(ISBLANK(INDEX('register map'!A:A,C721-4)),IF(ISBLANK(INDEX('register map'!A:A,C721-5)),IF(ISBLANK(INDEX('register map'!A:A,C721-6)),IF(ISBLANK(INDEX('register map'!A:A,C721-7)),IF(ISBLANK(INDEX('register map'!A:A,C721-8)),"ERROR",INDEX('register map'!A:A,C721-8)),INDEX('register map'!A:A,C721-7)),INDEX('register map'!A:A,C721-6)),INDEX('register map'!A:A,C721-5)),INDEX('register map'!A:A,C721-4)),INDEX('register map'!A:A,C721-3)),INDEX('register map'!A:A,C721-2)),INDEX('register map'!A:A,C721-1)),INDEX('register map'!A:A,C721))</f>
        <v>0x38</v>
      </c>
      <c r="F721" s="117" t="str">
        <f>IF(ISBLANK(INDEX('register map'!B:B,C721)),IF(ISBLANK(INDEX('register map'!B:B,C721-1)),IF(ISBLANK(INDEX('register map'!B:B,C721-2)),IF(ISBLANK(INDEX('register map'!B:B,C721-3)),IF(ISBLANK(INDEX('register map'!B:B,C721-4)),IF(ISBLANK(INDEX('register map'!B:B,C721-5)),IF(ISBLANK(INDEX('register map'!B:B,C721-6)),IF(ISBLANK(INDEX('register map'!B:B,C721-7)),IF(ISBLANK(INDEX('register map'!B:B,C721-8)),"ERROR",INDEX('register map'!B:B,C721-8)),INDEX('register map'!B:B,C721-7)),INDEX('register map'!B:B,C721-6)),INDEX('register map'!B:B,C721-5)),INDEX('register map'!B:B,C721-4)),INDEX('register map'!B:B,C721-3)),INDEX('register map'!B:B,C721-2)),INDEX('register map'!B:B,C721-1)),INDEX('register map'!B:B,C721))</f>
        <v>0x56</v>
      </c>
      <c r="G721" s="117" t="str">
        <f>CONCATENATE(IF(ISNUMBER(INDEX('register map'!D:D,C721)),7,""),IF(ISNUMBER(INDEX('register map'!E:E,C721)),6,""),IF(ISNUMBER(INDEX('register map'!F:F,C721)),5,""),IF(ISNUMBER(INDEX('register map'!G:G,C721)),4,""),IF(ISNUMBER(INDEX('register map'!H:H,C721)),3,""),IF(ISNUMBER(INDEX('register map'!I:I,C721)),2,""),IF(ISNUMBER(INDEX('register map'!J:J,C721)),1,""),IF(ISNUMBER(INDEX('register map'!K:K,C721)),0,""))</f>
        <v>7</v>
      </c>
      <c r="H721" s="117" t="str">
        <f>RIGHT(INDEX('register map'!V:V,MATCH('Logical Group Generator'!B721,'register map'!L:L,0)),LEN(G721))</f>
        <v>0</v>
      </c>
      <c r="I721" s="117" t="str">
        <f>CONCATENATE(IF(ISNUMBER(INDEX('register map'!K:K,C721)),0,""),IF(ISNUMBER(INDEX('register map'!J:J,C721)),1,""),IF(ISNUMBER(INDEX('register map'!I:I,C721)),2,""),IF(ISNUMBER(INDEX('register map'!H:H,C721)),3,""),IF(ISNUMBER(INDEX('register map'!G:G,C721)),4,""),IF(ISNUMBER(INDEX('register map'!F:F,C721)),5,""),IF(ISNUMBER(INDEX('register map'!E:E,C721)),6,""),IF(ISNUMBER(INDEX('register map'!D:D,C721)),7,""))</f>
        <v>7</v>
      </c>
      <c r="J721" s="117" t="str">
        <f t="shared" si="132"/>
        <v>0</v>
      </c>
      <c r="K721" s="117" t="str">
        <f t="shared" si="121"/>
        <v/>
      </c>
      <c r="L721" s="117" t="str">
        <f t="shared" si="129"/>
        <v/>
      </c>
      <c r="M721" s="117" t="str">
        <f t="shared" si="131"/>
        <v/>
      </c>
      <c r="N721" s="117" t="str">
        <f>IF(ISBLANK(INDEX('register map'!M:M,'Logical Group Generator'!C721)),"No","Yes")</f>
        <v>No</v>
      </c>
      <c r="O721" s="117" t="str">
        <f>IF(NOT(ISBLANK(INDEX('register map'!N:N,'Logical Group Generator'!C721))),"Yes","")</f>
        <v>Yes</v>
      </c>
      <c r="P721" s="117" t="str">
        <f t="shared" si="122"/>
        <v/>
      </c>
      <c r="Q721" s="117" t="str">
        <f t="shared" si="123"/>
        <v/>
      </c>
      <c r="R721" s="117" t="str">
        <f t="shared" si="124"/>
        <v/>
      </c>
      <c r="S721" s="117" t="str">
        <f t="shared" si="125"/>
        <v>No</v>
      </c>
      <c r="T721" s="117" t="str">
        <f t="shared" si="126"/>
        <v/>
      </c>
      <c r="U721" s="117" t="b">
        <f t="shared" si="130"/>
        <v>0</v>
      </c>
      <c r="V721" s="157" t="b">
        <f>INDEX('register map'!P:P,C721)="yes"</f>
        <v>1</v>
      </c>
      <c r="W721" s="157" t="str">
        <f t="shared" si="127"/>
        <v>FALSE</v>
      </c>
    </row>
    <row r="722" spans="2:23">
      <c r="B722" s="157" t="str">
        <f t="array" ref="B722">IF(ROWS($3:722)&lt;=COUNTA('register map'!$L$5:$L$902),INDEX('register map'!$L$5:$L$902,SMALL(IF('register map'!$L$5:$L$902&lt;&gt;"",ROW('register map'!$L$5:$L$902)-MIN(ROW('register map'!$L$5:$L$902))+1),ROWS($3:722))),"")</f>
        <v>OTP_RSVD_38_57</v>
      </c>
      <c r="C722" s="157">
        <f>IF(B722="PART_NUMBER",IF(COUNTIF($B$1:B721,"PART_NUMBER")=0,6,8),MATCH(B722,'register map'!L:L,0))</f>
        <v>859</v>
      </c>
      <c r="D722" s="117" t="str">
        <f>IF(ISBLANK(INDEX('register map'!C:C,'Logical Group Generator'!C722)),"No","Yes")</f>
        <v>Yes</v>
      </c>
      <c r="E722" s="117" t="str">
        <f>IF(ISBLANK(INDEX('register map'!A:A,C722)),IF(ISBLANK(INDEX('register map'!A:A,C722-1)),IF(ISBLANK(INDEX('register map'!A:A,C722-2)),IF(ISBLANK(INDEX('register map'!A:A,C722-3)),IF(ISBLANK(INDEX('register map'!A:A,C722-4)),IF(ISBLANK(INDEX('register map'!A:A,C722-5)),IF(ISBLANK(INDEX('register map'!A:A,C722-6)),IF(ISBLANK(INDEX('register map'!A:A,C722-7)),IF(ISBLANK(INDEX('register map'!A:A,C722-8)),"ERROR",INDEX('register map'!A:A,C722-8)),INDEX('register map'!A:A,C722-7)),INDEX('register map'!A:A,C722-6)),INDEX('register map'!A:A,C722-5)),INDEX('register map'!A:A,C722-4)),INDEX('register map'!A:A,C722-3)),INDEX('register map'!A:A,C722-2)),INDEX('register map'!A:A,C722-1)),INDEX('register map'!A:A,C722))</f>
        <v>0x38</v>
      </c>
      <c r="F722" s="117" t="str">
        <f>IF(ISBLANK(INDEX('register map'!B:B,C722)),IF(ISBLANK(INDEX('register map'!B:B,C722-1)),IF(ISBLANK(INDEX('register map'!B:B,C722-2)),IF(ISBLANK(INDEX('register map'!B:B,C722-3)),IF(ISBLANK(INDEX('register map'!B:B,C722-4)),IF(ISBLANK(INDEX('register map'!B:B,C722-5)),IF(ISBLANK(INDEX('register map'!B:B,C722-6)),IF(ISBLANK(INDEX('register map'!B:B,C722-7)),IF(ISBLANK(INDEX('register map'!B:B,C722-8)),"ERROR",INDEX('register map'!B:B,C722-8)),INDEX('register map'!B:B,C722-7)),INDEX('register map'!B:B,C722-6)),INDEX('register map'!B:B,C722-5)),INDEX('register map'!B:B,C722-4)),INDEX('register map'!B:B,C722-3)),INDEX('register map'!B:B,C722-2)),INDEX('register map'!B:B,C722-1)),INDEX('register map'!B:B,C722))</f>
        <v>0x57</v>
      </c>
      <c r="G722" s="117" t="str">
        <f>CONCATENATE(IF(ISNUMBER(INDEX('register map'!D:D,C722)),7,""),IF(ISNUMBER(INDEX('register map'!E:E,C722)),6,""),IF(ISNUMBER(INDEX('register map'!F:F,C722)),5,""),IF(ISNUMBER(INDEX('register map'!G:G,C722)),4,""),IF(ISNUMBER(INDEX('register map'!H:H,C722)),3,""),IF(ISNUMBER(INDEX('register map'!I:I,C722)),2,""),IF(ISNUMBER(INDEX('register map'!J:J,C722)),1,""),IF(ISNUMBER(INDEX('register map'!K:K,C722)),0,""))</f>
        <v/>
      </c>
      <c r="H722" s="117" t="str">
        <f>RIGHT(INDEX('register map'!V:V,MATCH('Logical Group Generator'!B722,'register map'!L:L,0)),LEN(G722))</f>
        <v/>
      </c>
      <c r="I722" s="117" t="str">
        <f>CONCATENATE(IF(ISNUMBER(INDEX('register map'!K:K,C722)),0,""),IF(ISNUMBER(INDEX('register map'!J:J,C722)),1,""),IF(ISNUMBER(INDEX('register map'!I:I,C722)),2,""),IF(ISNUMBER(INDEX('register map'!H:H,C722)),3,""),IF(ISNUMBER(INDEX('register map'!G:G,C722)),4,""),IF(ISNUMBER(INDEX('register map'!F:F,C722)),5,""),IF(ISNUMBER(INDEX('register map'!E:E,C722)),6,""),IF(ISNUMBER(INDEX('register map'!D:D,C722)),7,""))</f>
        <v/>
      </c>
      <c r="J722" s="117" t="str">
        <f t="shared" si="132"/>
        <v/>
      </c>
      <c r="K722" s="117" t="str">
        <f t="shared" si="121"/>
        <v>00101100</v>
      </c>
      <c r="L722" s="117" t="str">
        <f t="shared" si="129"/>
        <v>00110100</v>
      </c>
      <c r="M722" s="117" t="str">
        <f t="shared" si="131"/>
        <v>34</v>
      </c>
      <c r="N722" s="117" t="str">
        <f>IF(ISBLANK(INDEX('register map'!M:M,'Logical Group Generator'!C722)),"No","Yes")</f>
        <v>No</v>
      </c>
      <c r="O722" s="117" t="str">
        <f>IF(NOT(ISBLANK(INDEX('register map'!N:N,'Logical Group Generator'!C722))),"Yes","")</f>
        <v/>
      </c>
      <c r="P722" s="117" t="str">
        <f t="shared" si="122"/>
        <v>Yes</v>
      </c>
      <c r="Q722" s="117" t="str">
        <f t="shared" si="123"/>
        <v>Yes</v>
      </c>
      <c r="R722" s="117" t="str">
        <f t="shared" si="124"/>
        <v>No</v>
      </c>
      <c r="S722" s="117" t="str">
        <f t="shared" si="125"/>
        <v/>
      </c>
      <c r="T722" s="117" t="b">
        <f t="shared" si="126"/>
        <v>1</v>
      </c>
      <c r="U722" s="117" t="b">
        <f t="shared" si="130"/>
        <v>0</v>
      </c>
      <c r="V722" s="157" t="b">
        <f>INDEX('register map'!P:P,C722)="yes"</f>
        <v>1</v>
      </c>
      <c r="W722" s="157" t="str">
        <f t="shared" si="127"/>
        <v>FALSE</v>
      </c>
    </row>
    <row r="723" spans="2:23">
      <c r="B723" s="157" t="str">
        <f t="array" ref="B723">IF(ROWS($3:723)&lt;=COUNTA('register map'!$L$5:$L$902),INDEX('register map'!$L$5:$L$902,SMALL(IF('register map'!$L$5:$L$902&lt;&gt;"",ROW('register map'!$L$5:$L$902)-MIN(ROW('register map'!$L$5:$L$902))+1),ROWS($3:723))),"")</f>
        <v>OTP_RSVD_38_57_43210</v>
      </c>
      <c r="C723" s="157">
        <f>IF(B723="PART_NUMBER",IF(COUNTIF($B$1:B722,"PART_NUMBER")=0,6,8),MATCH(B723,'register map'!L:L,0))</f>
        <v>860</v>
      </c>
      <c r="D723" s="117" t="str">
        <f>IF(ISBLANK(INDEX('register map'!C:C,'Logical Group Generator'!C723)),"No","Yes")</f>
        <v>No</v>
      </c>
      <c r="E723" s="117" t="str">
        <f>IF(ISBLANK(INDEX('register map'!A:A,C723)),IF(ISBLANK(INDEX('register map'!A:A,C723-1)),IF(ISBLANK(INDEX('register map'!A:A,C723-2)),IF(ISBLANK(INDEX('register map'!A:A,C723-3)),IF(ISBLANK(INDEX('register map'!A:A,C723-4)),IF(ISBLANK(INDEX('register map'!A:A,C723-5)),IF(ISBLANK(INDEX('register map'!A:A,C723-6)),IF(ISBLANK(INDEX('register map'!A:A,C723-7)),IF(ISBLANK(INDEX('register map'!A:A,C723-8)),"ERROR",INDEX('register map'!A:A,C723-8)),INDEX('register map'!A:A,C723-7)),INDEX('register map'!A:A,C723-6)),INDEX('register map'!A:A,C723-5)),INDEX('register map'!A:A,C723-4)),INDEX('register map'!A:A,C723-3)),INDEX('register map'!A:A,C723-2)),INDEX('register map'!A:A,C723-1)),INDEX('register map'!A:A,C723))</f>
        <v>0x38</v>
      </c>
      <c r="F723" s="117" t="str">
        <f>IF(ISBLANK(INDEX('register map'!B:B,C723)),IF(ISBLANK(INDEX('register map'!B:B,C723-1)),IF(ISBLANK(INDEX('register map'!B:B,C723-2)),IF(ISBLANK(INDEX('register map'!B:B,C723-3)),IF(ISBLANK(INDEX('register map'!B:B,C723-4)),IF(ISBLANK(INDEX('register map'!B:B,C723-5)),IF(ISBLANK(INDEX('register map'!B:B,C723-6)),IF(ISBLANK(INDEX('register map'!B:B,C723-7)),IF(ISBLANK(INDEX('register map'!B:B,C723-8)),"ERROR",INDEX('register map'!B:B,C723-8)),INDEX('register map'!B:B,C723-7)),INDEX('register map'!B:B,C723-6)),INDEX('register map'!B:B,C723-5)),INDEX('register map'!B:B,C723-4)),INDEX('register map'!B:B,C723-3)),INDEX('register map'!B:B,C723-2)),INDEX('register map'!B:B,C723-1)),INDEX('register map'!B:B,C723))</f>
        <v>0x57</v>
      </c>
      <c r="G723" s="117" t="str">
        <f>CONCATENATE(IF(ISNUMBER(INDEX('register map'!D:D,C723)),7,""),IF(ISNUMBER(INDEX('register map'!E:E,C723)),6,""),IF(ISNUMBER(INDEX('register map'!F:F,C723)),5,""),IF(ISNUMBER(INDEX('register map'!G:G,C723)),4,""),IF(ISNUMBER(INDEX('register map'!H:H,C723)),3,""),IF(ISNUMBER(INDEX('register map'!I:I,C723)),2,""),IF(ISNUMBER(INDEX('register map'!J:J,C723)),1,""),IF(ISNUMBER(INDEX('register map'!K:K,C723)),0,""))</f>
        <v>43210</v>
      </c>
      <c r="H723" s="117" t="str">
        <f>RIGHT(INDEX('register map'!V:V,MATCH('Logical Group Generator'!B723,'register map'!L:L,0)),LEN(G723))</f>
        <v>10100</v>
      </c>
      <c r="I723" s="117" t="str">
        <f>CONCATENATE(IF(ISNUMBER(INDEX('register map'!K:K,C723)),0,""),IF(ISNUMBER(INDEX('register map'!J:J,C723)),1,""),IF(ISNUMBER(INDEX('register map'!I:I,C723)),2,""),IF(ISNUMBER(INDEX('register map'!H:H,C723)),3,""),IF(ISNUMBER(INDEX('register map'!G:G,C723)),4,""),IF(ISNUMBER(INDEX('register map'!F:F,C723)),5,""),IF(ISNUMBER(INDEX('register map'!E:E,C723)),6,""),IF(ISNUMBER(INDEX('register map'!D:D,C723)),7,""))</f>
        <v>01234</v>
      </c>
      <c r="J723" s="117" t="str">
        <f t="shared" si="132"/>
        <v>00101</v>
      </c>
      <c r="K723" s="117" t="str">
        <f t="shared" si="121"/>
        <v/>
      </c>
      <c r="L723" s="117" t="str">
        <f t="shared" si="129"/>
        <v/>
      </c>
      <c r="M723" s="117" t="str">
        <f t="shared" si="131"/>
        <v/>
      </c>
      <c r="N723" s="117" t="str">
        <f>IF(ISBLANK(INDEX('register map'!M:M,'Logical Group Generator'!C723)),"No","Yes")</f>
        <v>Yes</v>
      </c>
      <c r="O723" s="117" t="str">
        <f>IF(NOT(ISBLANK(INDEX('register map'!N:N,'Logical Group Generator'!C723))),"Yes","")</f>
        <v/>
      </c>
      <c r="P723" s="117" t="str">
        <f t="shared" si="122"/>
        <v/>
      </c>
      <c r="Q723" s="117" t="str">
        <f t="shared" si="123"/>
        <v/>
      </c>
      <c r="R723" s="117" t="str">
        <f t="shared" si="124"/>
        <v/>
      </c>
      <c r="S723" s="117" t="str">
        <f t="shared" si="125"/>
        <v>No</v>
      </c>
      <c r="T723" s="117" t="str">
        <f t="shared" si="126"/>
        <v/>
      </c>
      <c r="U723" s="117" t="b">
        <f t="shared" si="130"/>
        <v>0</v>
      </c>
      <c r="V723" s="157" t="b">
        <f>INDEX('register map'!P:P,C723)="yes"</f>
        <v>1</v>
      </c>
      <c r="W723" s="157" t="str">
        <f t="shared" si="127"/>
        <v>FALSE</v>
      </c>
    </row>
    <row r="724" spans="2:23">
      <c r="B724" s="157" t="str">
        <f t="array" ref="B724">IF(ROWS($3:724)&lt;=COUNTA('register map'!$L$5:$L$902),INDEX('register map'!$L$5:$L$902,SMALL(IF('register map'!$L$5:$L$902&lt;&gt;"",ROW('register map'!$L$5:$L$902)-MIN(ROW('register map'!$L$5:$L$902))+1),ROWS($3:724))),"")</f>
        <v>OTP_RSVD_38_57_65</v>
      </c>
      <c r="C724" s="157">
        <f>IF(B724="PART_NUMBER",IF(COUNTIF($B$1:B723,"PART_NUMBER")=0,6,8),MATCH(B724,'register map'!L:L,0))</f>
        <v>861</v>
      </c>
      <c r="D724" s="117" t="str">
        <f>IF(ISBLANK(INDEX('register map'!C:C,'Logical Group Generator'!C724)),"No","Yes")</f>
        <v>No</v>
      </c>
      <c r="E724" s="117" t="str">
        <f>IF(ISBLANK(INDEX('register map'!A:A,C724)),IF(ISBLANK(INDEX('register map'!A:A,C724-1)),IF(ISBLANK(INDEX('register map'!A:A,C724-2)),IF(ISBLANK(INDEX('register map'!A:A,C724-3)),IF(ISBLANK(INDEX('register map'!A:A,C724-4)),IF(ISBLANK(INDEX('register map'!A:A,C724-5)),IF(ISBLANK(INDEX('register map'!A:A,C724-6)),IF(ISBLANK(INDEX('register map'!A:A,C724-7)),IF(ISBLANK(INDEX('register map'!A:A,C724-8)),"ERROR",INDEX('register map'!A:A,C724-8)),INDEX('register map'!A:A,C724-7)),INDEX('register map'!A:A,C724-6)),INDEX('register map'!A:A,C724-5)),INDEX('register map'!A:A,C724-4)),INDEX('register map'!A:A,C724-3)),INDEX('register map'!A:A,C724-2)),INDEX('register map'!A:A,C724-1)),INDEX('register map'!A:A,C724))</f>
        <v>0x38</v>
      </c>
      <c r="F724" s="117" t="str">
        <f>IF(ISBLANK(INDEX('register map'!B:B,C724)),IF(ISBLANK(INDEX('register map'!B:B,C724-1)),IF(ISBLANK(INDEX('register map'!B:B,C724-2)),IF(ISBLANK(INDEX('register map'!B:B,C724-3)),IF(ISBLANK(INDEX('register map'!B:B,C724-4)),IF(ISBLANK(INDEX('register map'!B:B,C724-5)),IF(ISBLANK(INDEX('register map'!B:B,C724-6)),IF(ISBLANK(INDEX('register map'!B:B,C724-7)),IF(ISBLANK(INDEX('register map'!B:B,C724-8)),"ERROR",INDEX('register map'!B:B,C724-8)),INDEX('register map'!B:B,C724-7)),INDEX('register map'!B:B,C724-6)),INDEX('register map'!B:B,C724-5)),INDEX('register map'!B:B,C724-4)),INDEX('register map'!B:B,C724-3)),INDEX('register map'!B:B,C724-2)),INDEX('register map'!B:B,C724-1)),INDEX('register map'!B:B,C724))</f>
        <v>0x57</v>
      </c>
      <c r="G724" s="117" t="str">
        <f>CONCATENATE(IF(ISNUMBER(INDEX('register map'!D:D,C724)),7,""),IF(ISNUMBER(INDEX('register map'!E:E,C724)),6,""),IF(ISNUMBER(INDEX('register map'!F:F,C724)),5,""),IF(ISNUMBER(INDEX('register map'!G:G,C724)),4,""),IF(ISNUMBER(INDEX('register map'!H:H,C724)),3,""),IF(ISNUMBER(INDEX('register map'!I:I,C724)),2,""),IF(ISNUMBER(INDEX('register map'!J:J,C724)),1,""),IF(ISNUMBER(INDEX('register map'!K:K,C724)),0,""))</f>
        <v>65</v>
      </c>
      <c r="H724" s="117" t="str">
        <f>RIGHT(INDEX('register map'!V:V,MATCH('Logical Group Generator'!B724,'register map'!L:L,0)),LEN(G724))</f>
        <v>01</v>
      </c>
      <c r="I724" s="117" t="str">
        <f>CONCATENATE(IF(ISNUMBER(INDEX('register map'!K:K,C724)),0,""),IF(ISNUMBER(INDEX('register map'!J:J,C724)),1,""),IF(ISNUMBER(INDEX('register map'!I:I,C724)),2,""),IF(ISNUMBER(INDEX('register map'!H:H,C724)),3,""),IF(ISNUMBER(INDEX('register map'!G:G,C724)),4,""),IF(ISNUMBER(INDEX('register map'!F:F,C724)),5,""),IF(ISNUMBER(INDEX('register map'!E:E,C724)),6,""),IF(ISNUMBER(INDEX('register map'!D:D,C724)),7,""))</f>
        <v>56</v>
      </c>
      <c r="J724" s="117" t="str">
        <f t="shared" si="132"/>
        <v>10</v>
      </c>
      <c r="K724" s="117" t="str">
        <f t="shared" si="121"/>
        <v/>
      </c>
      <c r="L724" s="117" t="str">
        <f t="shared" si="129"/>
        <v/>
      </c>
      <c r="M724" s="117" t="str">
        <f t="shared" si="131"/>
        <v/>
      </c>
      <c r="N724" s="117" t="str">
        <f>IF(ISBLANK(INDEX('register map'!M:M,'Logical Group Generator'!C724)),"No","Yes")</f>
        <v>Yes</v>
      </c>
      <c r="O724" s="117" t="str">
        <f>IF(NOT(ISBLANK(INDEX('register map'!N:N,'Logical Group Generator'!C724))),"Yes","")</f>
        <v/>
      </c>
      <c r="P724" s="117" t="str">
        <f t="shared" si="122"/>
        <v/>
      </c>
      <c r="Q724" s="117" t="str">
        <f t="shared" si="123"/>
        <v/>
      </c>
      <c r="R724" s="117" t="str">
        <f t="shared" si="124"/>
        <v/>
      </c>
      <c r="S724" s="117" t="str">
        <f t="shared" si="125"/>
        <v>No</v>
      </c>
      <c r="T724" s="117" t="str">
        <f t="shared" si="126"/>
        <v/>
      </c>
      <c r="U724" s="117" t="b">
        <f t="shared" si="130"/>
        <v>0</v>
      </c>
      <c r="V724" s="157" t="b">
        <f>INDEX('register map'!P:P,C724)="yes"</f>
        <v>1</v>
      </c>
      <c r="W724" s="157" t="str">
        <f t="shared" si="127"/>
        <v>FALSE</v>
      </c>
    </row>
    <row r="725" spans="2:23">
      <c r="B725" s="157" t="str">
        <f t="array" ref="B725">IF(ROWS($3:725)&lt;=COUNTA('register map'!$L$5:$L$902),INDEX('register map'!$L$5:$L$902,SMALL(IF('register map'!$L$5:$L$902&lt;&gt;"",ROW('register map'!$L$5:$L$902)-MIN(ROW('register map'!$L$5:$L$902))+1),ROWS($3:725))),"")</f>
        <v>OTP_RSVD_38_57_7</v>
      </c>
      <c r="C725" s="157">
        <f>IF(B725="PART_NUMBER",IF(COUNTIF($B$1:B724,"PART_NUMBER")=0,6,8),MATCH(B725,'register map'!L:L,0))</f>
        <v>862</v>
      </c>
      <c r="D725" s="117" t="str">
        <f>IF(ISBLANK(INDEX('register map'!C:C,'Logical Group Generator'!C725)),"No","Yes")</f>
        <v>No</v>
      </c>
      <c r="E725" s="117" t="str">
        <f>IF(ISBLANK(INDEX('register map'!A:A,C725)),IF(ISBLANK(INDEX('register map'!A:A,C725-1)),IF(ISBLANK(INDEX('register map'!A:A,C725-2)),IF(ISBLANK(INDEX('register map'!A:A,C725-3)),IF(ISBLANK(INDEX('register map'!A:A,C725-4)),IF(ISBLANK(INDEX('register map'!A:A,C725-5)),IF(ISBLANK(INDEX('register map'!A:A,C725-6)),IF(ISBLANK(INDEX('register map'!A:A,C725-7)),IF(ISBLANK(INDEX('register map'!A:A,C725-8)),"ERROR",INDEX('register map'!A:A,C725-8)),INDEX('register map'!A:A,C725-7)),INDEX('register map'!A:A,C725-6)),INDEX('register map'!A:A,C725-5)),INDEX('register map'!A:A,C725-4)),INDEX('register map'!A:A,C725-3)),INDEX('register map'!A:A,C725-2)),INDEX('register map'!A:A,C725-1)),INDEX('register map'!A:A,C725))</f>
        <v>0x38</v>
      </c>
      <c r="F725" s="117" t="str">
        <f>IF(ISBLANK(INDEX('register map'!B:B,C725)),IF(ISBLANK(INDEX('register map'!B:B,C725-1)),IF(ISBLANK(INDEX('register map'!B:B,C725-2)),IF(ISBLANK(INDEX('register map'!B:B,C725-3)),IF(ISBLANK(INDEX('register map'!B:B,C725-4)),IF(ISBLANK(INDEX('register map'!B:B,C725-5)),IF(ISBLANK(INDEX('register map'!B:B,C725-6)),IF(ISBLANK(INDEX('register map'!B:B,C725-7)),IF(ISBLANK(INDEX('register map'!B:B,C725-8)),"ERROR",INDEX('register map'!B:B,C725-8)),INDEX('register map'!B:B,C725-7)),INDEX('register map'!B:B,C725-6)),INDEX('register map'!B:B,C725-5)),INDEX('register map'!B:B,C725-4)),INDEX('register map'!B:B,C725-3)),INDEX('register map'!B:B,C725-2)),INDEX('register map'!B:B,C725-1)),INDEX('register map'!B:B,C725))</f>
        <v>0x57</v>
      </c>
      <c r="G725" s="117" t="str">
        <f>CONCATENATE(IF(ISNUMBER(INDEX('register map'!D:D,C725)),7,""),IF(ISNUMBER(INDEX('register map'!E:E,C725)),6,""),IF(ISNUMBER(INDEX('register map'!F:F,C725)),5,""),IF(ISNUMBER(INDEX('register map'!G:G,C725)),4,""),IF(ISNUMBER(INDEX('register map'!H:H,C725)),3,""),IF(ISNUMBER(INDEX('register map'!I:I,C725)),2,""),IF(ISNUMBER(INDEX('register map'!J:J,C725)),1,""),IF(ISNUMBER(INDEX('register map'!K:K,C725)),0,""))</f>
        <v>7</v>
      </c>
      <c r="H725" s="117" t="str">
        <f>RIGHT(INDEX('register map'!V:V,MATCH('Logical Group Generator'!B725,'register map'!L:L,0)),LEN(G725))</f>
        <v>0</v>
      </c>
      <c r="I725" s="117" t="str">
        <f>CONCATENATE(IF(ISNUMBER(INDEX('register map'!K:K,C725)),0,""),IF(ISNUMBER(INDEX('register map'!J:J,C725)),1,""),IF(ISNUMBER(INDEX('register map'!I:I,C725)),2,""),IF(ISNUMBER(INDEX('register map'!H:H,C725)),3,""),IF(ISNUMBER(INDEX('register map'!G:G,C725)),4,""),IF(ISNUMBER(INDEX('register map'!F:F,C725)),5,""),IF(ISNUMBER(INDEX('register map'!E:E,C725)),6,""),IF(ISNUMBER(INDEX('register map'!D:D,C725)),7,""))</f>
        <v>7</v>
      </c>
      <c r="J725" s="117" t="str">
        <f t="shared" si="132"/>
        <v>0</v>
      </c>
      <c r="K725" s="117" t="str">
        <f t="shared" si="121"/>
        <v/>
      </c>
      <c r="L725" s="117" t="str">
        <f t="shared" si="129"/>
        <v/>
      </c>
      <c r="M725" s="117" t="str">
        <f t="shared" si="131"/>
        <v/>
      </c>
      <c r="N725" s="117" t="str">
        <f>IF(ISBLANK(INDEX('register map'!M:M,'Logical Group Generator'!C725)),"No","Yes")</f>
        <v>No</v>
      </c>
      <c r="O725" s="117" t="str">
        <f>IF(NOT(ISBLANK(INDEX('register map'!N:N,'Logical Group Generator'!C725))),"Yes","")</f>
        <v>Yes</v>
      </c>
      <c r="P725" s="117" t="str">
        <f t="shared" si="122"/>
        <v/>
      </c>
      <c r="Q725" s="117" t="str">
        <f t="shared" si="123"/>
        <v/>
      </c>
      <c r="R725" s="117" t="str">
        <f t="shared" si="124"/>
        <v/>
      </c>
      <c r="S725" s="117" t="str">
        <f t="shared" si="125"/>
        <v>No</v>
      </c>
      <c r="T725" s="117" t="str">
        <f t="shared" si="126"/>
        <v/>
      </c>
      <c r="U725" s="117" t="b">
        <f t="shared" si="130"/>
        <v>0</v>
      </c>
      <c r="V725" s="157" t="b">
        <f>INDEX('register map'!P:P,C725)="yes"</f>
        <v>1</v>
      </c>
      <c r="W725" s="157" t="str">
        <f t="shared" si="127"/>
        <v>FALSE</v>
      </c>
    </row>
    <row r="726" spans="2:23">
      <c r="B726" s="157" t="str">
        <f t="array" ref="B726">IF(ROWS($3:726)&lt;=COUNTA('register map'!$L$5:$L$902),INDEX('register map'!$L$5:$L$902,SMALL(IF('register map'!$L$5:$L$902&lt;&gt;"",ROW('register map'!$L$5:$L$902)-MIN(ROW('register map'!$L$5:$L$902))+1),ROWS($3:726))),"")</f>
        <v>OTP_RSVD_38_58</v>
      </c>
      <c r="C726" s="157">
        <f>IF(B726="PART_NUMBER",IF(COUNTIF($B$1:B725,"PART_NUMBER")=0,6,8),MATCH(B726,'register map'!L:L,0))</f>
        <v>863</v>
      </c>
      <c r="D726" s="117" t="str">
        <f>IF(ISBLANK(INDEX('register map'!C:C,'Logical Group Generator'!C726)),"No","Yes")</f>
        <v>Yes</v>
      </c>
      <c r="E726" s="117" t="str">
        <f>IF(ISBLANK(INDEX('register map'!A:A,C726)),IF(ISBLANK(INDEX('register map'!A:A,C726-1)),IF(ISBLANK(INDEX('register map'!A:A,C726-2)),IF(ISBLANK(INDEX('register map'!A:A,C726-3)),IF(ISBLANK(INDEX('register map'!A:A,C726-4)),IF(ISBLANK(INDEX('register map'!A:A,C726-5)),IF(ISBLANK(INDEX('register map'!A:A,C726-6)),IF(ISBLANK(INDEX('register map'!A:A,C726-7)),IF(ISBLANK(INDEX('register map'!A:A,C726-8)),"ERROR",INDEX('register map'!A:A,C726-8)),INDEX('register map'!A:A,C726-7)),INDEX('register map'!A:A,C726-6)),INDEX('register map'!A:A,C726-5)),INDEX('register map'!A:A,C726-4)),INDEX('register map'!A:A,C726-3)),INDEX('register map'!A:A,C726-2)),INDEX('register map'!A:A,C726-1)),INDEX('register map'!A:A,C726))</f>
        <v>0x38</v>
      </c>
      <c r="F726" s="117" t="str">
        <f>IF(ISBLANK(INDEX('register map'!B:B,C726)),IF(ISBLANK(INDEX('register map'!B:B,C726-1)),IF(ISBLANK(INDEX('register map'!B:B,C726-2)),IF(ISBLANK(INDEX('register map'!B:B,C726-3)),IF(ISBLANK(INDEX('register map'!B:B,C726-4)),IF(ISBLANK(INDEX('register map'!B:B,C726-5)),IF(ISBLANK(INDEX('register map'!B:B,C726-6)),IF(ISBLANK(INDEX('register map'!B:B,C726-7)),IF(ISBLANK(INDEX('register map'!B:B,C726-8)),"ERROR",INDEX('register map'!B:B,C726-8)),INDEX('register map'!B:B,C726-7)),INDEX('register map'!B:B,C726-6)),INDEX('register map'!B:B,C726-5)),INDEX('register map'!B:B,C726-4)),INDEX('register map'!B:B,C726-3)),INDEX('register map'!B:B,C726-2)),INDEX('register map'!B:B,C726-1)),INDEX('register map'!B:B,C726))</f>
        <v>0x58</v>
      </c>
      <c r="G726" s="117" t="str">
        <f>CONCATENATE(IF(ISNUMBER(INDEX('register map'!D:D,C726)),7,""),IF(ISNUMBER(INDEX('register map'!E:E,C726)),6,""),IF(ISNUMBER(INDEX('register map'!F:F,C726)),5,""),IF(ISNUMBER(INDEX('register map'!G:G,C726)),4,""),IF(ISNUMBER(INDEX('register map'!H:H,C726)),3,""),IF(ISNUMBER(INDEX('register map'!I:I,C726)),2,""),IF(ISNUMBER(INDEX('register map'!J:J,C726)),1,""),IF(ISNUMBER(INDEX('register map'!K:K,C726)),0,""))</f>
        <v/>
      </c>
      <c r="H726" s="117" t="str">
        <f>RIGHT(INDEX('register map'!V:V,MATCH('Logical Group Generator'!B726,'register map'!L:L,0)),LEN(G726))</f>
        <v/>
      </c>
      <c r="I726" s="117" t="str">
        <f>CONCATENATE(IF(ISNUMBER(INDEX('register map'!K:K,C726)),0,""),IF(ISNUMBER(INDEX('register map'!J:J,C726)),1,""),IF(ISNUMBER(INDEX('register map'!I:I,C726)),2,""),IF(ISNUMBER(INDEX('register map'!H:H,C726)),3,""),IF(ISNUMBER(INDEX('register map'!G:G,C726)),4,""),IF(ISNUMBER(INDEX('register map'!F:F,C726)),5,""),IF(ISNUMBER(INDEX('register map'!E:E,C726)),6,""),IF(ISNUMBER(INDEX('register map'!D:D,C726)),7,""))</f>
        <v/>
      </c>
      <c r="J726" s="117" t="str">
        <f t="shared" si="132"/>
        <v/>
      </c>
      <c r="K726" s="117" t="str">
        <f t="shared" si="121"/>
        <v>11110000</v>
      </c>
      <c r="L726" s="117" t="str">
        <f t="shared" si="129"/>
        <v>00001111</v>
      </c>
      <c r="M726" s="117" t="str">
        <f t="shared" si="131"/>
        <v>0F</v>
      </c>
      <c r="N726" s="117" t="str">
        <f>IF(ISBLANK(INDEX('register map'!M:M,'Logical Group Generator'!C726)),"No","Yes")</f>
        <v>No</v>
      </c>
      <c r="O726" s="117" t="str">
        <f>IF(NOT(ISBLANK(INDEX('register map'!N:N,'Logical Group Generator'!C726))),"Yes","")</f>
        <v/>
      </c>
      <c r="P726" s="117" t="str">
        <f t="shared" si="122"/>
        <v>No</v>
      </c>
      <c r="Q726" s="117" t="str">
        <f t="shared" si="123"/>
        <v>Yes</v>
      </c>
      <c r="R726" s="117" t="str">
        <f t="shared" si="124"/>
        <v>No</v>
      </c>
      <c r="S726" s="117" t="str">
        <f t="shared" si="125"/>
        <v/>
      </c>
      <c r="T726" s="117" t="b">
        <f t="shared" si="126"/>
        <v>1</v>
      </c>
      <c r="U726" s="117" t="b">
        <f t="shared" si="130"/>
        <v>1</v>
      </c>
      <c r="V726" s="157" t="b">
        <f>INDEX('register map'!P:P,C726)="yes"</f>
        <v>1</v>
      </c>
      <c r="W726" s="157" t="str">
        <f t="shared" si="127"/>
        <v>FALSE</v>
      </c>
    </row>
    <row r="727" spans="2:23">
      <c r="B727" s="157" t="str">
        <f t="array" ref="B727">IF(ROWS($3:727)&lt;=COUNTA('register map'!$L$5:$L$902),INDEX('register map'!$L$5:$L$902,SMALL(IF('register map'!$L$5:$L$902&lt;&gt;"",ROW('register map'!$L$5:$L$902)-MIN(ROW('register map'!$L$5:$L$902))+1),ROWS($3:727))),"")</f>
        <v>OTP_RSVD_38_58_0</v>
      </c>
      <c r="C727" s="157">
        <f>IF(B727="PART_NUMBER",IF(COUNTIF($B$1:B726,"PART_NUMBER")=0,6,8),MATCH(B727,'register map'!L:L,0))</f>
        <v>864</v>
      </c>
      <c r="D727" s="117" t="str">
        <f>IF(ISBLANK(INDEX('register map'!C:C,'Logical Group Generator'!C727)),"No","Yes")</f>
        <v>No</v>
      </c>
      <c r="E727" s="117" t="str">
        <f>IF(ISBLANK(INDEX('register map'!A:A,C727)),IF(ISBLANK(INDEX('register map'!A:A,C727-1)),IF(ISBLANK(INDEX('register map'!A:A,C727-2)),IF(ISBLANK(INDEX('register map'!A:A,C727-3)),IF(ISBLANK(INDEX('register map'!A:A,C727-4)),IF(ISBLANK(INDEX('register map'!A:A,C727-5)),IF(ISBLANK(INDEX('register map'!A:A,C727-6)),IF(ISBLANK(INDEX('register map'!A:A,C727-7)),IF(ISBLANK(INDEX('register map'!A:A,C727-8)),"ERROR",INDEX('register map'!A:A,C727-8)),INDEX('register map'!A:A,C727-7)),INDEX('register map'!A:A,C727-6)),INDEX('register map'!A:A,C727-5)),INDEX('register map'!A:A,C727-4)),INDEX('register map'!A:A,C727-3)),INDEX('register map'!A:A,C727-2)),INDEX('register map'!A:A,C727-1)),INDEX('register map'!A:A,C727))</f>
        <v>0x38</v>
      </c>
      <c r="F727" s="117" t="str">
        <f>IF(ISBLANK(INDEX('register map'!B:B,C727)),IF(ISBLANK(INDEX('register map'!B:B,C727-1)),IF(ISBLANK(INDEX('register map'!B:B,C727-2)),IF(ISBLANK(INDEX('register map'!B:B,C727-3)),IF(ISBLANK(INDEX('register map'!B:B,C727-4)),IF(ISBLANK(INDEX('register map'!B:B,C727-5)),IF(ISBLANK(INDEX('register map'!B:B,C727-6)),IF(ISBLANK(INDEX('register map'!B:B,C727-7)),IF(ISBLANK(INDEX('register map'!B:B,C727-8)),"ERROR",INDEX('register map'!B:B,C727-8)),INDEX('register map'!B:B,C727-7)),INDEX('register map'!B:B,C727-6)),INDEX('register map'!B:B,C727-5)),INDEX('register map'!B:B,C727-4)),INDEX('register map'!B:B,C727-3)),INDEX('register map'!B:B,C727-2)),INDEX('register map'!B:B,C727-1)),INDEX('register map'!B:B,C727))</f>
        <v>0x58</v>
      </c>
      <c r="G727" s="117" t="str">
        <f>CONCATENATE(IF(ISNUMBER(INDEX('register map'!D:D,C727)),7,""),IF(ISNUMBER(INDEX('register map'!E:E,C727)),6,""),IF(ISNUMBER(INDEX('register map'!F:F,C727)),5,""),IF(ISNUMBER(INDEX('register map'!G:G,C727)),4,""),IF(ISNUMBER(INDEX('register map'!H:H,C727)),3,""),IF(ISNUMBER(INDEX('register map'!I:I,C727)),2,""),IF(ISNUMBER(INDEX('register map'!J:J,C727)),1,""),IF(ISNUMBER(INDEX('register map'!K:K,C727)),0,""))</f>
        <v>0</v>
      </c>
      <c r="H727" s="117" t="str">
        <f>RIGHT(INDEX('register map'!V:V,MATCH('Logical Group Generator'!B727,'register map'!L:L,0)),LEN(G727))</f>
        <v>1</v>
      </c>
      <c r="I727" s="117" t="str">
        <f>CONCATENATE(IF(ISNUMBER(INDEX('register map'!K:K,C727)),0,""),IF(ISNUMBER(INDEX('register map'!J:J,C727)),1,""),IF(ISNUMBER(INDEX('register map'!I:I,C727)),2,""),IF(ISNUMBER(INDEX('register map'!H:H,C727)),3,""),IF(ISNUMBER(INDEX('register map'!G:G,C727)),4,""),IF(ISNUMBER(INDEX('register map'!F:F,C727)),5,""),IF(ISNUMBER(INDEX('register map'!E:E,C727)),6,""),IF(ISNUMBER(INDEX('register map'!D:D,C727)),7,""))</f>
        <v>0</v>
      </c>
      <c r="J727" s="117" t="str">
        <f t="shared" si="132"/>
        <v>1</v>
      </c>
      <c r="K727" s="117" t="str">
        <f t="shared" si="121"/>
        <v/>
      </c>
      <c r="L727" s="117" t="str">
        <f t="shared" si="129"/>
        <v/>
      </c>
      <c r="M727" s="117" t="str">
        <f t="shared" si="131"/>
        <v/>
      </c>
      <c r="N727" s="117" t="str">
        <f>IF(ISBLANK(INDEX('register map'!M:M,'Logical Group Generator'!C727)),"No","Yes")</f>
        <v>No</v>
      </c>
      <c r="O727" s="117" t="str">
        <f>IF(NOT(ISBLANK(INDEX('register map'!N:N,'Logical Group Generator'!C727))),"Yes","")</f>
        <v>Yes</v>
      </c>
      <c r="P727" s="117" t="str">
        <f t="shared" si="122"/>
        <v/>
      </c>
      <c r="Q727" s="117" t="str">
        <f t="shared" si="123"/>
        <v/>
      </c>
      <c r="R727" s="117" t="str">
        <f t="shared" si="124"/>
        <v/>
      </c>
      <c r="S727" s="117" t="str">
        <f t="shared" si="125"/>
        <v>No</v>
      </c>
      <c r="T727" s="117" t="str">
        <f t="shared" si="126"/>
        <v/>
      </c>
      <c r="U727" s="117" t="b">
        <f t="shared" si="130"/>
        <v>0</v>
      </c>
      <c r="V727" s="157" t="b">
        <f>INDEX('register map'!P:P,C727)="yes"</f>
        <v>1</v>
      </c>
      <c r="W727" s="157" t="str">
        <f t="shared" si="127"/>
        <v>FALSE</v>
      </c>
    </row>
    <row r="728" spans="2:23">
      <c r="B728" s="157" t="str">
        <f t="array" ref="B728">IF(ROWS($3:728)&lt;=COUNTA('register map'!$L$5:$L$902),INDEX('register map'!$L$5:$L$902,SMALL(IF('register map'!$L$5:$L$902&lt;&gt;"",ROW('register map'!$L$5:$L$902)-MIN(ROW('register map'!$L$5:$L$902))+1),ROWS($3:728))),"")</f>
        <v>OTP_RSVD_38_58_1</v>
      </c>
      <c r="C728" s="157">
        <f>IF(B728="PART_NUMBER",IF(COUNTIF($B$1:B727,"PART_NUMBER")=0,6,8),MATCH(B728,'register map'!L:L,0))</f>
        <v>865</v>
      </c>
      <c r="D728" s="117" t="str">
        <f>IF(ISBLANK(INDEX('register map'!C:C,'Logical Group Generator'!C728)),"No","Yes")</f>
        <v>No</v>
      </c>
      <c r="E728" s="117" t="str">
        <f>IF(ISBLANK(INDEX('register map'!A:A,C728)),IF(ISBLANK(INDEX('register map'!A:A,C728-1)),IF(ISBLANK(INDEX('register map'!A:A,C728-2)),IF(ISBLANK(INDEX('register map'!A:A,C728-3)),IF(ISBLANK(INDEX('register map'!A:A,C728-4)),IF(ISBLANK(INDEX('register map'!A:A,C728-5)),IF(ISBLANK(INDEX('register map'!A:A,C728-6)),IF(ISBLANK(INDEX('register map'!A:A,C728-7)),IF(ISBLANK(INDEX('register map'!A:A,C728-8)),"ERROR",INDEX('register map'!A:A,C728-8)),INDEX('register map'!A:A,C728-7)),INDEX('register map'!A:A,C728-6)),INDEX('register map'!A:A,C728-5)),INDEX('register map'!A:A,C728-4)),INDEX('register map'!A:A,C728-3)),INDEX('register map'!A:A,C728-2)),INDEX('register map'!A:A,C728-1)),INDEX('register map'!A:A,C728))</f>
        <v>0x38</v>
      </c>
      <c r="F728" s="117" t="str">
        <f>IF(ISBLANK(INDEX('register map'!B:B,C728)),IF(ISBLANK(INDEX('register map'!B:B,C728-1)),IF(ISBLANK(INDEX('register map'!B:B,C728-2)),IF(ISBLANK(INDEX('register map'!B:B,C728-3)),IF(ISBLANK(INDEX('register map'!B:B,C728-4)),IF(ISBLANK(INDEX('register map'!B:B,C728-5)),IF(ISBLANK(INDEX('register map'!B:B,C728-6)),IF(ISBLANK(INDEX('register map'!B:B,C728-7)),IF(ISBLANK(INDEX('register map'!B:B,C728-8)),"ERROR",INDEX('register map'!B:B,C728-8)),INDEX('register map'!B:B,C728-7)),INDEX('register map'!B:B,C728-6)),INDEX('register map'!B:B,C728-5)),INDEX('register map'!B:B,C728-4)),INDEX('register map'!B:B,C728-3)),INDEX('register map'!B:B,C728-2)),INDEX('register map'!B:B,C728-1)),INDEX('register map'!B:B,C728))</f>
        <v>0x58</v>
      </c>
      <c r="G728" s="117" t="str">
        <f>CONCATENATE(IF(ISNUMBER(INDEX('register map'!D:D,C728)),7,""),IF(ISNUMBER(INDEX('register map'!E:E,C728)),6,""),IF(ISNUMBER(INDEX('register map'!F:F,C728)),5,""),IF(ISNUMBER(INDEX('register map'!G:G,C728)),4,""),IF(ISNUMBER(INDEX('register map'!H:H,C728)),3,""),IF(ISNUMBER(INDEX('register map'!I:I,C728)),2,""),IF(ISNUMBER(INDEX('register map'!J:J,C728)),1,""),IF(ISNUMBER(INDEX('register map'!K:K,C728)),0,""))</f>
        <v>1</v>
      </c>
      <c r="H728" s="117" t="str">
        <f>RIGHT(INDEX('register map'!V:V,MATCH('Logical Group Generator'!B728,'register map'!L:L,0)),LEN(G728))</f>
        <v>1</v>
      </c>
      <c r="I728" s="117" t="str">
        <f>CONCATENATE(IF(ISNUMBER(INDEX('register map'!K:K,C728)),0,""),IF(ISNUMBER(INDEX('register map'!J:J,C728)),1,""),IF(ISNUMBER(INDEX('register map'!I:I,C728)),2,""),IF(ISNUMBER(INDEX('register map'!H:H,C728)),3,""),IF(ISNUMBER(INDEX('register map'!G:G,C728)),4,""),IF(ISNUMBER(INDEX('register map'!F:F,C728)),5,""),IF(ISNUMBER(INDEX('register map'!E:E,C728)),6,""),IF(ISNUMBER(INDEX('register map'!D:D,C728)),7,""))</f>
        <v>1</v>
      </c>
      <c r="J728" s="117" t="str">
        <f t="shared" si="132"/>
        <v>1</v>
      </c>
      <c r="K728" s="117" t="str">
        <f t="shared" si="121"/>
        <v/>
      </c>
      <c r="L728" s="117" t="str">
        <f t="shared" si="129"/>
        <v/>
      </c>
      <c r="M728" s="117" t="str">
        <f t="shared" si="131"/>
        <v/>
      </c>
      <c r="N728" s="117" t="str">
        <f>IF(ISBLANK(INDEX('register map'!M:M,'Logical Group Generator'!C728)),"No","Yes")</f>
        <v>No</v>
      </c>
      <c r="O728" s="117" t="str">
        <f>IF(NOT(ISBLANK(INDEX('register map'!N:N,'Logical Group Generator'!C728))),"Yes","")</f>
        <v>Yes</v>
      </c>
      <c r="P728" s="117" t="str">
        <f t="shared" si="122"/>
        <v/>
      </c>
      <c r="Q728" s="117" t="str">
        <f t="shared" si="123"/>
        <v/>
      </c>
      <c r="R728" s="117" t="str">
        <f t="shared" si="124"/>
        <v/>
      </c>
      <c r="S728" s="117" t="str">
        <f t="shared" si="125"/>
        <v>No</v>
      </c>
      <c r="T728" s="117" t="str">
        <f t="shared" si="126"/>
        <v/>
      </c>
      <c r="U728" s="117" t="b">
        <f t="shared" si="130"/>
        <v>0</v>
      </c>
      <c r="V728" s="157" t="b">
        <f>INDEX('register map'!P:P,C728)="yes"</f>
        <v>1</v>
      </c>
      <c r="W728" s="157" t="str">
        <f t="shared" si="127"/>
        <v>FALSE</v>
      </c>
    </row>
    <row r="729" spans="2:23">
      <c r="B729" s="157" t="str">
        <f t="array" ref="B729">IF(ROWS($3:729)&lt;=COUNTA('register map'!$L$5:$L$902),INDEX('register map'!$L$5:$L$902,SMALL(IF('register map'!$L$5:$L$902&lt;&gt;"",ROW('register map'!$L$5:$L$902)-MIN(ROW('register map'!$L$5:$L$902))+1),ROWS($3:729))),"")</f>
        <v>OTP_RSVD_38_58_2</v>
      </c>
      <c r="C729" s="157">
        <f>IF(B729="PART_NUMBER",IF(COUNTIF($B$1:B728,"PART_NUMBER")=0,6,8),MATCH(B729,'register map'!L:L,0))</f>
        <v>866</v>
      </c>
      <c r="D729" s="117" t="str">
        <f>IF(ISBLANK(INDEX('register map'!C:C,'Logical Group Generator'!C729)),"No","Yes")</f>
        <v>No</v>
      </c>
      <c r="E729" s="117" t="str">
        <f>IF(ISBLANK(INDEX('register map'!A:A,C729)),IF(ISBLANK(INDEX('register map'!A:A,C729-1)),IF(ISBLANK(INDEX('register map'!A:A,C729-2)),IF(ISBLANK(INDEX('register map'!A:A,C729-3)),IF(ISBLANK(INDEX('register map'!A:A,C729-4)),IF(ISBLANK(INDEX('register map'!A:A,C729-5)),IF(ISBLANK(INDEX('register map'!A:A,C729-6)),IF(ISBLANK(INDEX('register map'!A:A,C729-7)),IF(ISBLANK(INDEX('register map'!A:A,C729-8)),"ERROR",INDEX('register map'!A:A,C729-8)),INDEX('register map'!A:A,C729-7)),INDEX('register map'!A:A,C729-6)),INDEX('register map'!A:A,C729-5)),INDEX('register map'!A:A,C729-4)),INDEX('register map'!A:A,C729-3)),INDEX('register map'!A:A,C729-2)),INDEX('register map'!A:A,C729-1)),INDEX('register map'!A:A,C729))</f>
        <v>0x38</v>
      </c>
      <c r="F729" s="117" t="str">
        <f>IF(ISBLANK(INDEX('register map'!B:B,C729)),IF(ISBLANK(INDEX('register map'!B:B,C729-1)),IF(ISBLANK(INDEX('register map'!B:B,C729-2)),IF(ISBLANK(INDEX('register map'!B:B,C729-3)),IF(ISBLANK(INDEX('register map'!B:B,C729-4)),IF(ISBLANK(INDEX('register map'!B:B,C729-5)),IF(ISBLANK(INDEX('register map'!B:B,C729-6)),IF(ISBLANK(INDEX('register map'!B:B,C729-7)),IF(ISBLANK(INDEX('register map'!B:B,C729-8)),"ERROR",INDEX('register map'!B:B,C729-8)),INDEX('register map'!B:B,C729-7)),INDEX('register map'!B:B,C729-6)),INDEX('register map'!B:B,C729-5)),INDEX('register map'!B:B,C729-4)),INDEX('register map'!B:B,C729-3)),INDEX('register map'!B:B,C729-2)),INDEX('register map'!B:B,C729-1)),INDEX('register map'!B:B,C729))</f>
        <v>0x58</v>
      </c>
      <c r="G729" s="117" t="str">
        <f>CONCATENATE(IF(ISNUMBER(INDEX('register map'!D:D,C729)),7,""),IF(ISNUMBER(INDEX('register map'!E:E,C729)),6,""),IF(ISNUMBER(INDEX('register map'!F:F,C729)),5,""),IF(ISNUMBER(INDEX('register map'!G:G,C729)),4,""),IF(ISNUMBER(INDEX('register map'!H:H,C729)),3,""),IF(ISNUMBER(INDEX('register map'!I:I,C729)),2,""),IF(ISNUMBER(INDEX('register map'!J:J,C729)),1,""),IF(ISNUMBER(INDEX('register map'!K:K,C729)),0,""))</f>
        <v>2</v>
      </c>
      <c r="H729" s="117" t="str">
        <f>RIGHT(INDEX('register map'!V:V,MATCH('Logical Group Generator'!B729,'register map'!L:L,0)),LEN(G729))</f>
        <v>1</v>
      </c>
      <c r="I729" s="117" t="str">
        <f>CONCATENATE(IF(ISNUMBER(INDEX('register map'!K:K,C729)),0,""),IF(ISNUMBER(INDEX('register map'!J:J,C729)),1,""),IF(ISNUMBER(INDEX('register map'!I:I,C729)),2,""),IF(ISNUMBER(INDEX('register map'!H:H,C729)),3,""),IF(ISNUMBER(INDEX('register map'!G:G,C729)),4,""),IF(ISNUMBER(INDEX('register map'!F:F,C729)),5,""),IF(ISNUMBER(INDEX('register map'!E:E,C729)),6,""),IF(ISNUMBER(INDEX('register map'!D:D,C729)),7,""))</f>
        <v>2</v>
      </c>
      <c r="J729" s="117" t="str">
        <f t="shared" si="132"/>
        <v>1</v>
      </c>
      <c r="K729" s="117" t="str">
        <f t="shared" si="121"/>
        <v/>
      </c>
      <c r="L729" s="117" t="str">
        <f t="shared" si="129"/>
        <v/>
      </c>
      <c r="M729" s="117" t="str">
        <f t="shared" si="131"/>
        <v/>
      </c>
      <c r="N729" s="117" t="str">
        <f>IF(ISBLANK(INDEX('register map'!M:M,'Logical Group Generator'!C729)),"No","Yes")</f>
        <v>No</v>
      </c>
      <c r="O729" s="117" t="str">
        <f>IF(NOT(ISBLANK(INDEX('register map'!N:N,'Logical Group Generator'!C729))),"Yes","")</f>
        <v>Yes</v>
      </c>
      <c r="P729" s="117" t="str">
        <f t="shared" si="122"/>
        <v/>
      </c>
      <c r="Q729" s="117" t="str">
        <f t="shared" si="123"/>
        <v/>
      </c>
      <c r="R729" s="117" t="str">
        <f t="shared" si="124"/>
        <v/>
      </c>
      <c r="S729" s="117" t="str">
        <f t="shared" si="125"/>
        <v>No</v>
      </c>
      <c r="T729" s="117" t="str">
        <f t="shared" si="126"/>
        <v/>
      </c>
      <c r="U729" s="117" t="b">
        <f t="shared" si="130"/>
        <v>0</v>
      </c>
      <c r="V729" s="157" t="b">
        <f>INDEX('register map'!P:P,C729)="yes"</f>
        <v>1</v>
      </c>
      <c r="W729" s="157" t="str">
        <f t="shared" si="127"/>
        <v>FALSE</v>
      </c>
    </row>
    <row r="730" spans="2:23">
      <c r="B730" s="157" t="str">
        <f t="array" ref="B730">IF(ROWS($3:730)&lt;=COUNTA('register map'!$L$5:$L$902),INDEX('register map'!$L$5:$L$902,SMALL(IF('register map'!$L$5:$L$902&lt;&gt;"",ROW('register map'!$L$5:$L$902)-MIN(ROW('register map'!$L$5:$L$902))+1),ROWS($3:730))),"")</f>
        <v>OTP_RSVD_38_58_3</v>
      </c>
      <c r="C730" s="157">
        <f>IF(B730="PART_NUMBER",IF(COUNTIF($B$1:B729,"PART_NUMBER")=0,6,8),MATCH(B730,'register map'!L:L,0))</f>
        <v>867</v>
      </c>
      <c r="D730" s="157" t="str">
        <f>IF(ISBLANK(INDEX('register map'!C:C,'Logical Group Generator'!C730)),"No","Yes")</f>
        <v>No</v>
      </c>
      <c r="E730" s="157" t="str">
        <f>IF(ISBLANK(INDEX('register map'!A:A,C730)),IF(ISBLANK(INDEX('register map'!A:A,C730-1)),IF(ISBLANK(INDEX('register map'!A:A,C730-2)),IF(ISBLANK(INDEX('register map'!A:A,C730-3)),IF(ISBLANK(INDEX('register map'!A:A,C730-4)),IF(ISBLANK(INDEX('register map'!A:A,C730-5)),IF(ISBLANK(INDEX('register map'!A:A,C730-6)),IF(ISBLANK(INDEX('register map'!A:A,C730-7)),IF(ISBLANK(INDEX('register map'!A:A,C730-8)),"ERROR",INDEX('register map'!A:A,C730-8)),INDEX('register map'!A:A,C730-7)),INDEX('register map'!A:A,C730-6)),INDEX('register map'!A:A,C730-5)),INDEX('register map'!A:A,C730-4)),INDEX('register map'!A:A,C730-3)),INDEX('register map'!A:A,C730-2)),INDEX('register map'!A:A,C730-1)),INDEX('register map'!A:A,C730))</f>
        <v>0x38</v>
      </c>
      <c r="F730" s="157" t="str">
        <f>IF(ISBLANK(INDEX('register map'!B:B,C730)),IF(ISBLANK(INDEX('register map'!B:B,C730-1)),IF(ISBLANK(INDEX('register map'!B:B,C730-2)),IF(ISBLANK(INDEX('register map'!B:B,C730-3)),IF(ISBLANK(INDEX('register map'!B:B,C730-4)),IF(ISBLANK(INDEX('register map'!B:B,C730-5)),IF(ISBLANK(INDEX('register map'!B:B,C730-6)),IF(ISBLANK(INDEX('register map'!B:B,C730-7)),IF(ISBLANK(INDEX('register map'!B:B,C730-8)),"ERROR",INDEX('register map'!B:B,C730-8)),INDEX('register map'!B:B,C730-7)),INDEX('register map'!B:B,C730-6)),INDEX('register map'!B:B,C730-5)),INDEX('register map'!B:B,C730-4)),INDEX('register map'!B:B,C730-3)),INDEX('register map'!B:B,C730-2)),INDEX('register map'!B:B,C730-1)),INDEX('register map'!B:B,C730))</f>
        <v>0x58</v>
      </c>
      <c r="G730" s="157" t="str">
        <f>CONCATENATE(IF(ISNUMBER(INDEX('register map'!D:D,C730)),7,""),IF(ISNUMBER(INDEX('register map'!E:E,C730)),6,""),IF(ISNUMBER(INDEX('register map'!F:F,C730)),5,""),IF(ISNUMBER(INDEX('register map'!G:G,C730)),4,""),IF(ISNUMBER(INDEX('register map'!H:H,C730)),3,""),IF(ISNUMBER(INDEX('register map'!I:I,C730)),2,""),IF(ISNUMBER(INDEX('register map'!J:J,C730)),1,""),IF(ISNUMBER(INDEX('register map'!K:K,C730)),0,""))</f>
        <v>3</v>
      </c>
      <c r="H730" s="157" t="str">
        <f>RIGHT(INDEX('register map'!V:V,MATCH('Logical Group Generator'!B730,'register map'!L:L,0)),LEN(G730))</f>
        <v>1</v>
      </c>
      <c r="I730" s="157" t="str">
        <f>CONCATENATE(IF(ISNUMBER(INDEX('register map'!K:K,C730)),0,""),IF(ISNUMBER(INDEX('register map'!J:J,C730)),1,""),IF(ISNUMBER(INDEX('register map'!I:I,C730)),2,""),IF(ISNUMBER(INDEX('register map'!H:H,C730)),3,""),IF(ISNUMBER(INDEX('register map'!G:G,C730)),4,""),IF(ISNUMBER(INDEX('register map'!F:F,C730)),5,""),IF(ISNUMBER(INDEX('register map'!E:E,C730)),6,""),IF(ISNUMBER(INDEX('register map'!D:D,C730)),7,""))</f>
        <v>3</v>
      </c>
      <c r="J730" s="157" t="str">
        <f t="shared" ref="J730:J744" si="133">MID(H730,20,1) &amp; MID(H730,19,1) &amp; MID(H730,18,1) &amp; MID(H730,17,1) &amp; MID(H730,16,1) &amp; MID(H730,15,1) &amp; MID(H730,14,1) &amp; MID(H730,13,1) &amp; MID(H730,12,1) &amp; MID(H730,11,1) &amp; MID(H730,10,1) &amp; MID(H730,9,1) &amp; MID(H730,8,1) &amp; MID(H730,7,1) &amp; MID(H730,6,1) &amp; MID(H730,5,1) &amp; MID(H730,4,1) &amp; MID(H730,3,1) &amp; MID(H730,2,1) &amp; MID(H730,1,1)</f>
        <v>1</v>
      </c>
      <c r="K730" s="157" t="str">
        <f t="shared" si="121"/>
        <v/>
      </c>
      <c r="L730" s="157" t="str">
        <f t="shared" ref="L730:L744" si="134">MID(K730,20,1) &amp; MID(K730,19,1) &amp; MID(K730,18,1) &amp; MID(K730,17,1) &amp; MID(K730,16,1) &amp; MID(K730,15,1) &amp; MID(K730,14,1) &amp; MID(K730,13,1) &amp; MID(K730,12,1) &amp; MID(K730,11,1) &amp; MID(K730,10,1) &amp; MID(K730,9,1) &amp; MID(K730,8,1) &amp; MID(K730,7,1) &amp; MID(K730,6,1) &amp; MID(K730,5,1) &amp; MID(K730,4,1) &amp; MID(K730,3,1) &amp; MID(K730,2,1) &amp; MID(K730,1,1)</f>
        <v/>
      </c>
      <c r="M730" s="157" t="str">
        <f t="shared" ref="M730:M744" si="135">IF(L730="","",BIN2HEX(L730,2))</f>
        <v/>
      </c>
      <c r="N730" s="157" t="str">
        <f>IF(ISBLANK(INDEX('register map'!M:M,'Logical Group Generator'!C730)),"No","Yes")</f>
        <v>No</v>
      </c>
      <c r="O730" s="157" t="str">
        <f>IF(NOT(ISBLANK(INDEX('register map'!N:N,'Logical Group Generator'!C730))),"Yes","")</f>
        <v>Yes</v>
      </c>
      <c r="P730" s="157" t="str">
        <f t="shared" si="122"/>
        <v/>
      </c>
      <c r="Q730" s="157" t="str">
        <f t="shared" si="123"/>
        <v/>
      </c>
      <c r="R730" s="157" t="str">
        <f t="shared" si="124"/>
        <v/>
      </c>
      <c r="S730" s="157" t="str">
        <f t="shared" si="125"/>
        <v>No</v>
      </c>
      <c r="T730" s="157" t="str">
        <f t="shared" si="126"/>
        <v/>
      </c>
      <c r="U730" s="157" t="b">
        <f t="shared" ref="U730:U744" si="136">OR(P730="No",S730="Yes")</f>
        <v>0</v>
      </c>
      <c r="V730" s="157" t="b">
        <f>INDEX('register map'!P:P,C730)="yes"</f>
        <v>1</v>
      </c>
      <c r="W730" s="157" t="str">
        <f t="shared" si="127"/>
        <v>FALSE</v>
      </c>
    </row>
    <row r="731" spans="2:23">
      <c r="B731" s="157" t="str">
        <f t="array" ref="B731">IF(ROWS($3:731)&lt;=COUNTA('register map'!$L$5:$L$902),INDEX('register map'!$L$5:$L$902,SMALL(IF('register map'!$L$5:$L$902&lt;&gt;"",ROW('register map'!$L$5:$L$902)-MIN(ROW('register map'!$L$5:$L$902))+1),ROWS($3:731))),"")</f>
        <v>OTP_RSVD_38_58_54</v>
      </c>
      <c r="C731" s="157">
        <f>IF(B731="PART_NUMBER",IF(COUNTIF($B$1:B730,"PART_NUMBER")=0,6,8),MATCH(B731,'register map'!L:L,0))</f>
        <v>868</v>
      </c>
      <c r="D731" s="157" t="str">
        <f>IF(ISBLANK(INDEX('register map'!C:C,'Logical Group Generator'!C731)),"No","Yes")</f>
        <v>No</v>
      </c>
      <c r="E731" s="157" t="str">
        <f>IF(ISBLANK(INDEX('register map'!A:A,C731)),IF(ISBLANK(INDEX('register map'!A:A,C731-1)),IF(ISBLANK(INDEX('register map'!A:A,C731-2)),IF(ISBLANK(INDEX('register map'!A:A,C731-3)),IF(ISBLANK(INDEX('register map'!A:A,C731-4)),IF(ISBLANK(INDEX('register map'!A:A,C731-5)),IF(ISBLANK(INDEX('register map'!A:A,C731-6)),IF(ISBLANK(INDEX('register map'!A:A,C731-7)),IF(ISBLANK(INDEX('register map'!A:A,C731-8)),"ERROR",INDEX('register map'!A:A,C731-8)),INDEX('register map'!A:A,C731-7)),INDEX('register map'!A:A,C731-6)),INDEX('register map'!A:A,C731-5)),INDEX('register map'!A:A,C731-4)),INDEX('register map'!A:A,C731-3)),INDEX('register map'!A:A,C731-2)),INDEX('register map'!A:A,C731-1)),INDEX('register map'!A:A,C731))</f>
        <v>0x38</v>
      </c>
      <c r="F731" s="157" t="str">
        <f>IF(ISBLANK(INDEX('register map'!B:B,C731)),IF(ISBLANK(INDEX('register map'!B:B,C731-1)),IF(ISBLANK(INDEX('register map'!B:B,C731-2)),IF(ISBLANK(INDEX('register map'!B:B,C731-3)),IF(ISBLANK(INDEX('register map'!B:B,C731-4)),IF(ISBLANK(INDEX('register map'!B:B,C731-5)),IF(ISBLANK(INDEX('register map'!B:B,C731-6)),IF(ISBLANK(INDEX('register map'!B:B,C731-7)),IF(ISBLANK(INDEX('register map'!B:B,C731-8)),"ERROR",INDEX('register map'!B:B,C731-8)),INDEX('register map'!B:B,C731-7)),INDEX('register map'!B:B,C731-6)),INDEX('register map'!B:B,C731-5)),INDEX('register map'!B:B,C731-4)),INDEX('register map'!B:B,C731-3)),INDEX('register map'!B:B,C731-2)),INDEX('register map'!B:B,C731-1)),INDEX('register map'!B:B,C731))</f>
        <v>0x58</v>
      </c>
      <c r="G731" s="157" t="str">
        <f>CONCATENATE(IF(ISNUMBER(INDEX('register map'!D:D,C731)),7,""),IF(ISNUMBER(INDEX('register map'!E:E,C731)),6,""),IF(ISNUMBER(INDEX('register map'!F:F,C731)),5,""),IF(ISNUMBER(INDEX('register map'!G:G,C731)),4,""),IF(ISNUMBER(INDEX('register map'!H:H,C731)),3,""),IF(ISNUMBER(INDEX('register map'!I:I,C731)),2,""),IF(ISNUMBER(INDEX('register map'!J:J,C731)),1,""),IF(ISNUMBER(INDEX('register map'!K:K,C731)),0,""))</f>
        <v>54</v>
      </c>
      <c r="H731" s="157" t="str">
        <f>RIGHT(INDEX('register map'!V:V,MATCH('Logical Group Generator'!B731,'register map'!L:L,0)),LEN(G731))</f>
        <v>00</v>
      </c>
      <c r="I731" s="157" t="str">
        <f>CONCATENATE(IF(ISNUMBER(INDEX('register map'!K:K,C731)),0,""),IF(ISNUMBER(INDEX('register map'!J:J,C731)),1,""),IF(ISNUMBER(INDEX('register map'!I:I,C731)),2,""),IF(ISNUMBER(INDEX('register map'!H:H,C731)),3,""),IF(ISNUMBER(INDEX('register map'!G:G,C731)),4,""),IF(ISNUMBER(INDEX('register map'!F:F,C731)),5,""),IF(ISNUMBER(INDEX('register map'!E:E,C731)),6,""),IF(ISNUMBER(INDEX('register map'!D:D,C731)),7,""))</f>
        <v>45</v>
      </c>
      <c r="J731" s="157" t="str">
        <f t="shared" si="133"/>
        <v>00</v>
      </c>
      <c r="K731" s="157" t="str">
        <f t="shared" si="121"/>
        <v/>
      </c>
      <c r="L731" s="157" t="str">
        <f t="shared" si="134"/>
        <v/>
      </c>
      <c r="M731" s="157" t="str">
        <f t="shared" si="135"/>
        <v/>
      </c>
      <c r="N731" s="157" t="str">
        <f>IF(ISBLANK(INDEX('register map'!M:M,'Logical Group Generator'!C731)),"No","Yes")</f>
        <v>No</v>
      </c>
      <c r="O731" s="157" t="str">
        <f>IF(NOT(ISBLANK(INDEX('register map'!N:N,'Logical Group Generator'!C731))),"Yes","")</f>
        <v>Yes</v>
      </c>
      <c r="P731" s="157" t="str">
        <f t="shared" si="122"/>
        <v/>
      </c>
      <c r="Q731" s="157" t="str">
        <f t="shared" si="123"/>
        <v/>
      </c>
      <c r="R731" s="157" t="str">
        <f t="shared" si="124"/>
        <v/>
      </c>
      <c r="S731" s="157" t="str">
        <f t="shared" si="125"/>
        <v>No</v>
      </c>
      <c r="T731" s="157" t="str">
        <f t="shared" si="126"/>
        <v/>
      </c>
      <c r="U731" s="157" t="b">
        <f t="shared" si="136"/>
        <v>0</v>
      </c>
      <c r="V731" s="157" t="b">
        <f>INDEX('register map'!P:P,C731)="yes"</f>
        <v>1</v>
      </c>
      <c r="W731" s="157" t="str">
        <f t="shared" si="127"/>
        <v>FALSE</v>
      </c>
    </row>
    <row r="732" spans="2:23">
      <c r="B732" s="157" t="str">
        <f t="array" ref="B732">IF(ROWS($3:732)&lt;=COUNTA('register map'!$L$5:$L$902),INDEX('register map'!$L$5:$L$902,SMALL(IF('register map'!$L$5:$L$902&lt;&gt;"",ROW('register map'!$L$5:$L$902)-MIN(ROW('register map'!$L$5:$L$902))+1),ROWS($3:732))),"")</f>
        <v>OTP_RSVD_38_58_76</v>
      </c>
      <c r="C732" s="157">
        <f>IF(B732="PART_NUMBER",IF(COUNTIF($B$1:B731,"PART_NUMBER")=0,6,8),MATCH(B732,'register map'!L:L,0))</f>
        <v>869</v>
      </c>
      <c r="D732" s="157" t="str">
        <f>IF(ISBLANK(INDEX('register map'!C:C,'Logical Group Generator'!C732)),"No","Yes")</f>
        <v>No</v>
      </c>
      <c r="E732" s="157" t="str">
        <f>IF(ISBLANK(INDEX('register map'!A:A,C732)),IF(ISBLANK(INDEX('register map'!A:A,C732-1)),IF(ISBLANK(INDEX('register map'!A:A,C732-2)),IF(ISBLANK(INDEX('register map'!A:A,C732-3)),IF(ISBLANK(INDEX('register map'!A:A,C732-4)),IF(ISBLANK(INDEX('register map'!A:A,C732-5)),IF(ISBLANK(INDEX('register map'!A:A,C732-6)),IF(ISBLANK(INDEX('register map'!A:A,C732-7)),IF(ISBLANK(INDEX('register map'!A:A,C732-8)),"ERROR",INDEX('register map'!A:A,C732-8)),INDEX('register map'!A:A,C732-7)),INDEX('register map'!A:A,C732-6)),INDEX('register map'!A:A,C732-5)),INDEX('register map'!A:A,C732-4)),INDEX('register map'!A:A,C732-3)),INDEX('register map'!A:A,C732-2)),INDEX('register map'!A:A,C732-1)),INDEX('register map'!A:A,C732))</f>
        <v>0x38</v>
      </c>
      <c r="F732" s="157" t="str">
        <f>IF(ISBLANK(INDEX('register map'!B:B,C732)),IF(ISBLANK(INDEX('register map'!B:B,C732-1)),IF(ISBLANK(INDEX('register map'!B:B,C732-2)),IF(ISBLANK(INDEX('register map'!B:B,C732-3)),IF(ISBLANK(INDEX('register map'!B:B,C732-4)),IF(ISBLANK(INDEX('register map'!B:B,C732-5)),IF(ISBLANK(INDEX('register map'!B:B,C732-6)),IF(ISBLANK(INDEX('register map'!B:B,C732-7)),IF(ISBLANK(INDEX('register map'!B:B,C732-8)),"ERROR",INDEX('register map'!B:B,C732-8)),INDEX('register map'!B:B,C732-7)),INDEX('register map'!B:B,C732-6)),INDEX('register map'!B:B,C732-5)),INDEX('register map'!B:B,C732-4)),INDEX('register map'!B:B,C732-3)),INDEX('register map'!B:B,C732-2)),INDEX('register map'!B:B,C732-1)),INDEX('register map'!B:B,C732))</f>
        <v>0x58</v>
      </c>
      <c r="G732" s="157" t="str">
        <f>CONCATENATE(IF(ISNUMBER(INDEX('register map'!D:D,C732)),7,""),IF(ISNUMBER(INDEX('register map'!E:E,C732)),6,""),IF(ISNUMBER(INDEX('register map'!F:F,C732)),5,""),IF(ISNUMBER(INDEX('register map'!G:G,C732)),4,""),IF(ISNUMBER(INDEX('register map'!H:H,C732)),3,""),IF(ISNUMBER(INDEX('register map'!I:I,C732)),2,""),IF(ISNUMBER(INDEX('register map'!J:J,C732)),1,""),IF(ISNUMBER(INDEX('register map'!K:K,C732)),0,""))</f>
        <v>76</v>
      </c>
      <c r="H732" s="157" t="str">
        <f>RIGHT(INDEX('register map'!V:V,MATCH('Logical Group Generator'!B732,'register map'!L:L,0)),LEN(G732))</f>
        <v>00</v>
      </c>
      <c r="I732" s="157" t="str">
        <f>CONCATENATE(IF(ISNUMBER(INDEX('register map'!K:K,C732)),0,""),IF(ISNUMBER(INDEX('register map'!J:J,C732)),1,""),IF(ISNUMBER(INDEX('register map'!I:I,C732)),2,""),IF(ISNUMBER(INDEX('register map'!H:H,C732)),3,""),IF(ISNUMBER(INDEX('register map'!G:G,C732)),4,""),IF(ISNUMBER(INDEX('register map'!F:F,C732)),5,""),IF(ISNUMBER(INDEX('register map'!E:E,C732)),6,""),IF(ISNUMBER(INDEX('register map'!D:D,C732)),7,""))</f>
        <v>67</v>
      </c>
      <c r="J732" s="157" t="str">
        <f t="shared" si="133"/>
        <v>00</v>
      </c>
      <c r="K732" s="157" t="str">
        <f t="shared" si="121"/>
        <v/>
      </c>
      <c r="L732" s="157" t="str">
        <f t="shared" si="134"/>
        <v/>
      </c>
      <c r="M732" s="157" t="str">
        <f t="shared" si="135"/>
        <v/>
      </c>
      <c r="N732" s="157" t="str">
        <f>IF(ISBLANK(INDEX('register map'!M:M,'Logical Group Generator'!C732)),"No","Yes")</f>
        <v>No</v>
      </c>
      <c r="O732" s="157" t="str">
        <f>IF(NOT(ISBLANK(INDEX('register map'!N:N,'Logical Group Generator'!C732))),"Yes","")</f>
        <v>Yes</v>
      </c>
      <c r="P732" s="157" t="str">
        <f t="shared" si="122"/>
        <v/>
      </c>
      <c r="Q732" s="157" t="str">
        <f t="shared" si="123"/>
        <v/>
      </c>
      <c r="R732" s="157" t="str">
        <f t="shared" si="124"/>
        <v/>
      </c>
      <c r="S732" s="157" t="str">
        <f t="shared" si="125"/>
        <v>No</v>
      </c>
      <c r="T732" s="157" t="str">
        <f t="shared" si="126"/>
        <v/>
      </c>
      <c r="U732" s="157" t="b">
        <f t="shared" si="136"/>
        <v>0</v>
      </c>
      <c r="V732" s="157" t="b">
        <f>INDEX('register map'!P:P,C732)="yes"</f>
        <v>1</v>
      </c>
      <c r="W732" s="157" t="str">
        <f t="shared" si="127"/>
        <v>FALSE</v>
      </c>
    </row>
    <row r="733" spans="2:23">
      <c r="B733" s="157" t="str">
        <f t="array" ref="B733">IF(ROWS($3:733)&lt;=COUNTA('register map'!$L$5:$L$902),INDEX('register map'!$L$5:$L$902,SMALL(IF('register map'!$L$5:$L$902&lt;&gt;"",ROW('register map'!$L$5:$L$902)-MIN(ROW('register map'!$L$5:$L$902))+1),ROWS($3:733))),"")</f>
        <v>OTP_RSVD_38_5C</v>
      </c>
      <c r="C733" s="157">
        <f>IF(B733="PART_NUMBER",IF(COUNTIF($B$1:B732,"PART_NUMBER")=0,6,8),MATCH(B733,'register map'!L:L,0))</f>
        <v>891</v>
      </c>
      <c r="D733" s="157" t="str">
        <f>IF(ISBLANK(INDEX('register map'!C:C,'Logical Group Generator'!C733)),"No","Yes")</f>
        <v>Yes</v>
      </c>
      <c r="E733" s="157" t="str">
        <f>IF(ISBLANK(INDEX('register map'!A:A,C733)),IF(ISBLANK(INDEX('register map'!A:A,C733-1)),IF(ISBLANK(INDEX('register map'!A:A,C733-2)),IF(ISBLANK(INDEX('register map'!A:A,C733-3)),IF(ISBLANK(INDEX('register map'!A:A,C733-4)),IF(ISBLANK(INDEX('register map'!A:A,C733-5)),IF(ISBLANK(INDEX('register map'!A:A,C733-6)),IF(ISBLANK(INDEX('register map'!A:A,C733-7)),IF(ISBLANK(INDEX('register map'!A:A,C733-8)),"ERROR",INDEX('register map'!A:A,C733-8)),INDEX('register map'!A:A,C733-7)),INDEX('register map'!A:A,C733-6)),INDEX('register map'!A:A,C733-5)),INDEX('register map'!A:A,C733-4)),INDEX('register map'!A:A,C733-3)),INDEX('register map'!A:A,C733-2)),INDEX('register map'!A:A,C733-1)),INDEX('register map'!A:A,C733))</f>
        <v>0x38</v>
      </c>
      <c r="F733" s="157" t="str">
        <f>IF(ISBLANK(INDEX('register map'!B:B,C733)),IF(ISBLANK(INDEX('register map'!B:B,C733-1)),IF(ISBLANK(INDEX('register map'!B:B,C733-2)),IF(ISBLANK(INDEX('register map'!B:B,C733-3)),IF(ISBLANK(INDEX('register map'!B:B,C733-4)),IF(ISBLANK(INDEX('register map'!B:B,C733-5)),IF(ISBLANK(INDEX('register map'!B:B,C733-6)),IF(ISBLANK(INDEX('register map'!B:B,C733-7)),IF(ISBLANK(INDEX('register map'!B:B,C733-8)),"ERROR",INDEX('register map'!B:B,C733-8)),INDEX('register map'!B:B,C733-7)),INDEX('register map'!B:B,C733-6)),INDEX('register map'!B:B,C733-5)),INDEX('register map'!B:B,C733-4)),INDEX('register map'!B:B,C733-3)),INDEX('register map'!B:B,C733-2)),INDEX('register map'!B:B,C733-1)),INDEX('register map'!B:B,C733))</f>
        <v>0x5C</v>
      </c>
      <c r="G733" s="157" t="str">
        <f>CONCATENATE(IF(ISNUMBER(INDEX('register map'!D:D,C733)),7,""),IF(ISNUMBER(INDEX('register map'!E:E,C733)),6,""),IF(ISNUMBER(INDEX('register map'!F:F,C733)),5,""),IF(ISNUMBER(INDEX('register map'!G:G,C733)),4,""),IF(ISNUMBER(INDEX('register map'!H:H,C733)),3,""),IF(ISNUMBER(INDEX('register map'!I:I,C733)),2,""),IF(ISNUMBER(INDEX('register map'!J:J,C733)),1,""),IF(ISNUMBER(INDEX('register map'!K:K,C733)),0,""))</f>
        <v/>
      </c>
      <c r="H733" s="157" t="str">
        <f>RIGHT(INDEX('register map'!V:V,MATCH('Logical Group Generator'!B733,'register map'!L:L,0)),LEN(G733))</f>
        <v/>
      </c>
      <c r="I733" s="157" t="str">
        <f>CONCATENATE(IF(ISNUMBER(INDEX('register map'!K:K,C733)),0,""),IF(ISNUMBER(INDEX('register map'!J:J,C733)),1,""),IF(ISNUMBER(INDEX('register map'!I:I,C733)),2,""),IF(ISNUMBER(INDEX('register map'!H:H,C733)),3,""),IF(ISNUMBER(INDEX('register map'!G:G,C733)),4,""),IF(ISNUMBER(INDEX('register map'!F:F,C733)),5,""),IF(ISNUMBER(INDEX('register map'!E:E,C733)),6,""),IF(ISNUMBER(INDEX('register map'!D:D,C733)),7,""))</f>
        <v/>
      </c>
      <c r="J733" s="157" t="str">
        <f t="shared" si="133"/>
        <v/>
      </c>
      <c r="K733" s="157" t="str">
        <f t="shared" si="121"/>
        <v>00000000</v>
      </c>
      <c r="L733" s="157" t="str">
        <f t="shared" si="134"/>
        <v>00000000</v>
      </c>
      <c r="M733" s="157" t="str">
        <f t="shared" si="135"/>
        <v>00</v>
      </c>
      <c r="N733" s="157" t="str">
        <f>IF(ISBLANK(INDEX('register map'!M:M,'Logical Group Generator'!C733)),"No","Yes")</f>
        <v>No</v>
      </c>
      <c r="O733" s="157" t="str">
        <f>IF(NOT(ISBLANK(INDEX('register map'!N:N,'Logical Group Generator'!C733))),"Yes","")</f>
        <v/>
      </c>
      <c r="P733" s="157" t="str">
        <f t="shared" si="122"/>
        <v>No</v>
      </c>
      <c r="Q733" s="157" t="str">
        <f t="shared" si="123"/>
        <v>No</v>
      </c>
      <c r="R733" s="157" t="str">
        <f t="shared" si="124"/>
        <v>No</v>
      </c>
      <c r="S733" s="157" t="str">
        <f t="shared" si="125"/>
        <v/>
      </c>
      <c r="T733" s="157" t="b">
        <f t="shared" si="126"/>
        <v>1</v>
      </c>
      <c r="U733" s="157" t="b">
        <f t="shared" si="136"/>
        <v>1</v>
      </c>
      <c r="V733" s="157" t="b">
        <f>INDEX('register map'!P:P,C733)="yes"</f>
        <v>1</v>
      </c>
      <c r="W733" s="157" t="str">
        <f t="shared" si="127"/>
        <v>REGISTER</v>
      </c>
    </row>
    <row r="734" spans="2:23">
      <c r="B734" s="157" t="str">
        <f t="array" ref="B734">IF(ROWS($3:734)&lt;=COUNTA('register map'!$L$5:$L$902),INDEX('register map'!$L$5:$L$902,SMALL(IF('register map'!$L$5:$L$902&lt;&gt;"",ROW('register map'!$L$5:$L$902)-MIN(ROW('register map'!$L$5:$L$902))+1),ROWS($3:734))),"")</f>
        <v>OTP_RSVD_38_5C_76543210</v>
      </c>
      <c r="C734" s="157">
        <f>IF(B734="PART_NUMBER",IF(COUNTIF($B$1:B733,"PART_NUMBER")=0,6,8),MATCH(B734,'register map'!L:L,0))</f>
        <v>892</v>
      </c>
      <c r="D734" s="157" t="str">
        <f>IF(ISBLANK(INDEX('register map'!C:C,'Logical Group Generator'!C734)),"No","Yes")</f>
        <v>No</v>
      </c>
      <c r="E734" s="157" t="str">
        <f>IF(ISBLANK(INDEX('register map'!A:A,C734)),IF(ISBLANK(INDEX('register map'!A:A,C734-1)),IF(ISBLANK(INDEX('register map'!A:A,C734-2)),IF(ISBLANK(INDEX('register map'!A:A,C734-3)),IF(ISBLANK(INDEX('register map'!A:A,C734-4)),IF(ISBLANK(INDEX('register map'!A:A,C734-5)),IF(ISBLANK(INDEX('register map'!A:A,C734-6)),IF(ISBLANK(INDEX('register map'!A:A,C734-7)),IF(ISBLANK(INDEX('register map'!A:A,C734-8)),"ERROR",INDEX('register map'!A:A,C734-8)),INDEX('register map'!A:A,C734-7)),INDEX('register map'!A:A,C734-6)),INDEX('register map'!A:A,C734-5)),INDEX('register map'!A:A,C734-4)),INDEX('register map'!A:A,C734-3)),INDEX('register map'!A:A,C734-2)),INDEX('register map'!A:A,C734-1)),INDEX('register map'!A:A,C734))</f>
        <v>0x38</v>
      </c>
      <c r="F734" s="157" t="str">
        <f>IF(ISBLANK(INDEX('register map'!B:B,C734)),IF(ISBLANK(INDEX('register map'!B:B,C734-1)),IF(ISBLANK(INDEX('register map'!B:B,C734-2)),IF(ISBLANK(INDEX('register map'!B:B,C734-3)),IF(ISBLANK(INDEX('register map'!B:B,C734-4)),IF(ISBLANK(INDEX('register map'!B:B,C734-5)),IF(ISBLANK(INDEX('register map'!B:B,C734-6)),IF(ISBLANK(INDEX('register map'!B:B,C734-7)),IF(ISBLANK(INDEX('register map'!B:B,C734-8)),"ERROR",INDEX('register map'!B:B,C734-8)),INDEX('register map'!B:B,C734-7)),INDEX('register map'!B:B,C734-6)),INDEX('register map'!B:B,C734-5)),INDEX('register map'!B:B,C734-4)),INDEX('register map'!B:B,C734-3)),INDEX('register map'!B:B,C734-2)),INDEX('register map'!B:B,C734-1)),INDEX('register map'!B:B,C734))</f>
        <v>0x5C</v>
      </c>
      <c r="G734" s="157" t="str">
        <f>CONCATENATE(IF(ISNUMBER(INDEX('register map'!D:D,C734)),7,""),IF(ISNUMBER(INDEX('register map'!E:E,C734)),6,""),IF(ISNUMBER(INDEX('register map'!F:F,C734)),5,""),IF(ISNUMBER(INDEX('register map'!G:G,C734)),4,""),IF(ISNUMBER(INDEX('register map'!H:H,C734)),3,""),IF(ISNUMBER(INDEX('register map'!I:I,C734)),2,""),IF(ISNUMBER(INDEX('register map'!J:J,C734)),1,""),IF(ISNUMBER(INDEX('register map'!K:K,C734)),0,""))</f>
        <v>76543210</v>
      </c>
      <c r="H734" s="157" t="str">
        <f>RIGHT(INDEX('register map'!V:V,MATCH('Logical Group Generator'!B734,'register map'!L:L,0)),LEN(G734))</f>
        <v>00000000</v>
      </c>
      <c r="I734" s="157" t="str">
        <f>CONCATENATE(IF(ISNUMBER(INDEX('register map'!K:K,C734)),0,""),IF(ISNUMBER(INDEX('register map'!J:J,C734)),1,""),IF(ISNUMBER(INDEX('register map'!I:I,C734)),2,""),IF(ISNUMBER(INDEX('register map'!H:H,C734)),3,""),IF(ISNUMBER(INDEX('register map'!G:G,C734)),4,""),IF(ISNUMBER(INDEX('register map'!F:F,C734)),5,""),IF(ISNUMBER(INDEX('register map'!E:E,C734)),6,""),IF(ISNUMBER(INDEX('register map'!D:D,C734)),7,""))</f>
        <v>01234567</v>
      </c>
      <c r="J734" s="157" t="str">
        <f t="shared" si="133"/>
        <v>00000000</v>
      </c>
      <c r="K734" s="157" t="str">
        <f t="shared" si="121"/>
        <v/>
      </c>
      <c r="L734" s="157" t="str">
        <f t="shared" si="134"/>
        <v/>
      </c>
      <c r="M734" s="157" t="str">
        <f t="shared" si="135"/>
        <v/>
      </c>
      <c r="N734" s="157" t="str">
        <f>IF(ISBLANK(INDEX('register map'!M:M,'Logical Group Generator'!C734)),"No","Yes")</f>
        <v>No</v>
      </c>
      <c r="O734" s="157" t="str">
        <f>IF(NOT(ISBLANK(INDEX('register map'!N:N,'Logical Group Generator'!C734))),"Yes","")</f>
        <v/>
      </c>
      <c r="P734" s="157" t="str">
        <f t="shared" si="122"/>
        <v/>
      </c>
      <c r="Q734" s="157" t="str">
        <f t="shared" si="123"/>
        <v/>
      </c>
      <c r="R734" s="157" t="str">
        <f t="shared" si="124"/>
        <v/>
      </c>
      <c r="S734" s="157" t="str">
        <f t="shared" si="125"/>
        <v>No</v>
      </c>
      <c r="T734" s="157" t="str">
        <f t="shared" si="126"/>
        <v/>
      </c>
      <c r="U734" s="157" t="b">
        <f t="shared" si="136"/>
        <v>0</v>
      </c>
      <c r="V734" s="157" t="b">
        <f>INDEX('register map'!P:P,C734)="yes"</f>
        <v>1</v>
      </c>
      <c r="W734" s="157" t="str">
        <f t="shared" si="127"/>
        <v>FALSE</v>
      </c>
    </row>
    <row r="735" spans="2:23">
      <c r="B735" s="157" t="str">
        <f t="array" ref="B735">IF(ROWS($3:735)&lt;=COUNTA('register map'!$L$5:$L$902),INDEX('register map'!$L$5:$L$902,SMALL(IF('register map'!$L$5:$L$902&lt;&gt;"",ROW('register map'!$L$5:$L$902)-MIN(ROW('register map'!$L$5:$L$902))+1),ROWS($3:735))),"")</f>
        <v>OTP_RSVD_38_5D</v>
      </c>
      <c r="C735" s="157">
        <f>IF(B735="PART_NUMBER",IF(COUNTIF($B$1:B734,"PART_NUMBER")=0,6,8),MATCH(B735,'register map'!L:L,0))</f>
        <v>893</v>
      </c>
      <c r="D735" s="157" t="str">
        <f>IF(ISBLANK(INDEX('register map'!C:C,'Logical Group Generator'!C735)),"No","Yes")</f>
        <v>Yes</v>
      </c>
      <c r="E735" s="157" t="str">
        <f>IF(ISBLANK(INDEX('register map'!A:A,C735)),IF(ISBLANK(INDEX('register map'!A:A,C735-1)),IF(ISBLANK(INDEX('register map'!A:A,C735-2)),IF(ISBLANK(INDEX('register map'!A:A,C735-3)),IF(ISBLANK(INDEX('register map'!A:A,C735-4)),IF(ISBLANK(INDEX('register map'!A:A,C735-5)),IF(ISBLANK(INDEX('register map'!A:A,C735-6)),IF(ISBLANK(INDEX('register map'!A:A,C735-7)),IF(ISBLANK(INDEX('register map'!A:A,C735-8)),"ERROR",INDEX('register map'!A:A,C735-8)),INDEX('register map'!A:A,C735-7)),INDEX('register map'!A:A,C735-6)),INDEX('register map'!A:A,C735-5)),INDEX('register map'!A:A,C735-4)),INDEX('register map'!A:A,C735-3)),INDEX('register map'!A:A,C735-2)),INDEX('register map'!A:A,C735-1)),INDEX('register map'!A:A,C735))</f>
        <v>0x38</v>
      </c>
      <c r="F735" s="157" t="str">
        <f>IF(ISBLANK(INDEX('register map'!B:B,C735)),IF(ISBLANK(INDEX('register map'!B:B,C735-1)),IF(ISBLANK(INDEX('register map'!B:B,C735-2)),IF(ISBLANK(INDEX('register map'!B:B,C735-3)),IF(ISBLANK(INDEX('register map'!B:B,C735-4)),IF(ISBLANK(INDEX('register map'!B:B,C735-5)),IF(ISBLANK(INDEX('register map'!B:B,C735-6)),IF(ISBLANK(INDEX('register map'!B:B,C735-7)),IF(ISBLANK(INDEX('register map'!B:B,C735-8)),"ERROR",INDEX('register map'!B:B,C735-8)),INDEX('register map'!B:B,C735-7)),INDEX('register map'!B:B,C735-6)),INDEX('register map'!B:B,C735-5)),INDEX('register map'!B:B,C735-4)),INDEX('register map'!B:B,C735-3)),INDEX('register map'!B:B,C735-2)),INDEX('register map'!B:B,C735-1)),INDEX('register map'!B:B,C735))</f>
        <v>0x5D</v>
      </c>
      <c r="G735" s="157" t="str">
        <f>CONCATENATE(IF(ISNUMBER(INDEX('register map'!D:D,C735)),7,""),IF(ISNUMBER(INDEX('register map'!E:E,C735)),6,""),IF(ISNUMBER(INDEX('register map'!F:F,C735)),5,""),IF(ISNUMBER(INDEX('register map'!G:G,C735)),4,""),IF(ISNUMBER(INDEX('register map'!H:H,C735)),3,""),IF(ISNUMBER(INDEX('register map'!I:I,C735)),2,""),IF(ISNUMBER(INDEX('register map'!J:J,C735)),1,""),IF(ISNUMBER(INDEX('register map'!K:K,C735)),0,""))</f>
        <v/>
      </c>
      <c r="H735" s="157" t="str">
        <f>RIGHT(INDEX('register map'!V:V,MATCH('Logical Group Generator'!B735,'register map'!L:L,0)),LEN(G735))</f>
        <v/>
      </c>
      <c r="I735" s="157" t="str">
        <f>CONCATENATE(IF(ISNUMBER(INDEX('register map'!K:K,C735)),0,""),IF(ISNUMBER(INDEX('register map'!J:J,C735)),1,""),IF(ISNUMBER(INDEX('register map'!I:I,C735)),2,""),IF(ISNUMBER(INDEX('register map'!H:H,C735)),3,""),IF(ISNUMBER(INDEX('register map'!G:G,C735)),4,""),IF(ISNUMBER(INDEX('register map'!F:F,C735)),5,""),IF(ISNUMBER(INDEX('register map'!E:E,C735)),6,""),IF(ISNUMBER(INDEX('register map'!D:D,C735)),7,""))</f>
        <v/>
      </c>
      <c r="J735" s="157" t="str">
        <f t="shared" si="133"/>
        <v/>
      </c>
      <c r="K735" s="157" t="str">
        <f t="shared" si="121"/>
        <v>00000000</v>
      </c>
      <c r="L735" s="157" t="str">
        <f t="shared" si="134"/>
        <v>00000000</v>
      </c>
      <c r="M735" s="157" t="str">
        <f t="shared" si="135"/>
        <v>00</v>
      </c>
      <c r="N735" s="157" t="str">
        <f>IF(ISBLANK(INDEX('register map'!M:M,'Logical Group Generator'!C735)),"No","Yes")</f>
        <v>No</v>
      </c>
      <c r="O735" s="157" t="str">
        <f>IF(NOT(ISBLANK(INDEX('register map'!N:N,'Logical Group Generator'!C735))),"Yes","")</f>
        <v/>
      </c>
      <c r="P735" s="157" t="str">
        <f t="shared" si="122"/>
        <v>No</v>
      </c>
      <c r="Q735" s="157" t="str">
        <f t="shared" si="123"/>
        <v>Yes</v>
      </c>
      <c r="R735" s="157" t="str">
        <f t="shared" si="124"/>
        <v>No</v>
      </c>
      <c r="S735" s="157" t="str">
        <f t="shared" si="125"/>
        <v/>
      </c>
      <c r="T735" s="157" t="b">
        <f t="shared" si="126"/>
        <v>1</v>
      </c>
      <c r="U735" s="157" t="b">
        <f t="shared" si="136"/>
        <v>1</v>
      </c>
      <c r="V735" s="157" t="b">
        <f>INDEX('register map'!P:P,C735)="yes"</f>
        <v>1</v>
      </c>
      <c r="W735" s="157" t="str">
        <f t="shared" si="127"/>
        <v>FALSE</v>
      </c>
    </row>
    <row r="736" spans="2:23">
      <c r="B736" s="157" t="str">
        <f t="array" ref="B736">IF(ROWS($3:736)&lt;=COUNTA('register map'!$L$5:$L$902),INDEX('register map'!$L$5:$L$902,SMALL(IF('register map'!$L$5:$L$902&lt;&gt;"",ROW('register map'!$L$5:$L$902)-MIN(ROW('register map'!$L$5:$L$902))+1),ROWS($3:736))),"")</f>
        <v>OTP_RSVD_38_5D_3210</v>
      </c>
      <c r="C736" s="157">
        <f>IF(B736="PART_NUMBER",IF(COUNTIF($B$1:B735,"PART_NUMBER")=0,6,8),MATCH(B736,'register map'!L:L,0))</f>
        <v>894</v>
      </c>
      <c r="D736" s="157" t="str">
        <f>IF(ISBLANK(INDEX('register map'!C:C,'Logical Group Generator'!C736)),"No","Yes")</f>
        <v>No</v>
      </c>
      <c r="E736" s="157" t="str">
        <f>IF(ISBLANK(INDEX('register map'!A:A,C736)),IF(ISBLANK(INDEX('register map'!A:A,C736-1)),IF(ISBLANK(INDEX('register map'!A:A,C736-2)),IF(ISBLANK(INDEX('register map'!A:A,C736-3)),IF(ISBLANK(INDEX('register map'!A:A,C736-4)),IF(ISBLANK(INDEX('register map'!A:A,C736-5)),IF(ISBLANK(INDEX('register map'!A:A,C736-6)),IF(ISBLANK(INDEX('register map'!A:A,C736-7)),IF(ISBLANK(INDEX('register map'!A:A,C736-8)),"ERROR",INDEX('register map'!A:A,C736-8)),INDEX('register map'!A:A,C736-7)),INDEX('register map'!A:A,C736-6)),INDEX('register map'!A:A,C736-5)),INDEX('register map'!A:A,C736-4)),INDEX('register map'!A:A,C736-3)),INDEX('register map'!A:A,C736-2)),INDEX('register map'!A:A,C736-1)),INDEX('register map'!A:A,C736))</f>
        <v>0x38</v>
      </c>
      <c r="F736" s="157" t="str">
        <f>IF(ISBLANK(INDEX('register map'!B:B,C736)),IF(ISBLANK(INDEX('register map'!B:B,C736-1)),IF(ISBLANK(INDEX('register map'!B:B,C736-2)),IF(ISBLANK(INDEX('register map'!B:B,C736-3)),IF(ISBLANK(INDEX('register map'!B:B,C736-4)),IF(ISBLANK(INDEX('register map'!B:B,C736-5)),IF(ISBLANK(INDEX('register map'!B:B,C736-6)),IF(ISBLANK(INDEX('register map'!B:B,C736-7)),IF(ISBLANK(INDEX('register map'!B:B,C736-8)),"ERROR",INDEX('register map'!B:B,C736-8)),INDEX('register map'!B:B,C736-7)),INDEX('register map'!B:B,C736-6)),INDEX('register map'!B:B,C736-5)),INDEX('register map'!B:B,C736-4)),INDEX('register map'!B:B,C736-3)),INDEX('register map'!B:B,C736-2)),INDEX('register map'!B:B,C736-1)),INDEX('register map'!B:B,C736))</f>
        <v>0x5D</v>
      </c>
      <c r="G736" s="157" t="str">
        <f>CONCATENATE(IF(ISNUMBER(INDEX('register map'!D:D,C736)),7,""),IF(ISNUMBER(INDEX('register map'!E:E,C736)),6,""),IF(ISNUMBER(INDEX('register map'!F:F,C736)),5,""),IF(ISNUMBER(INDEX('register map'!G:G,C736)),4,""),IF(ISNUMBER(INDEX('register map'!H:H,C736)),3,""),IF(ISNUMBER(INDEX('register map'!I:I,C736)),2,""),IF(ISNUMBER(INDEX('register map'!J:J,C736)),1,""),IF(ISNUMBER(INDEX('register map'!K:K,C736)),0,""))</f>
        <v>3210</v>
      </c>
      <c r="H736" s="157" t="str">
        <f>RIGHT(INDEX('register map'!V:V,MATCH('Logical Group Generator'!B736,'register map'!L:L,0)),LEN(G736))</f>
        <v>0000</v>
      </c>
      <c r="I736" s="157" t="str">
        <f>CONCATENATE(IF(ISNUMBER(INDEX('register map'!K:K,C736)),0,""),IF(ISNUMBER(INDEX('register map'!J:J,C736)),1,""),IF(ISNUMBER(INDEX('register map'!I:I,C736)),2,""),IF(ISNUMBER(INDEX('register map'!H:H,C736)),3,""),IF(ISNUMBER(INDEX('register map'!G:G,C736)),4,""),IF(ISNUMBER(INDEX('register map'!F:F,C736)),5,""),IF(ISNUMBER(INDEX('register map'!E:E,C736)),6,""),IF(ISNUMBER(INDEX('register map'!D:D,C736)),7,""))</f>
        <v>0123</v>
      </c>
      <c r="J736" s="157" t="str">
        <f t="shared" si="133"/>
        <v>0000</v>
      </c>
      <c r="K736" s="157" t="str">
        <f t="shared" si="121"/>
        <v/>
      </c>
      <c r="L736" s="157" t="str">
        <f t="shared" si="134"/>
        <v/>
      </c>
      <c r="M736" s="157" t="str">
        <f t="shared" si="135"/>
        <v/>
      </c>
      <c r="N736" s="157" t="str">
        <f>IF(ISBLANK(INDEX('register map'!M:M,'Logical Group Generator'!C736)),"No","Yes")</f>
        <v>No</v>
      </c>
      <c r="O736" s="157" t="str">
        <f>IF(NOT(ISBLANK(INDEX('register map'!N:N,'Logical Group Generator'!C736))),"Yes","")</f>
        <v>Yes</v>
      </c>
      <c r="P736" s="157" t="str">
        <f t="shared" si="122"/>
        <v/>
      </c>
      <c r="Q736" s="157" t="str">
        <f t="shared" si="123"/>
        <v/>
      </c>
      <c r="R736" s="157" t="str">
        <f t="shared" si="124"/>
        <v/>
      </c>
      <c r="S736" s="157" t="str">
        <f t="shared" si="125"/>
        <v>No</v>
      </c>
      <c r="T736" s="157" t="str">
        <f t="shared" si="126"/>
        <v/>
      </c>
      <c r="U736" s="157" t="b">
        <f t="shared" si="136"/>
        <v>0</v>
      </c>
      <c r="V736" s="157" t="b">
        <f>INDEX('register map'!P:P,C736)="yes"</f>
        <v>1</v>
      </c>
      <c r="W736" s="157" t="str">
        <f t="shared" si="127"/>
        <v>FALSE</v>
      </c>
    </row>
    <row r="737" spans="2:23">
      <c r="B737" s="157" t="str">
        <f t="array" ref="B737">IF(ROWS($3:737)&lt;=COUNTA('register map'!$L$5:$L$902),INDEX('register map'!$L$5:$L$902,SMALL(IF('register map'!$L$5:$L$902&lt;&gt;"",ROW('register map'!$L$5:$L$902)-MIN(ROW('register map'!$L$5:$L$902))+1),ROWS($3:737))),"")</f>
        <v>OTP_RSVD_38_5D_7654</v>
      </c>
      <c r="C737" s="157">
        <f>IF(B737="PART_NUMBER",IF(COUNTIF($B$1:B736,"PART_NUMBER")=0,6,8),MATCH(B737,'register map'!L:L,0))</f>
        <v>895</v>
      </c>
      <c r="D737" s="157" t="str">
        <f>IF(ISBLANK(INDEX('register map'!C:C,'Logical Group Generator'!C737)),"No","Yes")</f>
        <v>No</v>
      </c>
      <c r="E737" s="157" t="str">
        <f>IF(ISBLANK(INDEX('register map'!A:A,C737)),IF(ISBLANK(INDEX('register map'!A:A,C737-1)),IF(ISBLANK(INDEX('register map'!A:A,C737-2)),IF(ISBLANK(INDEX('register map'!A:A,C737-3)),IF(ISBLANK(INDEX('register map'!A:A,C737-4)),IF(ISBLANK(INDEX('register map'!A:A,C737-5)),IF(ISBLANK(INDEX('register map'!A:A,C737-6)),IF(ISBLANK(INDEX('register map'!A:A,C737-7)),IF(ISBLANK(INDEX('register map'!A:A,C737-8)),"ERROR",INDEX('register map'!A:A,C737-8)),INDEX('register map'!A:A,C737-7)),INDEX('register map'!A:A,C737-6)),INDEX('register map'!A:A,C737-5)),INDEX('register map'!A:A,C737-4)),INDEX('register map'!A:A,C737-3)),INDEX('register map'!A:A,C737-2)),INDEX('register map'!A:A,C737-1)),INDEX('register map'!A:A,C737))</f>
        <v>0x38</v>
      </c>
      <c r="F737" s="157" t="str">
        <f>IF(ISBLANK(INDEX('register map'!B:B,C737)),IF(ISBLANK(INDEX('register map'!B:B,C737-1)),IF(ISBLANK(INDEX('register map'!B:B,C737-2)),IF(ISBLANK(INDEX('register map'!B:B,C737-3)),IF(ISBLANK(INDEX('register map'!B:B,C737-4)),IF(ISBLANK(INDEX('register map'!B:B,C737-5)),IF(ISBLANK(INDEX('register map'!B:B,C737-6)),IF(ISBLANK(INDEX('register map'!B:B,C737-7)),IF(ISBLANK(INDEX('register map'!B:B,C737-8)),"ERROR",INDEX('register map'!B:B,C737-8)),INDEX('register map'!B:B,C737-7)),INDEX('register map'!B:B,C737-6)),INDEX('register map'!B:B,C737-5)),INDEX('register map'!B:B,C737-4)),INDEX('register map'!B:B,C737-3)),INDEX('register map'!B:B,C737-2)),INDEX('register map'!B:B,C737-1)),INDEX('register map'!B:B,C737))</f>
        <v>0x5D</v>
      </c>
      <c r="G737" s="157" t="str">
        <f>CONCATENATE(IF(ISNUMBER(INDEX('register map'!D:D,C737)),7,""),IF(ISNUMBER(INDEX('register map'!E:E,C737)),6,""),IF(ISNUMBER(INDEX('register map'!F:F,C737)),5,""),IF(ISNUMBER(INDEX('register map'!G:G,C737)),4,""),IF(ISNUMBER(INDEX('register map'!H:H,C737)),3,""),IF(ISNUMBER(INDEX('register map'!I:I,C737)),2,""),IF(ISNUMBER(INDEX('register map'!J:J,C737)),1,""),IF(ISNUMBER(INDEX('register map'!K:K,C737)),0,""))</f>
        <v>7654</v>
      </c>
      <c r="H737" s="157" t="str">
        <f>RIGHT(INDEX('register map'!V:V,MATCH('Logical Group Generator'!B737,'register map'!L:L,0)),LEN(G737))</f>
        <v>0000</v>
      </c>
      <c r="I737" s="157" t="str">
        <f>CONCATENATE(IF(ISNUMBER(INDEX('register map'!K:K,C737)),0,""),IF(ISNUMBER(INDEX('register map'!J:J,C737)),1,""),IF(ISNUMBER(INDEX('register map'!I:I,C737)),2,""),IF(ISNUMBER(INDEX('register map'!H:H,C737)),3,""),IF(ISNUMBER(INDEX('register map'!G:G,C737)),4,""),IF(ISNUMBER(INDEX('register map'!F:F,C737)),5,""),IF(ISNUMBER(INDEX('register map'!E:E,C737)),6,""),IF(ISNUMBER(INDEX('register map'!D:D,C737)),7,""))</f>
        <v>4567</v>
      </c>
      <c r="J737" s="157" t="str">
        <f t="shared" si="133"/>
        <v>0000</v>
      </c>
      <c r="K737" s="157" t="str">
        <f t="shared" si="121"/>
        <v/>
      </c>
      <c r="L737" s="157" t="str">
        <f t="shared" si="134"/>
        <v/>
      </c>
      <c r="M737" s="157" t="str">
        <f t="shared" si="135"/>
        <v/>
      </c>
      <c r="N737" s="157" t="str">
        <f>IF(ISBLANK(INDEX('register map'!M:M,'Logical Group Generator'!C737)),"No","Yes")</f>
        <v>No</v>
      </c>
      <c r="O737" s="157" t="str">
        <f>IF(NOT(ISBLANK(INDEX('register map'!N:N,'Logical Group Generator'!C737))),"Yes","")</f>
        <v>Yes</v>
      </c>
      <c r="P737" s="157" t="str">
        <f t="shared" si="122"/>
        <v/>
      </c>
      <c r="Q737" s="157" t="str">
        <f t="shared" si="123"/>
        <v/>
      </c>
      <c r="R737" s="157" t="str">
        <f t="shared" si="124"/>
        <v/>
      </c>
      <c r="S737" s="157" t="str">
        <f t="shared" si="125"/>
        <v>No</v>
      </c>
      <c r="T737" s="157" t="str">
        <f t="shared" si="126"/>
        <v/>
      </c>
      <c r="U737" s="157" t="b">
        <f t="shared" si="136"/>
        <v>0</v>
      </c>
      <c r="V737" s="157" t="b">
        <f>INDEX('register map'!P:P,C737)="yes"</f>
        <v>0</v>
      </c>
      <c r="W737" s="157" t="str">
        <f t="shared" si="127"/>
        <v>FALSE</v>
      </c>
    </row>
    <row r="738" spans="2:23">
      <c r="B738" s="157" t="str">
        <f t="array" ref="B738">IF(ROWS($3:738)&lt;=COUNTA('register map'!$L$5:$L$902),INDEX('register map'!$L$5:$L$902,SMALL(IF('register map'!$L$5:$L$902&lt;&gt;"",ROW('register map'!$L$5:$L$902)-MIN(ROW('register map'!$L$5:$L$902))+1),ROWS($3:738))),"")</f>
        <v>OTP_RSVD_38_5E</v>
      </c>
      <c r="C738" s="157">
        <f>IF(B738="PART_NUMBER",IF(COUNTIF($B$1:B737,"PART_NUMBER")=0,6,8),MATCH(B738,'register map'!L:L,0))</f>
        <v>896</v>
      </c>
      <c r="D738" s="157" t="str">
        <f>IF(ISBLANK(INDEX('register map'!C:C,'Logical Group Generator'!C738)),"No","Yes")</f>
        <v>Yes</v>
      </c>
      <c r="E738" s="157" t="str">
        <f>IF(ISBLANK(INDEX('register map'!A:A,C738)),IF(ISBLANK(INDEX('register map'!A:A,C738-1)),IF(ISBLANK(INDEX('register map'!A:A,C738-2)),IF(ISBLANK(INDEX('register map'!A:A,C738-3)),IF(ISBLANK(INDEX('register map'!A:A,C738-4)),IF(ISBLANK(INDEX('register map'!A:A,C738-5)),IF(ISBLANK(INDEX('register map'!A:A,C738-6)),IF(ISBLANK(INDEX('register map'!A:A,C738-7)),IF(ISBLANK(INDEX('register map'!A:A,C738-8)),"ERROR",INDEX('register map'!A:A,C738-8)),INDEX('register map'!A:A,C738-7)),INDEX('register map'!A:A,C738-6)),INDEX('register map'!A:A,C738-5)),INDEX('register map'!A:A,C738-4)),INDEX('register map'!A:A,C738-3)),INDEX('register map'!A:A,C738-2)),INDEX('register map'!A:A,C738-1)),INDEX('register map'!A:A,C738))</f>
        <v>0x38</v>
      </c>
      <c r="F738" s="157" t="str">
        <f>IF(ISBLANK(INDEX('register map'!B:B,C738)),IF(ISBLANK(INDEX('register map'!B:B,C738-1)),IF(ISBLANK(INDEX('register map'!B:B,C738-2)),IF(ISBLANK(INDEX('register map'!B:B,C738-3)),IF(ISBLANK(INDEX('register map'!B:B,C738-4)),IF(ISBLANK(INDEX('register map'!B:B,C738-5)),IF(ISBLANK(INDEX('register map'!B:B,C738-6)),IF(ISBLANK(INDEX('register map'!B:B,C738-7)),IF(ISBLANK(INDEX('register map'!B:B,C738-8)),"ERROR",INDEX('register map'!B:B,C738-8)),INDEX('register map'!B:B,C738-7)),INDEX('register map'!B:B,C738-6)),INDEX('register map'!B:B,C738-5)),INDEX('register map'!B:B,C738-4)),INDEX('register map'!B:B,C738-3)),INDEX('register map'!B:B,C738-2)),INDEX('register map'!B:B,C738-1)),INDEX('register map'!B:B,C738))</f>
        <v>0x5E</v>
      </c>
      <c r="G738" s="157" t="str">
        <f>CONCATENATE(IF(ISNUMBER(INDEX('register map'!D:D,C738)),7,""),IF(ISNUMBER(INDEX('register map'!E:E,C738)),6,""),IF(ISNUMBER(INDEX('register map'!F:F,C738)),5,""),IF(ISNUMBER(INDEX('register map'!G:G,C738)),4,""),IF(ISNUMBER(INDEX('register map'!H:H,C738)),3,""),IF(ISNUMBER(INDEX('register map'!I:I,C738)),2,""),IF(ISNUMBER(INDEX('register map'!J:J,C738)),1,""),IF(ISNUMBER(INDEX('register map'!K:K,C738)),0,""))</f>
        <v/>
      </c>
      <c r="H738" s="157" t="str">
        <f>RIGHT(INDEX('register map'!V:V,MATCH('Logical Group Generator'!B738,'register map'!L:L,0)),LEN(G738))</f>
        <v/>
      </c>
      <c r="I738" s="157" t="str">
        <f>CONCATENATE(IF(ISNUMBER(INDEX('register map'!K:K,C738)),0,""),IF(ISNUMBER(INDEX('register map'!J:J,C738)),1,""),IF(ISNUMBER(INDEX('register map'!I:I,C738)),2,""),IF(ISNUMBER(INDEX('register map'!H:H,C738)),3,""),IF(ISNUMBER(INDEX('register map'!G:G,C738)),4,""),IF(ISNUMBER(INDEX('register map'!F:F,C738)),5,""),IF(ISNUMBER(INDEX('register map'!E:E,C738)),6,""),IF(ISNUMBER(INDEX('register map'!D:D,C738)),7,""))</f>
        <v/>
      </c>
      <c r="J738" s="157" t="str">
        <f t="shared" si="133"/>
        <v/>
      </c>
      <c r="K738" s="157" t="str">
        <f t="shared" si="121"/>
        <v>00011110</v>
      </c>
      <c r="L738" s="157" t="str">
        <f t="shared" si="134"/>
        <v>01111000</v>
      </c>
      <c r="M738" s="157" t="str">
        <f t="shared" si="135"/>
        <v>78</v>
      </c>
      <c r="N738" s="157" t="str">
        <f>IF(ISBLANK(INDEX('register map'!M:M,'Logical Group Generator'!C738)),"No","Yes")</f>
        <v>No</v>
      </c>
      <c r="O738" s="157" t="str">
        <f>IF(NOT(ISBLANK(INDEX('register map'!N:N,'Logical Group Generator'!C738))),"Yes","")</f>
        <v/>
      </c>
      <c r="P738" s="157" t="str">
        <f t="shared" si="122"/>
        <v>No</v>
      </c>
      <c r="Q738" s="157" t="str">
        <f t="shared" si="123"/>
        <v>Yes</v>
      </c>
      <c r="R738" s="157" t="str">
        <f t="shared" si="124"/>
        <v>No</v>
      </c>
      <c r="S738" s="157" t="str">
        <f t="shared" si="125"/>
        <v/>
      </c>
      <c r="T738" s="157" t="b">
        <f t="shared" si="126"/>
        <v>1</v>
      </c>
      <c r="U738" s="157" t="b">
        <f t="shared" si="136"/>
        <v>1</v>
      </c>
      <c r="V738" s="157" t="b">
        <f>INDEX('register map'!P:P,C738)="yes"</f>
        <v>1</v>
      </c>
      <c r="W738" s="157" t="str">
        <f t="shared" si="127"/>
        <v>FALSE</v>
      </c>
    </row>
    <row r="739" spans="2:23">
      <c r="B739" s="157" t="str">
        <f t="array" ref="B739">IF(ROWS($3:739)&lt;=COUNTA('register map'!$L$5:$L$902),INDEX('register map'!$L$5:$L$902,SMALL(IF('register map'!$L$5:$L$902&lt;&gt;"",ROW('register map'!$L$5:$L$902)-MIN(ROW('register map'!$L$5:$L$902))+1),ROWS($3:739))),"")</f>
        <v>OTP_RSVD_38_5E_43210</v>
      </c>
      <c r="C739" s="157">
        <f>IF(B739="PART_NUMBER",IF(COUNTIF($B$1:B738,"PART_NUMBER")=0,6,8),MATCH(B739,'register map'!L:L,0))</f>
        <v>897</v>
      </c>
      <c r="D739" s="157" t="str">
        <f>IF(ISBLANK(INDEX('register map'!C:C,'Logical Group Generator'!C739)),"No","Yes")</f>
        <v>No</v>
      </c>
      <c r="E739" s="157" t="str">
        <f>IF(ISBLANK(INDEX('register map'!A:A,C739)),IF(ISBLANK(INDEX('register map'!A:A,C739-1)),IF(ISBLANK(INDEX('register map'!A:A,C739-2)),IF(ISBLANK(INDEX('register map'!A:A,C739-3)),IF(ISBLANK(INDEX('register map'!A:A,C739-4)),IF(ISBLANK(INDEX('register map'!A:A,C739-5)),IF(ISBLANK(INDEX('register map'!A:A,C739-6)),IF(ISBLANK(INDEX('register map'!A:A,C739-7)),IF(ISBLANK(INDEX('register map'!A:A,C739-8)),"ERROR",INDEX('register map'!A:A,C739-8)),INDEX('register map'!A:A,C739-7)),INDEX('register map'!A:A,C739-6)),INDEX('register map'!A:A,C739-5)),INDEX('register map'!A:A,C739-4)),INDEX('register map'!A:A,C739-3)),INDEX('register map'!A:A,C739-2)),INDEX('register map'!A:A,C739-1)),INDEX('register map'!A:A,C739))</f>
        <v>0x38</v>
      </c>
      <c r="F739" s="157" t="str">
        <f>IF(ISBLANK(INDEX('register map'!B:B,C739)),IF(ISBLANK(INDEX('register map'!B:B,C739-1)),IF(ISBLANK(INDEX('register map'!B:B,C739-2)),IF(ISBLANK(INDEX('register map'!B:B,C739-3)),IF(ISBLANK(INDEX('register map'!B:B,C739-4)),IF(ISBLANK(INDEX('register map'!B:B,C739-5)),IF(ISBLANK(INDEX('register map'!B:B,C739-6)),IF(ISBLANK(INDEX('register map'!B:B,C739-7)),IF(ISBLANK(INDEX('register map'!B:B,C739-8)),"ERROR",INDEX('register map'!B:B,C739-8)),INDEX('register map'!B:B,C739-7)),INDEX('register map'!B:B,C739-6)),INDEX('register map'!B:B,C739-5)),INDEX('register map'!B:B,C739-4)),INDEX('register map'!B:B,C739-3)),INDEX('register map'!B:B,C739-2)),INDEX('register map'!B:B,C739-1)),INDEX('register map'!B:B,C739))</f>
        <v>0x5E</v>
      </c>
      <c r="G739" s="157" t="str">
        <f>CONCATENATE(IF(ISNUMBER(INDEX('register map'!D:D,C739)),7,""),IF(ISNUMBER(INDEX('register map'!E:E,C739)),6,""),IF(ISNUMBER(INDEX('register map'!F:F,C739)),5,""),IF(ISNUMBER(INDEX('register map'!G:G,C739)),4,""),IF(ISNUMBER(INDEX('register map'!H:H,C739)),3,""),IF(ISNUMBER(INDEX('register map'!I:I,C739)),2,""),IF(ISNUMBER(INDEX('register map'!J:J,C739)),1,""),IF(ISNUMBER(INDEX('register map'!K:K,C739)),0,""))</f>
        <v>43210</v>
      </c>
      <c r="H739" s="157" t="str">
        <f>RIGHT(INDEX('register map'!V:V,MATCH('Logical Group Generator'!B739,'register map'!L:L,0)),LEN(G739))</f>
        <v>11000</v>
      </c>
      <c r="I739" s="157" t="str">
        <f>CONCATENATE(IF(ISNUMBER(INDEX('register map'!K:K,C739)),0,""),IF(ISNUMBER(INDEX('register map'!J:J,C739)),1,""),IF(ISNUMBER(INDEX('register map'!I:I,C739)),2,""),IF(ISNUMBER(INDEX('register map'!H:H,C739)),3,""),IF(ISNUMBER(INDEX('register map'!G:G,C739)),4,""),IF(ISNUMBER(INDEX('register map'!F:F,C739)),5,""),IF(ISNUMBER(INDEX('register map'!E:E,C739)),6,""),IF(ISNUMBER(INDEX('register map'!D:D,C739)),7,""))</f>
        <v>01234</v>
      </c>
      <c r="J739" s="157" t="str">
        <f t="shared" si="133"/>
        <v>00011</v>
      </c>
      <c r="K739" s="157" t="str">
        <f t="shared" si="121"/>
        <v/>
      </c>
      <c r="L739" s="157" t="str">
        <f t="shared" si="134"/>
        <v/>
      </c>
      <c r="M739" s="157" t="str">
        <f t="shared" si="135"/>
        <v/>
      </c>
      <c r="N739" s="157" t="str">
        <f>IF(ISBLANK(INDEX('register map'!M:M,'Logical Group Generator'!C739)),"No","Yes")</f>
        <v>No</v>
      </c>
      <c r="O739" s="157" t="str">
        <f>IF(NOT(ISBLANK(INDEX('register map'!N:N,'Logical Group Generator'!C739))),"Yes","")</f>
        <v>Yes</v>
      </c>
      <c r="P739" s="157" t="str">
        <f t="shared" si="122"/>
        <v/>
      </c>
      <c r="Q739" s="157" t="str">
        <f t="shared" si="123"/>
        <v/>
      </c>
      <c r="R739" s="157" t="str">
        <f t="shared" si="124"/>
        <v/>
      </c>
      <c r="S739" s="157" t="str">
        <f t="shared" si="125"/>
        <v>No</v>
      </c>
      <c r="T739" s="157" t="str">
        <f t="shared" si="126"/>
        <v/>
      </c>
      <c r="U739" s="157" t="b">
        <f t="shared" si="136"/>
        <v>0</v>
      </c>
      <c r="V739" s="157" t="b">
        <f>INDEX('register map'!P:P,C739)="yes"</f>
        <v>1</v>
      </c>
      <c r="W739" s="157" t="str">
        <f t="shared" si="127"/>
        <v>FALSE</v>
      </c>
    </row>
    <row r="740" spans="2:23">
      <c r="B740" s="157" t="str">
        <f t="array" ref="B740">IF(ROWS($3:740)&lt;=COUNTA('register map'!$L$5:$L$902),INDEX('register map'!$L$5:$L$902,SMALL(IF('register map'!$L$5:$L$902&lt;&gt;"",ROW('register map'!$L$5:$L$902)-MIN(ROW('register map'!$L$5:$L$902))+1),ROWS($3:740))),"")</f>
        <v>OTP_RSVD_38_5E_65</v>
      </c>
      <c r="C740" s="157">
        <f>IF(B740="PART_NUMBER",IF(COUNTIF($B$1:B739,"PART_NUMBER")=0,6,8),MATCH(B740,'register map'!L:L,0))</f>
        <v>898</v>
      </c>
      <c r="D740" s="157" t="str">
        <f>IF(ISBLANK(INDEX('register map'!C:C,'Logical Group Generator'!C740)),"No","Yes")</f>
        <v>No</v>
      </c>
      <c r="E740" s="157" t="str">
        <f>IF(ISBLANK(INDEX('register map'!A:A,C740)),IF(ISBLANK(INDEX('register map'!A:A,C740-1)),IF(ISBLANK(INDEX('register map'!A:A,C740-2)),IF(ISBLANK(INDEX('register map'!A:A,C740-3)),IF(ISBLANK(INDEX('register map'!A:A,C740-4)),IF(ISBLANK(INDEX('register map'!A:A,C740-5)),IF(ISBLANK(INDEX('register map'!A:A,C740-6)),IF(ISBLANK(INDEX('register map'!A:A,C740-7)),IF(ISBLANK(INDEX('register map'!A:A,C740-8)),"ERROR",INDEX('register map'!A:A,C740-8)),INDEX('register map'!A:A,C740-7)),INDEX('register map'!A:A,C740-6)),INDEX('register map'!A:A,C740-5)),INDEX('register map'!A:A,C740-4)),INDEX('register map'!A:A,C740-3)),INDEX('register map'!A:A,C740-2)),INDEX('register map'!A:A,C740-1)),INDEX('register map'!A:A,C740))</f>
        <v>0x38</v>
      </c>
      <c r="F740" s="157" t="str">
        <f>IF(ISBLANK(INDEX('register map'!B:B,C740)),IF(ISBLANK(INDEX('register map'!B:B,C740-1)),IF(ISBLANK(INDEX('register map'!B:B,C740-2)),IF(ISBLANK(INDEX('register map'!B:B,C740-3)),IF(ISBLANK(INDEX('register map'!B:B,C740-4)),IF(ISBLANK(INDEX('register map'!B:B,C740-5)),IF(ISBLANK(INDEX('register map'!B:B,C740-6)),IF(ISBLANK(INDEX('register map'!B:B,C740-7)),IF(ISBLANK(INDEX('register map'!B:B,C740-8)),"ERROR",INDEX('register map'!B:B,C740-8)),INDEX('register map'!B:B,C740-7)),INDEX('register map'!B:B,C740-6)),INDEX('register map'!B:B,C740-5)),INDEX('register map'!B:B,C740-4)),INDEX('register map'!B:B,C740-3)),INDEX('register map'!B:B,C740-2)),INDEX('register map'!B:B,C740-1)),INDEX('register map'!B:B,C740))</f>
        <v>0x5E</v>
      </c>
      <c r="G740" s="157" t="str">
        <f>CONCATENATE(IF(ISNUMBER(INDEX('register map'!D:D,C740)),7,""),IF(ISNUMBER(INDEX('register map'!E:E,C740)),6,""),IF(ISNUMBER(INDEX('register map'!F:F,C740)),5,""),IF(ISNUMBER(INDEX('register map'!G:G,C740)),4,""),IF(ISNUMBER(INDEX('register map'!H:H,C740)),3,""),IF(ISNUMBER(INDEX('register map'!I:I,C740)),2,""),IF(ISNUMBER(INDEX('register map'!J:J,C740)),1,""),IF(ISNUMBER(INDEX('register map'!K:K,C740)),0,""))</f>
        <v>65</v>
      </c>
      <c r="H740" s="157" t="str">
        <f>RIGHT(INDEX('register map'!V:V,MATCH('Logical Group Generator'!B740,'register map'!L:L,0)),LEN(G740))</f>
        <v>11</v>
      </c>
      <c r="I740" s="157" t="str">
        <f>CONCATENATE(IF(ISNUMBER(INDEX('register map'!K:K,C740)),0,""),IF(ISNUMBER(INDEX('register map'!J:J,C740)),1,""),IF(ISNUMBER(INDEX('register map'!I:I,C740)),2,""),IF(ISNUMBER(INDEX('register map'!H:H,C740)),3,""),IF(ISNUMBER(INDEX('register map'!G:G,C740)),4,""),IF(ISNUMBER(INDEX('register map'!F:F,C740)),5,""),IF(ISNUMBER(INDEX('register map'!E:E,C740)),6,""),IF(ISNUMBER(INDEX('register map'!D:D,C740)),7,""))</f>
        <v>56</v>
      </c>
      <c r="J740" s="157" t="str">
        <f t="shared" si="133"/>
        <v>11</v>
      </c>
      <c r="K740" s="157" t="str">
        <f t="shared" si="121"/>
        <v/>
      </c>
      <c r="L740" s="157" t="str">
        <f t="shared" si="134"/>
        <v/>
      </c>
      <c r="M740" s="157" t="str">
        <f t="shared" si="135"/>
        <v/>
      </c>
      <c r="N740" s="157" t="str">
        <f>IF(ISBLANK(INDEX('register map'!M:M,'Logical Group Generator'!C740)),"No","Yes")</f>
        <v>No</v>
      </c>
      <c r="O740" s="157" t="str">
        <f>IF(NOT(ISBLANK(INDEX('register map'!N:N,'Logical Group Generator'!C740))),"Yes","")</f>
        <v>Yes</v>
      </c>
      <c r="P740" s="157" t="str">
        <f t="shared" si="122"/>
        <v/>
      </c>
      <c r="Q740" s="157" t="str">
        <f t="shared" si="123"/>
        <v/>
      </c>
      <c r="R740" s="157" t="str">
        <f t="shared" si="124"/>
        <v/>
      </c>
      <c r="S740" s="157" t="str">
        <f t="shared" si="125"/>
        <v>No</v>
      </c>
      <c r="T740" s="157" t="str">
        <f t="shared" si="126"/>
        <v/>
      </c>
      <c r="U740" s="157" t="b">
        <f t="shared" si="136"/>
        <v>0</v>
      </c>
      <c r="V740" s="157" t="b">
        <f>INDEX('register map'!P:P,C740)="yes"</f>
        <v>1</v>
      </c>
      <c r="W740" s="157" t="str">
        <f t="shared" si="127"/>
        <v>FALSE</v>
      </c>
    </row>
    <row r="741" spans="2:23">
      <c r="B741" s="157" t="str">
        <f t="array" ref="B741">IF(ROWS($3:741)&lt;=COUNTA('register map'!$L$5:$L$902),INDEX('register map'!$L$5:$L$902,SMALL(IF('register map'!$L$5:$L$902&lt;&gt;"",ROW('register map'!$L$5:$L$902)-MIN(ROW('register map'!$L$5:$L$902))+1),ROWS($3:741))),"")</f>
        <v>OTP_RSVD_38_5E_7</v>
      </c>
      <c r="C741" s="157">
        <f>IF(B741="PART_NUMBER",IF(COUNTIF($B$1:B740,"PART_NUMBER")=0,6,8),MATCH(B741,'register map'!L:L,0))</f>
        <v>899</v>
      </c>
      <c r="D741" s="157" t="str">
        <f>IF(ISBLANK(INDEX('register map'!C:C,'Logical Group Generator'!C741)),"No","Yes")</f>
        <v>No</v>
      </c>
      <c r="E741" s="157" t="str">
        <f>IF(ISBLANK(INDEX('register map'!A:A,C741)),IF(ISBLANK(INDEX('register map'!A:A,C741-1)),IF(ISBLANK(INDEX('register map'!A:A,C741-2)),IF(ISBLANK(INDEX('register map'!A:A,C741-3)),IF(ISBLANK(INDEX('register map'!A:A,C741-4)),IF(ISBLANK(INDEX('register map'!A:A,C741-5)),IF(ISBLANK(INDEX('register map'!A:A,C741-6)),IF(ISBLANK(INDEX('register map'!A:A,C741-7)),IF(ISBLANK(INDEX('register map'!A:A,C741-8)),"ERROR",INDEX('register map'!A:A,C741-8)),INDEX('register map'!A:A,C741-7)),INDEX('register map'!A:A,C741-6)),INDEX('register map'!A:A,C741-5)),INDEX('register map'!A:A,C741-4)),INDEX('register map'!A:A,C741-3)),INDEX('register map'!A:A,C741-2)),INDEX('register map'!A:A,C741-1)),INDEX('register map'!A:A,C741))</f>
        <v>0x38</v>
      </c>
      <c r="F741" s="157" t="str">
        <f>IF(ISBLANK(INDEX('register map'!B:B,C741)),IF(ISBLANK(INDEX('register map'!B:B,C741-1)),IF(ISBLANK(INDEX('register map'!B:B,C741-2)),IF(ISBLANK(INDEX('register map'!B:B,C741-3)),IF(ISBLANK(INDEX('register map'!B:B,C741-4)),IF(ISBLANK(INDEX('register map'!B:B,C741-5)),IF(ISBLANK(INDEX('register map'!B:B,C741-6)),IF(ISBLANK(INDEX('register map'!B:B,C741-7)),IF(ISBLANK(INDEX('register map'!B:B,C741-8)),"ERROR",INDEX('register map'!B:B,C741-8)),INDEX('register map'!B:B,C741-7)),INDEX('register map'!B:B,C741-6)),INDEX('register map'!B:B,C741-5)),INDEX('register map'!B:B,C741-4)),INDEX('register map'!B:B,C741-3)),INDEX('register map'!B:B,C741-2)),INDEX('register map'!B:B,C741-1)),INDEX('register map'!B:B,C741))</f>
        <v>0x5E</v>
      </c>
      <c r="G741" s="157" t="str">
        <f>CONCATENATE(IF(ISNUMBER(INDEX('register map'!D:D,C741)),7,""),IF(ISNUMBER(INDEX('register map'!E:E,C741)),6,""),IF(ISNUMBER(INDEX('register map'!F:F,C741)),5,""),IF(ISNUMBER(INDEX('register map'!G:G,C741)),4,""),IF(ISNUMBER(INDEX('register map'!H:H,C741)),3,""),IF(ISNUMBER(INDEX('register map'!I:I,C741)),2,""),IF(ISNUMBER(INDEX('register map'!J:J,C741)),1,""),IF(ISNUMBER(INDEX('register map'!K:K,C741)),0,""))</f>
        <v>7</v>
      </c>
      <c r="H741" s="157" t="str">
        <f>RIGHT(INDEX('register map'!V:V,MATCH('Logical Group Generator'!B741,'register map'!L:L,0)),LEN(G741))</f>
        <v>0</v>
      </c>
      <c r="I741" s="157" t="str">
        <f>CONCATENATE(IF(ISNUMBER(INDEX('register map'!K:K,C741)),0,""),IF(ISNUMBER(INDEX('register map'!J:J,C741)),1,""),IF(ISNUMBER(INDEX('register map'!I:I,C741)),2,""),IF(ISNUMBER(INDEX('register map'!H:H,C741)),3,""),IF(ISNUMBER(INDEX('register map'!G:G,C741)),4,""),IF(ISNUMBER(INDEX('register map'!F:F,C741)),5,""),IF(ISNUMBER(INDEX('register map'!E:E,C741)),6,""),IF(ISNUMBER(INDEX('register map'!D:D,C741)),7,""))</f>
        <v>7</v>
      </c>
      <c r="J741" s="157" t="str">
        <f t="shared" si="133"/>
        <v>0</v>
      </c>
      <c r="K741" s="157" t="str">
        <f t="shared" si="121"/>
        <v/>
      </c>
      <c r="L741" s="157" t="str">
        <f t="shared" si="134"/>
        <v/>
      </c>
      <c r="M741" s="157" t="str">
        <f t="shared" si="135"/>
        <v/>
      </c>
      <c r="N741" s="157" t="str">
        <f>IF(ISBLANK(INDEX('register map'!M:M,'Logical Group Generator'!C741)),"No","Yes")</f>
        <v>No</v>
      </c>
      <c r="O741" s="157" t="str">
        <f>IF(NOT(ISBLANK(INDEX('register map'!N:N,'Logical Group Generator'!C741))),"Yes","")</f>
        <v>Yes</v>
      </c>
      <c r="P741" s="157" t="str">
        <f t="shared" si="122"/>
        <v/>
      </c>
      <c r="Q741" s="157" t="str">
        <f t="shared" si="123"/>
        <v/>
      </c>
      <c r="R741" s="157" t="str">
        <f t="shared" si="124"/>
        <v/>
      </c>
      <c r="S741" s="157" t="str">
        <f t="shared" si="125"/>
        <v>No</v>
      </c>
      <c r="T741" s="157" t="str">
        <f t="shared" si="126"/>
        <v/>
      </c>
      <c r="U741" s="157" t="b">
        <f t="shared" si="136"/>
        <v>0</v>
      </c>
      <c r="V741" s="157" t="b">
        <f>INDEX('register map'!P:P,C741)="yes"</f>
        <v>1</v>
      </c>
      <c r="W741" s="157" t="str">
        <f t="shared" si="127"/>
        <v>FALSE</v>
      </c>
    </row>
    <row r="742" spans="2:23">
      <c r="B742" s="157" t="str">
        <f t="array" ref="B742">IF(ROWS($3:742)&lt;=COUNTA('register map'!$L$5:$L$902),INDEX('register map'!$L$5:$L$902,SMALL(IF('register map'!$L$5:$L$902&lt;&gt;"",ROW('register map'!$L$5:$L$902)-MIN(ROW('register map'!$L$5:$L$902))+1),ROWS($3:742))),"")</f>
        <v>I2CADDRESS</v>
      </c>
      <c r="C742" s="157">
        <f>IF(B742="PART_NUMBER",IF(COUNTIF($B$1:B741,"PART_NUMBER")=0,6,8),MATCH(B742,'register map'!L:L,0))</f>
        <v>900</v>
      </c>
      <c r="D742" s="157" t="str">
        <f>IF(ISBLANK(INDEX('register map'!C:C,'Logical Group Generator'!C742)),"No","Yes")</f>
        <v>Yes</v>
      </c>
      <c r="E742" s="157" t="str">
        <f>IF(ISBLANK(INDEX('register map'!A:A,C742)),IF(ISBLANK(INDEX('register map'!A:A,C742-1)),IF(ISBLANK(INDEX('register map'!A:A,C742-2)),IF(ISBLANK(INDEX('register map'!A:A,C742-3)),IF(ISBLANK(INDEX('register map'!A:A,C742-4)),IF(ISBLANK(INDEX('register map'!A:A,C742-5)),IF(ISBLANK(INDEX('register map'!A:A,C742-6)),IF(ISBLANK(INDEX('register map'!A:A,C742-7)),IF(ISBLANK(INDEX('register map'!A:A,C742-8)),"ERROR",INDEX('register map'!A:A,C742-8)),INDEX('register map'!A:A,C742-7)),INDEX('register map'!A:A,C742-6)),INDEX('register map'!A:A,C742-5)),INDEX('register map'!A:A,C742-4)),INDEX('register map'!A:A,C742-3)),INDEX('register map'!A:A,C742-2)),INDEX('register map'!A:A,C742-1)),INDEX('register map'!A:A,C742))</f>
        <v>0x38</v>
      </c>
      <c r="F742" s="157" t="str">
        <f>IF(ISBLANK(INDEX('register map'!B:B,C742)),IF(ISBLANK(INDEX('register map'!B:B,C742-1)),IF(ISBLANK(INDEX('register map'!B:B,C742-2)),IF(ISBLANK(INDEX('register map'!B:B,C742-3)),IF(ISBLANK(INDEX('register map'!B:B,C742-4)),IF(ISBLANK(INDEX('register map'!B:B,C742-5)),IF(ISBLANK(INDEX('register map'!B:B,C742-6)),IF(ISBLANK(INDEX('register map'!B:B,C742-7)),IF(ISBLANK(INDEX('register map'!B:B,C742-8)),"ERROR",INDEX('register map'!B:B,C742-8)),INDEX('register map'!B:B,C742-7)),INDEX('register map'!B:B,C742-6)),INDEX('register map'!B:B,C742-5)),INDEX('register map'!B:B,C742-4)),INDEX('register map'!B:B,C742-3)),INDEX('register map'!B:B,C742-2)),INDEX('register map'!B:B,C742-1)),INDEX('register map'!B:B,C742))</f>
        <v>0x5F</v>
      </c>
      <c r="G742" s="157" t="str">
        <f>CONCATENATE(IF(ISNUMBER(INDEX('register map'!D:D,C742)),7,""),IF(ISNUMBER(INDEX('register map'!E:E,C742)),6,""),IF(ISNUMBER(INDEX('register map'!F:F,C742)),5,""),IF(ISNUMBER(INDEX('register map'!G:G,C742)),4,""),IF(ISNUMBER(INDEX('register map'!H:H,C742)),3,""),IF(ISNUMBER(INDEX('register map'!I:I,C742)),2,""),IF(ISNUMBER(INDEX('register map'!J:J,C742)),1,""),IF(ISNUMBER(INDEX('register map'!K:K,C742)),0,""))</f>
        <v/>
      </c>
      <c r="H742" s="157" t="str">
        <f>RIGHT(INDEX('register map'!V:V,MATCH('Logical Group Generator'!B742,'register map'!L:L,0)),LEN(G742))</f>
        <v/>
      </c>
      <c r="I742" s="157" t="str">
        <f>CONCATENATE(IF(ISNUMBER(INDEX('register map'!K:K,C742)),0,""),IF(ISNUMBER(INDEX('register map'!J:J,C742)),1,""),IF(ISNUMBER(INDEX('register map'!I:I,C742)),2,""),IF(ISNUMBER(INDEX('register map'!H:H,C742)),3,""),IF(ISNUMBER(INDEX('register map'!G:G,C742)),4,""),IF(ISNUMBER(INDEX('register map'!F:F,C742)),5,""),IF(ISNUMBER(INDEX('register map'!E:E,C742)),6,""),IF(ISNUMBER(INDEX('register map'!D:D,C742)),7,""))</f>
        <v/>
      </c>
      <c r="J742" s="157" t="str">
        <f t="shared" si="133"/>
        <v/>
      </c>
      <c r="K742" s="157" t="str">
        <f t="shared" si="121"/>
        <v>00000000</v>
      </c>
      <c r="L742" s="157" t="str">
        <f t="shared" si="134"/>
        <v>00000000</v>
      </c>
      <c r="M742" s="157" t="str">
        <f t="shared" si="135"/>
        <v>00</v>
      </c>
      <c r="N742" s="157" t="str">
        <f>IF(ISBLANK(INDEX('register map'!M:M,'Logical Group Generator'!C742)),"No","Yes")</f>
        <v>No</v>
      </c>
      <c r="O742" s="157" t="str">
        <f>IF(NOT(ISBLANK(INDEX('register map'!N:N,'Logical Group Generator'!C742))),"Yes","")</f>
        <v/>
      </c>
      <c r="P742" s="157" t="str">
        <f t="shared" si="122"/>
        <v>No</v>
      </c>
      <c r="Q742" s="157" t="str">
        <f t="shared" si="123"/>
        <v>No</v>
      </c>
      <c r="R742" s="157" t="str">
        <f t="shared" si="124"/>
        <v>No</v>
      </c>
      <c r="S742" s="157" t="str">
        <f t="shared" si="125"/>
        <v/>
      </c>
      <c r="T742" s="157" t="b">
        <f t="shared" si="126"/>
        <v>1</v>
      </c>
      <c r="U742" s="157" t="b">
        <f t="shared" si="136"/>
        <v>1</v>
      </c>
      <c r="V742" s="157" t="b">
        <f>INDEX('register map'!P:P,C742)="yes"</f>
        <v>1</v>
      </c>
      <c r="W742" s="157" t="str">
        <f t="shared" si="127"/>
        <v>REGISTER</v>
      </c>
    </row>
    <row r="743" spans="2:23">
      <c r="B743" s="157" t="str">
        <f t="array" ref="B743">IF(ROWS($3:743)&lt;=COUNTA('register map'!$L$5:$L$902),INDEX('register map'!$L$5:$L$902,SMALL(IF('register map'!$L$5:$L$902&lt;&gt;"",ROW('register map'!$L$5:$L$902)-MIN(ROW('register map'!$L$5:$L$902))+1),ROWS($3:743))),"")</f>
        <v>I2C_ADDRESS</v>
      </c>
      <c r="C743" s="157">
        <f>IF(B743="PART_NUMBER",IF(COUNTIF($B$1:B742,"PART_NUMBER")=0,6,8),MATCH(B743,'register map'!L:L,0))</f>
        <v>901</v>
      </c>
      <c r="D743" s="157" t="str">
        <f>IF(ISBLANK(INDEX('register map'!C:C,'Logical Group Generator'!C743)),"No","Yes")</f>
        <v>No</v>
      </c>
      <c r="E743" s="157" t="str">
        <f>IF(ISBLANK(INDEX('register map'!A:A,C743)),IF(ISBLANK(INDEX('register map'!A:A,C743-1)),IF(ISBLANK(INDEX('register map'!A:A,C743-2)),IF(ISBLANK(INDEX('register map'!A:A,C743-3)),IF(ISBLANK(INDEX('register map'!A:A,C743-4)),IF(ISBLANK(INDEX('register map'!A:A,C743-5)),IF(ISBLANK(INDEX('register map'!A:A,C743-6)),IF(ISBLANK(INDEX('register map'!A:A,C743-7)),IF(ISBLANK(INDEX('register map'!A:A,C743-8)),"ERROR",INDEX('register map'!A:A,C743-8)),INDEX('register map'!A:A,C743-7)),INDEX('register map'!A:A,C743-6)),INDEX('register map'!A:A,C743-5)),INDEX('register map'!A:A,C743-4)),INDEX('register map'!A:A,C743-3)),INDEX('register map'!A:A,C743-2)),INDEX('register map'!A:A,C743-1)),INDEX('register map'!A:A,C743))</f>
        <v>0x38</v>
      </c>
      <c r="F743" s="157" t="str">
        <f>IF(ISBLANK(INDEX('register map'!B:B,C743)),IF(ISBLANK(INDEX('register map'!B:B,C743-1)),IF(ISBLANK(INDEX('register map'!B:B,C743-2)),IF(ISBLANK(INDEX('register map'!B:B,C743-3)),IF(ISBLANK(INDEX('register map'!B:B,C743-4)),IF(ISBLANK(INDEX('register map'!B:B,C743-5)),IF(ISBLANK(INDEX('register map'!B:B,C743-6)),IF(ISBLANK(INDEX('register map'!B:B,C743-7)),IF(ISBLANK(INDEX('register map'!B:B,C743-8)),"ERROR",INDEX('register map'!B:B,C743-8)),INDEX('register map'!B:B,C743-7)),INDEX('register map'!B:B,C743-6)),INDEX('register map'!B:B,C743-5)),INDEX('register map'!B:B,C743-4)),INDEX('register map'!B:B,C743-3)),INDEX('register map'!B:B,C743-2)),INDEX('register map'!B:B,C743-1)),INDEX('register map'!B:B,C743))</f>
        <v>0x5F</v>
      </c>
      <c r="G743" s="157" t="str">
        <f>CONCATENATE(IF(ISNUMBER(INDEX('register map'!D:D,C743)),7,""),IF(ISNUMBER(INDEX('register map'!E:E,C743)),6,""),IF(ISNUMBER(INDEX('register map'!F:F,C743)),5,""),IF(ISNUMBER(INDEX('register map'!G:G,C743)),4,""),IF(ISNUMBER(INDEX('register map'!H:H,C743)),3,""),IF(ISNUMBER(INDEX('register map'!I:I,C743)),2,""),IF(ISNUMBER(INDEX('register map'!J:J,C743)),1,""),IF(ISNUMBER(INDEX('register map'!K:K,C743)),0,""))</f>
        <v>6543210</v>
      </c>
      <c r="H743" s="157" t="str">
        <f>RIGHT(INDEX('register map'!V:V,MATCH('Logical Group Generator'!B743,'register map'!L:L,0)),LEN(G743))</f>
        <v>0000000</v>
      </c>
      <c r="I743" s="157" t="str">
        <f>CONCATENATE(IF(ISNUMBER(INDEX('register map'!K:K,C743)),0,""),IF(ISNUMBER(INDEX('register map'!J:J,C743)),1,""),IF(ISNUMBER(INDEX('register map'!I:I,C743)),2,""),IF(ISNUMBER(INDEX('register map'!H:H,C743)),3,""),IF(ISNUMBER(INDEX('register map'!G:G,C743)),4,""),IF(ISNUMBER(INDEX('register map'!F:F,C743)),5,""),IF(ISNUMBER(INDEX('register map'!E:E,C743)),6,""),IF(ISNUMBER(INDEX('register map'!D:D,C743)),7,""))</f>
        <v>0123456</v>
      </c>
      <c r="J743" s="157" t="str">
        <f t="shared" si="133"/>
        <v>0000000</v>
      </c>
      <c r="K743" s="157" t="str">
        <f t="shared" si="121"/>
        <v/>
      </c>
      <c r="L743" s="157" t="str">
        <f t="shared" si="134"/>
        <v/>
      </c>
      <c r="M743" s="157" t="str">
        <f t="shared" si="135"/>
        <v/>
      </c>
      <c r="N743" s="157" t="str">
        <f>IF(ISBLANK(INDEX('register map'!M:M,'Logical Group Generator'!C743)),"No","Yes")</f>
        <v>No</v>
      </c>
      <c r="O743" s="157" t="str">
        <f>IF(NOT(ISBLANK(INDEX('register map'!N:N,'Logical Group Generator'!C743))),"Yes","")</f>
        <v/>
      </c>
      <c r="P743" s="157" t="str">
        <f t="shared" si="122"/>
        <v/>
      </c>
      <c r="Q743" s="157" t="str">
        <f t="shared" si="123"/>
        <v/>
      </c>
      <c r="R743" s="157" t="str">
        <f t="shared" si="124"/>
        <v/>
      </c>
      <c r="S743" s="157" t="str">
        <f t="shared" si="125"/>
        <v>No</v>
      </c>
      <c r="T743" s="157" t="str">
        <f t="shared" si="126"/>
        <v/>
      </c>
      <c r="U743" s="157" t="b">
        <f t="shared" si="136"/>
        <v>0</v>
      </c>
      <c r="V743" s="157" t="b">
        <f>INDEX('register map'!P:P,C743)="yes"</f>
        <v>1</v>
      </c>
      <c r="W743" s="157" t="str">
        <f t="shared" si="127"/>
        <v>FALSE</v>
      </c>
    </row>
    <row r="744" spans="2:23">
      <c r="B744" s="157" t="str">
        <f t="array" ref="B744">IF(ROWS($3:744)&lt;=COUNTA('register map'!$L$5:$L$902),INDEX('register map'!$L$5:$L$902,SMALL(IF('register map'!$L$5:$L$902&lt;&gt;"",ROW('register map'!$L$5:$L$902)-MIN(ROW('register map'!$L$5:$L$902))+1),ROWS($3:744))),"")</f>
        <v>I2C_DEFAULT</v>
      </c>
      <c r="C744" s="157">
        <f>IF(B744="PART_NUMBER",IF(COUNTIF($B$1:B743,"PART_NUMBER")=0,6,8),MATCH(B744,'register map'!L:L,0))</f>
        <v>902</v>
      </c>
      <c r="D744" s="157" t="str">
        <f>IF(ISBLANK(INDEX('register map'!C:C,'Logical Group Generator'!C744)),"No","Yes")</f>
        <v>No</v>
      </c>
      <c r="E744" s="157" t="str">
        <f>IF(ISBLANK(INDEX('register map'!A:A,C744)),IF(ISBLANK(INDEX('register map'!A:A,C744-1)),IF(ISBLANK(INDEX('register map'!A:A,C744-2)),IF(ISBLANK(INDEX('register map'!A:A,C744-3)),IF(ISBLANK(INDEX('register map'!A:A,C744-4)),IF(ISBLANK(INDEX('register map'!A:A,C744-5)),IF(ISBLANK(INDEX('register map'!A:A,C744-6)),IF(ISBLANK(INDEX('register map'!A:A,C744-7)),IF(ISBLANK(INDEX('register map'!A:A,C744-8)),"ERROR",INDEX('register map'!A:A,C744-8)),INDEX('register map'!A:A,C744-7)),INDEX('register map'!A:A,C744-6)),INDEX('register map'!A:A,C744-5)),INDEX('register map'!A:A,C744-4)),INDEX('register map'!A:A,C744-3)),INDEX('register map'!A:A,C744-2)),INDEX('register map'!A:A,C744-1)),INDEX('register map'!A:A,C744))</f>
        <v>0x38</v>
      </c>
      <c r="F744" s="157" t="str">
        <f>IF(ISBLANK(INDEX('register map'!B:B,C744)),IF(ISBLANK(INDEX('register map'!B:B,C744-1)),IF(ISBLANK(INDEX('register map'!B:B,C744-2)),IF(ISBLANK(INDEX('register map'!B:B,C744-3)),IF(ISBLANK(INDEX('register map'!B:B,C744-4)),IF(ISBLANK(INDEX('register map'!B:B,C744-5)),IF(ISBLANK(INDEX('register map'!B:B,C744-6)),IF(ISBLANK(INDEX('register map'!B:B,C744-7)),IF(ISBLANK(INDEX('register map'!B:B,C744-8)),"ERROR",INDEX('register map'!B:B,C744-8)),INDEX('register map'!B:B,C744-7)),INDEX('register map'!B:B,C744-6)),INDEX('register map'!B:B,C744-5)),INDEX('register map'!B:B,C744-4)),INDEX('register map'!B:B,C744-3)),INDEX('register map'!B:B,C744-2)),INDEX('register map'!B:B,C744-1)),INDEX('register map'!B:B,C744))</f>
        <v>0x5F</v>
      </c>
      <c r="G744" s="157" t="str">
        <f>CONCATENATE(IF(ISNUMBER(INDEX('register map'!D:D,C744)),7,""),IF(ISNUMBER(INDEX('register map'!E:E,C744)),6,""),IF(ISNUMBER(INDEX('register map'!F:F,C744)),5,""),IF(ISNUMBER(INDEX('register map'!G:G,C744)),4,""),IF(ISNUMBER(INDEX('register map'!H:H,C744)),3,""),IF(ISNUMBER(INDEX('register map'!I:I,C744)),2,""),IF(ISNUMBER(INDEX('register map'!J:J,C744)),1,""),IF(ISNUMBER(INDEX('register map'!K:K,C744)),0,""))</f>
        <v>7</v>
      </c>
      <c r="H744" s="157" t="str">
        <f>RIGHT(INDEX('register map'!V:V,MATCH('Logical Group Generator'!B744,'register map'!L:L,0)),LEN(G744))</f>
        <v>0</v>
      </c>
      <c r="I744" s="157" t="str">
        <f>CONCATENATE(IF(ISNUMBER(INDEX('register map'!K:K,C744)),0,""),IF(ISNUMBER(INDEX('register map'!J:J,C744)),1,""),IF(ISNUMBER(INDEX('register map'!I:I,C744)),2,""),IF(ISNUMBER(INDEX('register map'!H:H,C744)),3,""),IF(ISNUMBER(INDEX('register map'!G:G,C744)),4,""),IF(ISNUMBER(INDEX('register map'!F:F,C744)),5,""),IF(ISNUMBER(INDEX('register map'!E:E,C744)),6,""),IF(ISNUMBER(INDEX('register map'!D:D,C744)),7,""))</f>
        <v>7</v>
      </c>
      <c r="J744" s="157" t="str">
        <f t="shared" si="133"/>
        <v>0</v>
      </c>
      <c r="K744" s="157" t="str">
        <f t="shared" si="121"/>
        <v/>
      </c>
      <c r="L744" s="157" t="str">
        <f t="shared" si="134"/>
        <v/>
      </c>
      <c r="M744" s="157" t="str">
        <f t="shared" si="135"/>
        <v/>
      </c>
      <c r="N744" s="157" t="str">
        <f>IF(ISBLANK(INDEX('register map'!M:M,'Logical Group Generator'!C744)),"No","Yes")</f>
        <v>No</v>
      </c>
      <c r="O744" s="157" t="str">
        <f>IF(NOT(ISBLANK(INDEX('register map'!N:N,'Logical Group Generator'!C744))),"Yes","")</f>
        <v/>
      </c>
      <c r="P744" s="157" t="str">
        <f t="shared" si="122"/>
        <v/>
      </c>
      <c r="Q744" s="157" t="str">
        <f t="shared" si="123"/>
        <v/>
      </c>
      <c r="R744" s="157" t="str">
        <f t="shared" si="124"/>
        <v/>
      </c>
      <c r="S744" s="157" t="str">
        <f t="shared" si="125"/>
        <v>No</v>
      </c>
      <c r="T744" s="157" t="str">
        <f t="shared" si="126"/>
        <v/>
      </c>
      <c r="U744" s="157" t="b">
        <f t="shared" si="136"/>
        <v>0</v>
      </c>
      <c r="V744" s="157" t="b">
        <f>INDEX('register map'!P:P,C744)="yes"</f>
        <v>1</v>
      </c>
      <c r="W744" s="157" t="str">
        <f t="shared" si="127"/>
        <v>FALSE</v>
      </c>
    </row>
    <row r="745" spans="2:23">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row>
    <row r="746" spans="2:23">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row>
    <row r="747" spans="2:23">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row>
    <row r="748" spans="2:23">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row>
    <row r="749" spans="2:23">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row>
    <row r="750" spans="2:23">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row>
    <row r="751" spans="2:23">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row>
    <row r="752" spans="2:23">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row>
  </sheetData>
  <sheetProtection password="CA35" sheet="1" objects="1" scenarios="1"/>
  <autoFilter ref="B2:W744" xr:uid="{00000000-0009-0000-0000-000009000000}"/>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P49"/>
  <sheetViews>
    <sheetView tabSelected="1" topLeftCell="B1" zoomScaleNormal="100" workbookViewId="0">
      <selection activeCell="B41" sqref="B41"/>
    </sheetView>
  </sheetViews>
  <sheetFormatPr defaultColWidth="9.08984375" defaultRowHeight="14.5"/>
  <cols>
    <col min="1" max="1" width="9.08984375" style="169"/>
    <col min="2" max="2" width="36.26953125" style="169" bestFit="1" customWidth="1"/>
    <col min="3" max="3" width="16" style="169" bestFit="1" customWidth="1"/>
    <col min="4" max="4" width="14.08984375" style="165" bestFit="1" customWidth="1"/>
    <col min="5" max="5" width="25.6328125" style="169" bestFit="1" customWidth="1"/>
    <col min="6" max="6" width="4.7265625" style="169" customWidth="1"/>
    <col min="7" max="7" width="2.08984375" style="169" customWidth="1"/>
    <col min="8" max="8" width="3.6328125" style="165" customWidth="1"/>
    <col min="9" max="9" width="88.26953125" style="169" customWidth="1"/>
    <col min="10" max="10" width="11.08984375" style="169" hidden="1" customWidth="1"/>
    <col min="11" max="14" width="9.08984375" style="169" hidden="1" customWidth="1"/>
    <col min="15" max="18" width="14.26953125" style="169" hidden="1" customWidth="1"/>
    <col min="19" max="21" width="9.08984375" style="169" hidden="1" customWidth="1"/>
    <col min="22" max="22" width="11.26953125" style="169" hidden="1" customWidth="1"/>
    <col min="23" max="23" width="9.08984375" style="189" hidden="1" customWidth="1"/>
    <col min="24" max="24" width="16.6328125" style="169" hidden="1" customWidth="1"/>
    <col min="25" max="26" width="9.08984375" style="169" hidden="1" customWidth="1"/>
    <col min="27" max="27" width="13.81640625" style="169" hidden="1" customWidth="1"/>
    <col min="28" max="29" width="9.08984375" style="169" hidden="1" customWidth="1"/>
    <col min="30" max="30" width="22" style="169" hidden="1" customWidth="1"/>
    <col min="31" max="42" width="9.08984375" style="169" hidden="1" customWidth="1"/>
    <col min="43" max="45" width="9.08984375" style="169" customWidth="1"/>
    <col min="46" max="16384" width="9.08984375" style="169"/>
  </cols>
  <sheetData>
    <row r="1" spans="2:42">
      <c r="J1" s="193"/>
      <c r="K1" s="193"/>
      <c r="L1" s="193"/>
      <c r="M1" s="193"/>
      <c r="N1" s="193"/>
      <c r="O1" s="193"/>
      <c r="P1" s="193"/>
      <c r="Q1" s="193" t="s">
        <v>618</v>
      </c>
    </row>
    <row r="2" spans="2:42">
      <c r="B2" s="273" t="s">
        <v>1555</v>
      </c>
      <c r="C2" s="273"/>
      <c r="D2" s="273"/>
      <c r="J2" s="193"/>
      <c r="K2" s="193"/>
      <c r="L2" s="193"/>
      <c r="M2" s="193"/>
      <c r="N2" s="193"/>
      <c r="O2" s="193"/>
      <c r="P2" s="193"/>
      <c r="Q2" s="193" t="s">
        <v>618</v>
      </c>
    </row>
    <row r="3" spans="2:42">
      <c r="I3" s="169" t="s">
        <v>1467</v>
      </c>
      <c r="J3" s="193"/>
      <c r="K3" s="193"/>
      <c r="L3" s="193"/>
      <c r="M3" s="193"/>
      <c r="N3" s="193"/>
      <c r="O3" s="193"/>
      <c r="P3" s="193"/>
      <c r="Q3" s="193" t="s">
        <v>618</v>
      </c>
    </row>
    <row r="4" spans="2:42">
      <c r="B4" s="274" t="s">
        <v>1443</v>
      </c>
      <c r="C4" s="274"/>
    </row>
    <row r="5" spans="2:42">
      <c r="B5" s="173" t="s">
        <v>607</v>
      </c>
      <c r="C5" s="234" t="s">
        <v>1528</v>
      </c>
      <c r="AP5" s="169" t="s">
        <v>706</v>
      </c>
    </row>
    <row r="6" spans="2:42">
      <c r="B6" s="173" t="s">
        <v>1575</v>
      </c>
      <c r="C6" s="237" t="s">
        <v>1529</v>
      </c>
      <c r="D6" s="276" t="str">
        <f>IFERROR(IF(OR(LEFT(C6,9)&lt;&gt;"TPS650861",NOT(AND(HEX2DEC(RIGHT(C6,2))&gt;=0,HEX2DEC(RIGHT(C6,2))&lt;=256)),LEN(C6)&lt;&gt;11),"Invalid DEVICE ID","Valid DEVICE ID"),"Invalid Part Number")</f>
        <v>Valid DEVICE ID</v>
      </c>
      <c r="E6" s="273"/>
      <c r="H6" s="165">
        <v>1</v>
      </c>
      <c r="I6" s="169" t="s">
        <v>1576</v>
      </c>
      <c r="J6" s="169" t="s">
        <v>708</v>
      </c>
      <c r="K6" s="169" t="str">
        <f>IF(LEN(C6)=11,C6,IF(LEN(C6)=10,CONCATENATE(C6,"0"),IF(LEN(C6)=9,CONCATENATE(C6,"00"),CONCATENATE(C6,"000"))))</f>
        <v>TPS65086100</v>
      </c>
      <c r="AP6" s="169" t="s">
        <v>705</v>
      </c>
    </row>
    <row r="7" spans="2:42">
      <c r="B7" s="173" t="s">
        <v>608</v>
      </c>
      <c r="C7" s="238" t="s">
        <v>746</v>
      </c>
      <c r="H7" s="165">
        <v>2</v>
      </c>
      <c r="I7" s="169" t="s">
        <v>1474</v>
      </c>
    </row>
    <row r="8" spans="2:42">
      <c r="B8" s="173" t="s">
        <v>144</v>
      </c>
      <c r="C8" s="237" t="s">
        <v>1528</v>
      </c>
      <c r="H8" s="165">
        <v>3</v>
      </c>
      <c r="I8" s="169" t="s">
        <v>1470</v>
      </c>
    </row>
    <row r="9" spans="2:42">
      <c r="B9" s="181"/>
      <c r="C9" s="266"/>
      <c r="J9" s="169" t="str">
        <f>CONCATENATE("8b",DEC2BIN(C9,8))</f>
        <v>8b00000000</v>
      </c>
    </row>
    <row r="11" spans="2:42">
      <c r="B11" s="274" t="s">
        <v>1547</v>
      </c>
      <c r="C11" s="274"/>
      <c r="D11" s="274"/>
      <c r="E11" s="274"/>
      <c r="H11" s="232"/>
    </row>
    <row r="12" spans="2:42">
      <c r="B12" s="235" t="s">
        <v>1444</v>
      </c>
      <c r="C12" s="235" t="s">
        <v>1521</v>
      </c>
      <c r="D12" s="236" t="s">
        <v>153</v>
      </c>
      <c r="E12" s="235" t="s">
        <v>154</v>
      </c>
      <c r="H12" s="165">
        <v>4</v>
      </c>
      <c r="I12" s="169" t="s">
        <v>1468</v>
      </c>
      <c r="J12" s="169" t="s">
        <v>131</v>
      </c>
      <c r="K12" s="169" t="s">
        <v>132</v>
      </c>
      <c r="O12" s="169" t="s">
        <v>147</v>
      </c>
      <c r="P12" s="169" t="s">
        <v>148</v>
      </c>
      <c r="Q12" s="169" t="s">
        <v>149</v>
      </c>
      <c r="R12" s="169" t="s">
        <v>150</v>
      </c>
      <c r="S12" s="169" t="s">
        <v>151</v>
      </c>
      <c r="T12" s="169" t="s">
        <v>152</v>
      </c>
      <c r="V12" s="169" t="s">
        <v>617</v>
      </c>
      <c r="W12" s="189" t="s">
        <v>750</v>
      </c>
      <c r="X12" s="273" t="s">
        <v>696</v>
      </c>
      <c r="Y12" s="273"/>
      <c r="AA12" s="169" t="s">
        <v>711</v>
      </c>
      <c r="AD12" s="169" t="s">
        <v>721</v>
      </c>
      <c r="AI12" s="169" t="s">
        <v>722</v>
      </c>
      <c r="AL12" s="273" t="s">
        <v>751</v>
      </c>
      <c r="AM12" s="273"/>
      <c r="AO12" s="169" t="s">
        <v>1502</v>
      </c>
    </row>
    <row r="13" spans="2:42">
      <c r="B13" s="173" t="s">
        <v>223</v>
      </c>
      <c r="C13" s="218">
        <v>1.8</v>
      </c>
      <c r="D13" s="222" t="s">
        <v>131</v>
      </c>
      <c r="E13" s="173" t="str">
        <f>IF(OR(C13="Ext FB",C13="-"),"0000001",INDEX('VID Tables'!E6:E134,IF(D13="25 mV",MATCH(Overview!C13,'VID Tables'!$F$6:$F$134),IF(D13="10 mV",MATCH(Overview!C13,'VID Tables'!$G$6:$G$134),"-"))))</f>
        <v>0111000</v>
      </c>
      <c r="F13" s="169" t="str">
        <f>IF(ISERROR(MATCH(D13,O13:O14,0))," ","  ")</f>
        <v xml:space="preserve">  </v>
      </c>
      <c r="H13" s="165">
        <v>5</v>
      </c>
      <c r="I13" s="169" t="s">
        <v>1562</v>
      </c>
      <c r="J13" s="165" t="str">
        <f>IF(C13="-","-",IF(COUNTIF('VID Tables'!$F$6:$F$133,Overview!C13),"Y","N"))</f>
        <v>Y</v>
      </c>
      <c r="K13" s="165" t="str">
        <f>IF(C13="-","-",IF(COUNTIF('VID Tables'!$G$6:$G$133,Overview!C13),"Y","N"))</f>
        <v>N</v>
      </c>
      <c r="O13" s="169" t="str">
        <f>IF(C13="Ext FB","-",IF(AND(J13="Y",OR(J14="Y",J14="-")),J12,""))</f>
        <v>25 mV</v>
      </c>
      <c r="P13" s="169" t="str">
        <f>IF(AND(J15="Y",OR(J16="Y",J16="-")),J12,"")</f>
        <v>25 mV</v>
      </c>
      <c r="Q13" s="169" t="s">
        <v>131</v>
      </c>
      <c r="R13" s="169" t="s">
        <v>131</v>
      </c>
      <c r="S13" s="169" t="s">
        <v>131</v>
      </c>
      <c r="T13" s="169" t="str">
        <f>IF(AND(J23="Y",OR(J24="Y",J24="-")),J12,"")</f>
        <v>25 mV</v>
      </c>
      <c r="V13" s="169" t="s">
        <v>618</v>
      </c>
      <c r="W13" s="175" t="str">
        <f>IF(B36=" "," ","Yes")</f>
        <v>Yes</v>
      </c>
      <c r="X13" s="169" t="s">
        <v>695</v>
      </c>
      <c r="Y13" s="169" t="s">
        <v>156</v>
      </c>
      <c r="AA13" s="169" t="s">
        <v>712</v>
      </c>
      <c r="AB13" s="169" t="s">
        <v>715</v>
      </c>
      <c r="AD13" s="169" t="str">
        <f>IF(B37=" "," ","Turn Off")</f>
        <v>Turn Off</v>
      </c>
      <c r="AI13" s="169" t="str">
        <f>IF(AND(C36="Yes",C37="Turn Off"),"1 ms"," ")</f>
        <v xml:space="preserve"> </v>
      </c>
      <c r="AJ13" s="169" t="s">
        <v>156</v>
      </c>
      <c r="AL13" s="169" t="str">
        <f>IF(B43=" "," ","1.5 V")</f>
        <v>1.5 V</v>
      </c>
      <c r="AM13" s="169" t="s">
        <v>156</v>
      </c>
      <c r="AO13" s="169" t="s">
        <v>746</v>
      </c>
    </row>
    <row r="14" spans="2:42">
      <c r="B14" s="173" t="str">
        <f>IF(C13="Ext FB","","BUCK1_SLP_VID")</f>
        <v>BUCK1_SLP_VID</v>
      </c>
      <c r="C14" s="218" t="s">
        <v>146</v>
      </c>
      <c r="D14" s="220"/>
      <c r="E14" s="173" t="str">
        <f>IF(C14="-",E13,INDEX('VID Tables'!$E$6:$E$133,IF(D13="25 mV",MATCH(Overview!C14,'VID Tables'!$F$6:$F$133),IF(D13="10 mV",MATCH(Overview!C14,'VID Tables'!$G$6:$G$133),"-"))))</f>
        <v>0111000</v>
      </c>
      <c r="H14" s="165">
        <v>6</v>
      </c>
      <c r="I14" s="169" t="s">
        <v>1563</v>
      </c>
      <c r="J14" s="165" t="str">
        <f>IF(C14="-","-",IF(COUNTIF('VID Tables'!$F$6:$F$133,Overview!C14),"Y","N"))</f>
        <v>-</v>
      </c>
      <c r="K14" s="165" t="str">
        <f>IF(C14="-","-",IF(COUNTIF('VID Tables'!$G$6:$G$133,Overview!C14),"Y","N"))</f>
        <v>-</v>
      </c>
      <c r="O14" s="169" t="str">
        <f>IF(C13="Ext FB","-",IF(AND(K13="Y",OR(K14="Y",K14="-")),K12,""))</f>
        <v/>
      </c>
      <c r="P14" s="169" t="str">
        <f>IF(AND(K15="Y",OR(K16="Y",K16="-")),K12,"")</f>
        <v>10 mV</v>
      </c>
      <c r="T14" s="169" t="str">
        <f>IF(AND(K23="Y",OR(K24="Y",K24="-")),K12,"")</f>
        <v>10 mV</v>
      </c>
      <c r="W14" s="175" t="str">
        <f>IF(B36=" "," ","No")</f>
        <v>No</v>
      </c>
      <c r="X14" s="169" t="s">
        <v>692</v>
      </c>
      <c r="Y14" s="169" t="s">
        <v>164</v>
      </c>
      <c r="AA14" s="169" t="s">
        <v>713</v>
      </c>
      <c r="AB14" s="169" t="s">
        <v>716</v>
      </c>
      <c r="AD14" s="169" t="str">
        <f>IF(B37=" "," ","Remain On")</f>
        <v>Remain On</v>
      </c>
      <c r="AI14" s="169" t="str">
        <f>IF(AND(C36="Yes",C37="Turn Off"),"5 ms","  ")</f>
        <v xml:space="preserve">  </v>
      </c>
      <c r="AJ14" s="169" t="s">
        <v>164</v>
      </c>
      <c r="AL14" s="169" t="str">
        <f>IF(B43=" "," ","1.8 V")</f>
        <v>1.8 V</v>
      </c>
      <c r="AM14" s="169" t="s">
        <v>164</v>
      </c>
      <c r="AO14" s="169" t="s">
        <v>1436</v>
      </c>
    </row>
    <row r="15" spans="2:42">
      <c r="B15" s="173" t="s">
        <v>227</v>
      </c>
      <c r="C15" s="218">
        <v>1</v>
      </c>
      <c r="D15" s="222" t="s">
        <v>132</v>
      </c>
      <c r="E15" s="173" t="str">
        <f>IF(OR(C15="-",C15="Ext FB"),"0000000",INDEX('VID Tables'!$E$6:$E$134,IF(D15="25 mV",MATCH(Overview!C15,'VID Tables'!$F$6:$F$134),IF(D15="10 mV",MATCH(Overview!C15,'VID Tables'!$G$6:$G$134),"-"))))</f>
        <v>0111100</v>
      </c>
      <c r="H15" s="165">
        <v>7</v>
      </c>
      <c r="I15" s="169" t="s">
        <v>1560</v>
      </c>
      <c r="J15" s="165" t="str">
        <f>IF(C15="-","-",IF(COUNTIF('VID Tables'!$F$6:$F$133,Overview!C15),"Y","N"))</f>
        <v>Y</v>
      </c>
      <c r="K15" s="165" t="str">
        <f>IF(C15="-","-",IF(COUNTIF('VID Tables'!$G$6:$G$133,Overview!C15),"Y","N"))</f>
        <v>Y</v>
      </c>
      <c r="X15" s="169" t="s">
        <v>693</v>
      </c>
      <c r="Y15" s="169" t="s">
        <v>168</v>
      </c>
      <c r="AA15" s="169" t="s">
        <v>209</v>
      </c>
      <c r="AB15" s="169" t="s">
        <v>209</v>
      </c>
      <c r="AI15" s="169" t="str">
        <f>IF(AND(C36="Yes",C37="Turn Off"),"10 ms","   ")</f>
        <v xml:space="preserve">   </v>
      </c>
      <c r="AJ15" s="169" t="s">
        <v>168</v>
      </c>
      <c r="AL15" s="169" t="str">
        <f>IF(B43=" "," ","2.5 V")</f>
        <v>2.5 V</v>
      </c>
      <c r="AM15" s="169" t="s">
        <v>168</v>
      </c>
      <c r="AO15" s="169" t="s">
        <v>1503</v>
      </c>
    </row>
    <row r="16" spans="2:42">
      <c r="B16" s="173" t="str">
        <f>IF(C15="Ext FB","","BUCK2_SLP_VID")</f>
        <v>BUCK2_SLP_VID</v>
      </c>
      <c r="C16" s="218" t="s">
        <v>146</v>
      </c>
      <c r="D16" s="220"/>
      <c r="E16" s="173" t="str">
        <f>IF(C16="-",E15,INDEX('VID Tables'!$E$6:$E$133,IF(D15="25 mV",MATCH(Overview!C16,'VID Tables'!$F$6:$F$133),IF(D15="10 mV",MATCH(Overview!C16,'VID Tables'!$G$6:$G$133),"-"))))</f>
        <v>0111100</v>
      </c>
      <c r="I16" s="186" t="s">
        <v>1561</v>
      </c>
      <c r="J16" s="165" t="str">
        <f>IF(C16="-","-",IF(COUNTIF('VID Tables'!$F$6:$F$133,Overview!C16),"Y","N"))</f>
        <v>-</v>
      </c>
      <c r="K16" s="165" t="str">
        <f>IF(C16="-","-",IF(COUNTIF('VID Tables'!$G$6:$G$133,Overview!C16),"Y","N"))</f>
        <v>-</v>
      </c>
      <c r="X16" s="169" t="s">
        <v>694</v>
      </c>
      <c r="Y16" s="169" t="s">
        <v>160</v>
      </c>
      <c r="AI16" s="169" t="str">
        <f>IF(AND(C36="Yes",C37="Turn Off"),"100 ms","     ")</f>
        <v xml:space="preserve">     </v>
      </c>
      <c r="AJ16" s="169" t="s">
        <v>160</v>
      </c>
      <c r="AL16" s="169" t="str">
        <f>IF(B43=" "," ","3.3 V")</f>
        <v>3.3 V</v>
      </c>
      <c r="AM16" s="169" t="s">
        <v>160</v>
      </c>
      <c r="AO16" s="169" t="s">
        <v>1504</v>
      </c>
    </row>
    <row r="17" spans="2:39">
      <c r="B17" s="173" t="s">
        <v>231</v>
      </c>
      <c r="C17" s="218">
        <v>3.3</v>
      </c>
      <c r="D17" s="220" t="s">
        <v>131</v>
      </c>
      <c r="E17" s="173" t="str">
        <f>INDEX('VID Tables'!$E$6:$E$133,IF(D17="25 mV",MATCH(C17,'VID Tables'!$J$7:$J$134),IF(D17="10 mV",MATCH(C17,'VID Tables'!$K$6:$K$133),IF(D17="12.5 mV",MATCH(C17,'VID Tables'!$L$6:$L$133),IF(D17="20 mV",MATCH(C17,'VID Tables'!$M$6:$M$133),"-")))))</f>
        <v>1110100</v>
      </c>
      <c r="J17" s="165" t="str">
        <f>IF(C17="-","-",IF(COUNTIF('VID Tables'!$J$7:$J$134,Overview!C17),"Y","N"))</f>
        <v>Y</v>
      </c>
      <c r="K17" s="165" t="str">
        <f>IF(C17="-","-",IF(COUNTIF('VID Tables'!$K$6:$K$133,Overview!C17),"Y","N"))</f>
        <v>N</v>
      </c>
      <c r="X17" s="169" t="s">
        <v>209</v>
      </c>
      <c r="Y17" s="169" t="s">
        <v>156</v>
      </c>
      <c r="AI17" s="169" t="s">
        <v>209</v>
      </c>
      <c r="AJ17" s="169" t="s">
        <v>156</v>
      </c>
      <c r="AL17" s="169" t="s">
        <v>209</v>
      </c>
      <c r="AM17" s="169" t="s">
        <v>156</v>
      </c>
    </row>
    <row r="18" spans="2:39">
      <c r="B18" s="173" t="s">
        <v>236</v>
      </c>
      <c r="C18" s="218" t="s">
        <v>146</v>
      </c>
      <c r="D18" s="220"/>
      <c r="E18" s="173" t="str">
        <f>IF(C18="-",E17,INDEX('VID Tables'!$E$6:$E$133,IF(D17="25 mV",MATCH(C18,'VID Tables'!$J$7:$J$134),IF(D17="10 mV",MATCH(C18,'VID Tables'!$K$6:$K$133),IF(D17="12.5 mV",MATCH(C18,'VID Tables'!$L$6:$L$133),IF(D17="20 mV",MATCH(C18,'VID Tables'!$M$6:$M$133),"-"))))))</f>
        <v>1110100</v>
      </c>
      <c r="H18" s="165">
        <v>8</v>
      </c>
      <c r="I18" s="169" t="s">
        <v>1557</v>
      </c>
      <c r="J18" s="165" t="str">
        <f>IF(C18="-","-",IF(COUNTIF('VID Tables'!$J$7:$J$134,Overview!C18),"Y","N"))</f>
        <v>-</v>
      </c>
      <c r="K18" s="165" t="str">
        <f>IF(C18="-","-",IF(COUNTIF('VID Tables'!$K$6:$K$133,Overview!C18),"Y","N"))</f>
        <v>-</v>
      </c>
      <c r="W18" s="169"/>
    </row>
    <row r="19" spans="2:39">
      <c r="B19" s="173" t="s">
        <v>277</v>
      </c>
      <c r="C19" s="218">
        <v>2.5</v>
      </c>
      <c r="D19" s="220" t="s">
        <v>131</v>
      </c>
      <c r="E19" s="173" t="str">
        <f>INDEX('VID Tables'!$E$6:$E$133,IF(D19="25 mV",MATCH(C19,'VID Tables'!$J$7:$J$134),IF(D19="10 mV",MATCH(C19,'VID Tables'!$K$6:$K$133),IF(D19="12.5 mV",MATCH(C19,'VID Tables'!$L$6:$L$133),IF(D19="20 mV",MATCH(C19,'VID Tables'!$M$6:$M$133),"-")))))</f>
        <v>1010100</v>
      </c>
      <c r="I19" s="169" t="s">
        <v>1471</v>
      </c>
      <c r="J19" s="165" t="str">
        <f>IF(C19="-","-",IF(COUNTIF('VID Tables'!$J$7:$J$134,Overview!C19),"Y","N"))</f>
        <v>Y</v>
      </c>
      <c r="K19" s="165" t="str">
        <f>IF(C19="-","-",IF(COUNTIF('VID Tables'!$K$6:$K$133,Overview!C19),"Y","N"))</f>
        <v>N</v>
      </c>
      <c r="W19" s="169"/>
    </row>
    <row r="20" spans="2:39">
      <c r="B20" s="173" t="s">
        <v>808</v>
      </c>
      <c r="C20" s="218" t="s">
        <v>146</v>
      </c>
      <c r="D20" s="220"/>
      <c r="E20" s="173" t="str">
        <f>IF(C20="-",E19,INDEX('VID Tables'!$E$6:$E$133,IF(D19="25 mV",MATCH(C20,'VID Tables'!$J$7:$J$134),IF(D19="10 mV",MATCH(C20,'VID Tables'!$K$6:$K$133),IF(D19="12.5 mV",MATCH(C20,'VID Tables'!$L$6:$L$133),IF(D19="20 mV",MATCH(C20,'VID Tables'!$M$6:$M$133),"-"))))))</f>
        <v>1010100</v>
      </c>
      <c r="I20" s="169" t="s">
        <v>1472</v>
      </c>
      <c r="J20" s="165" t="str">
        <f>IF(C20="-","-",IF(COUNTIF('VID Tables'!$J$7:$J$134,Overview!C20),"Y","N"))</f>
        <v>-</v>
      </c>
      <c r="K20" s="165" t="str">
        <f>IF(C20="-","-",IF(COUNTIF('VID Tables'!$K$6:$K$133,Overview!C20),"Y","N"))</f>
        <v>-</v>
      </c>
      <c r="O20" s="169" t="str">
        <f>IF(AND(NOT(D13=""),OR(D13=O13,D13=O14)),D13,"Fix Step Size")</f>
        <v>25 mV</v>
      </c>
      <c r="P20" s="169" t="str">
        <f>IF(AND(NOT(D15=""),OR(D15=P13,D15=P14)),D15,"Fix Step Size")</f>
        <v>10 mV</v>
      </c>
      <c r="Q20" s="169" t="s">
        <v>131</v>
      </c>
      <c r="R20" s="169" t="s">
        <v>131</v>
      </c>
      <c r="S20" s="169" t="s">
        <v>131</v>
      </c>
      <c r="T20" s="169" t="str">
        <f>IF(AND(NOT(D23=""),OR(D23=T13,D23=T14)),D23,"Fix Step Size")</f>
        <v>10 mV</v>
      </c>
      <c r="W20" s="169"/>
    </row>
    <row r="21" spans="2:39">
      <c r="B21" s="173" t="s">
        <v>282</v>
      </c>
      <c r="C21" s="218">
        <v>0</v>
      </c>
      <c r="D21" s="220" t="s">
        <v>131</v>
      </c>
      <c r="E21" s="173" t="str">
        <f>INDEX('VID Tables'!$E$6:$E$133,IF(D21="25 mV",MATCH(C21,'VID Tables'!$J$7:$J$134),IF(D21="10 mV",MATCH(C21,'VID Tables'!$K$6:$K$133),IF(D21="12.5 mV",MATCH(C21,'VID Tables'!$L$6:$L$133),IF(D21="20 mV",MATCH(C21,'VID Tables'!$M$6:$M$133),"-")))))</f>
        <v>0000000</v>
      </c>
      <c r="I21" s="169" t="s">
        <v>1473</v>
      </c>
      <c r="J21" s="165" t="str">
        <f>IF(C21="-","-",IF(COUNTIF('VID Tables'!$J$7:$J$134,Overview!C21),"Y","N"))</f>
        <v>Y</v>
      </c>
      <c r="K21" s="165" t="str">
        <f>IF(C21="-","-",IF(COUNTIF('VID Tables'!$K$6:$K$133,Overview!C21),"Y","N"))</f>
        <v>N</v>
      </c>
      <c r="W21" s="169"/>
    </row>
    <row r="22" spans="2:39">
      <c r="B22" s="173" t="s">
        <v>811</v>
      </c>
      <c r="C22" s="218" t="s">
        <v>146</v>
      </c>
      <c r="D22" s="220"/>
      <c r="E22" s="173" t="str">
        <f>IF(C22="-",E21,INDEX('VID Tables'!$E$6:$E$133,IF(D21="25 mV",MATCH(C22,'VID Tables'!$J$7:$J$134),IF(D21="10 mV",MATCH(C22,'VID Tables'!$K$6:$K$133),IF(D21="12.5 mV",MATCH(C22,'VID Tables'!$L$6:$L$133),IF(D21="20 mV",MATCH(C22,'VID Tables'!$M$6:$M$133),"-"))))))</f>
        <v>0000000</v>
      </c>
      <c r="J22" s="165" t="str">
        <f>IF(C22="-","-",IF(COUNTIF('VID Tables'!$J$7:$J$134,Overview!C22),"Y","N"))</f>
        <v>-</v>
      </c>
      <c r="K22" s="165" t="str">
        <f>IF(C22="-","-",IF(COUNTIF('VID Tables'!$K$6:$K$133,Overview!C22),"Y","N"))</f>
        <v>-</v>
      </c>
      <c r="W22" s="169"/>
    </row>
    <row r="23" spans="2:39">
      <c r="B23" s="173" t="s">
        <v>287</v>
      </c>
      <c r="C23" s="218">
        <v>1.2</v>
      </c>
      <c r="D23" s="222" t="s">
        <v>132</v>
      </c>
      <c r="E23" s="173" t="str">
        <f>IF(OR(C23="Ext FB",C23="-"),"0000000",INDEX('VID Tables'!$E$6:$E$134,IF(D23="25 mV",MATCH(Overview!C23,'VID Tables'!$F$6:$F$134),IF(D23="10 mV",MATCH(Overview!C23,'VID Tables'!$G$6:$G$134),"-"))))</f>
        <v>1010000</v>
      </c>
      <c r="H23" s="165">
        <v>9</v>
      </c>
      <c r="I23" s="169" t="s">
        <v>1531</v>
      </c>
      <c r="J23" s="165" t="str">
        <f>IF(C23="-","-",IF(COUNTIF('VID Tables'!$F$6:$F$133,Overview!C23),"Y","N"))</f>
        <v>Y</v>
      </c>
      <c r="K23" s="165" t="str">
        <f>IF(C23="-","-",IF(COUNTIF('VID Tables'!$G$6:$G$133,Overview!C23),"Y","N"))</f>
        <v>Y</v>
      </c>
      <c r="W23" s="169"/>
    </row>
    <row r="24" spans="2:39">
      <c r="B24" s="173" t="str">
        <f>IF(C23="Ext FB","VTT LDO Disabled","BUCK6_SLP_VID")</f>
        <v>BUCK6_SLP_VID</v>
      </c>
      <c r="C24" s="218" t="s">
        <v>146</v>
      </c>
      <c r="D24" s="220"/>
      <c r="E24" s="173" t="str">
        <f>IF(C24="-",E23,INDEX('VID Tables'!$E$6:$E$133,IF(D23="25 mV",MATCH(Overview!C24,'VID Tables'!$F$6:$F$133),IF(D23="10 mV",MATCH(Overview!C24,'VID Tables'!$G$6:$G$133),"-"))))</f>
        <v>1010000</v>
      </c>
      <c r="I24" s="169" t="s">
        <v>1469</v>
      </c>
      <c r="J24" s="165" t="str">
        <f>IF(C24="-","-",IF(COUNTIF('VID Tables'!$F$6:$F$133,Overview!C24),"Y","N"))</f>
        <v>-</v>
      </c>
      <c r="K24" s="165" t="str">
        <f>IF(C24="-","-",IF(COUNTIF('VID Tables'!$G$6:$G$133,Overview!C24),"Y","N"))</f>
        <v>-</v>
      </c>
      <c r="W24" s="169"/>
    </row>
    <row r="25" spans="2:39">
      <c r="B25" s="173" t="str">
        <f>IF(C23="Ext FB","","BUCK6 (CTL2 Alternate)")</f>
        <v>BUCK6 (CTL2 Alternate)</v>
      </c>
      <c r="C25" s="231">
        <f>IF(D23="10 mV", 1.2, 2.4)</f>
        <v>1.2</v>
      </c>
      <c r="D25" s="220"/>
      <c r="E25" s="173"/>
      <c r="I25" s="169" t="s">
        <v>1566</v>
      </c>
      <c r="J25" s="165"/>
      <c r="K25" s="165"/>
      <c r="W25" s="169"/>
    </row>
    <row r="26" spans="2:39">
      <c r="B26" s="173" t="s">
        <v>959</v>
      </c>
      <c r="C26" s="217">
        <v>3.3</v>
      </c>
      <c r="D26" s="220"/>
      <c r="E26" s="173" t="str">
        <f>INDEX('VID Tables'!P5:P20,MATCH(Overview!C26,'VID Tables'!Q5:Q20,0))</f>
        <v>1110</v>
      </c>
      <c r="I26" s="169" t="s">
        <v>1564</v>
      </c>
      <c r="W26" s="169"/>
    </row>
    <row r="27" spans="2:39">
      <c r="B27" s="173" t="s">
        <v>818</v>
      </c>
      <c r="C27" s="216">
        <v>0.8</v>
      </c>
      <c r="D27" s="220"/>
      <c r="E27" s="173" t="str">
        <f>INDEX('VID Tables'!$S$5:$S$20,MATCH(Overview!C27,'VID Tables'!$T$5:$T$20,0))</f>
        <v>0010</v>
      </c>
      <c r="I27" s="186" t="s">
        <v>1565</v>
      </c>
      <c r="W27" s="169"/>
    </row>
    <row r="28" spans="2:39">
      <c r="B28" s="173" t="s">
        <v>819</v>
      </c>
      <c r="C28" s="216" t="s">
        <v>146</v>
      </c>
      <c r="D28" s="220"/>
      <c r="E28" s="173" t="str">
        <f>IF(C28="-",E27,INDEX('VID Tables'!$S$5:$S$20,MATCH(Overview!C28,'VID Tables'!$T$5:$T$20,0)))</f>
        <v>0010</v>
      </c>
      <c r="W28" s="169"/>
    </row>
    <row r="29" spans="2:39">
      <c r="B29" s="173" t="s">
        <v>821</v>
      </c>
      <c r="C29" s="216">
        <v>1.35</v>
      </c>
      <c r="D29" s="220"/>
      <c r="E29" s="173" t="str">
        <f>INDEX('VID Tables'!$S$5:$S$20,MATCH(Overview!C29,'VID Tables'!$T$5:$T$20,0))</f>
        <v>1101</v>
      </c>
      <c r="W29" s="169"/>
    </row>
    <row r="30" spans="2:39">
      <c r="B30" s="173" t="s">
        <v>822</v>
      </c>
      <c r="C30" s="216" t="s">
        <v>146</v>
      </c>
      <c r="D30" s="220"/>
      <c r="E30" s="173" t="str">
        <f>IF(C30="-",E29,INDEX('VID Tables'!$S$5:$S$20,MATCH(Overview!C30,'VID Tables'!$T$5:$T$20,0)))</f>
        <v>1101</v>
      </c>
      <c r="W30" s="169"/>
    </row>
    <row r="31" spans="2:39">
      <c r="W31" s="169"/>
    </row>
    <row r="32" spans="2:39">
      <c r="B32" s="274" t="s">
        <v>1548</v>
      </c>
      <c r="C32" s="274"/>
      <c r="D32" s="274"/>
      <c r="E32" s="274"/>
      <c r="H32" s="232"/>
      <c r="W32" s="169"/>
    </row>
    <row r="33" spans="2:23">
      <c r="B33" s="244" t="s">
        <v>720</v>
      </c>
      <c r="C33" s="219" t="s">
        <v>617</v>
      </c>
      <c r="D33" s="180"/>
      <c r="E33" s="240"/>
      <c r="F33" s="190"/>
      <c r="G33" s="190"/>
      <c r="H33" s="180">
        <v>10</v>
      </c>
      <c r="I33" s="190" t="s">
        <v>1475</v>
      </c>
      <c r="K33" s="169" t="b">
        <f t="shared" ref="K33:K38" si="0">IF(B33=" ",IF(C33=" ",TRUE,FALSE),FALSE)</f>
        <v>0</v>
      </c>
      <c r="W33" s="169"/>
    </row>
    <row r="34" spans="2:23" ht="30" customHeight="1">
      <c r="B34" s="275" t="str">
        <f>IF(C33="Yes","SWB2 will not be available for sequencing. It can be merged with SWB1 timing or set to always on. Alternatively, it can always be enabled / disabled by I2C (true for all regulators)","")</f>
        <v>SWB2 will not be available for sequencing. It can be merged with SWB1 timing or set to always on. Alternatively, it can always be enabled / disabled by I2C (true for all regulators)</v>
      </c>
      <c r="C34" s="275"/>
      <c r="D34" s="275"/>
      <c r="E34" s="275"/>
      <c r="F34" s="187"/>
      <c r="G34" s="187"/>
      <c r="H34" s="180"/>
      <c r="I34" s="176" t="s">
        <v>1476</v>
      </c>
      <c r="K34" s="169" t="b">
        <f t="shared" si="0"/>
        <v>0</v>
      </c>
      <c r="W34" s="169"/>
    </row>
    <row r="35" spans="2:23">
      <c r="B35" s="173" t="s">
        <v>637</v>
      </c>
      <c r="C35" s="217" t="s">
        <v>618</v>
      </c>
      <c r="D35" s="180"/>
      <c r="E35" s="240"/>
      <c r="F35" s="190"/>
      <c r="G35" s="190"/>
      <c r="H35" s="180"/>
      <c r="I35" s="190" t="s">
        <v>1477</v>
      </c>
      <c r="K35" s="169" t="b">
        <f t="shared" si="0"/>
        <v>0</v>
      </c>
      <c r="W35" s="169"/>
    </row>
    <row r="36" spans="2:23">
      <c r="B36" s="173" t="str">
        <f>IF(C33="Yes",IF(C35="No","SWB2 On by Default:"," "),"LDOA1 On by Default:")</f>
        <v>SWB2 On by Default:</v>
      </c>
      <c r="C36" s="217" t="s">
        <v>618</v>
      </c>
      <c r="D36" s="180"/>
      <c r="E36" s="240"/>
      <c r="F36" s="190"/>
      <c r="G36" s="190"/>
      <c r="H36" s="180"/>
      <c r="I36" s="190" t="s">
        <v>1478</v>
      </c>
      <c r="K36" s="169" t="b">
        <f t="shared" si="0"/>
        <v>0</v>
      </c>
      <c r="W36" s="169"/>
    </row>
    <row r="37" spans="2:23">
      <c r="B37" s="239" t="str">
        <f>IF(C33="Yes",IF(C35="No","SWB2 Emergency SDWN Behavior"," "),"LDOA1 Emergency SDWN Behavior")</f>
        <v>SWB2 Emergency SDWN Behavior</v>
      </c>
      <c r="C37" s="174" t="s">
        <v>1523</v>
      </c>
      <c r="D37" s="190"/>
      <c r="E37" s="241"/>
      <c r="F37" s="184"/>
      <c r="G37" s="184"/>
      <c r="H37" s="180"/>
      <c r="I37" s="184"/>
      <c r="K37" s="169" t="b">
        <f t="shared" si="0"/>
        <v>0</v>
      </c>
      <c r="W37" s="169"/>
    </row>
    <row r="38" spans="2:23">
      <c r="B38" s="239" t="str">
        <f>IF(AND(C36="Yes",C37="Turn Off"),CONCATENATE(IF(C33="Yes",IF(C35="No","SWB2 ",""),"LDOA1 "),"Emergency SDWN Duration:")," ")</f>
        <v xml:space="preserve"> </v>
      </c>
      <c r="C38" s="174" t="s">
        <v>209</v>
      </c>
      <c r="D38" s="242"/>
      <c r="E38" s="243"/>
      <c r="F38" s="184"/>
      <c r="G38" s="184"/>
      <c r="H38" s="180"/>
      <c r="I38" s="184"/>
      <c r="K38" s="169" t="b">
        <f t="shared" si="0"/>
        <v>1</v>
      </c>
      <c r="W38" s="169"/>
    </row>
    <row r="39" spans="2:23">
      <c r="B39" s="168"/>
      <c r="C39" s="168"/>
      <c r="D39" s="168"/>
      <c r="E39" s="168"/>
      <c r="F39" s="168"/>
      <c r="G39" s="168"/>
      <c r="I39" s="168"/>
      <c r="K39" s="169" t="b">
        <f t="shared" ref="K39:K44" si="1">IF(B39=" ",IF(C39=" ",TRUE,FALSE),FALSE)</f>
        <v>0</v>
      </c>
      <c r="W39" s="169"/>
    </row>
    <row r="40" spans="2:23">
      <c r="B40" s="274" t="s">
        <v>1549</v>
      </c>
      <c r="C40" s="274"/>
      <c r="D40" s="233"/>
      <c r="E40" s="233"/>
      <c r="F40" s="233"/>
      <c r="G40" s="233"/>
      <c r="H40" s="232"/>
      <c r="I40" s="233"/>
      <c r="W40" s="169"/>
    </row>
    <row r="41" spans="2:23">
      <c r="B41" s="173" t="s">
        <v>691</v>
      </c>
      <c r="C41" s="217" t="s">
        <v>692</v>
      </c>
      <c r="K41" s="169" t="b">
        <f t="shared" si="1"/>
        <v>0</v>
      </c>
      <c r="W41" s="169"/>
    </row>
    <row r="42" spans="2:23">
      <c r="B42" s="173" t="str">
        <f>IF(C35="Yes","SWB1_2 PG Voltage:","SWB1 PG Voltage")</f>
        <v>SWB1 PG Voltage</v>
      </c>
      <c r="C42" s="217" t="s">
        <v>692</v>
      </c>
      <c r="K42" s="169" t="b">
        <f t="shared" si="1"/>
        <v>0</v>
      </c>
      <c r="W42" s="169"/>
    </row>
    <row r="43" spans="2:23">
      <c r="B43" s="173" t="str">
        <f>IF(C35="Yes"," ","SWB2 PG Voltage")</f>
        <v>SWB2 PG Voltage</v>
      </c>
      <c r="C43" s="217" t="s">
        <v>692</v>
      </c>
      <c r="K43" s="169" t="b">
        <f t="shared" si="1"/>
        <v>0</v>
      </c>
      <c r="W43" s="169"/>
    </row>
    <row r="44" spans="2:23" ht="15.75" customHeight="1">
      <c r="K44" s="169" t="b">
        <f t="shared" si="1"/>
        <v>0</v>
      </c>
      <c r="W44" s="169"/>
    </row>
    <row r="45" spans="2:23" ht="15.75" customHeight="1">
      <c r="B45" s="235" t="s">
        <v>718</v>
      </c>
      <c r="C45" s="235" t="s">
        <v>717</v>
      </c>
      <c r="D45" s="235" t="s">
        <v>1516</v>
      </c>
      <c r="E45" s="236" t="s">
        <v>714</v>
      </c>
      <c r="G45" s="167"/>
      <c r="H45" s="178">
        <v>11</v>
      </c>
      <c r="I45" s="272" t="s">
        <v>1515</v>
      </c>
      <c r="W45" s="169"/>
    </row>
    <row r="46" spans="2:23">
      <c r="B46" s="173" t="s">
        <v>659</v>
      </c>
      <c r="C46" s="217" t="s">
        <v>712</v>
      </c>
      <c r="D46" s="217" t="s">
        <v>705</v>
      </c>
      <c r="E46" s="194" t="s">
        <v>209</v>
      </c>
      <c r="F46" s="167"/>
      <c r="G46" s="167"/>
      <c r="H46" s="167"/>
      <c r="I46" s="272"/>
      <c r="K46" s="169" t="b">
        <f>IF(C46="Power good",IF(E46=" ",TRUE,FALSE),FALSE)</f>
        <v>1</v>
      </c>
      <c r="W46" s="169"/>
    </row>
    <row r="47" spans="2:23">
      <c r="B47" s="173" t="s">
        <v>660</v>
      </c>
      <c r="C47" s="217" t="s">
        <v>712</v>
      </c>
      <c r="D47" s="217" t="s">
        <v>705</v>
      </c>
      <c r="E47" s="194" t="s">
        <v>209</v>
      </c>
      <c r="F47" s="167"/>
      <c r="G47" s="167"/>
      <c r="H47" s="167"/>
      <c r="I47" s="272"/>
      <c r="K47" s="169" t="b">
        <f>IF(C47="Power good",IF(E47=" ",TRUE,FALSE),FALSE)</f>
        <v>1</v>
      </c>
      <c r="W47" s="169"/>
    </row>
    <row r="48" spans="2:23">
      <c r="B48" s="173" t="s">
        <v>661</v>
      </c>
      <c r="C48" s="217" t="s">
        <v>712</v>
      </c>
      <c r="D48" s="217" t="s">
        <v>705</v>
      </c>
      <c r="E48" s="194" t="s">
        <v>209</v>
      </c>
      <c r="F48" s="167"/>
      <c r="G48" s="167"/>
      <c r="H48" s="167"/>
      <c r="I48" s="272"/>
      <c r="K48" s="169" t="b">
        <f>IF(C48="Power good",IF(E48=" ",TRUE,FALSE),FALSE)</f>
        <v>1</v>
      </c>
      <c r="W48" s="169"/>
    </row>
    <row r="49" spans="2:23">
      <c r="B49" s="173" t="s">
        <v>662</v>
      </c>
      <c r="C49" s="217" t="s">
        <v>712</v>
      </c>
      <c r="D49" s="247" t="s">
        <v>705</v>
      </c>
      <c r="E49" s="194" t="s">
        <v>209</v>
      </c>
      <c r="F49" s="167"/>
      <c r="G49" s="167"/>
      <c r="H49" s="167"/>
      <c r="I49" s="272"/>
      <c r="K49" s="169" t="b">
        <f>IF(C49="Power good",IF(E49=" ",TRUE,FALSE),FALSE)</f>
        <v>1</v>
      </c>
      <c r="W49" s="169"/>
    </row>
  </sheetData>
  <sheetProtection password="CA35" sheet="1" objects="1" scenarios="1"/>
  <mergeCells count="10">
    <mergeCell ref="I45:I49"/>
    <mergeCell ref="X12:Y12"/>
    <mergeCell ref="AL12:AM12"/>
    <mergeCell ref="B2:D2"/>
    <mergeCell ref="B4:C4"/>
    <mergeCell ref="B34:E34"/>
    <mergeCell ref="B11:E11"/>
    <mergeCell ref="B32:E32"/>
    <mergeCell ref="B40:C40"/>
    <mergeCell ref="D6:E6"/>
  </mergeCells>
  <conditionalFormatting sqref="D13">
    <cfRule type="cellIs" dxfId="20" priority="16" operator="equal">
      <formula>$O$20</formula>
    </cfRule>
    <cfRule type="expression" dxfId="19" priority="17">
      <formula>$O$20</formula>
    </cfRule>
  </conditionalFormatting>
  <conditionalFormatting sqref="D15">
    <cfRule type="cellIs" dxfId="18" priority="15" operator="equal">
      <formula>$P$20</formula>
    </cfRule>
  </conditionalFormatting>
  <conditionalFormatting sqref="D23">
    <cfRule type="cellIs" dxfId="17" priority="14" operator="equal">
      <formula>$T$20</formula>
    </cfRule>
  </conditionalFormatting>
  <conditionalFormatting sqref="C38">
    <cfRule type="expression" dxfId="16" priority="12">
      <formula>$K$38</formula>
    </cfRule>
  </conditionalFormatting>
  <conditionalFormatting sqref="C37">
    <cfRule type="expression" dxfId="15" priority="11">
      <formula>$K$37</formula>
    </cfRule>
  </conditionalFormatting>
  <conditionalFormatting sqref="C36">
    <cfRule type="expression" dxfId="14" priority="10">
      <formula>$K$36</formula>
    </cfRule>
  </conditionalFormatting>
  <conditionalFormatting sqref="C43">
    <cfRule type="expression" dxfId="13" priority="9">
      <formula>$K$43</formula>
    </cfRule>
  </conditionalFormatting>
  <conditionalFormatting sqref="E46">
    <cfRule type="expression" dxfId="12" priority="8">
      <formula>$K$46</formula>
    </cfRule>
  </conditionalFormatting>
  <conditionalFormatting sqref="E48">
    <cfRule type="expression" dxfId="11" priority="7">
      <formula>$K$48</formula>
    </cfRule>
  </conditionalFormatting>
  <conditionalFormatting sqref="E49">
    <cfRule type="expression" dxfId="10" priority="6">
      <formula>$K$49</formula>
    </cfRule>
  </conditionalFormatting>
  <conditionalFormatting sqref="E47">
    <cfRule type="expression" dxfId="9" priority="5">
      <formula>$K$47</formula>
    </cfRule>
  </conditionalFormatting>
  <conditionalFormatting sqref="D6:E6">
    <cfRule type="cellIs" dxfId="8" priority="1" operator="equal">
      <formula>"Valid DEVICE ID"</formula>
    </cfRule>
    <cfRule type="cellIs" dxfId="7" priority="3" operator="equal">
      <formula>"Invalid DEVICE ID"</formula>
    </cfRule>
  </conditionalFormatting>
  <dataValidations xWindow="1412" yWindow="461" count="18">
    <dataValidation type="list" allowBlank="1" showInputMessage="1" showErrorMessage="1" sqref="D13" xr:uid="{00000000-0002-0000-0100-000000000000}">
      <formula1>$O$13:$O$14</formula1>
    </dataValidation>
    <dataValidation type="list" allowBlank="1" showInputMessage="1" showErrorMessage="1" sqref="D15" xr:uid="{00000000-0002-0000-0100-000001000000}">
      <formula1>$P$13:$P$14</formula1>
    </dataValidation>
    <dataValidation type="custom" allowBlank="1" showInputMessage="1" showErrorMessage="1" sqref="D17 D21 D19" xr:uid="{00000000-0002-0000-0100-000002000000}">
      <formula1>"25 mV"</formula1>
    </dataValidation>
    <dataValidation type="list" allowBlank="1" showInputMessage="1" showErrorMessage="1" sqref="D23" xr:uid="{00000000-0002-0000-0100-000003000000}">
      <formula1>$T$13:$T$14</formula1>
    </dataValidation>
    <dataValidation type="list" allowBlank="1" showInputMessage="1" showErrorMessage="1" sqref="C33 C35" xr:uid="{00000000-0002-0000-0100-000004000000}">
      <formula1>$V$12:$V$13</formula1>
    </dataValidation>
    <dataValidation type="list" allowBlank="1" showInputMessage="1" showErrorMessage="1" sqref="Q1:Q3" xr:uid="{00000000-0002-0000-0100-000005000000}">
      <formula1>$V$12:$V$14</formula1>
    </dataValidation>
    <dataValidation type="list" allowBlank="1" showInputMessage="1" showErrorMessage="1" sqref="C46:C49" xr:uid="{00000000-0002-0000-0100-000006000000}">
      <formula1>$AA$13:$AA$14</formula1>
    </dataValidation>
    <dataValidation type="list" allowBlank="1" showInputMessage="1" showErrorMessage="1" sqref="E46:E49" xr:uid="{00000000-0002-0000-0100-000007000000}">
      <formula1>$AB$13:$AB$15</formula1>
    </dataValidation>
    <dataValidation type="list" allowBlank="1" showInputMessage="1" showErrorMessage="1" sqref="C37" xr:uid="{00000000-0002-0000-0100-000008000000}">
      <formula1>$AD$13:$AD$14</formula1>
    </dataValidation>
    <dataValidation type="list" allowBlank="1" showInputMessage="1" showErrorMessage="1" sqref="C38" xr:uid="{00000000-0002-0000-0100-000009000000}">
      <formula1>$AI$13:$AI$17</formula1>
    </dataValidation>
    <dataValidation type="list" allowBlank="1" showInputMessage="1" showErrorMessage="1" sqref="C36" xr:uid="{00000000-0002-0000-0100-00000A000000}">
      <formula1>$W$13:$W$15</formula1>
    </dataValidation>
    <dataValidation type="list" allowBlank="1" showInputMessage="1" showErrorMessage="1" sqref="C43" xr:uid="{00000000-0002-0000-0100-00000B000000}">
      <formula1>$AL$13:$AL$16</formula1>
    </dataValidation>
    <dataValidation type="custom" allowBlank="1" showErrorMessage="1" errorTitle="Incorrect Part Number" error="Part number should be in the form of TPS65086XYZ. For customer programmed parts, X = '1'. XYZ must all be between 0 and F (hex)." promptTitle="Part Number" prompt="Choose a part number in the form of TPS65086XYZ. For customer programmed parts, X = '1' and YZ cannot be 00. XYZ must all be between 0 and F (hex)." sqref="C6" xr:uid="{00000000-0002-0000-0100-00000C000000}">
      <formula1>OR(Q3="Yes",AND(LEFT(C6,9)="TPS650861",LEN(C6)=11,IF(ISERROR(HEX2DEC(RIGHT(C6,2))),FALSE,HEX2DEC(RIGHT(C6,2))&gt;=0),(NOT(ISERROR(HEX2DEC(RIGHT(C6,2)))))))</formula1>
    </dataValidation>
    <dataValidation type="custom" allowBlank="1" showInputMessage="1" showErrorMessage="1" sqref="C9" xr:uid="{00000000-0002-0000-0100-00000D000000}">
      <formula1>(C9&lt;65)</formula1>
    </dataValidation>
    <dataValidation type="list" allowBlank="1" showInputMessage="1" showErrorMessage="1" sqref="C7" xr:uid="{00000000-0002-0000-0100-00000E000000}">
      <formula1>$AO$13:$AO$16</formula1>
    </dataValidation>
    <dataValidation type="list" allowBlank="1" showInputMessage="1" showErrorMessage="1" sqref="D46:D48" xr:uid="{00000000-0002-0000-0100-00000F000000}">
      <formula1>$AP$5:$AP$6</formula1>
    </dataValidation>
    <dataValidation type="list" allowBlank="1" showInputMessage="1" showErrorMessage="1" sqref="D49" xr:uid="{00000000-0002-0000-0100-000010000000}">
      <formula1>$AP$6</formula1>
    </dataValidation>
    <dataValidation type="list" allowBlank="1" showInputMessage="1" showErrorMessage="1" sqref="C41:C42" xr:uid="{00000000-0002-0000-0100-000011000000}">
      <formula1>$X$13:$X$16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412" yWindow="461" count="8">
        <x14:dataValidation type="list" allowBlank="1" showInputMessage="1" showErrorMessage="1" xr:uid="{00000000-0002-0000-0100-000012000000}">
          <x14:formula1>
            <xm:f>'VID Tables'!$E$137:$E$355</xm:f>
          </x14:formula1>
          <xm:sqref>C16 C14 C24</xm:sqref>
        </x14:dataValidation>
        <x14:dataValidation type="list" allowBlank="1" showInputMessage="1" showErrorMessage="1" xr:uid="{00000000-0002-0000-0100-000013000000}">
          <x14:formula1>
            <xm:f>'VID Tables'!$Q$5:$Q$19</xm:f>
          </x14:formula1>
          <xm:sqref>C26</xm:sqref>
        </x14:dataValidation>
        <x14:dataValidation type="list" allowBlank="1" showInputMessage="1" showErrorMessage="1" xr:uid="{00000000-0002-0000-0100-000014000000}">
          <x14:formula1>
            <xm:f>'VID Tables'!$T$5:$T$20</xm:f>
          </x14:formula1>
          <xm:sqref>C27 C29</xm:sqref>
        </x14:dataValidation>
        <x14:dataValidation type="list" allowBlank="1" showInputMessage="1" showErrorMessage="1" xr:uid="{00000000-0002-0000-0100-000015000000}">
          <x14:formula1>
            <xm:f>'VID Tables'!$T$5:$T$21</xm:f>
          </x14:formula1>
          <xm:sqref>C28 C30</xm:sqref>
        </x14:dataValidation>
        <x14:dataValidation type="list" allowBlank="1" showInputMessage="1" showErrorMessage="1" xr:uid="{00000000-0002-0000-0100-000016000000}">
          <x14:formula1>
            <xm:f>'VID Tables'!$E$138:$E$355</xm:f>
          </x14:formula1>
          <xm:sqref>C23 C15</xm:sqref>
        </x14:dataValidation>
        <x14:dataValidation type="list" allowBlank="1" showInputMessage="1" showErrorMessage="1" xr:uid="{00000000-0002-0000-0100-000017000000}">
          <x14:formula1>
            <xm:f>'VID Tables'!$J$6:$J$134</xm:f>
          </x14:formula1>
          <xm:sqref>C22 C18 C20</xm:sqref>
        </x14:dataValidation>
        <x14:dataValidation type="list" allowBlank="1" showInputMessage="1" showErrorMessage="1" xr:uid="{00000000-0002-0000-0100-000018000000}">
          <x14:formula1>
            <xm:f>'VID Tables'!$E$138:$E$356</xm:f>
          </x14:formula1>
          <xm:sqref>C13</xm:sqref>
        </x14:dataValidation>
        <x14:dataValidation type="list" allowBlank="1" showInputMessage="1" showErrorMessage="1" xr:uid="{00000000-0002-0000-0100-000019000000}">
          <x14:formula1>
            <xm:f>'VID Tables'!$J$7:$J$134</xm:f>
          </x14:formula1>
          <xm:sqref>C21 C19 C17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BF42"/>
  <sheetViews>
    <sheetView zoomScale="55" zoomScaleNormal="55" workbookViewId="0">
      <selection activeCell="J12" sqref="J12:V15"/>
    </sheetView>
  </sheetViews>
  <sheetFormatPr defaultColWidth="9.08984375" defaultRowHeight="14.5"/>
  <cols>
    <col min="1" max="1" width="4.7265625" style="169" customWidth="1"/>
    <col min="2" max="2" width="14.81640625" style="169" customWidth="1"/>
    <col min="3" max="3" width="18.81640625" style="169" customWidth="1"/>
    <col min="4" max="4" width="15.08984375" style="169" bestFit="1" customWidth="1"/>
    <col min="5" max="5" width="16.08984375" style="169" customWidth="1"/>
    <col min="6" max="6" width="17.6328125" style="169" bestFit="1" customWidth="1"/>
    <col min="7" max="7" width="15.36328125" style="169" customWidth="1"/>
    <col min="8" max="10" width="8.26953125" style="169" bestFit="1" customWidth="1"/>
    <col min="11" max="12" width="6.81640625" style="169" bestFit="1" customWidth="1"/>
    <col min="13" max="13" width="7.81640625" style="169" bestFit="1" customWidth="1"/>
    <col min="14" max="14" width="5.26953125" style="169" bestFit="1" customWidth="1"/>
    <col min="15" max="15" width="6" style="169" bestFit="1" customWidth="1"/>
    <col min="16" max="20" width="6.36328125" style="169" bestFit="1" customWidth="1"/>
    <col min="21" max="21" width="12.6328125" style="169" bestFit="1" customWidth="1"/>
    <col min="22" max="22" width="13.36328125" style="169" bestFit="1" customWidth="1"/>
    <col min="23" max="23" width="67.08984375" style="169" bestFit="1" customWidth="1"/>
    <col min="24" max="24" width="12" style="169" bestFit="1" customWidth="1"/>
    <col min="25" max="25" width="13.81640625" style="169" hidden="1" customWidth="1"/>
    <col min="26" max="26" width="9.08984375" style="169" hidden="1" customWidth="1"/>
    <col min="27" max="27" width="21.36328125" style="169" hidden="1" customWidth="1"/>
    <col min="28" max="28" width="23.08984375" style="169" hidden="1" customWidth="1"/>
    <col min="29" max="29" width="10.08984375" style="169" hidden="1" customWidth="1"/>
    <col min="30" max="30" width="9.08984375" style="169" hidden="1" customWidth="1"/>
    <col min="31" max="31" width="12" style="169" hidden="1" customWidth="1"/>
    <col min="32" max="32" width="16.6328125" style="169" hidden="1" customWidth="1"/>
    <col min="33" max="33" width="9.08984375" style="169" hidden="1" customWidth="1"/>
    <col min="34" max="39" width="7" style="169" hidden="1" customWidth="1"/>
    <col min="40" max="41" width="8.26953125" style="169" hidden="1" customWidth="1"/>
    <col min="42" max="50" width="9.08984375" style="169" hidden="1" customWidth="1"/>
    <col min="51" max="51" width="13" style="169" hidden="1" customWidth="1"/>
    <col min="52" max="54" width="9.08984375" style="169" hidden="1" customWidth="1"/>
    <col min="55" max="55" width="12.7265625" style="169" hidden="1" customWidth="1"/>
    <col min="56" max="58" width="9.08984375" style="169" hidden="1" customWidth="1"/>
    <col min="59" max="59" width="9.08984375" style="169" customWidth="1"/>
    <col min="60" max="16384" width="9.08984375" style="169"/>
  </cols>
  <sheetData>
    <row r="1" spans="1:58" ht="15" customHeight="1">
      <c r="Y1" s="179" t="s">
        <v>1464</v>
      </c>
    </row>
    <row r="2" spans="1:58">
      <c r="A2" s="193"/>
      <c r="B2" s="172"/>
      <c r="C2" s="172"/>
      <c r="D2" s="183"/>
      <c r="AB2" s="273" t="s">
        <v>663</v>
      </c>
      <c r="AC2" s="273"/>
      <c r="AD2" s="273"/>
    </row>
    <row r="3" spans="1:58" ht="15.5">
      <c r="B3" s="277" t="s">
        <v>1466</v>
      </c>
      <c r="C3" s="277"/>
      <c r="D3" s="277"/>
      <c r="E3" s="277"/>
      <c r="F3" s="277"/>
      <c r="G3" s="277"/>
      <c r="Y3" s="273" t="s">
        <v>631</v>
      </c>
      <c r="Z3" s="273"/>
      <c r="AB3" s="177"/>
      <c r="AC3" s="170" t="s">
        <v>424</v>
      </c>
      <c r="AD3" s="177" t="s">
        <v>719</v>
      </c>
      <c r="AF3" s="169" t="s">
        <v>664</v>
      </c>
      <c r="AH3" s="169" t="s">
        <v>686</v>
      </c>
      <c r="AK3" s="169" t="s">
        <v>675</v>
      </c>
      <c r="AN3" s="169" t="s">
        <v>684</v>
      </c>
      <c r="AQ3" s="169" t="s">
        <v>679</v>
      </c>
      <c r="AT3" s="169" t="s">
        <v>697</v>
      </c>
      <c r="AU3" s="169" t="s">
        <v>698</v>
      </c>
      <c r="AV3" s="169" t="s">
        <v>699</v>
      </c>
      <c r="AW3" s="169" t="s">
        <v>700</v>
      </c>
      <c r="AX3" s="169" t="s">
        <v>701</v>
      </c>
      <c r="AY3" s="169" t="s">
        <v>702</v>
      </c>
      <c r="AZ3" s="169" t="s">
        <v>703</v>
      </c>
      <c r="BA3" s="169" t="s">
        <v>704</v>
      </c>
      <c r="BC3" s="169" t="s">
        <v>753</v>
      </c>
      <c r="BD3" s="169" t="s">
        <v>753</v>
      </c>
      <c r="BF3" s="169" t="s">
        <v>1415</v>
      </c>
    </row>
    <row r="4" spans="1:58" ht="29">
      <c r="B4" s="235" t="s">
        <v>1444</v>
      </c>
      <c r="C4" s="245" t="s">
        <v>1445</v>
      </c>
      <c r="D4" s="245" t="s">
        <v>710</v>
      </c>
      <c r="E4" s="245" t="s">
        <v>1465</v>
      </c>
      <c r="F4" s="245" t="s">
        <v>1501</v>
      </c>
      <c r="G4" s="245" t="s">
        <v>1500</v>
      </c>
      <c r="J4" s="188" t="s">
        <v>1479</v>
      </c>
      <c r="Y4" s="169" t="s">
        <v>622</v>
      </c>
      <c r="Z4" s="189" t="s">
        <v>158</v>
      </c>
      <c r="AA4" s="169" t="s">
        <v>617</v>
      </c>
      <c r="AB4" s="169" t="s">
        <v>624</v>
      </c>
      <c r="AC4" s="169" t="s">
        <v>156</v>
      </c>
      <c r="AD4" s="169" t="s">
        <v>159</v>
      </c>
      <c r="AF4" s="169" t="s">
        <v>622</v>
      </c>
      <c r="AH4" s="169" t="s">
        <v>666</v>
      </c>
      <c r="AI4" s="189" t="s">
        <v>158</v>
      </c>
      <c r="AK4" s="169" t="s">
        <v>666</v>
      </c>
      <c r="AL4" s="169" t="s">
        <v>156</v>
      </c>
      <c r="AN4" s="169" t="s">
        <v>666</v>
      </c>
      <c r="AO4" s="189" t="s">
        <v>158</v>
      </c>
      <c r="AQ4" s="169" t="s">
        <v>685</v>
      </c>
      <c r="AR4" s="189" t="s">
        <v>158</v>
      </c>
      <c r="AT4" s="169" t="s">
        <v>624</v>
      </c>
      <c r="AU4" s="169" t="s">
        <v>624</v>
      </c>
      <c r="AV4" s="169" t="s">
        <v>624</v>
      </c>
      <c r="AW4" s="169" t="s">
        <v>624</v>
      </c>
      <c r="AX4" s="169" t="s">
        <v>624</v>
      </c>
      <c r="AY4" s="169" t="s">
        <v>624</v>
      </c>
      <c r="AZ4" s="169" t="s">
        <v>624</v>
      </c>
      <c r="BA4" s="169" t="s">
        <v>624</v>
      </c>
      <c r="BC4" s="169" t="s">
        <v>715</v>
      </c>
      <c r="BD4" s="169" t="s">
        <v>716</v>
      </c>
      <c r="BF4" s="169" t="str">
        <f>IF(F10="CTL2","-","Yes")</f>
        <v>Yes</v>
      </c>
    </row>
    <row r="5" spans="1:58" ht="15" customHeight="1">
      <c r="B5" s="173" t="s">
        <v>135</v>
      </c>
      <c r="C5" s="217" t="s">
        <v>622</v>
      </c>
      <c r="D5" s="217" t="s">
        <v>618</v>
      </c>
      <c r="E5" s="217" t="s">
        <v>618</v>
      </c>
      <c r="F5" s="217" t="s">
        <v>624</v>
      </c>
      <c r="G5" s="217" t="s">
        <v>618</v>
      </c>
      <c r="I5" s="192">
        <v>1</v>
      </c>
      <c r="J5" s="279" t="s">
        <v>1496</v>
      </c>
      <c r="K5" s="279"/>
      <c r="L5" s="279"/>
      <c r="M5" s="279"/>
      <c r="N5" s="279"/>
      <c r="O5" s="279"/>
      <c r="P5" s="279"/>
      <c r="Q5" s="279"/>
      <c r="R5" s="279"/>
      <c r="Y5" s="169" t="s">
        <v>623</v>
      </c>
      <c r="Z5" s="189" t="s">
        <v>176</v>
      </c>
      <c r="AA5" s="169" t="s">
        <v>618</v>
      </c>
      <c r="AB5" s="169" t="s">
        <v>627</v>
      </c>
      <c r="AC5" s="169" t="s">
        <v>164</v>
      </c>
      <c r="AD5" s="169" t="s">
        <v>159</v>
      </c>
      <c r="AF5" s="169" t="s">
        <v>623</v>
      </c>
      <c r="AH5" s="169" t="s">
        <v>667</v>
      </c>
      <c r="AI5" s="189" t="s">
        <v>176</v>
      </c>
      <c r="AK5" s="169" t="s">
        <v>676</v>
      </c>
      <c r="AL5" s="169" t="s">
        <v>164</v>
      </c>
      <c r="AN5" s="169" t="s">
        <v>676</v>
      </c>
      <c r="AO5" s="189" t="s">
        <v>176</v>
      </c>
      <c r="AQ5" s="169" t="s">
        <v>676</v>
      </c>
      <c r="AR5" s="189" t="s">
        <v>176</v>
      </c>
      <c r="AT5" s="169" t="s">
        <v>627</v>
      </c>
      <c r="AU5" s="169" t="s">
        <v>627</v>
      </c>
      <c r="AV5" s="169" t="s">
        <v>627</v>
      </c>
      <c r="AW5" s="169" t="s">
        <v>627</v>
      </c>
      <c r="AX5" s="169" t="s">
        <v>627</v>
      </c>
      <c r="AY5" s="169" t="s">
        <v>627</v>
      </c>
      <c r="AZ5" s="169" t="s">
        <v>627</v>
      </c>
      <c r="BA5" s="169" t="s">
        <v>627</v>
      </c>
      <c r="BC5" s="169" t="s">
        <v>716</v>
      </c>
      <c r="BD5" s="169" t="s">
        <v>752</v>
      </c>
      <c r="BF5" s="169" t="str">
        <f>IF(F10="CTL2","-","No")</f>
        <v>No</v>
      </c>
    </row>
    <row r="6" spans="1:58">
      <c r="B6" s="173" t="s">
        <v>136</v>
      </c>
      <c r="C6" s="217" t="s">
        <v>623</v>
      </c>
      <c r="D6" s="217" t="s">
        <v>618</v>
      </c>
      <c r="E6" s="217" t="s">
        <v>618</v>
      </c>
      <c r="F6" s="217" t="s">
        <v>624</v>
      </c>
      <c r="G6" s="217" t="s">
        <v>618</v>
      </c>
      <c r="I6" s="165"/>
      <c r="J6" s="279"/>
      <c r="K6" s="279"/>
      <c r="L6" s="279"/>
      <c r="M6" s="279"/>
      <c r="N6" s="279"/>
      <c r="O6" s="279"/>
      <c r="P6" s="279"/>
      <c r="Q6" s="279"/>
      <c r="R6" s="279"/>
      <c r="Y6" s="169" t="s">
        <v>624</v>
      </c>
      <c r="Z6" s="189" t="s">
        <v>179</v>
      </c>
      <c r="AB6" s="169" t="s">
        <v>1551</v>
      </c>
      <c r="AC6" s="169" t="s">
        <v>156</v>
      </c>
      <c r="AD6" s="181" t="s">
        <v>157</v>
      </c>
      <c r="AF6" s="169" t="s">
        <v>624</v>
      </c>
      <c r="AH6" s="169" t="s">
        <v>668</v>
      </c>
      <c r="AI6" s="189" t="s">
        <v>175</v>
      </c>
      <c r="AK6" s="169" t="s">
        <v>677</v>
      </c>
      <c r="AL6" s="169" t="s">
        <v>168</v>
      </c>
      <c r="AN6" s="169" t="s">
        <v>677</v>
      </c>
      <c r="AO6" s="189" t="s">
        <v>175</v>
      </c>
      <c r="AQ6" s="169" t="s">
        <v>677</v>
      </c>
      <c r="AR6" s="189" t="s">
        <v>175</v>
      </c>
      <c r="AY6" s="169" t="s">
        <v>1427</v>
      </c>
      <c r="BC6" s="169" t="s">
        <v>1442</v>
      </c>
    </row>
    <row r="7" spans="1:58" ht="15" customHeight="1">
      <c r="B7" s="173" t="s">
        <v>137</v>
      </c>
      <c r="C7" s="217" t="s">
        <v>622</v>
      </c>
      <c r="D7" s="217" t="s">
        <v>618</v>
      </c>
      <c r="E7" s="217" t="s">
        <v>618</v>
      </c>
      <c r="F7" s="217" t="s">
        <v>624</v>
      </c>
      <c r="G7" s="217" t="s">
        <v>618</v>
      </c>
      <c r="I7" s="165">
        <v>2</v>
      </c>
      <c r="J7" s="279" t="s">
        <v>1480</v>
      </c>
      <c r="K7" s="279"/>
      <c r="L7" s="279"/>
      <c r="M7" s="279"/>
      <c r="N7" s="279"/>
      <c r="O7" s="279"/>
      <c r="P7" s="279"/>
      <c r="Q7" s="279"/>
      <c r="R7" s="279"/>
      <c r="Y7" s="169" t="s">
        <v>625</v>
      </c>
      <c r="Z7" s="189" t="s">
        <v>177</v>
      </c>
      <c r="AB7" s="169" t="s">
        <v>1552</v>
      </c>
      <c r="AC7" s="169" t="s">
        <v>164</v>
      </c>
      <c r="AD7" s="181" t="s">
        <v>157</v>
      </c>
      <c r="AF7" s="169" t="s">
        <v>625</v>
      </c>
      <c r="AH7" s="169" t="s">
        <v>669</v>
      </c>
      <c r="AI7" s="189" t="s">
        <v>177</v>
      </c>
      <c r="AK7" s="169" t="s">
        <v>678</v>
      </c>
      <c r="AL7" s="169" t="s">
        <v>160</v>
      </c>
      <c r="AN7" s="169" t="s">
        <v>678</v>
      </c>
      <c r="AO7" s="189" t="s">
        <v>177</v>
      </c>
      <c r="AQ7" s="169" t="s">
        <v>678</v>
      </c>
      <c r="AR7" s="189" t="s">
        <v>177</v>
      </c>
      <c r="AY7" s="169" t="s">
        <v>1499</v>
      </c>
    </row>
    <row r="8" spans="1:58">
      <c r="B8" s="173" t="s">
        <v>138</v>
      </c>
      <c r="C8" s="217" t="s">
        <v>622</v>
      </c>
      <c r="D8" s="217" t="s">
        <v>618</v>
      </c>
      <c r="E8" s="217" t="s">
        <v>618</v>
      </c>
      <c r="F8" s="217" t="s">
        <v>624</v>
      </c>
      <c r="G8" s="217" t="s">
        <v>618</v>
      </c>
      <c r="I8" s="165"/>
      <c r="J8" s="279"/>
      <c r="K8" s="279"/>
      <c r="L8" s="279"/>
      <c r="M8" s="279"/>
      <c r="N8" s="279"/>
      <c r="O8" s="279"/>
      <c r="P8" s="279"/>
      <c r="Q8" s="279"/>
      <c r="R8" s="279"/>
      <c r="Y8" s="169" t="s">
        <v>626</v>
      </c>
      <c r="Z8" s="189" t="s">
        <v>175</v>
      </c>
      <c r="AB8" s="193"/>
      <c r="AC8" s="169" t="s">
        <v>168</v>
      </c>
      <c r="AD8" s="169" t="s">
        <v>159</v>
      </c>
      <c r="AF8" s="169" t="s">
        <v>626</v>
      </c>
      <c r="AH8" s="169" t="s">
        <v>670</v>
      </c>
      <c r="AI8" s="189" t="s">
        <v>179</v>
      </c>
      <c r="AK8" s="169" t="s">
        <v>209</v>
      </c>
      <c r="AL8" s="169" t="s">
        <v>156</v>
      </c>
      <c r="AN8" s="169" t="s">
        <v>680</v>
      </c>
      <c r="AO8" s="189" t="s">
        <v>179</v>
      </c>
      <c r="AQ8" s="169" t="s">
        <v>680</v>
      </c>
      <c r="AR8" s="189" t="s">
        <v>179</v>
      </c>
      <c r="AY8" s="169" t="str">
        <f>IF(Overview!C24=1.2,"CTL2&amp;CTL6"," ")</f>
        <v xml:space="preserve"> </v>
      </c>
    </row>
    <row r="9" spans="1:58">
      <c r="B9" s="173" t="s">
        <v>139</v>
      </c>
      <c r="C9" s="217" t="s">
        <v>622</v>
      </c>
      <c r="D9" s="217" t="s">
        <v>617</v>
      </c>
      <c r="E9" s="217" t="s">
        <v>617</v>
      </c>
      <c r="F9" s="217" t="s">
        <v>624</v>
      </c>
      <c r="G9" s="217" t="s">
        <v>618</v>
      </c>
      <c r="I9" s="165">
        <v>3</v>
      </c>
      <c r="J9" s="281" t="s">
        <v>1558</v>
      </c>
      <c r="K9" s="281"/>
      <c r="L9" s="281"/>
      <c r="M9" s="281"/>
      <c r="N9" s="281"/>
      <c r="O9" s="281"/>
      <c r="P9" s="281"/>
      <c r="Q9" s="281"/>
      <c r="R9" s="281"/>
      <c r="S9" s="281"/>
      <c r="T9" s="281"/>
      <c r="U9" s="281"/>
      <c r="V9" s="281"/>
      <c r="Y9" s="169" t="s">
        <v>627</v>
      </c>
      <c r="Z9" s="189" t="s">
        <v>628</v>
      </c>
      <c r="AB9" s="193"/>
      <c r="AC9" s="169" t="s">
        <v>160</v>
      </c>
      <c r="AD9" s="169" t="s">
        <v>159</v>
      </c>
      <c r="AF9" s="169" t="s">
        <v>627</v>
      </c>
      <c r="AH9" s="169" t="s">
        <v>671</v>
      </c>
      <c r="AI9" s="189" t="s">
        <v>630</v>
      </c>
      <c r="AN9" s="169" t="s">
        <v>681</v>
      </c>
      <c r="AO9" s="189" t="s">
        <v>628</v>
      </c>
      <c r="AQ9" s="169" t="s">
        <v>681</v>
      </c>
      <c r="AR9" s="189" t="s">
        <v>630</v>
      </c>
    </row>
    <row r="10" spans="1:58" ht="15" customHeight="1">
      <c r="B10" s="173" t="s">
        <v>140</v>
      </c>
      <c r="C10" s="217" t="s">
        <v>624</v>
      </c>
      <c r="D10" s="217" t="s">
        <v>618</v>
      </c>
      <c r="E10" s="217" t="s">
        <v>618</v>
      </c>
      <c r="F10" s="217" t="s">
        <v>624</v>
      </c>
      <c r="G10" s="217" t="s">
        <v>618</v>
      </c>
      <c r="H10" s="183"/>
      <c r="I10" s="191" t="str">
        <f>IF(LEFT(F10,4)="CTL2",4,"")</f>
        <v/>
      </c>
      <c r="J10" s="282" t="str">
        <f>IF(LEFT(F10,4)="CTL2","CTL2 chooses between 1.2V and register default values and cannot be masked by I2C if selected. SLP_EN selection only applies to CTL3 or CTL6.","")</f>
        <v/>
      </c>
      <c r="K10" s="282"/>
      <c r="L10" s="282"/>
      <c r="M10" s="282"/>
      <c r="N10" s="282"/>
      <c r="O10" s="282"/>
      <c r="P10" s="282"/>
      <c r="Q10" s="282"/>
      <c r="R10" s="282"/>
      <c r="S10" s="282"/>
      <c r="T10" s="282"/>
      <c r="U10" s="282"/>
      <c r="V10" s="282"/>
      <c r="Y10" s="169" t="s">
        <v>629</v>
      </c>
      <c r="Z10" s="189" t="s">
        <v>630</v>
      </c>
      <c r="AB10" s="193"/>
      <c r="AC10" s="169" t="s">
        <v>168</v>
      </c>
      <c r="AD10" s="169" t="s">
        <v>157</v>
      </c>
      <c r="AH10" s="169" t="s">
        <v>672</v>
      </c>
      <c r="AI10" s="189" t="s">
        <v>628</v>
      </c>
      <c r="AN10" s="169" t="s">
        <v>682</v>
      </c>
      <c r="AO10" s="189" t="s">
        <v>630</v>
      </c>
      <c r="AQ10" s="169" t="s">
        <v>682</v>
      </c>
      <c r="AR10" s="189" t="s">
        <v>628</v>
      </c>
    </row>
    <row r="11" spans="1:58">
      <c r="B11" s="173" t="s">
        <v>615</v>
      </c>
      <c r="C11" s="217" t="s">
        <v>622</v>
      </c>
      <c r="D11" s="217" t="s">
        <v>617</v>
      </c>
      <c r="E11" s="217" t="s">
        <v>617</v>
      </c>
      <c r="F11" s="217" t="s">
        <v>624</v>
      </c>
      <c r="G11" s="217" t="s">
        <v>618</v>
      </c>
      <c r="J11" s="282"/>
      <c r="K11" s="282"/>
      <c r="L11" s="282"/>
      <c r="M11" s="282"/>
      <c r="N11" s="282"/>
      <c r="O11" s="282"/>
      <c r="P11" s="282"/>
      <c r="Q11" s="282"/>
      <c r="R11" s="282"/>
      <c r="S11" s="282"/>
      <c r="T11" s="282"/>
      <c r="U11" s="282"/>
      <c r="V11" s="282"/>
      <c r="Y11" s="169" t="s">
        <v>146</v>
      </c>
      <c r="Z11" s="189" t="s">
        <v>161</v>
      </c>
      <c r="AB11" s="193"/>
      <c r="AC11" s="169" t="s">
        <v>160</v>
      </c>
      <c r="AD11" s="169" t="s">
        <v>157</v>
      </c>
      <c r="AH11" s="169" t="s">
        <v>673</v>
      </c>
      <c r="AI11" s="189" t="s">
        <v>161</v>
      </c>
      <c r="AN11" s="169" t="s">
        <v>683</v>
      </c>
      <c r="AO11" s="189" t="s">
        <v>161</v>
      </c>
      <c r="AQ11" s="169" t="s">
        <v>683</v>
      </c>
      <c r="AR11" s="189" t="s">
        <v>161</v>
      </c>
    </row>
    <row r="12" spans="1:58" ht="15" customHeight="1">
      <c r="B12" s="173" t="s">
        <v>616</v>
      </c>
      <c r="C12" s="217" t="s">
        <v>622</v>
      </c>
      <c r="D12" s="217" t="s">
        <v>618</v>
      </c>
      <c r="E12" s="217" t="s">
        <v>618</v>
      </c>
      <c r="F12" s="217" t="s">
        <v>624</v>
      </c>
      <c r="G12" s="217" t="s">
        <v>618</v>
      </c>
      <c r="I12" s="265" t="str">
        <f>IF(J12="","",IF(I10=4,5,4))</f>
        <v/>
      </c>
      <c r="J12" s="283" t="str">
        <f>IF(OR(AND(C5="-",D5="No"),AND(C6="-",D6="No"),AND(C7="-",D7="No"),AND(C8="-",D8="No"),AND(C9="-",D9="No"),AND(C10="-",D10="No"),AND(C11="-",D11="No"),AND(C12="-",D12="No"),AND(C13="-",D13="No"),AND(C14="-",D14="No"),AND(B15="SWB2",C15="-",D15="No"),AND(C16="-",D16="No")),"Any rail with 'Assigned to which CTL pin? Set to '-' and 'Force Disabled by default?' set to 'No' will turn on immediately during programming," &amp; " and will require external components and input power to be properly programmed. The BOOSTXL-TPS650861 board has all of the necessary external components," &amp; " however 3rd party programmers may not have these components installed and will not be able to support this request.","")</f>
        <v/>
      </c>
      <c r="K12" s="283"/>
      <c r="L12" s="283"/>
      <c r="M12" s="283"/>
      <c r="N12" s="283"/>
      <c r="O12" s="283"/>
      <c r="P12" s="283"/>
      <c r="Q12" s="283"/>
      <c r="R12" s="283"/>
      <c r="S12" s="283"/>
      <c r="T12" s="283"/>
      <c r="U12" s="283"/>
      <c r="V12" s="283"/>
      <c r="AB12" s="193"/>
      <c r="AH12" s="169" t="s">
        <v>209</v>
      </c>
      <c r="AI12" s="189" t="s">
        <v>158</v>
      </c>
      <c r="AN12" s="169" t="s">
        <v>209</v>
      </c>
      <c r="AO12" s="189" t="s">
        <v>158</v>
      </c>
    </row>
    <row r="13" spans="1:58" ht="14.25" customHeight="1">
      <c r="B13" s="173" t="s">
        <v>632</v>
      </c>
      <c r="C13" s="217" t="s">
        <v>622</v>
      </c>
      <c r="D13" s="217" t="s">
        <v>617</v>
      </c>
      <c r="E13" s="217" t="s">
        <v>617</v>
      </c>
      <c r="F13" s="229"/>
      <c r="G13" s="229"/>
      <c r="I13" s="264"/>
      <c r="J13" s="283"/>
      <c r="K13" s="283"/>
      <c r="L13" s="283"/>
      <c r="M13" s="283"/>
      <c r="N13" s="283"/>
      <c r="O13" s="283"/>
      <c r="P13" s="283"/>
      <c r="Q13" s="283"/>
      <c r="R13" s="283"/>
      <c r="S13" s="283"/>
      <c r="T13" s="283"/>
      <c r="U13" s="283"/>
      <c r="V13" s="283"/>
      <c r="AB13" s="193"/>
    </row>
    <row r="14" spans="1:58">
      <c r="B14" s="173" t="str">
        <f>IF(Overview!C35="Yes","SWB1_2","SWB1")</f>
        <v>SWB1</v>
      </c>
      <c r="C14" s="217" t="s">
        <v>622</v>
      </c>
      <c r="D14" s="217" t="s">
        <v>617</v>
      </c>
      <c r="E14" s="217" t="s">
        <v>617</v>
      </c>
      <c r="F14" s="229"/>
      <c r="G14" s="229"/>
      <c r="J14" s="283"/>
      <c r="K14" s="283"/>
      <c r="L14" s="283"/>
      <c r="M14" s="283"/>
      <c r="N14" s="283"/>
      <c r="O14" s="283"/>
      <c r="P14" s="283"/>
      <c r="Q14" s="283"/>
      <c r="R14" s="283"/>
      <c r="S14" s="283"/>
      <c r="T14" s="283"/>
      <c r="U14" s="283"/>
      <c r="V14" s="283"/>
    </row>
    <row r="15" spans="1:58">
      <c r="B15" s="173" t="str">
        <f>IF(Overview!C33="Yes","LDOA1",IF(Overview!C35="No","SWB2","-"))</f>
        <v>LDOA1</v>
      </c>
      <c r="C15" s="217" t="s">
        <v>622</v>
      </c>
      <c r="D15" s="217" t="s">
        <v>618</v>
      </c>
      <c r="E15" s="217" t="s">
        <v>618</v>
      </c>
      <c r="F15" s="229"/>
      <c r="G15" s="229"/>
      <c r="J15" s="283"/>
      <c r="K15" s="283"/>
      <c r="L15" s="283"/>
      <c r="M15" s="283"/>
      <c r="N15" s="283"/>
      <c r="O15" s="283"/>
      <c r="P15" s="283"/>
      <c r="Q15" s="283"/>
      <c r="R15" s="283"/>
      <c r="S15" s="283"/>
      <c r="T15" s="283"/>
      <c r="U15" s="283"/>
      <c r="V15" s="283"/>
    </row>
    <row r="16" spans="1:58">
      <c r="B16" s="173" t="s">
        <v>613</v>
      </c>
      <c r="C16" s="217" t="s">
        <v>624</v>
      </c>
      <c r="D16" s="217" t="s">
        <v>617</v>
      </c>
      <c r="E16" s="217" t="s">
        <v>617</v>
      </c>
      <c r="F16" s="229"/>
      <c r="G16" s="229"/>
      <c r="I16" s="165">
        <f>IF(AND(I10="",I12=""),4,IF(AND(I10=4,I12=""),5,IF(AND(I10="",I12=4),5,6)))</f>
        <v>4</v>
      </c>
      <c r="J16" s="280" t="s">
        <v>1571</v>
      </c>
      <c r="K16" s="280"/>
      <c r="L16" s="280"/>
      <c r="M16" s="280"/>
      <c r="N16" s="280"/>
      <c r="O16" s="280"/>
      <c r="P16" s="280"/>
      <c r="Q16" s="280"/>
      <c r="R16" s="280"/>
    </row>
    <row r="17" spans="1:22">
      <c r="J17" s="280"/>
      <c r="K17" s="280"/>
      <c r="L17" s="280"/>
      <c r="M17" s="280"/>
      <c r="N17" s="280"/>
      <c r="O17" s="280"/>
      <c r="P17" s="280"/>
      <c r="Q17" s="280"/>
      <c r="R17" s="280"/>
    </row>
    <row r="18" spans="1:22">
      <c r="B18" s="169" t="s">
        <v>1559</v>
      </c>
    </row>
    <row r="20" spans="1:22" ht="15.5">
      <c r="B20" s="186"/>
      <c r="C20" s="277" t="s">
        <v>1446</v>
      </c>
      <c r="D20" s="277"/>
      <c r="E20" s="277"/>
      <c r="F20" s="277"/>
      <c r="G20" s="277"/>
      <c r="H20" s="277"/>
      <c r="I20" s="277"/>
      <c r="J20" s="277"/>
      <c r="K20" s="277"/>
      <c r="L20" s="277"/>
      <c r="M20" s="277"/>
      <c r="N20" s="277"/>
      <c r="O20" s="277"/>
      <c r="P20" s="277"/>
      <c r="Q20" s="277"/>
      <c r="R20" s="277"/>
      <c r="S20" s="277"/>
      <c r="T20" s="277"/>
      <c r="U20" s="277"/>
      <c r="V20" s="277"/>
    </row>
    <row r="21" spans="1:22">
      <c r="C21" s="173" t="s">
        <v>1450</v>
      </c>
      <c r="D21" s="173" t="s">
        <v>1451</v>
      </c>
      <c r="E21" s="173" t="s">
        <v>1452</v>
      </c>
      <c r="F21" s="173" t="s">
        <v>1453</v>
      </c>
      <c r="G21" s="173" t="s">
        <v>1454</v>
      </c>
      <c r="H21" s="173" t="s">
        <v>1455</v>
      </c>
      <c r="I21" s="173" t="s">
        <v>1456</v>
      </c>
      <c r="J21" s="173" t="s">
        <v>1457</v>
      </c>
      <c r="K21" s="173" t="s">
        <v>1458</v>
      </c>
      <c r="L21" s="185" t="s">
        <v>1460</v>
      </c>
      <c r="M21" s="185" t="s">
        <v>1461</v>
      </c>
      <c r="N21" s="173" t="s">
        <v>1459</v>
      </c>
      <c r="O21" s="173" t="s">
        <v>622</v>
      </c>
      <c r="P21" s="173" t="s">
        <v>623</v>
      </c>
      <c r="Q21" s="173" t="s">
        <v>624</v>
      </c>
      <c r="R21" s="173" t="s">
        <v>625</v>
      </c>
      <c r="S21" s="173" t="s">
        <v>626</v>
      </c>
      <c r="T21" s="173" t="s">
        <v>627</v>
      </c>
      <c r="U21" s="173" t="s">
        <v>665</v>
      </c>
      <c r="V21" s="173" t="s">
        <v>674</v>
      </c>
    </row>
    <row r="22" spans="1:22">
      <c r="A22" s="278" t="s">
        <v>1447</v>
      </c>
      <c r="B22" s="173" t="s">
        <v>135</v>
      </c>
      <c r="C22" s="229" t="s">
        <v>146</v>
      </c>
      <c r="D22" s="217"/>
      <c r="E22" s="217"/>
      <c r="F22" s="217" t="s">
        <v>617</v>
      </c>
      <c r="G22" s="217"/>
      <c r="H22" s="217"/>
      <c r="I22" s="217"/>
      <c r="J22" s="217"/>
      <c r="K22" s="217"/>
      <c r="L22" s="217"/>
      <c r="M22" s="217"/>
      <c r="N22" s="229" t="s">
        <v>146</v>
      </c>
      <c r="O22" s="229" t="s">
        <v>146</v>
      </c>
      <c r="P22" s="229" t="s">
        <v>146</v>
      </c>
      <c r="Q22" s="229" t="s">
        <v>146</v>
      </c>
      <c r="R22" s="229" t="s">
        <v>146</v>
      </c>
      <c r="S22" s="229" t="s">
        <v>146</v>
      </c>
      <c r="T22" s="229" t="s">
        <v>146</v>
      </c>
      <c r="U22" s="217" t="s">
        <v>670</v>
      </c>
      <c r="V22" s="217" t="s">
        <v>670</v>
      </c>
    </row>
    <row r="23" spans="1:22">
      <c r="A23" s="278"/>
      <c r="B23" s="173" t="s">
        <v>136</v>
      </c>
      <c r="C23" s="217"/>
      <c r="D23" s="229" t="s">
        <v>146</v>
      </c>
      <c r="E23" s="217"/>
      <c r="F23" s="217"/>
      <c r="G23" s="217"/>
      <c r="H23" s="217"/>
      <c r="I23" s="217"/>
      <c r="J23" s="217" t="s">
        <v>617</v>
      </c>
      <c r="K23" s="217"/>
      <c r="L23" s="217"/>
      <c r="M23" s="217"/>
      <c r="N23" s="229" t="s">
        <v>146</v>
      </c>
      <c r="O23" s="229" t="s">
        <v>146</v>
      </c>
      <c r="P23" s="229" t="s">
        <v>146</v>
      </c>
      <c r="Q23" s="229" t="s">
        <v>146</v>
      </c>
      <c r="R23" s="229" t="s">
        <v>146</v>
      </c>
      <c r="S23" s="229" t="s">
        <v>146</v>
      </c>
      <c r="T23" s="229" t="s">
        <v>146</v>
      </c>
      <c r="U23" s="217" t="s">
        <v>670</v>
      </c>
      <c r="V23" s="217" t="s">
        <v>670</v>
      </c>
    </row>
    <row r="24" spans="1:22">
      <c r="A24" s="278"/>
      <c r="B24" s="173" t="s">
        <v>137</v>
      </c>
      <c r="C24" s="217"/>
      <c r="D24" s="217"/>
      <c r="E24" s="229" t="s">
        <v>146</v>
      </c>
      <c r="F24" s="217"/>
      <c r="G24" s="217"/>
      <c r="H24" s="217"/>
      <c r="I24" s="217"/>
      <c r="J24" s="217"/>
      <c r="K24" s="217"/>
      <c r="L24" s="217"/>
      <c r="M24" s="217"/>
      <c r="N24" s="229" t="s">
        <v>146</v>
      </c>
      <c r="O24" s="229" t="s">
        <v>146</v>
      </c>
      <c r="P24" s="229" t="s">
        <v>146</v>
      </c>
      <c r="Q24" s="229" t="s">
        <v>146</v>
      </c>
      <c r="R24" s="229" t="s">
        <v>146</v>
      </c>
      <c r="S24" s="229" t="s">
        <v>146</v>
      </c>
      <c r="T24" s="229" t="s">
        <v>146</v>
      </c>
      <c r="U24" s="217" t="s">
        <v>670</v>
      </c>
      <c r="V24" s="217" t="s">
        <v>670</v>
      </c>
    </row>
    <row r="25" spans="1:22">
      <c r="A25" s="278"/>
      <c r="B25" s="173" t="s">
        <v>138</v>
      </c>
      <c r="C25" s="217"/>
      <c r="D25" s="217"/>
      <c r="E25" s="217" t="s">
        <v>617</v>
      </c>
      <c r="F25" s="229" t="s">
        <v>146</v>
      </c>
      <c r="G25" s="217"/>
      <c r="H25" s="217"/>
      <c r="I25" s="217"/>
      <c r="J25" s="217"/>
      <c r="K25" s="217"/>
      <c r="L25" s="217"/>
      <c r="M25" s="217"/>
      <c r="N25" s="229" t="s">
        <v>146</v>
      </c>
      <c r="O25" s="229" t="s">
        <v>146</v>
      </c>
      <c r="P25" s="229" t="s">
        <v>146</v>
      </c>
      <c r="Q25" s="229" t="s">
        <v>146</v>
      </c>
      <c r="R25" s="229" t="s">
        <v>146</v>
      </c>
      <c r="S25" s="229" t="s">
        <v>146</v>
      </c>
      <c r="T25" s="229" t="s">
        <v>146</v>
      </c>
      <c r="U25" s="217" t="s">
        <v>670</v>
      </c>
      <c r="V25" s="217" t="s">
        <v>670</v>
      </c>
    </row>
    <row r="26" spans="1:22">
      <c r="A26" s="278"/>
      <c r="B26" s="173" t="s">
        <v>139</v>
      </c>
      <c r="C26" s="217"/>
      <c r="D26" s="217"/>
      <c r="E26" s="217"/>
      <c r="F26" s="217"/>
      <c r="G26" s="229" t="s">
        <v>146</v>
      </c>
      <c r="H26" s="217"/>
      <c r="I26" s="217"/>
      <c r="J26" s="217"/>
      <c r="K26" s="217"/>
      <c r="L26" s="217"/>
      <c r="M26" s="217"/>
      <c r="N26" s="229" t="s">
        <v>146</v>
      </c>
      <c r="O26" s="229" t="s">
        <v>146</v>
      </c>
      <c r="P26" s="229" t="s">
        <v>146</v>
      </c>
      <c r="Q26" s="229" t="s">
        <v>146</v>
      </c>
      <c r="R26" s="229" t="s">
        <v>146</v>
      </c>
      <c r="S26" s="229" t="s">
        <v>146</v>
      </c>
      <c r="T26" s="229" t="s">
        <v>146</v>
      </c>
      <c r="U26" s="217" t="s">
        <v>668</v>
      </c>
      <c r="V26" s="217" t="s">
        <v>668</v>
      </c>
    </row>
    <row r="27" spans="1:22">
      <c r="A27" s="278"/>
      <c r="B27" s="173" t="s">
        <v>140</v>
      </c>
      <c r="C27" s="217"/>
      <c r="D27" s="217" t="s">
        <v>617</v>
      </c>
      <c r="E27" s="217"/>
      <c r="F27" s="217"/>
      <c r="G27" s="217"/>
      <c r="H27" s="229" t="s">
        <v>146</v>
      </c>
      <c r="I27" s="217"/>
      <c r="J27" s="217"/>
      <c r="K27" s="217"/>
      <c r="L27" s="217"/>
      <c r="M27" s="217"/>
      <c r="N27" s="229" t="s">
        <v>146</v>
      </c>
      <c r="O27" s="229" t="s">
        <v>146</v>
      </c>
      <c r="P27" s="229" t="s">
        <v>146</v>
      </c>
      <c r="Q27" s="229" t="s">
        <v>146</v>
      </c>
      <c r="R27" s="229" t="s">
        <v>146</v>
      </c>
      <c r="S27" s="229" t="s">
        <v>146</v>
      </c>
      <c r="T27" s="229" t="s">
        <v>146</v>
      </c>
      <c r="U27" s="217" t="s">
        <v>670</v>
      </c>
      <c r="V27" s="217" t="s">
        <v>670</v>
      </c>
    </row>
    <row r="28" spans="1:22">
      <c r="A28" s="278"/>
      <c r="B28" s="173" t="s">
        <v>615</v>
      </c>
      <c r="C28" s="217"/>
      <c r="D28" s="217"/>
      <c r="E28" s="217"/>
      <c r="F28" s="217"/>
      <c r="G28" s="217"/>
      <c r="H28" s="217"/>
      <c r="I28" s="229" t="s">
        <v>146</v>
      </c>
      <c r="J28" s="217"/>
      <c r="K28" s="217"/>
      <c r="L28" s="217"/>
      <c r="M28" s="217"/>
      <c r="N28" s="229" t="s">
        <v>146</v>
      </c>
      <c r="O28" s="229" t="s">
        <v>146</v>
      </c>
      <c r="P28" s="229" t="s">
        <v>146</v>
      </c>
      <c r="Q28" s="229" t="s">
        <v>146</v>
      </c>
      <c r="R28" s="229" t="s">
        <v>146</v>
      </c>
      <c r="S28" s="229" t="s">
        <v>146</v>
      </c>
      <c r="T28" s="229" t="s">
        <v>146</v>
      </c>
      <c r="U28" s="217" t="s">
        <v>668</v>
      </c>
      <c r="V28" s="217" t="s">
        <v>668</v>
      </c>
    </row>
    <row r="29" spans="1:22">
      <c r="A29" s="278"/>
      <c r="B29" s="173" t="s">
        <v>616</v>
      </c>
      <c r="C29" s="217" t="s">
        <v>617</v>
      </c>
      <c r="D29" s="217"/>
      <c r="E29" s="217"/>
      <c r="F29" s="217"/>
      <c r="G29" s="217"/>
      <c r="H29" s="217"/>
      <c r="I29" s="217"/>
      <c r="J29" s="229" t="s">
        <v>146</v>
      </c>
      <c r="K29" s="217"/>
      <c r="L29" s="217"/>
      <c r="M29" s="217"/>
      <c r="N29" s="229" t="s">
        <v>146</v>
      </c>
      <c r="O29" s="229" t="s">
        <v>146</v>
      </c>
      <c r="P29" s="229" t="s">
        <v>146</v>
      </c>
      <c r="Q29" s="229" t="s">
        <v>146</v>
      </c>
      <c r="R29" s="229" t="s">
        <v>146</v>
      </c>
      <c r="S29" s="229" t="s">
        <v>146</v>
      </c>
      <c r="T29" s="229" t="s">
        <v>146</v>
      </c>
      <c r="U29" s="217" t="s">
        <v>670</v>
      </c>
      <c r="V29" s="217" t="s">
        <v>670</v>
      </c>
    </row>
    <row r="30" spans="1:22">
      <c r="A30" s="278"/>
      <c r="B30" s="173" t="s">
        <v>632</v>
      </c>
      <c r="C30" s="217"/>
      <c r="D30" s="217"/>
      <c r="E30" s="217"/>
      <c r="F30" s="217"/>
      <c r="G30" s="217"/>
      <c r="H30" s="217"/>
      <c r="I30" s="217"/>
      <c r="J30" s="217"/>
      <c r="K30" s="229" t="s">
        <v>146</v>
      </c>
      <c r="L30" s="217"/>
      <c r="M30" s="217"/>
      <c r="N30" s="229" t="s">
        <v>146</v>
      </c>
      <c r="O30" s="229" t="s">
        <v>146</v>
      </c>
      <c r="P30" s="229" t="s">
        <v>146</v>
      </c>
      <c r="Q30" s="229" t="s">
        <v>146</v>
      </c>
      <c r="R30" s="229" t="s">
        <v>146</v>
      </c>
      <c r="S30" s="229" t="s">
        <v>146</v>
      </c>
      <c r="T30" s="229" t="s">
        <v>146</v>
      </c>
      <c r="U30" s="217" t="s">
        <v>666</v>
      </c>
      <c r="V30" s="217" t="s">
        <v>666</v>
      </c>
    </row>
    <row r="31" spans="1:22">
      <c r="A31" s="278"/>
      <c r="B31" s="173" t="str">
        <f>B14</f>
        <v>SWB1</v>
      </c>
      <c r="C31" s="217"/>
      <c r="D31" s="217"/>
      <c r="E31" s="217"/>
      <c r="F31" s="217"/>
      <c r="G31" s="217"/>
      <c r="H31" s="217"/>
      <c r="I31" s="217"/>
      <c r="J31" s="217"/>
      <c r="K31" s="217"/>
      <c r="L31" s="229" t="s">
        <v>146</v>
      </c>
      <c r="M31" s="217"/>
      <c r="N31" s="229" t="s">
        <v>146</v>
      </c>
      <c r="O31" s="229" t="s">
        <v>146</v>
      </c>
      <c r="P31" s="229" t="s">
        <v>146</v>
      </c>
      <c r="Q31" s="229" t="s">
        <v>146</v>
      </c>
      <c r="R31" s="229" t="s">
        <v>146</v>
      </c>
      <c r="S31" s="229" t="s">
        <v>146</v>
      </c>
      <c r="T31" s="229" t="s">
        <v>146</v>
      </c>
      <c r="U31" s="217" t="s">
        <v>666</v>
      </c>
      <c r="V31" s="217" t="s">
        <v>666</v>
      </c>
    </row>
    <row r="32" spans="1:22">
      <c r="A32" s="278"/>
      <c r="B32" s="173" t="str">
        <f>B15</f>
        <v>LDOA1</v>
      </c>
      <c r="C32" s="217"/>
      <c r="D32" s="217"/>
      <c r="E32" s="217"/>
      <c r="F32" s="217"/>
      <c r="G32" s="217"/>
      <c r="H32" s="217"/>
      <c r="I32" s="217"/>
      <c r="J32" s="217"/>
      <c r="K32" s="217"/>
      <c r="L32" s="217"/>
      <c r="M32" s="229" t="s">
        <v>146</v>
      </c>
      <c r="N32" s="229" t="s">
        <v>146</v>
      </c>
      <c r="O32" s="229" t="s">
        <v>146</v>
      </c>
      <c r="P32" s="229" t="s">
        <v>146</v>
      </c>
      <c r="Q32" s="229" t="s">
        <v>146</v>
      </c>
      <c r="R32" s="229" t="s">
        <v>146</v>
      </c>
      <c r="S32" s="229" t="s">
        <v>146</v>
      </c>
      <c r="T32" s="229" t="s">
        <v>146</v>
      </c>
      <c r="U32" s="217" t="s">
        <v>666</v>
      </c>
      <c r="V32" s="217" t="s">
        <v>666</v>
      </c>
    </row>
    <row r="33" spans="1:23">
      <c r="A33" s="278"/>
      <c r="B33" s="173" t="s">
        <v>659</v>
      </c>
      <c r="C33" s="217" t="s">
        <v>617</v>
      </c>
      <c r="D33" s="217"/>
      <c r="E33" s="217" t="s">
        <v>617</v>
      </c>
      <c r="F33" s="217" t="s">
        <v>617</v>
      </c>
      <c r="G33" s="217"/>
      <c r="H33" s="217"/>
      <c r="I33" s="217"/>
      <c r="J33" s="217"/>
      <c r="K33" s="217"/>
      <c r="L33" s="217"/>
      <c r="M33" s="217"/>
      <c r="N33" s="217"/>
      <c r="O33" s="217"/>
      <c r="P33" s="217"/>
      <c r="Q33" s="217"/>
      <c r="R33" s="217"/>
      <c r="S33" s="217"/>
      <c r="T33" s="217"/>
      <c r="U33" s="217" t="s">
        <v>677</v>
      </c>
      <c r="V33" s="229"/>
      <c r="W33" s="169" t="str">
        <f>IF(Overview!C46="I2C","Note: This is not used because GPO1 is set to I2C controlled"," ")</f>
        <v xml:space="preserve"> </v>
      </c>
    </row>
    <row r="34" spans="1:23">
      <c r="A34" s="278"/>
      <c r="B34" s="173" t="s">
        <v>660</v>
      </c>
      <c r="C34" s="217"/>
      <c r="D34" s="217"/>
      <c r="E34" s="217"/>
      <c r="F34" s="217"/>
      <c r="G34" s="217"/>
      <c r="H34" s="217"/>
      <c r="I34" s="217"/>
      <c r="J34" s="217" t="s">
        <v>617</v>
      </c>
      <c r="K34" s="217"/>
      <c r="L34" s="217"/>
      <c r="M34" s="217"/>
      <c r="N34" s="217"/>
      <c r="O34" s="217"/>
      <c r="P34" s="217"/>
      <c r="Q34" s="217"/>
      <c r="R34" s="217"/>
      <c r="S34" s="217"/>
      <c r="T34" s="217"/>
      <c r="U34" s="217" t="s">
        <v>677</v>
      </c>
      <c r="V34" s="229"/>
      <c r="W34" s="169" t="str">
        <f>IF(Overview!C47="I2C","Note: This will only be used internally for VTT LDO because GPO2 is set to I2C controlled"," ")</f>
        <v xml:space="preserve"> </v>
      </c>
    </row>
    <row r="35" spans="1:23">
      <c r="A35" s="278"/>
      <c r="B35" s="173" t="s">
        <v>661</v>
      </c>
      <c r="C35" s="217"/>
      <c r="D35" s="217" t="s">
        <v>617</v>
      </c>
      <c r="E35" s="217"/>
      <c r="F35" s="217"/>
      <c r="G35" s="217"/>
      <c r="H35" s="217"/>
      <c r="I35" s="217"/>
      <c r="J35" s="217"/>
      <c r="K35" s="217"/>
      <c r="L35" s="217"/>
      <c r="M35" s="217"/>
      <c r="N35" s="217"/>
      <c r="O35" s="217"/>
      <c r="P35" s="217"/>
      <c r="Q35" s="217"/>
      <c r="R35" s="217"/>
      <c r="S35" s="217"/>
      <c r="T35" s="217"/>
      <c r="U35" s="217" t="s">
        <v>677</v>
      </c>
      <c r="V35" s="229"/>
      <c r="W35" s="169" t="str">
        <f>IF(Overview!C48="I2C","Note: This will only be used internally for VTT LDO because GPO3 is set to I2C controlled"," ")</f>
        <v xml:space="preserve"> </v>
      </c>
    </row>
    <row r="36" spans="1:23">
      <c r="A36" s="278"/>
      <c r="B36" s="173" t="s">
        <v>662</v>
      </c>
      <c r="C36" s="217"/>
      <c r="D36" s="217"/>
      <c r="E36" s="217"/>
      <c r="F36" s="217"/>
      <c r="G36" s="217"/>
      <c r="H36" s="217" t="s">
        <v>617</v>
      </c>
      <c r="I36" s="217"/>
      <c r="J36" s="217"/>
      <c r="K36" s="217"/>
      <c r="L36" s="217"/>
      <c r="M36" s="217"/>
      <c r="N36" s="217"/>
      <c r="O36" s="217"/>
      <c r="P36" s="217"/>
      <c r="Q36" s="217"/>
      <c r="R36" s="217"/>
      <c r="S36" s="217"/>
      <c r="T36" s="217"/>
      <c r="U36" s="217" t="s">
        <v>677</v>
      </c>
      <c r="V36" s="229"/>
      <c r="W36" s="169" t="str">
        <f>IF(Overview!C49="I2C","Note: This is not used because GPO4 is set to I2C controlled"," ")</f>
        <v xml:space="preserve"> </v>
      </c>
    </row>
    <row r="38" spans="1:23">
      <c r="C38" s="169" t="s">
        <v>1448</v>
      </c>
      <c r="E38" s="169" t="s">
        <v>1449</v>
      </c>
    </row>
    <row r="39" spans="1:23">
      <c r="E39" s="169" t="s">
        <v>1505</v>
      </c>
    </row>
    <row r="42" spans="1:23">
      <c r="B42" s="169" t="s">
        <v>1497</v>
      </c>
      <c r="J42" s="169" t="s">
        <v>1498</v>
      </c>
      <c r="W42" s="263" t="s">
        <v>1572</v>
      </c>
    </row>
  </sheetData>
  <sheetProtection password="CA35" sheet="1" objects="1" scenarios="1"/>
  <mergeCells count="11">
    <mergeCell ref="C20:V20"/>
    <mergeCell ref="A22:A36"/>
    <mergeCell ref="Y3:Z3"/>
    <mergeCell ref="AB2:AD2"/>
    <mergeCell ref="B3:G3"/>
    <mergeCell ref="J5:R6"/>
    <mergeCell ref="J7:R8"/>
    <mergeCell ref="J16:R17"/>
    <mergeCell ref="J9:V9"/>
    <mergeCell ref="J10:V11"/>
    <mergeCell ref="J12:V15"/>
  </mergeCells>
  <conditionalFormatting sqref="J10">
    <cfRule type="cellIs" dxfId="6" priority="2" operator="notEqual">
      <formula>""</formula>
    </cfRule>
  </conditionalFormatting>
  <conditionalFormatting sqref="J12">
    <cfRule type="cellIs" dxfId="5" priority="1" operator="notEqual">
      <formula>""</formula>
    </cfRule>
  </conditionalFormatting>
  <dataValidations count="12">
    <dataValidation type="list" allowBlank="1" showInputMessage="1" showErrorMessage="1" sqref="C5:C15" xr:uid="{00000000-0002-0000-0200-000000000000}">
      <formula1>$Y$4:$Y$11</formula1>
    </dataValidation>
    <dataValidation type="list" allowBlank="1" showInputMessage="1" showErrorMessage="1" sqref="U22:V32" xr:uid="{00000000-0002-0000-0200-000001000000}">
      <formula1>$AH$4:$AH$12</formula1>
    </dataValidation>
    <dataValidation type="list" allowBlank="1" showInputMessage="1" showErrorMessage="1" sqref="U36 U34" xr:uid="{00000000-0002-0000-0200-000002000000}">
      <formula1>$AN$4:$AN$12</formula1>
    </dataValidation>
    <dataValidation type="list" allowBlank="1" showInputMessage="1" showErrorMessage="1" sqref="U35" xr:uid="{00000000-0002-0000-0200-000003000000}">
      <formula1>$AQ$4:$AQ$11</formula1>
    </dataValidation>
    <dataValidation type="list" allowBlank="1" showInputMessage="1" showErrorMessage="1" sqref="F5 F11 F9 F7" xr:uid="{00000000-0002-0000-0200-000004000000}">
      <formula1>$AT$4:$AT$5</formula1>
    </dataValidation>
    <dataValidation type="list" allowBlank="1" showInputMessage="1" showErrorMessage="1" sqref="F6 F12 F8" xr:uid="{00000000-0002-0000-0200-000005000000}">
      <formula1>$AU$4:$AU$5</formula1>
    </dataValidation>
    <dataValidation type="list" allowBlank="1" showInputMessage="1" showErrorMessage="1" sqref="C16" xr:uid="{00000000-0002-0000-0200-000006000000}">
      <formula1>$AB$4:$AB$7</formula1>
    </dataValidation>
    <dataValidation type="list" allowBlank="1" showInputMessage="1" showErrorMessage="1" sqref="D2" xr:uid="{00000000-0002-0000-0200-000007000000}">
      <formula1>$BD$4:$BD$6</formula1>
    </dataValidation>
    <dataValidation type="list" allowBlank="1" showInputMessage="1" showErrorMessage="1" sqref="N37" xr:uid="{00000000-0002-0000-0200-000008000000}">
      <formula1>$V$5:$V$7</formula1>
    </dataValidation>
    <dataValidation type="list" allowBlank="1" showInputMessage="1" showErrorMessage="1" sqref="L30:M30 M33:T36 K31:K36 K29:M29 J30:J36 J28:M28 I29:I36 I27:M27 H28:H36 H26:M26 G27:G36 G25:M25 M31 F26:F36 F24:M24 D22:M22 D24:D36 E25:E36 G5:G12 E23:M23 C23:C36 L32:L36" xr:uid="{00000000-0002-0000-0200-000009000000}">
      <formula1>$AA$4:$AA$6</formula1>
    </dataValidation>
    <dataValidation type="list" allowBlank="1" showInputMessage="1" showErrorMessage="1" sqref="F10" xr:uid="{00000000-0002-0000-0200-00000A000000}">
      <formula1>$AY$4:$AY$7</formula1>
    </dataValidation>
    <dataValidation type="list" allowBlank="1" showInputMessage="1" showErrorMessage="1" sqref="U33" xr:uid="{00000000-0002-0000-0200-00000B000000}">
      <formula1>$AK$4:$AK$8</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C000000}">
          <x14:formula1>
            <xm:f>Overview!$V$12:$V$13</xm:f>
          </x14:formula1>
          <xm:sqref>D5:E16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BL160"/>
  <sheetViews>
    <sheetView topLeftCell="A43" zoomScale="85" zoomScaleNormal="85" workbookViewId="0">
      <selection activeCell="F31" sqref="F31"/>
    </sheetView>
  </sheetViews>
  <sheetFormatPr defaultColWidth="9.08984375" defaultRowHeight="14.5"/>
  <cols>
    <col min="1" max="1" width="4.7265625" style="169" customWidth="1"/>
    <col min="2" max="2" width="25.6328125" style="169" bestFit="1" customWidth="1"/>
    <col min="3" max="3" width="13.7265625" style="169" bestFit="1" customWidth="1"/>
    <col min="4" max="4" width="5.08984375" style="169" customWidth="1"/>
    <col min="5" max="5" width="3.08984375" style="213" customWidth="1"/>
    <col min="6" max="6" width="80.08984375" style="169" customWidth="1"/>
    <col min="7" max="13" width="4.36328125" style="169" customWidth="1"/>
    <col min="14" max="18" width="9.08984375" style="169" hidden="1" customWidth="1"/>
    <col min="19" max="19" width="5.08984375" style="169" hidden="1" customWidth="1"/>
    <col min="20" max="22" width="9.08984375" style="169" hidden="1" customWidth="1"/>
    <col min="23" max="27" width="9.08984375" style="169" customWidth="1"/>
    <col min="28" max="30" width="10.81640625" style="169" customWidth="1"/>
    <col min="31" max="34" width="9.08984375" style="169" customWidth="1"/>
    <col min="35" max="36" width="15.7265625" style="169" customWidth="1"/>
    <col min="37" max="37" width="9.08984375" style="169" customWidth="1"/>
    <col min="38" max="39" width="15.7265625" style="169" customWidth="1"/>
    <col min="40" max="40" width="13.36328125" style="169" customWidth="1"/>
    <col min="41" max="41" width="9.08984375" style="169" customWidth="1"/>
    <col min="42" max="42" width="15.7265625" style="169" customWidth="1"/>
    <col min="43" max="50" width="9.08984375" style="169" customWidth="1"/>
    <col min="51" max="51" width="10.81640625" style="169" customWidth="1"/>
    <col min="52" max="52" width="11.6328125" style="169" customWidth="1"/>
    <col min="53" max="53" width="20.36328125" style="169" customWidth="1"/>
    <col min="54" max="54" width="11.6328125" style="169" customWidth="1"/>
    <col min="55" max="55" width="12.81640625" style="169" customWidth="1"/>
    <col min="56" max="56" width="30" style="169" customWidth="1"/>
    <col min="57" max="57" width="12" style="169" customWidth="1"/>
    <col min="58" max="58" width="8.36328125" style="169" customWidth="1"/>
    <col min="59" max="59" width="15.7265625" style="169" customWidth="1"/>
    <col min="60" max="60" width="11" style="169" customWidth="1"/>
    <col min="61" max="61" width="14.7265625" style="169" customWidth="1"/>
    <col min="62" max="62" width="9.08984375" style="169" customWidth="1"/>
    <col min="63" max="63" width="15.7265625" style="169" customWidth="1"/>
    <col min="64" max="65" width="9.08984375" style="169" customWidth="1"/>
    <col min="66" max="16384" width="9.08984375" style="169"/>
  </cols>
  <sheetData>
    <row r="1" spans="2:20">
      <c r="N1" s="179" t="s">
        <v>1464</v>
      </c>
    </row>
    <row r="3" spans="2:20">
      <c r="B3" s="246" t="s">
        <v>621</v>
      </c>
      <c r="C3" s="246"/>
      <c r="F3" s="169" t="s">
        <v>1479</v>
      </c>
    </row>
    <row r="4" spans="2:20" ht="15" customHeight="1">
      <c r="B4" s="173" t="s">
        <v>135</v>
      </c>
      <c r="C4" s="217" t="s">
        <v>619</v>
      </c>
      <c r="E4" s="213">
        <v>1</v>
      </c>
      <c r="F4" s="280" t="s">
        <v>1481</v>
      </c>
      <c r="N4" s="169" t="s">
        <v>619</v>
      </c>
      <c r="T4" s="169" t="s">
        <v>617</v>
      </c>
    </row>
    <row r="5" spans="2:20">
      <c r="B5" s="173" t="s">
        <v>136</v>
      </c>
      <c r="C5" s="217" t="s">
        <v>619</v>
      </c>
      <c r="F5" s="280"/>
      <c r="N5" s="169" t="s">
        <v>620</v>
      </c>
      <c r="T5" s="169" t="s">
        <v>618</v>
      </c>
    </row>
    <row r="6" spans="2:20">
      <c r="B6" s="173" t="s">
        <v>137</v>
      </c>
      <c r="C6" s="247" t="s">
        <v>619</v>
      </c>
      <c r="F6" s="280"/>
    </row>
    <row r="7" spans="2:20">
      <c r="B7" s="173" t="s">
        <v>138</v>
      </c>
      <c r="C7" s="247" t="s">
        <v>619</v>
      </c>
      <c r="F7" s="166"/>
    </row>
    <row r="8" spans="2:20">
      <c r="B8" s="173" t="s">
        <v>139</v>
      </c>
      <c r="C8" s="247" t="s">
        <v>619</v>
      </c>
      <c r="F8" s="166"/>
    </row>
    <row r="9" spans="2:20">
      <c r="B9" s="173" t="s">
        <v>140</v>
      </c>
      <c r="C9" s="217" t="s">
        <v>619</v>
      </c>
      <c r="F9" s="166"/>
    </row>
    <row r="11" spans="2:20">
      <c r="B11" s="246" t="s">
        <v>1462</v>
      </c>
      <c r="C11" s="246"/>
      <c r="Q11" s="169" t="s">
        <v>690</v>
      </c>
      <c r="S11" s="169" t="s">
        <v>709</v>
      </c>
    </row>
    <row r="12" spans="2:20">
      <c r="B12" s="173" t="s">
        <v>135</v>
      </c>
      <c r="C12" s="217" t="s">
        <v>618</v>
      </c>
      <c r="E12" s="213">
        <v>2</v>
      </c>
      <c r="F12" s="280" t="s">
        <v>1482</v>
      </c>
      <c r="N12" s="169" t="s">
        <v>618</v>
      </c>
      <c r="O12" s="169" t="s">
        <v>156</v>
      </c>
      <c r="Q12" s="169" t="str">
        <f>IF(Overview!C35="Yes","Same as SWB1","No")</f>
        <v>No</v>
      </c>
      <c r="R12" s="169" t="s">
        <v>156</v>
      </c>
      <c r="S12" s="169" t="s">
        <v>618</v>
      </c>
      <c r="T12" s="169" t="s">
        <v>157</v>
      </c>
    </row>
    <row r="13" spans="2:20">
      <c r="B13" s="173" t="s">
        <v>136</v>
      </c>
      <c r="C13" s="217" t="s">
        <v>618</v>
      </c>
      <c r="F13" s="280"/>
      <c r="N13" s="169" t="s">
        <v>687</v>
      </c>
      <c r="O13" s="169" t="s">
        <v>164</v>
      </c>
      <c r="Q13" s="169" t="str">
        <f>IF(Overview!C35="Yes","Same as SWB1","100 Ohm")</f>
        <v>100 Ohm</v>
      </c>
      <c r="R13" s="169" t="s">
        <v>164</v>
      </c>
      <c r="S13" s="169" t="s">
        <v>687</v>
      </c>
      <c r="T13" s="169" t="s">
        <v>159</v>
      </c>
    </row>
    <row r="14" spans="2:20">
      <c r="B14" s="173" t="s">
        <v>137</v>
      </c>
      <c r="C14" s="217" t="s">
        <v>618</v>
      </c>
      <c r="N14" s="169" t="s">
        <v>688</v>
      </c>
      <c r="O14" s="169" t="s">
        <v>168</v>
      </c>
      <c r="Q14" s="169" t="str">
        <f>IF(Overview!C35="Yes","Same as SWB1","200 Ohm")</f>
        <v>200 Ohm</v>
      </c>
      <c r="R14" s="169" t="s">
        <v>168</v>
      </c>
    </row>
    <row r="15" spans="2:20">
      <c r="B15" s="173" t="s">
        <v>138</v>
      </c>
      <c r="C15" s="217" t="s">
        <v>618</v>
      </c>
      <c r="N15" s="169" t="s">
        <v>689</v>
      </c>
      <c r="O15" s="169" t="s">
        <v>160</v>
      </c>
      <c r="Q15" s="169" t="str">
        <f>IF(Overview!C35="Yes","Same as SWB1","500 Ohm")</f>
        <v>500 Ohm</v>
      </c>
      <c r="R15" s="169" t="s">
        <v>160</v>
      </c>
    </row>
    <row r="16" spans="2:20">
      <c r="B16" s="173" t="s">
        <v>139</v>
      </c>
      <c r="C16" s="217" t="s">
        <v>618</v>
      </c>
    </row>
    <row r="17" spans="2:3">
      <c r="B17" s="173" t="s">
        <v>140</v>
      </c>
      <c r="C17" s="217" t="s">
        <v>618</v>
      </c>
    </row>
    <row r="18" spans="2:3">
      <c r="B18" s="173" t="s">
        <v>614</v>
      </c>
      <c r="C18" s="217" t="s">
        <v>618</v>
      </c>
    </row>
    <row r="19" spans="2:3">
      <c r="B19" s="173" t="s">
        <v>615</v>
      </c>
      <c r="C19" s="217" t="s">
        <v>618</v>
      </c>
    </row>
    <row r="20" spans="2:3">
      <c r="B20" s="173" t="s">
        <v>616</v>
      </c>
      <c r="C20" s="217" t="s">
        <v>618</v>
      </c>
    </row>
    <row r="21" spans="2:3">
      <c r="B21" s="173" t="s">
        <v>632</v>
      </c>
      <c r="C21" s="217" t="s">
        <v>618</v>
      </c>
    </row>
    <row r="22" spans="2:3">
      <c r="B22" s="185" t="s">
        <v>633</v>
      </c>
      <c r="C22" s="217" t="s">
        <v>618</v>
      </c>
    </row>
    <row r="23" spans="2:3">
      <c r="B23" s="185" t="s">
        <v>634</v>
      </c>
      <c r="C23" s="217" t="s">
        <v>618</v>
      </c>
    </row>
    <row r="24" spans="2:3">
      <c r="B24" s="185" t="s">
        <v>309</v>
      </c>
      <c r="C24" s="217" t="s">
        <v>618</v>
      </c>
    </row>
    <row r="26" spans="2:3">
      <c r="B26" s="246" t="s">
        <v>1463</v>
      </c>
      <c r="C26" s="246"/>
    </row>
    <row r="27" spans="2:3">
      <c r="B27" s="173" t="s">
        <v>135</v>
      </c>
      <c r="C27" s="217" t="s">
        <v>618</v>
      </c>
    </row>
    <row r="28" spans="2:3">
      <c r="B28" s="173" t="s">
        <v>136</v>
      </c>
      <c r="C28" s="217" t="s">
        <v>618</v>
      </c>
    </row>
    <row r="29" spans="2:3">
      <c r="B29" s="173" t="s">
        <v>137</v>
      </c>
      <c r="C29" s="217" t="s">
        <v>618</v>
      </c>
    </row>
    <row r="30" spans="2:3">
      <c r="B30" s="173" t="s">
        <v>138</v>
      </c>
      <c r="C30" s="217" t="s">
        <v>618</v>
      </c>
    </row>
    <row r="31" spans="2:3">
      <c r="B31" s="173" t="s">
        <v>139</v>
      </c>
      <c r="C31" s="217" t="s">
        <v>617</v>
      </c>
    </row>
    <row r="32" spans="2:3">
      <c r="B32" s="173" t="s">
        <v>140</v>
      </c>
      <c r="C32" s="217" t="s">
        <v>618</v>
      </c>
    </row>
    <row r="33" spans="1:16">
      <c r="B33" s="185" t="s">
        <v>614</v>
      </c>
      <c r="C33" s="217" t="s">
        <v>618</v>
      </c>
    </row>
    <row r="34" spans="1:16">
      <c r="B34" s="173" t="s">
        <v>615</v>
      </c>
      <c r="C34" s="217" t="s">
        <v>617</v>
      </c>
    </row>
    <row r="35" spans="1:16">
      <c r="B35" s="173" t="s">
        <v>616</v>
      </c>
      <c r="C35" s="217" t="s">
        <v>618</v>
      </c>
      <c r="P35" s="193"/>
    </row>
    <row r="36" spans="1:16" ht="15" customHeight="1">
      <c r="B36" s="173" t="s">
        <v>632</v>
      </c>
      <c r="C36" s="217" t="s">
        <v>617</v>
      </c>
      <c r="E36" s="213">
        <v>3</v>
      </c>
      <c r="F36" s="285" t="s">
        <v>1483</v>
      </c>
      <c r="P36" s="171"/>
    </row>
    <row r="37" spans="1:16">
      <c r="B37" s="185" t="s">
        <v>633</v>
      </c>
      <c r="C37" s="217" t="s">
        <v>617</v>
      </c>
      <c r="F37" s="285"/>
      <c r="P37" s="171"/>
    </row>
    <row r="38" spans="1:16">
      <c r="B38" s="185" t="s">
        <v>634</v>
      </c>
      <c r="C38" s="217" t="s">
        <v>617</v>
      </c>
      <c r="F38" s="285"/>
      <c r="P38" s="193"/>
    </row>
    <row r="39" spans="1:16">
      <c r="B39" s="173" t="s">
        <v>309</v>
      </c>
      <c r="C39" s="217" t="s">
        <v>617</v>
      </c>
      <c r="P39" s="182"/>
    </row>
    <row r="40" spans="1:16">
      <c r="A40" s="193"/>
      <c r="B40" s="181"/>
      <c r="C40" s="250"/>
      <c r="D40" s="193"/>
      <c r="E40" s="191"/>
      <c r="F40" s="193"/>
    </row>
    <row r="42" spans="1:16">
      <c r="A42" s="181"/>
      <c r="B42" s="181"/>
      <c r="C42" s="181"/>
    </row>
    <row r="43" spans="1:16">
      <c r="A43" s="181"/>
      <c r="B43" s="181"/>
      <c r="C43" s="250"/>
      <c r="D43" s="169" t="str">
        <f>IF(C43="Yes","(Active High)","")</f>
        <v/>
      </c>
    </row>
    <row r="44" spans="1:16">
      <c r="A44" s="193"/>
    </row>
    <row r="45" spans="1:16">
      <c r="B45" s="248" t="s">
        <v>612</v>
      </c>
      <c r="C45" s="248"/>
      <c r="N45" s="169" t="s">
        <v>610</v>
      </c>
    </row>
    <row r="46" spans="1:16">
      <c r="B46" s="173" t="s">
        <v>135</v>
      </c>
      <c r="C46" s="217" t="s">
        <v>611</v>
      </c>
      <c r="E46" s="213">
        <v>4</v>
      </c>
      <c r="F46" s="280" t="s">
        <v>1484</v>
      </c>
      <c r="N46" s="169" t="s">
        <v>611</v>
      </c>
    </row>
    <row r="47" spans="1:16">
      <c r="B47" s="173" t="s">
        <v>136</v>
      </c>
      <c r="C47" s="217" t="s">
        <v>611</v>
      </c>
      <c r="F47" s="280"/>
    </row>
    <row r="48" spans="1:16">
      <c r="B48" s="173" t="s">
        <v>137</v>
      </c>
      <c r="C48" s="217" t="s">
        <v>611</v>
      </c>
      <c r="F48" s="280"/>
    </row>
    <row r="49" spans="1:64">
      <c r="B49" s="173" t="s">
        <v>138</v>
      </c>
      <c r="C49" s="217" t="s">
        <v>611</v>
      </c>
    </row>
    <row r="50" spans="1:64">
      <c r="B50" s="173" t="s">
        <v>139</v>
      </c>
      <c r="C50" s="217" t="s">
        <v>611</v>
      </c>
      <c r="T50" s="169">
        <v>8</v>
      </c>
      <c r="U50" s="169" t="str">
        <f t="shared" ref="U50:U70" si="0">CONCATENATE("0x",DEC2HEX(T50,2))</f>
        <v>0x08</v>
      </c>
      <c r="V50" s="169" t="str">
        <f t="shared" ref="V50:V70" si="1">CONCATENATE("7b",DEC2BIN(T50,7))</f>
        <v>7b0001000</v>
      </c>
    </row>
    <row r="51" spans="1:64">
      <c r="B51" s="173" t="s">
        <v>140</v>
      </c>
      <c r="C51" s="217" t="s">
        <v>611</v>
      </c>
      <c r="T51" s="169">
        <v>9</v>
      </c>
      <c r="U51" s="169" t="str">
        <f t="shared" si="0"/>
        <v>0x09</v>
      </c>
      <c r="V51" s="169" t="str">
        <f t="shared" si="1"/>
        <v>7b0001001</v>
      </c>
    </row>
    <row r="52" spans="1:64">
      <c r="T52" s="169">
        <v>10</v>
      </c>
      <c r="U52" s="169" t="str">
        <f t="shared" si="0"/>
        <v>0x0A</v>
      </c>
      <c r="V52" s="169" t="str">
        <f t="shared" si="1"/>
        <v>7b0001010</v>
      </c>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c r="A53" s="181"/>
      <c r="B53" s="187"/>
      <c r="C53" s="251"/>
      <c r="D53" s="193"/>
      <c r="T53" s="169">
        <v>11</v>
      </c>
      <c r="U53" s="169" t="str">
        <f t="shared" si="0"/>
        <v>0x0B</v>
      </c>
      <c r="V53" s="169" t="str">
        <f t="shared" si="1"/>
        <v>7b0001011</v>
      </c>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c r="A54" s="181"/>
      <c r="B54" s="190"/>
      <c r="C54" s="250"/>
      <c r="D54" s="193"/>
      <c r="T54" s="169">
        <v>12</v>
      </c>
      <c r="U54" s="169" t="str">
        <f t="shared" si="0"/>
        <v>0x0C</v>
      </c>
      <c r="V54" s="169" t="str">
        <f t="shared" si="1"/>
        <v>7b0001100</v>
      </c>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c r="A55" s="181"/>
      <c r="B55" s="190"/>
      <c r="C55" s="250"/>
      <c r="D55" s="193"/>
      <c r="T55" s="169">
        <v>13</v>
      </c>
      <c r="U55" s="169" t="str">
        <f t="shared" si="0"/>
        <v>0x0D</v>
      </c>
      <c r="V55" s="169" t="str">
        <f t="shared" si="1"/>
        <v>7b0001101</v>
      </c>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c r="A56" s="181"/>
      <c r="B56" s="190"/>
      <c r="C56" s="250"/>
      <c r="D56" s="193"/>
      <c r="N56" s="169" t="s">
        <v>209</v>
      </c>
      <c r="T56" s="169">
        <v>14</v>
      </c>
      <c r="U56" s="169" t="str">
        <f t="shared" si="0"/>
        <v>0x0E</v>
      </c>
      <c r="V56" s="169" t="str">
        <f t="shared" si="1"/>
        <v>7b0001110</v>
      </c>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c r="A57" s="193"/>
      <c r="T57" s="169">
        <v>15</v>
      </c>
      <c r="U57" s="169" t="str">
        <f t="shared" si="0"/>
        <v>0x0F</v>
      </c>
      <c r="V57" s="169" t="str">
        <f t="shared" si="1"/>
        <v>7b0001111</v>
      </c>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c r="B58" s="173" t="s">
        <v>1383</v>
      </c>
      <c r="C58" s="217" t="s">
        <v>1384</v>
      </c>
      <c r="E58" s="213">
        <v>5</v>
      </c>
      <c r="F58" s="169" t="s">
        <v>1485</v>
      </c>
      <c r="N58" s="169" t="s">
        <v>1384</v>
      </c>
      <c r="O58" s="169" t="s">
        <v>156</v>
      </c>
      <c r="T58" s="169">
        <v>16</v>
      </c>
      <c r="U58" s="169" t="str">
        <f t="shared" si="0"/>
        <v>0x10</v>
      </c>
      <c r="V58" s="169" t="str">
        <f t="shared" si="1"/>
        <v>7b0010000</v>
      </c>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c r="N59" s="169" t="s">
        <v>1385</v>
      </c>
      <c r="O59" s="169" t="s">
        <v>164</v>
      </c>
      <c r="T59" s="169">
        <v>17</v>
      </c>
      <c r="U59" s="169" t="str">
        <f t="shared" si="0"/>
        <v>0x11</v>
      </c>
      <c r="V59" s="169" t="str">
        <f t="shared" si="1"/>
        <v>7b0010001</v>
      </c>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260"/>
      <c r="AZ59" s="260"/>
      <c r="BA59" s="260"/>
      <c r="BB59" s="193"/>
      <c r="BC59" s="193"/>
      <c r="BD59" s="193"/>
      <c r="BE59" s="193"/>
      <c r="BF59" s="193"/>
      <c r="BG59" s="193"/>
      <c r="BH59" s="193"/>
      <c r="BI59" s="193"/>
      <c r="BJ59" s="193"/>
      <c r="BK59" s="193"/>
      <c r="BL59" s="193"/>
    </row>
    <row r="60" spans="1:64">
      <c r="N60" s="169" t="s">
        <v>1386</v>
      </c>
      <c r="O60" s="169" t="s">
        <v>168</v>
      </c>
      <c r="T60" s="169">
        <v>18</v>
      </c>
      <c r="U60" s="169" t="str">
        <f t="shared" si="0"/>
        <v>0x12</v>
      </c>
      <c r="V60" s="169" t="str">
        <f t="shared" si="1"/>
        <v>7b0010010</v>
      </c>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c r="N61" s="169" t="s">
        <v>1414</v>
      </c>
      <c r="O61" s="169" t="s">
        <v>160</v>
      </c>
      <c r="T61" s="169">
        <v>19</v>
      </c>
      <c r="U61" s="169" t="str">
        <f t="shared" si="0"/>
        <v>0x13</v>
      </c>
      <c r="V61" s="169" t="str">
        <f t="shared" si="1"/>
        <v>7b0010011</v>
      </c>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c r="A62" s="193"/>
      <c r="B62" s="173" t="s">
        <v>1439</v>
      </c>
      <c r="C62" s="217" t="s">
        <v>1440</v>
      </c>
      <c r="E62" s="213">
        <v>6</v>
      </c>
      <c r="F62" s="169" t="s">
        <v>1527</v>
      </c>
      <c r="T62" s="169">
        <v>20</v>
      </c>
      <c r="U62" s="169" t="str">
        <f t="shared" si="0"/>
        <v>0x14</v>
      </c>
      <c r="V62" s="169" t="str">
        <f t="shared" si="1"/>
        <v>7b0010100</v>
      </c>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c r="A63" s="193"/>
      <c r="E63" s="213">
        <v>7</v>
      </c>
      <c r="F63" s="169" t="s">
        <v>1567</v>
      </c>
      <c r="T63" s="169">
        <v>21</v>
      </c>
      <c r="U63" s="169" t="str">
        <f t="shared" si="0"/>
        <v>0x15</v>
      </c>
      <c r="V63" s="169" t="str">
        <f t="shared" si="1"/>
        <v>7b0010101</v>
      </c>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c r="A64" s="193"/>
      <c r="B64" s="259"/>
      <c r="C64" s="259"/>
      <c r="F64" s="169" t="s">
        <v>1568</v>
      </c>
      <c r="T64" s="169">
        <v>22</v>
      </c>
      <c r="U64" s="169" t="str">
        <f t="shared" si="0"/>
        <v>0x16</v>
      </c>
      <c r="V64" s="169" t="str">
        <f t="shared" si="1"/>
        <v>7b0010110</v>
      </c>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c r="A65" s="193"/>
      <c r="B65" s="181"/>
      <c r="C65" s="250"/>
      <c r="F65" s="169" t="s">
        <v>1569</v>
      </c>
      <c r="T65" s="169">
        <v>23</v>
      </c>
      <c r="U65" s="169" t="str">
        <f t="shared" si="0"/>
        <v>0x17</v>
      </c>
      <c r="V65" s="169" t="str">
        <f t="shared" si="1"/>
        <v>7b0010111</v>
      </c>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c r="A66" s="193"/>
      <c r="B66" s="181"/>
      <c r="C66" s="250"/>
      <c r="F66" s="169" t="s">
        <v>1570</v>
      </c>
      <c r="T66" s="169">
        <v>24</v>
      </c>
      <c r="U66" s="169" t="str">
        <f t="shared" si="0"/>
        <v>0x18</v>
      </c>
      <c r="V66" s="169" t="str">
        <f t="shared" si="1"/>
        <v>7b0011000</v>
      </c>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c r="A67" s="193"/>
      <c r="B67" s="181"/>
      <c r="C67" s="250"/>
      <c r="T67" s="169">
        <v>25</v>
      </c>
      <c r="U67" s="169" t="str">
        <f t="shared" si="0"/>
        <v>0x19</v>
      </c>
      <c r="V67" s="169" t="str">
        <f t="shared" si="1"/>
        <v>7b0011001</v>
      </c>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c r="A68" s="193"/>
      <c r="B68" s="181"/>
      <c r="C68" s="181"/>
      <c r="T68" s="169">
        <v>26</v>
      </c>
      <c r="U68" s="169" t="str">
        <f t="shared" si="0"/>
        <v>0x1A</v>
      </c>
      <c r="V68" s="169" t="str">
        <f t="shared" si="1"/>
        <v>7b0011010</v>
      </c>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c r="A69" s="193"/>
      <c r="B69" s="181"/>
      <c r="C69" s="250"/>
      <c r="D69" s="181"/>
      <c r="E69" s="192"/>
      <c r="F69" s="181"/>
      <c r="T69" s="169">
        <v>27</v>
      </c>
      <c r="U69" s="169" t="str">
        <f t="shared" si="0"/>
        <v>0x1B</v>
      </c>
      <c r="V69" s="169" t="str">
        <f t="shared" si="1"/>
        <v>7b0011011</v>
      </c>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c r="A70" s="193"/>
      <c r="B70" s="181"/>
      <c r="C70" s="181"/>
      <c r="D70" s="181"/>
      <c r="E70" s="192"/>
      <c r="F70" s="181"/>
      <c r="T70" s="169">
        <v>28</v>
      </c>
      <c r="U70" s="169" t="str">
        <f t="shared" si="0"/>
        <v>0x1C</v>
      </c>
      <c r="V70" s="169" t="str">
        <f t="shared" si="1"/>
        <v>7b0011100</v>
      </c>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c r="B71" s="284"/>
      <c r="C71" s="284"/>
      <c r="D71" s="181"/>
      <c r="E71" s="192"/>
      <c r="F71" s="181"/>
      <c r="T71" s="169">
        <v>29</v>
      </c>
      <c r="U71" s="169" t="str">
        <f t="shared" ref="U71:U102" si="2">CONCATENATE("0x",DEC2HEX(T71,2))</f>
        <v>0x1D</v>
      </c>
      <c r="V71" s="169" t="str">
        <f t="shared" ref="V71:V102" si="3">CONCATENATE("7b",DEC2BIN(T71,7))</f>
        <v>7b0011101</v>
      </c>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c r="B72" s="284"/>
      <c r="C72" s="284"/>
      <c r="D72" s="181"/>
      <c r="E72" s="192"/>
      <c r="F72" s="181"/>
      <c r="T72" s="169">
        <v>30</v>
      </c>
      <c r="U72" s="169" t="str">
        <f t="shared" si="2"/>
        <v>0x1E</v>
      </c>
      <c r="V72" s="169" t="str">
        <f t="shared" si="3"/>
        <v>7b0011110</v>
      </c>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c r="B73" s="192"/>
      <c r="C73" s="262"/>
      <c r="D73" s="181"/>
      <c r="E73" s="192"/>
      <c r="F73" s="181"/>
      <c r="T73" s="169">
        <v>31</v>
      </c>
      <c r="U73" s="169" t="str">
        <f t="shared" si="2"/>
        <v>0x1F</v>
      </c>
      <c r="V73" s="169" t="str">
        <f t="shared" si="3"/>
        <v>7b0011111</v>
      </c>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261"/>
      <c r="BH73" s="260"/>
      <c r="BI73" s="193"/>
      <c r="BJ73" s="193"/>
      <c r="BK73" s="193"/>
      <c r="BL73" s="193"/>
    </row>
    <row r="74" spans="1:64">
      <c r="B74" s="181"/>
      <c r="C74" s="250"/>
      <c r="D74" s="181"/>
      <c r="E74" s="192"/>
      <c r="F74" s="181"/>
      <c r="T74" s="169">
        <v>32</v>
      </c>
      <c r="U74" s="169" t="str">
        <f t="shared" si="2"/>
        <v>0x20</v>
      </c>
      <c r="V74" s="169" t="str">
        <f t="shared" si="3"/>
        <v>7b0100000</v>
      </c>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c r="B75" s="181"/>
      <c r="C75" s="250"/>
      <c r="D75" s="181"/>
      <c r="E75" s="192"/>
      <c r="F75" s="181"/>
      <c r="T75" s="169">
        <v>33</v>
      </c>
      <c r="U75" s="169" t="str">
        <f t="shared" si="2"/>
        <v>0x21</v>
      </c>
      <c r="V75" s="169" t="str">
        <f t="shared" si="3"/>
        <v>7b0100001</v>
      </c>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c r="B76" s="181"/>
      <c r="C76" s="250"/>
      <c r="D76" s="181"/>
      <c r="E76" s="192"/>
      <c r="F76" s="181"/>
      <c r="T76" s="169">
        <v>34</v>
      </c>
      <c r="U76" s="169" t="str">
        <f t="shared" si="2"/>
        <v>0x22</v>
      </c>
      <c r="V76" s="169" t="str">
        <f t="shared" si="3"/>
        <v>7b0100010</v>
      </c>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c r="B77" s="181"/>
      <c r="C77" s="250"/>
      <c r="D77" s="181"/>
      <c r="E77" s="192"/>
      <c r="F77" s="181"/>
      <c r="T77" s="169">
        <v>35</v>
      </c>
      <c r="U77" s="169" t="str">
        <f t="shared" si="2"/>
        <v>0x23</v>
      </c>
      <c r="V77" s="169" t="str">
        <f t="shared" si="3"/>
        <v>7b0100011</v>
      </c>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c r="B78" s="181"/>
      <c r="C78" s="250"/>
      <c r="D78" s="181"/>
      <c r="E78" s="192"/>
      <c r="F78" s="181"/>
      <c r="T78" s="169">
        <v>36</v>
      </c>
      <c r="U78" s="169" t="str">
        <f t="shared" si="2"/>
        <v>0x24</v>
      </c>
      <c r="V78" s="169" t="str">
        <f t="shared" si="3"/>
        <v>7b0100100</v>
      </c>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c r="B79" s="284"/>
      <c r="C79" s="284"/>
      <c r="D79" s="181"/>
      <c r="E79" s="192"/>
      <c r="F79" s="181"/>
      <c r="T79" s="169">
        <v>37</v>
      </c>
      <c r="U79" s="169" t="str">
        <f t="shared" si="2"/>
        <v>0x25</v>
      </c>
      <c r="V79" s="169" t="str">
        <f t="shared" si="3"/>
        <v>7b0100101</v>
      </c>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c r="B80" s="192"/>
      <c r="C80" s="262"/>
      <c r="D80" s="181"/>
      <c r="E80" s="192"/>
      <c r="F80" s="181"/>
      <c r="T80" s="169">
        <v>38</v>
      </c>
      <c r="U80" s="169" t="str">
        <f t="shared" si="2"/>
        <v>0x26</v>
      </c>
      <c r="V80" s="169" t="str">
        <f t="shared" si="3"/>
        <v>7b0100110</v>
      </c>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2:64">
      <c r="B81" s="181"/>
      <c r="C81" s="250"/>
      <c r="D81" s="181"/>
      <c r="E81" s="192"/>
      <c r="F81" s="181"/>
      <c r="T81" s="169">
        <v>39</v>
      </c>
      <c r="U81" s="169" t="str">
        <f t="shared" si="2"/>
        <v>0x27</v>
      </c>
      <c r="V81" s="169" t="str">
        <f t="shared" si="3"/>
        <v>7b0100111</v>
      </c>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2:64">
      <c r="B82" s="181"/>
      <c r="C82" s="250"/>
      <c r="D82" s="181"/>
      <c r="E82" s="192"/>
      <c r="F82" s="181"/>
      <c r="T82" s="169">
        <v>40</v>
      </c>
      <c r="U82" s="169" t="str">
        <f t="shared" si="2"/>
        <v>0x28</v>
      </c>
      <c r="V82" s="169" t="str">
        <f t="shared" si="3"/>
        <v>7b0101000</v>
      </c>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2:64">
      <c r="B83" s="181"/>
      <c r="C83" s="250"/>
      <c r="D83" s="181"/>
      <c r="E83" s="192"/>
      <c r="F83" s="181"/>
      <c r="T83" s="169">
        <v>41</v>
      </c>
      <c r="U83" s="169" t="str">
        <f t="shared" si="2"/>
        <v>0x29</v>
      </c>
      <c r="V83" s="169" t="str">
        <f t="shared" si="3"/>
        <v>7b0101001</v>
      </c>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2:64">
      <c r="B84" s="181"/>
      <c r="C84" s="250"/>
      <c r="D84" s="181"/>
      <c r="E84" s="192"/>
      <c r="F84" s="181"/>
      <c r="T84" s="169">
        <v>42</v>
      </c>
      <c r="U84" s="169" t="str">
        <f t="shared" si="2"/>
        <v>0x2A</v>
      </c>
      <c r="V84" s="169" t="str">
        <f t="shared" si="3"/>
        <v>7b0101010</v>
      </c>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2:64">
      <c r="B85" s="181"/>
      <c r="C85" s="250"/>
      <c r="D85" s="181"/>
      <c r="E85" s="192"/>
      <c r="F85" s="181"/>
      <c r="T85" s="169">
        <v>43</v>
      </c>
      <c r="U85" s="169" t="str">
        <f t="shared" si="2"/>
        <v>0x2B</v>
      </c>
      <c r="V85" s="169" t="str">
        <f t="shared" si="3"/>
        <v>7b0101011</v>
      </c>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2:64">
      <c r="B86" s="284"/>
      <c r="C86" s="284"/>
      <c r="D86" s="181"/>
      <c r="E86" s="192"/>
      <c r="F86" s="181"/>
      <c r="T86" s="169">
        <v>44</v>
      </c>
      <c r="U86" s="169" t="str">
        <f t="shared" si="2"/>
        <v>0x2C</v>
      </c>
      <c r="V86" s="169" t="str">
        <f t="shared" si="3"/>
        <v>7b0101100</v>
      </c>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2:64">
      <c r="B87" s="192"/>
      <c r="C87" s="262"/>
      <c r="D87" s="181"/>
      <c r="E87" s="192"/>
      <c r="F87" s="181"/>
      <c r="T87" s="169">
        <v>45</v>
      </c>
      <c r="U87" s="169" t="str">
        <f t="shared" si="2"/>
        <v>0x2D</v>
      </c>
      <c r="V87" s="169" t="str">
        <f t="shared" si="3"/>
        <v>7b0101101</v>
      </c>
      <c r="AB87" s="193"/>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2:64">
      <c r="B88" s="181"/>
      <c r="C88" s="250"/>
      <c r="D88" s="181"/>
      <c r="E88" s="192"/>
      <c r="F88" s="181"/>
      <c r="T88" s="169">
        <v>46</v>
      </c>
      <c r="U88" s="169" t="str">
        <f t="shared" si="2"/>
        <v>0x2E</v>
      </c>
      <c r="V88" s="169" t="str">
        <f t="shared" si="3"/>
        <v>7b0101110</v>
      </c>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2:64">
      <c r="B89" s="181"/>
      <c r="C89" s="250"/>
      <c r="D89" s="181"/>
      <c r="E89" s="192"/>
      <c r="F89" s="181"/>
      <c r="T89" s="169">
        <v>47</v>
      </c>
      <c r="U89" s="169" t="str">
        <f t="shared" si="2"/>
        <v>0x2F</v>
      </c>
      <c r="V89" s="169" t="str">
        <f t="shared" si="3"/>
        <v>7b0101111</v>
      </c>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2:64">
      <c r="B90" s="181"/>
      <c r="C90" s="250"/>
      <c r="D90" s="181"/>
      <c r="E90" s="192"/>
      <c r="F90" s="181"/>
      <c r="T90" s="169">
        <v>48</v>
      </c>
      <c r="U90" s="169" t="str">
        <f t="shared" si="2"/>
        <v>0x30</v>
      </c>
      <c r="V90" s="169" t="str">
        <f t="shared" si="3"/>
        <v>7b0110000</v>
      </c>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2:64">
      <c r="B91" s="181"/>
      <c r="C91" s="250"/>
      <c r="D91" s="181"/>
      <c r="E91" s="192"/>
      <c r="F91" s="181"/>
      <c r="T91" s="169">
        <v>49</v>
      </c>
      <c r="U91" s="169" t="str">
        <f t="shared" si="2"/>
        <v>0x31</v>
      </c>
      <c r="V91" s="169" t="str">
        <f t="shared" si="3"/>
        <v>7b0110001</v>
      </c>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2:64">
      <c r="B92" s="181"/>
      <c r="C92" s="250"/>
      <c r="D92" s="181"/>
      <c r="E92" s="192"/>
      <c r="F92" s="181"/>
      <c r="T92" s="169">
        <v>50</v>
      </c>
      <c r="U92" s="169" t="str">
        <f t="shared" si="2"/>
        <v>0x32</v>
      </c>
      <c r="V92" s="169" t="str">
        <f t="shared" si="3"/>
        <v>7b0110010</v>
      </c>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2:64">
      <c r="B93" s="181"/>
      <c r="C93" s="181"/>
      <c r="D93" s="181"/>
      <c r="E93" s="192"/>
      <c r="F93" s="181"/>
      <c r="T93" s="169">
        <v>51</v>
      </c>
      <c r="U93" s="169" t="str">
        <f t="shared" si="2"/>
        <v>0x33</v>
      </c>
      <c r="V93" s="169" t="str">
        <f t="shared" si="3"/>
        <v>7b0110011</v>
      </c>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2:64">
      <c r="B94" s="181"/>
      <c r="C94" s="181"/>
      <c r="D94" s="181"/>
      <c r="E94" s="192"/>
      <c r="F94" s="181"/>
      <c r="T94" s="169">
        <v>52</v>
      </c>
      <c r="U94" s="169" t="str">
        <f t="shared" si="2"/>
        <v>0x34</v>
      </c>
      <c r="V94" s="169" t="str">
        <f t="shared" si="3"/>
        <v>7b0110100</v>
      </c>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row>
    <row r="95" spans="2:64">
      <c r="B95" s="181"/>
      <c r="C95" s="181"/>
      <c r="D95" s="181"/>
      <c r="E95" s="192"/>
      <c r="F95" s="181"/>
      <c r="T95" s="169">
        <v>53</v>
      </c>
      <c r="U95" s="169" t="str">
        <f t="shared" si="2"/>
        <v>0x35</v>
      </c>
      <c r="V95" s="169" t="str">
        <f t="shared" si="3"/>
        <v>7b0110101</v>
      </c>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row>
    <row r="96" spans="2:64">
      <c r="B96" s="181"/>
      <c r="C96" s="181"/>
      <c r="D96" s="181"/>
      <c r="E96" s="192"/>
      <c r="F96" s="181"/>
      <c r="T96" s="169">
        <v>54</v>
      </c>
      <c r="U96" s="169" t="str">
        <f t="shared" si="2"/>
        <v>0x36</v>
      </c>
      <c r="V96" s="169" t="str">
        <f t="shared" si="3"/>
        <v>7b0110110</v>
      </c>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row>
    <row r="97" spans="2:64">
      <c r="B97" s="181"/>
      <c r="C97" s="181"/>
      <c r="D97" s="181"/>
      <c r="E97" s="192"/>
      <c r="F97" s="181"/>
      <c r="T97" s="169">
        <v>55</v>
      </c>
      <c r="U97" s="169" t="str">
        <f t="shared" si="2"/>
        <v>0x37</v>
      </c>
      <c r="V97" s="169" t="str">
        <f t="shared" si="3"/>
        <v>7b0110111</v>
      </c>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row>
    <row r="98" spans="2:64">
      <c r="T98" s="169">
        <v>57</v>
      </c>
      <c r="U98" s="169" t="str">
        <f t="shared" si="2"/>
        <v>0x39</v>
      </c>
      <c r="V98" s="169" t="str">
        <f t="shared" si="3"/>
        <v>7b0111001</v>
      </c>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row>
    <row r="99" spans="2:64">
      <c r="T99" s="169">
        <v>58</v>
      </c>
      <c r="U99" s="169" t="str">
        <f t="shared" si="2"/>
        <v>0x3A</v>
      </c>
      <c r="V99" s="169" t="str">
        <f t="shared" si="3"/>
        <v>7b0111010</v>
      </c>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row>
    <row r="100" spans="2:64">
      <c r="T100" s="169">
        <v>59</v>
      </c>
      <c r="U100" s="169" t="str">
        <f t="shared" si="2"/>
        <v>0x3B</v>
      </c>
      <c r="V100" s="169" t="str">
        <f t="shared" si="3"/>
        <v>7b0111011</v>
      </c>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row>
    <row r="101" spans="2:64">
      <c r="T101" s="169">
        <v>60</v>
      </c>
      <c r="U101" s="169" t="str">
        <f t="shared" si="2"/>
        <v>0x3C</v>
      </c>
      <c r="V101" s="169" t="str">
        <f t="shared" si="3"/>
        <v>7b0111100</v>
      </c>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row>
    <row r="102" spans="2:64">
      <c r="T102" s="169">
        <v>61</v>
      </c>
      <c r="U102" s="169" t="str">
        <f t="shared" si="2"/>
        <v>0x3D</v>
      </c>
      <c r="V102" s="169" t="str">
        <f t="shared" si="3"/>
        <v>7b0111101</v>
      </c>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row>
    <row r="103" spans="2:64">
      <c r="T103" s="169">
        <v>62</v>
      </c>
      <c r="U103" s="169" t="str">
        <f t="shared" ref="U103:U134" si="4">CONCATENATE("0x",DEC2HEX(T103,2))</f>
        <v>0x3E</v>
      </c>
      <c r="V103" s="169" t="str">
        <f t="shared" ref="V103:V134" si="5">CONCATENATE("7b",DEC2BIN(T103,7))</f>
        <v>7b0111110</v>
      </c>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row>
    <row r="104" spans="2:64">
      <c r="T104" s="169">
        <v>63</v>
      </c>
      <c r="U104" s="169" t="str">
        <f t="shared" si="4"/>
        <v>0x3F</v>
      </c>
      <c r="V104" s="169" t="str">
        <f t="shared" si="5"/>
        <v>7b0111111</v>
      </c>
    </row>
    <row r="105" spans="2:64">
      <c r="T105" s="169">
        <v>64</v>
      </c>
      <c r="U105" s="169" t="str">
        <f t="shared" si="4"/>
        <v>0x40</v>
      </c>
      <c r="V105" s="169" t="str">
        <f t="shared" si="5"/>
        <v>7b1000000</v>
      </c>
    </row>
    <row r="106" spans="2:64">
      <c r="T106" s="169">
        <v>65</v>
      </c>
      <c r="U106" s="169" t="str">
        <f t="shared" si="4"/>
        <v>0x41</v>
      </c>
      <c r="V106" s="169" t="str">
        <f t="shared" si="5"/>
        <v>7b1000001</v>
      </c>
    </row>
    <row r="107" spans="2:64">
      <c r="T107" s="169">
        <v>66</v>
      </c>
      <c r="U107" s="169" t="str">
        <f t="shared" si="4"/>
        <v>0x42</v>
      </c>
      <c r="V107" s="169" t="str">
        <f t="shared" si="5"/>
        <v>7b1000010</v>
      </c>
    </row>
    <row r="108" spans="2:64">
      <c r="T108" s="169">
        <v>67</v>
      </c>
      <c r="U108" s="169" t="str">
        <f t="shared" si="4"/>
        <v>0x43</v>
      </c>
      <c r="V108" s="169" t="str">
        <f t="shared" si="5"/>
        <v>7b1000011</v>
      </c>
    </row>
    <row r="109" spans="2:64">
      <c r="T109" s="169">
        <v>68</v>
      </c>
      <c r="U109" s="169" t="str">
        <f t="shared" si="4"/>
        <v>0x44</v>
      </c>
      <c r="V109" s="169" t="str">
        <f t="shared" si="5"/>
        <v>7b1000100</v>
      </c>
    </row>
    <row r="110" spans="2:64">
      <c r="T110" s="169">
        <v>69</v>
      </c>
      <c r="U110" s="169" t="str">
        <f t="shared" si="4"/>
        <v>0x45</v>
      </c>
      <c r="V110" s="169" t="str">
        <f t="shared" si="5"/>
        <v>7b1000101</v>
      </c>
    </row>
    <row r="111" spans="2:64">
      <c r="T111" s="169">
        <v>70</v>
      </c>
      <c r="U111" s="169" t="str">
        <f t="shared" si="4"/>
        <v>0x46</v>
      </c>
      <c r="V111" s="169" t="str">
        <f t="shared" si="5"/>
        <v>7b1000110</v>
      </c>
    </row>
    <row r="112" spans="2:64">
      <c r="T112" s="169">
        <v>71</v>
      </c>
      <c r="U112" s="169" t="str">
        <f t="shared" si="4"/>
        <v>0x47</v>
      </c>
      <c r="V112" s="169" t="str">
        <f t="shared" si="5"/>
        <v>7b1000111</v>
      </c>
    </row>
    <row r="113" spans="20:22">
      <c r="T113" s="169">
        <v>72</v>
      </c>
      <c r="U113" s="169" t="str">
        <f t="shared" si="4"/>
        <v>0x48</v>
      </c>
      <c r="V113" s="169" t="str">
        <f t="shared" si="5"/>
        <v>7b1001000</v>
      </c>
    </row>
    <row r="114" spans="20:22">
      <c r="T114" s="169">
        <v>73</v>
      </c>
      <c r="U114" s="169" t="str">
        <f t="shared" si="4"/>
        <v>0x49</v>
      </c>
      <c r="V114" s="169" t="str">
        <f t="shared" si="5"/>
        <v>7b1001001</v>
      </c>
    </row>
    <row r="115" spans="20:22">
      <c r="T115" s="169">
        <v>74</v>
      </c>
      <c r="U115" s="169" t="str">
        <f t="shared" si="4"/>
        <v>0x4A</v>
      </c>
      <c r="V115" s="169" t="str">
        <f t="shared" si="5"/>
        <v>7b1001010</v>
      </c>
    </row>
    <row r="116" spans="20:22">
      <c r="T116" s="169">
        <v>75</v>
      </c>
      <c r="U116" s="169" t="str">
        <f t="shared" si="4"/>
        <v>0x4B</v>
      </c>
      <c r="V116" s="169" t="str">
        <f t="shared" si="5"/>
        <v>7b1001011</v>
      </c>
    </row>
    <row r="117" spans="20:22">
      <c r="T117" s="169">
        <v>76</v>
      </c>
      <c r="U117" s="169" t="str">
        <f t="shared" si="4"/>
        <v>0x4C</v>
      </c>
      <c r="V117" s="169" t="str">
        <f t="shared" si="5"/>
        <v>7b1001100</v>
      </c>
    </row>
    <row r="118" spans="20:22">
      <c r="T118" s="169">
        <v>77</v>
      </c>
      <c r="U118" s="169" t="str">
        <f t="shared" si="4"/>
        <v>0x4D</v>
      </c>
      <c r="V118" s="169" t="str">
        <f t="shared" si="5"/>
        <v>7b1001101</v>
      </c>
    </row>
    <row r="119" spans="20:22">
      <c r="T119" s="169">
        <v>78</v>
      </c>
      <c r="U119" s="169" t="str">
        <f t="shared" si="4"/>
        <v>0x4E</v>
      </c>
      <c r="V119" s="169" t="str">
        <f t="shared" si="5"/>
        <v>7b1001110</v>
      </c>
    </row>
    <row r="120" spans="20:22">
      <c r="T120" s="169">
        <v>79</v>
      </c>
      <c r="U120" s="169" t="str">
        <f t="shared" si="4"/>
        <v>0x4F</v>
      </c>
      <c r="V120" s="169" t="str">
        <f t="shared" si="5"/>
        <v>7b1001111</v>
      </c>
    </row>
    <row r="121" spans="20:22">
      <c r="T121" s="169">
        <v>80</v>
      </c>
      <c r="U121" s="169" t="str">
        <f t="shared" si="4"/>
        <v>0x50</v>
      </c>
      <c r="V121" s="169" t="str">
        <f t="shared" si="5"/>
        <v>7b1010000</v>
      </c>
    </row>
    <row r="122" spans="20:22">
      <c r="T122" s="169">
        <v>81</v>
      </c>
      <c r="U122" s="169" t="str">
        <f t="shared" si="4"/>
        <v>0x51</v>
      </c>
      <c r="V122" s="169" t="str">
        <f t="shared" si="5"/>
        <v>7b1010001</v>
      </c>
    </row>
    <row r="123" spans="20:22">
      <c r="T123" s="169">
        <v>82</v>
      </c>
      <c r="U123" s="169" t="str">
        <f t="shared" si="4"/>
        <v>0x52</v>
      </c>
      <c r="V123" s="169" t="str">
        <f t="shared" si="5"/>
        <v>7b1010010</v>
      </c>
    </row>
    <row r="124" spans="20:22">
      <c r="T124" s="169">
        <v>83</v>
      </c>
      <c r="U124" s="169" t="str">
        <f t="shared" si="4"/>
        <v>0x53</v>
      </c>
      <c r="V124" s="169" t="str">
        <f t="shared" si="5"/>
        <v>7b1010011</v>
      </c>
    </row>
    <row r="125" spans="20:22">
      <c r="T125" s="169">
        <v>84</v>
      </c>
      <c r="U125" s="169" t="str">
        <f t="shared" si="4"/>
        <v>0x54</v>
      </c>
      <c r="V125" s="169" t="str">
        <f t="shared" si="5"/>
        <v>7b1010100</v>
      </c>
    </row>
    <row r="126" spans="20:22">
      <c r="T126" s="169">
        <v>85</v>
      </c>
      <c r="U126" s="169" t="str">
        <f t="shared" si="4"/>
        <v>0x55</v>
      </c>
      <c r="V126" s="169" t="str">
        <f t="shared" si="5"/>
        <v>7b1010101</v>
      </c>
    </row>
    <row r="127" spans="20:22">
      <c r="T127" s="169">
        <v>86</v>
      </c>
      <c r="U127" s="169" t="str">
        <f t="shared" si="4"/>
        <v>0x56</v>
      </c>
      <c r="V127" s="169" t="str">
        <f t="shared" si="5"/>
        <v>7b1010110</v>
      </c>
    </row>
    <row r="128" spans="20:22">
      <c r="T128" s="169">
        <v>87</v>
      </c>
      <c r="U128" s="169" t="str">
        <f t="shared" si="4"/>
        <v>0x57</v>
      </c>
      <c r="V128" s="169" t="str">
        <f t="shared" si="5"/>
        <v>7b1010111</v>
      </c>
    </row>
    <row r="129" spans="20:22">
      <c r="T129" s="169">
        <v>88</v>
      </c>
      <c r="U129" s="169" t="str">
        <f t="shared" si="4"/>
        <v>0x58</v>
      </c>
      <c r="V129" s="169" t="str">
        <f t="shared" si="5"/>
        <v>7b1011000</v>
      </c>
    </row>
    <row r="130" spans="20:22">
      <c r="T130" s="169">
        <v>89</v>
      </c>
      <c r="U130" s="169" t="str">
        <f t="shared" si="4"/>
        <v>0x59</v>
      </c>
      <c r="V130" s="169" t="str">
        <f t="shared" si="5"/>
        <v>7b1011001</v>
      </c>
    </row>
    <row r="131" spans="20:22">
      <c r="T131" s="169">
        <v>90</v>
      </c>
      <c r="U131" s="169" t="str">
        <f t="shared" si="4"/>
        <v>0x5A</v>
      </c>
      <c r="V131" s="169" t="str">
        <f t="shared" si="5"/>
        <v>7b1011010</v>
      </c>
    </row>
    <row r="132" spans="20:22">
      <c r="T132" s="169">
        <v>91</v>
      </c>
      <c r="U132" s="169" t="str">
        <f t="shared" si="4"/>
        <v>0x5B</v>
      </c>
      <c r="V132" s="169" t="str">
        <f t="shared" si="5"/>
        <v>7b1011011</v>
      </c>
    </row>
    <row r="133" spans="20:22">
      <c r="T133" s="169">
        <v>92</v>
      </c>
      <c r="U133" s="169" t="str">
        <f t="shared" si="4"/>
        <v>0x5C</v>
      </c>
      <c r="V133" s="169" t="str">
        <f t="shared" si="5"/>
        <v>7b1011100</v>
      </c>
    </row>
    <row r="134" spans="20:22">
      <c r="T134" s="169">
        <v>93</v>
      </c>
      <c r="U134" s="169" t="str">
        <f t="shared" si="4"/>
        <v>0x5D</v>
      </c>
      <c r="V134" s="169" t="str">
        <f t="shared" si="5"/>
        <v>7b1011101</v>
      </c>
    </row>
    <row r="135" spans="20:22">
      <c r="T135" s="169">
        <v>94</v>
      </c>
      <c r="U135" s="169" t="str">
        <f>CONCATENATE("0x",DEC2HEX(T135,2), " (default)")</f>
        <v>0x5E (default)</v>
      </c>
      <c r="V135" s="169" t="s">
        <v>162</v>
      </c>
    </row>
    <row r="136" spans="20:22">
      <c r="T136" s="169">
        <v>95</v>
      </c>
      <c r="U136" s="169" t="str">
        <f t="shared" ref="U136:U160" si="6">CONCATENATE("0x",DEC2HEX(T136,2))</f>
        <v>0x5F</v>
      </c>
      <c r="V136" s="169" t="str">
        <f t="shared" ref="V136:V160" si="7">CONCATENATE("7b",DEC2BIN(T136,7))</f>
        <v>7b1011111</v>
      </c>
    </row>
    <row r="137" spans="20:22">
      <c r="T137" s="169">
        <v>96</v>
      </c>
      <c r="U137" s="169" t="str">
        <f t="shared" si="6"/>
        <v>0x60</v>
      </c>
      <c r="V137" s="169" t="str">
        <f t="shared" si="7"/>
        <v>7b1100000</v>
      </c>
    </row>
    <row r="138" spans="20:22">
      <c r="T138" s="169">
        <v>97</v>
      </c>
      <c r="U138" s="169" t="str">
        <f t="shared" si="6"/>
        <v>0x61</v>
      </c>
      <c r="V138" s="169" t="str">
        <f t="shared" si="7"/>
        <v>7b1100001</v>
      </c>
    </row>
    <row r="139" spans="20:22">
      <c r="T139" s="169">
        <v>98</v>
      </c>
      <c r="U139" s="169" t="str">
        <f t="shared" si="6"/>
        <v>0x62</v>
      </c>
      <c r="V139" s="169" t="str">
        <f t="shared" si="7"/>
        <v>7b1100010</v>
      </c>
    </row>
    <row r="140" spans="20:22">
      <c r="T140" s="169">
        <v>99</v>
      </c>
      <c r="U140" s="169" t="str">
        <f t="shared" si="6"/>
        <v>0x63</v>
      </c>
      <c r="V140" s="169" t="str">
        <f t="shared" si="7"/>
        <v>7b1100011</v>
      </c>
    </row>
    <row r="141" spans="20:22">
      <c r="T141" s="169">
        <v>100</v>
      </c>
      <c r="U141" s="169" t="str">
        <f t="shared" si="6"/>
        <v>0x64</v>
      </c>
      <c r="V141" s="169" t="str">
        <f t="shared" si="7"/>
        <v>7b1100100</v>
      </c>
    </row>
    <row r="142" spans="20:22">
      <c r="T142" s="169">
        <v>101</v>
      </c>
      <c r="U142" s="169" t="str">
        <f t="shared" si="6"/>
        <v>0x65</v>
      </c>
      <c r="V142" s="169" t="str">
        <f t="shared" si="7"/>
        <v>7b1100101</v>
      </c>
    </row>
    <row r="143" spans="20:22">
      <c r="T143" s="169">
        <v>102</v>
      </c>
      <c r="U143" s="169" t="str">
        <f t="shared" si="6"/>
        <v>0x66</v>
      </c>
      <c r="V143" s="169" t="str">
        <f t="shared" si="7"/>
        <v>7b1100110</v>
      </c>
    </row>
    <row r="144" spans="20:22">
      <c r="T144" s="169">
        <v>103</v>
      </c>
      <c r="U144" s="169" t="str">
        <f t="shared" si="6"/>
        <v>0x67</v>
      </c>
      <c r="V144" s="169" t="str">
        <f t="shared" si="7"/>
        <v>7b1100111</v>
      </c>
    </row>
    <row r="145" spans="20:22">
      <c r="T145" s="169">
        <v>104</v>
      </c>
      <c r="U145" s="169" t="str">
        <f t="shared" si="6"/>
        <v>0x68</v>
      </c>
      <c r="V145" s="169" t="str">
        <f t="shared" si="7"/>
        <v>7b1101000</v>
      </c>
    </row>
    <row r="146" spans="20:22">
      <c r="T146" s="169">
        <v>105</v>
      </c>
      <c r="U146" s="169" t="str">
        <f t="shared" si="6"/>
        <v>0x69</v>
      </c>
      <c r="V146" s="169" t="str">
        <f t="shared" si="7"/>
        <v>7b1101001</v>
      </c>
    </row>
    <row r="147" spans="20:22">
      <c r="T147" s="169">
        <v>106</v>
      </c>
      <c r="U147" s="169" t="str">
        <f t="shared" si="6"/>
        <v>0x6A</v>
      </c>
      <c r="V147" s="169" t="str">
        <f t="shared" si="7"/>
        <v>7b1101010</v>
      </c>
    </row>
    <row r="148" spans="20:22">
      <c r="T148" s="169">
        <v>107</v>
      </c>
      <c r="U148" s="169" t="str">
        <f t="shared" si="6"/>
        <v>0x6B</v>
      </c>
      <c r="V148" s="169" t="str">
        <f t="shared" si="7"/>
        <v>7b1101011</v>
      </c>
    </row>
    <row r="149" spans="20:22">
      <c r="T149" s="169">
        <v>108</v>
      </c>
      <c r="U149" s="169" t="str">
        <f t="shared" si="6"/>
        <v>0x6C</v>
      </c>
      <c r="V149" s="169" t="str">
        <f t="shared" si="7"/>
        <v>7b1101100</v>
      </c>
    </row>
    <row r="150" spans="20:22">
      <c r="T150" s="169">
        <v>109</v>
      </c>
      <c r="U150" s="169" t="str">
        <f t="shared" si="6"/>
        <v>0x6D</v>
      </c>
      <c r="V150" s="169" t="str">
        <f t="shared" si="7"/>
        <v>7b1101101</v>
      </c>
    </row>
    <row r="151" spans="20:22">
      <c r="T151" s="169">
        <v>110</v>
      </c>
      <c r="U151" s="169" t="str">
        <f t="shared" si="6"/>
        <v>0x6E</v>
      </c>
      <c r="V151" s="169" t="str">
        <f t="shared" si="7"/>
        <v>7b1101110</v>
      </c>
    </row>
    <row r="152" spans="20:22">
      <c r="T152" s="169">
        <v>111</v>
      </c>
      <c r="U152" s="169" t="str">
        <f t="shared" si="6"/>
        <v>0x6F</v>
      </c>
      <c r="V152" s="169" t="str">
        <f t="shared" si="7"/>
        <v>7b1101111</v>
      </c>
    </row>
    <row r="153" spans="20:22">
      <c r="T153" s="169">
        <v>112</v>
      </c>
      <c r="U153" s="169" t="str">
        <f t="shared" si="6"/>
        <v>0x70</v>
      </c>
      <c r="V153" s="169" t="str">
        <f t="shared" si="7"/>
        <v>7b1110000</v>
      </c>
    </row>
    <row r="154" spans="20:22">
      <c r="T154" s="169">
        <v>113</v>
      </c>
      <c r="U154" s="169" t="str">
        <f t="shared" si="6"/>
        <v>0x71</v>
      </c>
      <c r="V154" s="169" t="str">
        <f t="shared" si="7"/>
        <v>7b1110001</v>
      </c>
    </row>
    <row r="155" spans="20:22">
      <c r="T155" s="169">
        <v>114</v>
      </c>
      <c r="U155" s="169" t="str">
        <f t="shared" si="6"/>
        <v>0x72</v>
      </c>
      <c r="V155" s="169" t="str">
        <f t="shared" si="7"/>
        <v>7b1110010</v>
      </c>
    </row>
    <row r="156" spans="20:22">
      <c r="T156" s="169">
        <v>115</v>
      </c>
      <c r="U156" s="169" t="str">
        <f t="shared" si="6"/>
        <v>0x73</v>
      </c>
      <c r="V156" s="169" t="str">
        <f t="shared" si="7"/>
        <v>7b1110011</v>
      </c>
    </row>
    <row r="157" spans="20:22">
      <c r="T157" s="169">
        <v>116</v>
      </c>
      <c r="U157" s="169" t="str">
        <f t="shared" si="6"/>
        <v>0x74</v>
      </c>
      <c r="V157" s="169" t="str">
        <f t="shared" si="7"/>
        <v>7b1110100</v>
      </c>
    </row>
    <row r="158" spans="20:22">
      <c r="T158" s="169">
        <v>117</v>
      </c>
      <c r="U158" s="169" t="str">
        <f t="shared" si="6"/>
        <v>0x75</v>
      </c>
      <c r="V158" s="169" t="str">
        <f t="shared" si="7"/>
        <v>7b1110101</v>
      </c>
    </row>
    <row r="159" spans="20:22">
      <c r="T159" s="169">
        <v>118</v>
      </c>
      <c r="U159" s="169" t="str">
        <f t="shared" si="6"/>
        <v>0x76</v>
      </c>
      <c r="V159" s="169" t="str">
        <f t="shared" si="7"/>
        <v>7b1110110</v>
      </c>
    </row>
    <row r="160" spans="20:22">
      <c r="T160" s="169">
        <v>119</v>
      </c>
      <c r="U160" s="169" t="str">
        <f t="shared" si="6"/>
        <v>0x77</v>
      </c>
      <c r="V160" s="169" t="str">
        <f t="shared" si="7"/>
        <v>7b1110111</v>
      </c>
    </row>
  </sheetData>
  <sheetProtection password="CA35" sheet="1" objects="1" scenarios="1"/>
  <mergeCells count="8">
    <mergeCell ref="B79:C79"/>
    <mergeCell ref="B86:C86"/>
    <mergeCell ref="F46:F48"/>
    <mergeCell ref="F4:F6"/>
    <mergeCell ref="F12:F13"/>
    <mergeCell ref="F36:F38"/>
    <mergeCell ref="B71:C71"/>
    <mergeCell ref="B72:C72"/>
  </mergeCells>
  <dataValidations count="14">
    <dataValidation type="list" allowBlank="1" showInputMessage="1" showErrorMessage="1" sqref="C27:C39" xr:uid="{00000000-0002-0000-0300-000000000000}">
      <formula1>$T$4:$T$6</formula1>
    </dataValidation>
    <dataValidation type="custom" allowBlank="1" showInputMessage="1" showErrorMessage="1" sqref="C65:C67" xr:uid="{00000000-0002-0000-0300-000001000000}">
      <formula1>"'Default'"</formula1>
    </dataValidation>
    <dataValidation type="list" allowBlank="1" showInputMessage="1" showErrorMessage="1" sqref="C58" xr:uid="{00000000-0002-0000-0300-000002000000}">
      <formula1>$N$58:$N$61</formula1>
    </dataValidation>
    <dataValidation type="custom" allowBlank="1" showInputMessage="1" showErrorMessage="1" sqref="C54:C56" xr:uid="{00000000-0002-0000-0300-000003000000}">
      <formula1>"'1 uH'"</formula1>
    </dataValidation>
    <dataValidation type="list" allowBlank="1" showInputMessage="1" showErrorMessage="1" sqref="C46:C51" xr:uid="{00000000-0002-0000-0300-000004000000}">
      <formula1>$N$45:$N$46</formula1>
    </dataValidation>
    <dataValidation type="list" allowBlank="1" showInputMessage="1" showErrorMessage="1" sqref="C24" xr:uid="{00000000-0002-0000-0300-000005000000}">
      <formula1>$S$12:$S$13</formula1>
    </dataValidation>
    <dataValidation type="list" allowBlank="1" showInputMessage="1" showErrorMessage="1" sqref="C23" xr:uid="{00000000-0002-0000-0300-000006000000}">
      <formula1>$Q$12:$Q$16</formula1>
    </dataValidation>
    <dataValidation type="list" allowBlank="1" showInputMessage="1" showErrorMessage="1" sqref="C12:C22" xr:uid="{00000000-0002-0000-0300-000007000000}">
      <formula1>$N$12:$N$16</formula1>
    </dataValidation>
    <dataValidation type="list" allowBlank="1" showInputMessage="1" showErrorMessage="1" sqref="C4:C5 C9" xr:uid="{00000000-0002-0000-0300-000008000000}">
      <formula1>$N$4:$N$5</formula1>
    </dataValidation>
    <dataValidation type="list" allowBlank="1" showInputMessage="1" showErrorMessage="1" sqref="C73 C80 C87" xr:uid="{00000000-0002-0000-0300-000009000000}">
      <formula1>$T$4:$T$5</formula1>
    </dataValidation>
    <dataValidation type="custom" allowBlank="1" showInputMessage="1" showErrorMessage="1" sqref="C43" xr:uid="{00000000-0002-0000-0300-00000A000000}">
      <formula1>"'No'"</formula1>
    </dataValidation>
    <dataValidation type="custom" allowBlank="1" showInputMessage="1" showErrorMessage="1" sqref="C6:C8" xr:uid="{00000000-0002-0000-0300-00000B000000}">
      <formula1>"'Force PWM'"</formula1>
    </dataValidation>
    <dataValidation type="custom" allowBlank="1" showInputMessage="1" showErrorMessage="1" sqref="C40 C69" xr:uid="{00000000-0002-0000-0300-00000C000000}">
      <formula1>"'Yes'"</formula1>
    </dataValidation>
    <dataValidation type="list" allowBlank="1" showInputMessage="1" showErrorMessage="1" sqref="C62" xr:uid="{00000000-0002-0000-0300-00000D000000}">
      <formula1>$U$50:$U$160</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dimension ref="B1:V28"/>
  <sheetViews>
    <sheetView topLeftCell="A4" zoomScale="115" zoomScaleNormal="115" workbookViewId="0">
      <selection activeCell="C16" sqref="C16"/>
    </sheetView>
  </sheetViews>
  <sheetFormatPr defaultColWidth="9.08984375" defaultRowHeight="14.5"/>
  <cols>
    <col min="1" max="1" width="9.08984375" style="215"/>
    <col min="2" max="2" width="20.6328125" style="215" bestFit="1" customWidth="1"/>
    <col min="3" max="3" width="20.6328125" style="215" customWidth="1"/>
    <col min="4" max="4" width="43.54296875" style="215" customWidth="1"/>
    <col min="5" max="8" width="9.08984375" style="215"/>
    <col min="9" max="9" width="18.36328125" style="215" hidden="1" customWidth="1"/>
    <col min="10" max="10" width="19.7265625" style="215" hidden="1" customWidth="1"/>
    <col min="11" max="16" width="9.08984375" style="215" hidden="1" customWidth="1"/>
    <col min="17" max="17" width="12.36328125" style="215" hidden="1" customWidth="1"/>
    <col min="18" max="22" width="9.08984375" style="215" hidden="1" customWidth="1"/>
    <col min="23" max="16384" width="9.08984375" style="215"/>
  </cols>
  <sheetData>
    <row r="1" spans="2:20" hidden="1"/>
    <row r="2" spans="2:20" hidden="1"/>
    <row r="3" spans="2:20" hidden="1"/>
    <row r="5" spans="2:20">
      <c r="B5" s="253" t="s">
        <v>1444</v>
      </c>
      <c r="C5" s="253" t="s">
        <v>1520</v>
      </c>
      <c r="D5" s="253" t="s">
        <v>1553</v>
      </c>
      <c r="J5" s="215" t="s">
        <v>1510</v>
      </c>
      <c r="N5" s="215" t="s">
        <v>1492</v>
      </c>
      <c r="Q5" s="215" t="s">
        <v>1493</v>
      </c>
      <c r="T5" s="215" t="s">
        <v>1494</v>
      </c>
    </row>
    <row r="6" spans="2:20">
      <c r="B6" s="253" t="s">
        <v>1509</v>
      </c>
      <c r="C6" s="253">
        <v>1.8</v>
      </c>
      <c r="D6" s="254" t="s">
        <v>1416</v>
      </c>
      <c r="I6" s="215" t="s">
        <v>135</v>
      </c>
      <c r="J6" s="215" t="str">
        <f>IF(Overview!C13=1.8,Overview!B13,"")</f>
        <v>BUCK1_VID</v>
      </c>
      <c r="K6" s="215" t="str">
        <f t="array" ref="K6">IF(ISBLANK(INDEX($J$6:$J$25, MATCH(0, COUNTIF($K$5:K5, $J$6:$J$25), 0))),"",INDEX($J$6:$J$25, MATCH(0, COUNTIF($K$5:K5, $J$6:$J$25), 0)))</f>
        <v>BUCK1_VID</v>
      </c>
      <c r="N6" s="215" t="str">
        <f>IF(Overview!C13=1*LEFT(Overview!$C$41,3),Overview!B13,"")</f>
        <v>BUCK1_VID</v>
      </c>
      <c r="O6" s="215" t="str">
        <f t="array" ref="O6">IF(ISBLANK(INDEX($N$6:$N$25, MATCH(0, COUNTIF($O$5:O5, $N$6:$N$25), 0))),"",INDEX($N$6:$N$25, MATCH(0, COUNTIF($O$5:O5, $N$6:$N$25), 0)))</f>
        <v>BUCK1_VID</v>
      </c>
      <c r="Q6" s="215" t="str">
        <f>IF(Overview!C13=1*LEFT(Overview!$C$42,3),Overview!B13,"")</f>
        <v>BUCK1_VID</v>
      </c>
      <c r="R6" s="215" t="str">
        <f t="array" ref="R6">IF(ISBLANK(INDEX($Q$6:$Q$25, MATCH(0, COUNTIF($R$5:R5, $Q$6:$Q$25), 0))),"",INDEX($Q$6:$Q$25, MATCH(0, COUNTIF($R$5:R5, $Q$6:$Q$25), 0)))</f>
        <v>BUCK1_VID</v>
      </c>
      <c r="T6" s="215" t="str">
        <f>IF(AND(MAX(Overview!C17:C23)&lt;=1.8,Overview!C13&gt;3),"BUCK1",IF(AND(T7="",T8=""),"VSYS_5V",""))</f>
        <v>VSYS_5V</v>
      </c>
    </row>
    <row r="7" spans="2:20">
      <c r="B7" s="253" t="s">
        <v>1489</v>
      </c>
      <c r="C7" s="253" t="str">
        <f>LEFT(Overview!C41,FIND(" ",Overview!C41))</f>
        <v xml:space="preserve">1.8 </v>
      </c>
      <c r="D7" s="254" t="s">
        <v>1416</v>
      </c>
      <c r="I7" s="215" t="s">
        <v>1410</v>
      </c>
      <c r="J7" s="215" t="str">
        <f>IF(Overview!C14=1.8,Overview!B14,"")</f>
        <v/>
      </c>
      <c r="K7" s="215" t="str">
        <f t="array" ref="K7">IF(ISBLANK(INDEX($J$6:$J$25, MATCH(0, COUNTIF($K$5:K6, $J$6:$J$25), 0))),"",INDEX($J$6:$J$25, MATCH(0, COUNTIF($K$5:K6, $J$6:$J$25), 0)))</f>
        <v/>
      </c>
      <c r="N7" s="215" t="str">
        <f>IF(Overview!C14=1*LEFT(Overview!$C$41,3),Overview!B14,"")</f>
        <v/>
      </c>
      <c r="O7" s="215" t="str">
        <f t="array" ref="O7">IF(ISBLANK(INDEX($N$6:$N$25, MATCH(0, COUNTIF($O$5:O6, $N$6:$N$25), 0))),"",INDEX($N$6:$N$25, MATCH(0, COUNTIF($O$5:O6, $N$6:$N$25), 0)))</f>
        <v/>
      </c>
      <c r="Q7" s="215" t="str">
        <f>IF(Overview!C14=1*LEFT(Overview!$C$42,3),Overview!B14,"")</f>
        <v/>
      </c>
      <c r="R7" s="215" t="str">
        <f t="array" ref="R7">IF(ISBLANK(INDEX($Q$6:$Q$25, MATCH(0, COUNTIF($R$5:R6, $Q$6:$Q$25), 0))),"",INDEX($Q$6:$Q$25, MATCH(0, COUNTIF($R$5:R6, $Q$6:$Q$25), 0)))</f>
        <v/>
      </c>
      <c r="T7" s="215" t="str">
        <f>IF(AND(MAX(Overview!C17:C23)&lt;=1.8,Overview!C15&gt;3),"BUCK2","")</f>
        <v/>
      </c>
    </row>
    <row r="8" spans="2:20">
      <c r="B8" s="253" t="s">
        <v>1490</v>
      </c>
      <c r="C8" s="253" t="str">
        <f>LEFT(Overview!C42,FIND(" ",Overview!C42))</f>
        <v xml:space="preserve">1.8 </v>
      </c>
      <c r="D8" s="254" t="s">
        <v>1416</v>
      </c>
      <c r="I8" s="215" t="s">
        <v>136</v>
      </c>
      <c r="J8" s="215" t="str">
        <f>IF(Overview!C15=1.8,Overview!B15,"")</f>
        <v/>
      </c>
      <c r="K8" s="215" t="str">
        <f t="array" ref="K8">IF(ISBLANK(INDEX($J$6:$J$25, MATCH(0, COUNTIF($K$5:K7, $J$6:$J$25), 0))),"",INDEX($J$6:$J$25, MATCH(0, COUNTIF($K$5:K7, $J$6:$J$25), 0)))</f>
        <v/>
      </c>
      <c r="N8" s="215" t="str">
        <f>IF(Overview!C15=1*LEFT(Overview!$C$41,3),Overview!B15,"")</f>
        <v/>
      </c>
      <c r="O8" s="215" t="str">
        <f t="array" ref="O8">IF(ISBLANK(INDEX($N$6:$N$25, MATCH(0, COUNTIF($O$5:O7, $N$6:$N$25), 0))),"",INDEX($N$6:$N$25, MATCH(0, COUNTIF($O$5:O7, $N$6:$N$25), 0)))</f>
        <v/>
      </c>
      <c r="Q8" s="215" t="str">
        <f>IF(Overview!C15=1*LEFT(Overview!$C$42,3),Overview!B15,"")</f>
        <v/>
      </c>
      <c r="R8" s="215" t="str">
        <f t="array" ref="R8">IF(ISBLANK(INDEX($Q$6:$Q$25, MATCH(0, COUNTIF($R$5:R7, $Q$6:$Q$25), 0))),"",INDEX($Q$6:$Q$25, MATCH(0, COUNTIF($R$5:R7, $Q$6:$Q$25), 0)))</f>
        <v/>
      </c>
      <c r="T8" s="215" t="str">
        <f>IF(AND(MAX(Overview!C17:C23)&lt;=1.8,Overview!C23&gt;3),"BUCK6","")</f>
        <v/>
      </c>
    </row>
    <row r="9" spans="2:20">
      <c r="B9" s="253" t="s">
        <v>1491</v>
      </c>
      <c r="C9" s="253" t="s">
        <v>1522</v>
      </c>
      <c r="D9" s="254" t="s">
        <v>1550</v>
      </c>
      <c r="I9" s="215" t="s">
        <v>1411</v>
      </c>
      <c r="J9" s="215" t="str">
        <f>IF(Overview!C16=1.8,Overview!B16,"")</f>
        <v/>
      </c>
      <c r="K9" s="215" t="str">
        <f t="array" ref="K9">IF(ISBLANK(INDEX($J$6:$J$25, MATCH(0, COUNTIF($K$5:K8, $J$6:$J$25), 0))),"",INDEX($J$6:$J$25, MATCH(0, COUNTIF($K$5:K8, $J$6:$J$25), 0)))</f>
        <v/>
      </c>
      <c r="N9" s="215" t="str">
        <f>IF(Overview!C16=1*LEFT(Overview!$C$41,3),Overview!B16,"")</f>
        <v/>
      </c>
      <c r="O9" s="215" t="str">
        <f t="array" ref="O9">IF(ISBLANK(INDEX($N$6:$N$25, MATCH(0, COUNTIF($O$5:O8, $N$6:$N$25), 0))),"",INDEX($N$6:$N$25, MATCH(0, COUNTIF($O$5:O8, $N$6:$N$25), 0)))</f>
        <v/>
      </c>
      <c r="Q9" s="215" t="str">
        <f>IF(Overview!C16=1*LEFT(Overview!$C$42,3),Overview!B16,"")</f>
        <v/>
      </c>
      <c r="R9" s="215" t="str">
        <f t="array" ref="R9">IF(ISBLANK(INDEX($Q$6:$Q$25, MATCH(0, COUNTIF($R$5:R8, $Q$6:$Q$25), 0))),"",INDEX($Q$6:$Q$25, MATCH(0, COUNTIF($R$5:R8, $Q$6:$Q$25), 0)))</f>
        <v/>
      </c>
      <c r="T9" s="215" t="str">
        <f>IF(T6="VSYS_5V","","VSYS_5V")</f>
        <v/>
      </c>
    </row>
    <row r="10" spans="2:20">
      <c r="B10" s="253"/>
      <c r="C10" s="253"/>
      <c r="D10" s="253"/>
      <c r="I10" s="215" t="s">
        <v>137</v>
      </c>
      <c r="J10" s="215" t="str">
        <f>IF(Overview!C17=1.8,Overview!B17,"")</f>
        <v/>
      </c>
      <c r="K10" s="215" t="str">
        <f t="array" ref="K10">IF(ISBLANK(INDEX($J$6:$J$25, MATCH(0, COUNTIF($K$5:K9, $J$6:$J$25), 0))),"",INDEX($J$6:$J$25, MATCH(0, COUNTIF($K$5:K9, $J$6:$J$25), 0)))</f>
        <v/>
      </c>
      <c r="N10" s="215" t="str">
        <f>IF(Overview!C17=1*LEFT(Overview!$C$41,3),Overview!B17,"")</f>
        <v/>
      </c>
      <c r="O10" s="215" t="str">
        <f t="array" ref="O10">IF(ISBLANK(INDEX($N$6:$N$25, MATCH(0, COUNTIF($O$5:O9, $N$6:$N$25), 0))),"",INDEX($N$6:$N$25, MATCH(0, COUNTIF($O$5:O9, $N$6:$N$25), 0)))</f>
        <v/>
      </c>
      <c r="Q10" s="215" t="str">
        <f>IF(Overview!C17=1*LEFT(Overview!$C$42,3),Overview!B17,"")</f>
        <v/>
      </c>
      <c r="R10" s="215" t="str">
        <f t="array" ref="R10">IF(ISBLANK(INDEX($Q$6:$Q$25, MATCH(0, COUNTIF($R$5:R9, $Q$6:$Q$25), 0))),"",INDEX($Q$6:$Q$25, MATCH(0, COUNTIF($R$5:R9, $Q$6:$Q$25), 0)))</f>
        <v/>
      </c>
    </row>
    <row r="11" spans="2:20" ht="73.150000000000006" customHeight="1">
      <c r="B11" s="256" t="s">
        <v>1495</v>
      </c>
      <c r="C11" s="256"/>
      <c r="D11" s="255" t="str">
        <f>IF(Overview!C13="Ext FB","If using the TPS650860EVM-116 EVM, replace R24 with 294 kΩ and populate R25 with 25.5 kΩ. Add ~5 pF capacitor on top of R24 for improved transient response. When using the BOOSTXL-TPS650861 EVM monitor the output for 0.4 V.", "Unchanged")</f>
        <v>Unchanged</v>
      </c>
      <c r="I11" s="215" t="s">
        <v>141</v>
      </c>
      <c r="J11" s="215" t="str">
        <f>IF(Overview!C18=1.8,Overview!B18,"")</f>
        <v/>
      </c>
      <c r="K11" s="215" t="str">
        <f t="array" ref="K11">IF(ISBLANK(INDEX($J$6:$J$25, MATCH(0, COUNTIF($K$5:K10, $J$6:$J$25), 0))),"",INDEX($J$6:$J$25, MATCH(0, COUNTIF($K$5:K10, $J$6:$J$25), 0)))</f>
        <v/>
      </c>
      <c r="N11" s="215" t="str">
        <f>IF(Overview!C18=1*LEFT(Overview!$C$41,3),Overview!B18,"")</f>
        <v/>
      </c>
      <c r="O11" s="215" t="str">
        <f t="array" ref="O11">IF(ISBLANK(INDEX($N$6:$N$25, MATCH(0, COUNTIF($O$5:O10, $N$6:$N$25), 0))),"",INDEX($N$6:$N$25, MATCH(0, COUNTIF($O$5:O10, $N$6:$N$25), 0)))</f>
        <v/>
      </c>
      <c r="Q11" s="215" t="str">
        <f>IF(Overview!C18=1*LEFT(Overview!$C$42,3),Overview!B18,"")</f>
        <v/>
      </c>
      <c r="R11" s="215" t="str">
        <f t="array" ref="R11">IF(ISBLANK(INDEX($Q$6:$Q$25, MATCH(0, COUNTIF($R$5:R10, $Q$6:$Q$25), 0))),"",INDEX($Q$6:$Q$25, MATCH(0, COUNTIF($R$5:R10, $Q$6:$Q$25), 0)))</f>
        <v/>
      </c>
    </row>
    <row r="12" spans="2:20">
      <c r="B12" s="249"/>
      <c r="C12" s="249"/>
      <c r="D12" s="252"/>
      <c r="I12" s="215" t="s">
        <v>138</v>
      </c>
      <c r="J12" s="215" t="str">
        <f>IF(Overview!C19=1.8,Overview!B19,"")</f>
        <v/>
      </c>
      <c r="K12" s="215" t="str">
        <f t="array" ref="K12">IF(ISBLANK(INDEX($J$6:$J$25, MATCH(0, COUNTIF($K$5:K11, $J$6:$J$25), 0))),"",INDEX($J$6:$J$25, MATCH(0, COUNTIF($K$5:K11, $J$6:$J$25), 0)))</f>
        <v/>
      </c>
      <c r="N12" s="215" t="str">
        <f>IF(Overview!C19=1*LEFT(Overview!$C$41,3),Overview!B19,"")</f>
        <v/>
      </c>
      <c r="O12" s="215" t="str">
        <f t="array" ref="O12">IF(ISBLANK(INDEX($N$6:$N$25, MATCH(0, COUNTIF($O$5:O11, $N$6:$N$25), 0))),"",INDEX($N$6:$N$25, MATCH(0, COUNTIF($O$5:O11, $N$6:$N$25), 0)))</f>
        <v/>
      </c>
      <c r="Q12" s="215" t="str">
        <f>IF(Overview!C19=1*LEFT(Overview!$C$42,3),Overview!B19,"")</f>
        <v/>
      </c>
      <c r="R12" s="215" t="str">
        <f t="array" ref="R12">IF(ISBLANK(INDEX($Q$6:$Q$25, MATCH(0, COUNTIF($R$5:R11, $Q$6:$Q$25), 0))),"",INDEX($Q$6:$Q$25, MATCH(0, COUNTIF($R$5:R11, $Q$6:$Q$25), 0)))</f>
        <v/>
      </c>
    </row>
    <row r="13" spans="2:20">
      <c r="B13" s="249"/>
      <c r="C13" s="249"/>
      <c r="D13" s="252"/>
      <c r="I13" s="215" t="s">
        <v>142</v>
      </c>
      <c r="J13" s="215" t="str">
        <f>IF(Overview!C20=1.8,Overview!B20,"")</f>
        <v/>
      </c>
      <c r="K13" s="215" t="str">
        <f t="array" ref="K13">IF(ISBLANK(INDEX($J$6:$J$25, MATCH(0, COUNTIF($K$5:K12, $J$6:$J$25), 0))),"",INDEX($J$6:$J$25, MATCH(0, COUNTIF($K$5:K12, $J$6:$J$25), 0)))</f>
        <v/>
      </c>
      <c r="N13" s="215" t="str">
        <f>IF(Overview!C20=1*LEFT(Overview!$C$41,3),Overview!B20,"")</f>
        <v/>
      </c>
      <c r="O13" s="215" t="str">
        <f t="array" ref="O13">IF(ISBLANK(INDEX($N$6:$N$25, MATCH(0, COUNTIF($O$5:O12, $N$6:$N$25), 0))),"",INDEX($N$6:$N$25, MATCH(0, COUNTIF($O$5:O12, $N$6:$N$25), 0)))</f>
        <v/>
      </c>
      <c r="Q13" s="215" t="str">
        <f>IF(Overview!C20=1*LEFT(Overview!$C$42,3),Overview!B20,"")</f>
        <v/>
      </c>
      <c r="R13" s="215" t="str">
        <f t="array" ref="R13">IF(ISBLANK(INDEX($Q$6:$Q$25, MATCH(0, COUNTIF($R$5:R12, $Q$6:$Q$25), 0))),"",INDEX($Q$6:$Q$25, MATCH(0, COUNTIF($R$5:R12, $Q$6:$Q$25), 0)))</f>
        <v/>
      </c>
    </row>
    <row r="14" spans="2:20">
      <c r="B14" s="249"/>
      <c r="C14" s="249"/>
      <c r="D14" s="252"/>
      <c r="I14" s="215" t="s">
        <v>139</v>
      </c>
      <c r="J14" s="215" t="str">
        <f>IF(Overview!C21=1.8,Overview!B21,"")</f>
        <v/>
      </c>
      <c r="K14" s="215" t="str">
        <f t="array" ref="K14">IF(ISBLANK(INDEX($J$6:$J$25, MATCH(0, COUNTIF($K$5:K13, $J$6:$J$25), 0))),"",INDEX($J$6:$J$25, MATCH(0, COUNTIF($K$5:K13, $J$6:$J$25), 0)))</f>
        <v/>
      </c>
      <c r="N14" s="215" t="str">
        <f>IF(Overview!C21=1*LEFT(Overview!$C$41,3),Overview!B21,"")</f>
        <v/>
      </c>
      <c r="O14" s="215" t="str">
        <f t="array" ref="O14">IF(ISBLANK(INDEX($N$6:$N$25, MATCH(0, COUNTIF($O$5:O13, $N$6:$N$25), 0))),"",INDEX($N$6:$N$25, MATCH(0, COUNTIF($O$5:O13, $N$6:$N$25), 0)))</f>
        <v/>
      </c>
      <c r="Q14" s="215" t="str">
        <f>IF(Overview!C21=1*LEFT(Overview!$C$42,3),Overview!B21,"")</f>
        <v/>
      </c>
      <c r="R14" s="215" t="str">
        <f t="array" ref="R14">IF(ISBLANK(INDEX($Q$6:$Q$25, MATCH(0, COUNTIF($R$5:R13, $Q$6:$Q$25), 0))),"",INDEX($Q$6:$Q$25, MATCH(0, COUNTIF($R$5:R13, $Q$6:$Q$25), 0)))</f>
        <v/>
      </c>
    </row>
    <row r="15" spans="2:20">
      <c r="B15" s="249"/>
      <c r="C15" s="249"/>
      <c r="D15" s="252"/>
      <c r="I15" s="215" t="s">
        <v>143</v>
      </c>
      <c r="J15" s="215" t="str">
        <f>IF(Overview!C22=1.8,Overview!B22,"")</f>
        <v/>
      </c>
      <c r="K15" s="215" t="str">
        <f t="array" ref="K15">IF(ISBLANK(INDEX($J$6:$J$25, MATCH(0, COUNTIF($K$5:K14, $J$6:$J$25), 0))),"",INDEX($J$6:$J$25, MATCH(0, COUNTIF($K$5:K14, $J$6:$J$25), 0)))</f>
        <v/>
      </c>
      <c r="N15" s="215" t="str">
        <f>IF(Overview!C22=1*LEFT(Overview!$C$41,3),Overview!B22,"")</f>
        <v/>
      </c>
      <c r="O15" s="215" t="str">
        <f t="array" ref="O15">IF(ISBLANK(INDEX($N$6:$N$25, MATCH(0, COUNTIF($O$5:O14, $N$6:$N$25), 0))),"",INDEX($N$6:$N$25, MATCH(0, COUNTIF($O$5:O14, $N$6:$N$25), 0)))</f>
        <v/>
      </c>
      <c r="Q15" s="215" t="str">
        <f>IF(Overview!C22=1*LEFT(Overview!$C$42,3),Overview!B22,"")</f>
        <v/>
      </c>
      <c r="R15" s="215" t="str">
        <f t="array" ref="R15">IF(ISBLANK(INDEX($Q$6:$Q$25, MATCH(0, COUNTIF($R$5:R14, $Q$6:$Q$25), 0))),"",INDEX($Q$6:$Q$25, MATCH(0, COUNTIF($R$5:R14, $Q$6:$Q$25), 0)))</f>
        <v/>
      </c>
    </row>
    <row r="16" spans="2:20">
      <c r="I16" s="215" t="s">
        <v>140</v>
      </c>
      <c r="J16" s="215" t="str">
        <f>IF(Overview!C23=1.8,Overview!B23,"")</f>
        <v/>
      </c>
      <c r="K16" s="215" t="str">
        <f t="array" ref="K16">IF(ISBLANK(INDEX($J$6:$J$25, MATCH(0, COUNTIF($K$5:K15, $J$6:$J$25), 0))),"",INDEX($J$6:$J$25, MATCH(0, COUNTIF($K$5:K15, $J$6:$J$25), 0)))</f>
        <v/>
      </c>
      <c r="N16" s="215" t="str">
        <f>IF(Overview!C23=1*LEFT(Overview!$C$41,3),Overview!B23,"")</f>
        <v/>
      </c>
      <c r="O16" s="215" t="str">
        <f t="array" ref="O16">IF(ISBLANK(INDEX($N$6:$N$25, MATCH(0, COUNTIF($O$5:O15, $N$6:$N$25), 0))),"",INDEX($N$6:$N$25, MATCH(0, COUNTIF($O$5:O15, $N$6:$N$25), 0)))</f>
        <v/>
      </c>
      <c r="Q16" s="215" t="str">
        <f>IF(Overview!C23=1*LEFT(Overview!$C$42,3),Overview!B23,"")</f>
        <v/>
      </c>
      <c r="R16" s="215" t="str">
        <f t="array" ref="R16">IF(ISBLANK(INDEX($Q$6:$Q$25, MATCH(0, COUNTIF($R$5:R15, $Q$6:$Q$25), 0))),"",INDEX($Q$6:$Q$25, MATCH(0, COUNTIF($R$5:R15, $Q$6:$Q$25), 0)))</f>
        <v/>
      </c>
    </row>
    <row r="17" spans="4:20">
      <c r="I17" s="215" t="s">
        <v>1412</v>
      </c>
      <c r="J17" s="215" t="str">
        <f>IF(Overview!C24=1.8,Overview!B24,"")</f>
        <v/>
      </c>
      <c r="K17" s="215" t="str">
        <f t="array" ref="K17">IF(ISBLANK(INDEX($J$6:$J$25, MATCH(0, COUNTIF($K$5:K16, $J$6:$J$25), 0))),"",INDEX($J$6:$J$25, MATCH(0, COUNTIF($K$5:K16, $J$6:$J$25), 0)))</f>
        <v/>
      </c>
      <c r="N17" s="215" t="str">
        <f>IF(Overview!C24=1*LEFT(Overview!$C$41,3),Overview!B24,"")</f>
        <v/>
      </c>
      <c r="O17" s="215" t="str">
        <f t="array" ref="O17">IF(ISBLANK(INDEX($N$6:$N$25, MATCH(0, COUNTIF($O$5:O16, $N$6:$N$25), 0))),"",INDEX($N$6:$N$25, MATCH(0, COUNTIF($O$5:O16, $N$6:$N$25), 0)))</f>
        <v/>
      </c>
      <c r="Q17" s="215" t="str">
        <f>IF(Overview!C24=1*LEFT(Overview!$C$42,3),Overview!B24,"")</f>
        <v/>
      </c>
      <c r="R17" s="215" t="str">
        <f t="array" ref="R17">IF(ISBLANK(INDEX($Q$6:$Q$25, MATCH(0, COUNTIF($R$5:R16, $Q$6:$Q$25), 0))),"",INDEX($Q$6:$Q$25, MATCH(0, COUNTIF($R$5:R16, $Q$6:$Q$25), 0)))</f>
        <v/>
      </c>
    </row>
    <row r="18" spans="4:20">
      <c r="I18" s="215" t="s">
        <v>1413</v>
      </c>
      <c r="J18" s="215" t="str">
        <f>IF(Overview!C25=1.8,Overview!B25,"")</f>
        <v/>
      </c>
      <c r="K18" s="215" t="str">
        <f t="array" ref="K18">IF(ISBLANK(INDEX($J$6:$J$25, MATCH(0, COUNTIF($K$5:K17, $J$6:$J$25), 0))),"",INDEX($J$6:$J$25, MATCH(0, COUNTIF($K$5:K17, $J$6:$J$25), 0)))</f>
        <v/>
      </c>
      <c r="N18" s="215" t="str">
        <f>IF(Overview!C25=1*LEFT(Overview!$C$41,3),Overview!B25,"")</f>
        <v/>
      </c>
      <c r="O18" s="215" t="str">
        <f t="array" ref="O18">IF(ISBLANK(INDEX($N$6:$N$25, MATCH(0, COUNTIF($O$5:O17, $N$6:$N$25), 0))),"",INDEX($N$6:$N$25, MATCH(0, COUNTIF($O$5:O17, $N$6:$N$25), 0)))</f>
        <v/>
      </c>
      <c r="Q18" s="215" t="str">
        <f>IF(Overview!C25=1*LEFT(Overview!$C$42,3),Overview!B25,"")</f>
        <v/>
      </c>
      <c r="R18" s="215" t="str">
        <f t="array" ref="R18">IF(ISBLANK(INDEX($Q$6:$Q$25, MATCH(0, COUNTIF($R$5:R17, $Q$6:$Q$25), 0))),"",INDEX($Q$6:$Q$25, MATCH(0, COUNTIF($R$5:R17, $Q$6:$Q$25), 0)))</f>
        <v/>
      </c>
    </row>
    <row r="19" spans="4:20">
      <c r="I19" s="215" t="s">
        <v>614</v>
      </c>
      <c r="K19" s="215" t="str">
        <f t="array" ref="K19">IF(ISBLANK(INDEX($J$6:$J$25, MATCH(0, COUNTIF($K$5:K18, $J$6:$J$25), 0))),"",INDEX($J$6:$J$25, MATCH(0, COUNTIF($K$5:K18, $J$6:$J$25), 0)))</f>
        <v/>
      </c>
      <c r="N19" s="215" t="str">
        <f>IF(Overview!C26=1*LEFT(Overview!$C$41,3),Overview!B26,"")</f>
        <v/>
      </c>
      <c r="O19" s="215" t="str">
        <f t="array" ref="O19">IF(ISBLANK(INDEX($N$6:$N$25, MATCH(0, COUNTIF($O$5:O18, $N$6:$N$25), 0))),"",INDEX($N$6:$N$25, MATCH(0, COUNTIF($O$5:O18, $N$6:$N$25), 0)))</f>
        <v/>
      </c>
      <c r="Q19" s="215" t="str">
        <f>IF(Overview!C26=1*LEFT(Overview!$C$42,3),Overview!B26,"")</f>
        <v/>
      </c>
      <c r="R19" s="215" t="str">
        <f t="array" ref="R19">IF(ISBLANK(INDEX($Q$6:$Q$25, MATCH(0, COUNTIF($R$5:R18, $Q$6:$Q$25), 0))),"",INDEX($Q$6:$Q$25, MATCH(0, COUNTIF($R$5:R18, $Q$6:$Q$25), 0)))</f>
        <v/>
      </c>
    </row>
    <row r="20" spans="4:20">
      <c r="I20" s="215" t="s">
        <v>615</v>
      </c>
      <c r="K20" s="215" t="str">
        <f t="array" ref="K20">IF(ISBLANK(INDEX($J$6:$J$25, MATCH(0, COUNTIF($K$5:K19, $J$6:$J$25), 0))),"",INDEX($J$6:$J$25, MATCH(0, COUNTIF($K$5:K19, $J$6:$J$25), 0)))</f>
        <v/>
      </c>
      <c r="N20" s="215" t="str">
        <f>IF(Overview!C27=1*LEFT(Overview!$C$41,3),Overview!B27,"")</f>
        <v/>
      </c>
      <c r="O20" s="215" t="str">
        <f t="array" ref="O20">IF(ISBLANK(INDEX($N$6:$N$25, MATCH(0, COUNTIF($O$5:O19, $N$6:$N$25), 0))),"",INDEX($N$6:$N$25, MATCH(0, COUNTIF($O$5:O19, $N$6:$N$25), 0)))</f>
        <v/>
      </c>
      <c r="Q20" s="215" t="str">
        <f>IF(Overview!C27=1*LEFT(Overview!$C$42,3),Overview!B27,"")</f>
        <v/>
      </c>
      <c r="R20" s="215" t="str">
        <f t="array" ref="R20">IF(ISBLANK(INDEX($Q$6:$Q$25, MATCH(0, COUNTIF($R$5:R19, $Q$6:$Q$25), 0))),"",INDEX($Q$6:$Q$25, MATCH(0, COUNTIF($R$5:R19, $Q$6:$Q$25), 0)))</f>
        <v/>
      </c>
    </row>
    <row r="21" spans="4:20">
      <c r="I21" s="215" t="s">
        <v>635</v>
      </c>
      <c r="K21" s="215" t="str">
        <f t="array" ref="K21">IF(ISBLANK(INDEX($J$6:$J$25, MATCH(0, COUNTIF($K$5:K20, $J$6:$J$25), 0))),"",INDEX($J$6:$J$25, MATCH(0, COUNTIF($K$5:K20, $J$6:$J$25), 0)))</f>
        <v/>
      </c>
      <c r="N21" s="215" t="str">
        <f>IF(Overview!C28=1*LEFT(Overview!$C$41,3),Overview!B28,"")</f>
        <v/>
      </c>
      <c r="O21" s="215" t="str">
        <f t="array" ref="O21">IF(ISBLANK(INDEX($N$6:$N$25, MATCH(0, COUNTIF($O$5:O20, $N$6:$N$25), 0))),"",INDEX($N$6:$N$25, MATCH(0, COUNTIF($O$5:O20, $N$6:$N$25), 0)))</f>
        <v/>
      </c>
      <c r="Q21" s="215" t="str">
        <f>IF(Overview!C28=1*LEFT(Overview!$C$42,3),Overview!B28,"")</f>
        <v/>
      </c>
      <c r="R21" s="215" t="str">
        <f t="array" ref="R21">IF(ISBLANK(INDEX($Q$6:$Q$25, MATCH(0, COUNTIF($R$5:R20, $Q$6:$Q$25), 0))),"",INDEX($Q$6:$Q$25, MATCH(0, COUNTIF($R$5:R20, $Q$6:$Q$25), 0)))</f>
        <v/>
      </c>
    </row>
    <row r="22" spans="4:20">
      <c r="I22" s="215" t="s">
        <v>616</v>
      </c>
      <c r="K22" s="215" t="str">
        <f t="array" ref="K22">IF(ISBLANK(INDEX($J$6:$J$25, MATCH(0, COUNTIF($K$5:K21, $J$6:$J$25), 0))),"",INDEX($J$6:$J$25, MATCH(0, COUNTIF($K$5:K21, $J$6:$J$25), 0)))</f>
        <v/>
      </c>
      <c r="N22" s="215" t="str">
        <f>IF(Overview!C29=1*LEFT(Overview!$C$41,3),Overview!B29,"")</f>
        <v/>
      </c>
      <c r="O22" s="215" t="str">
        <f t="array" ref="O22">IF(ISBLANK(INDEX($N$6:$N$25, MATCH(0, COUNTIF($O$5:O21, $N$6:$N$25), 0))),"",INDEX($N$6:$N$25, MATCH(0, COUNTIF($O$5:O21, $N$6:$N$25), 0)))</f>
        <v/>
      </c>
      <c r="Q22" s="215" t="str">
        <f>IF(Overview!C29=1*LEFT(Overview!$C$42,3),Overview!B29,"")</f>
        <v/>
      </c>
      <c r="R22" s="215" t="str">
        <f t="array" ref="R22">IF(ISBLANK(INDEX($Q$6:$Q$25, MATCH(0, COUNTIF($R$5:R21, $Q$6:$Q$25), 0))),"",INDEX($Q$6:$Q$25, MATCH(0, COUNTIF($R$5:R21, $Q$6:$Q$25), 0)))</f>
        <v/>
      </c>
    </row>
    <row r="23" spans="4:20">
      <c r="I23" s="215" t="s">
        <v>636</v>
      </c>
      <c r="K23" s="215" t="str">
        <f t="array" ref="K23">IF(ISBLANK(INDEX($J$6:$J$25, MATCH(0, COUNTIF($K$5:K22, $J$6:$J$25), 0))),"",INDEX($J$6:$J$25, MATCH(0, COUNTIF($K$5:K22, $J$6:$J$25), 0)))</f>
        <v/>
      </c>
      <c r="N23" s="215" t="str">
        <f>IF(Overview!C30=1*LEFT(Overview!$C$41,3),Overview!B30,"")</f>
        <v/>
      </c>
      <c r="O23" s="215" t="str">
        <f t="array" ref="O23">IF(ISBLANK(INDEX($N$6:$N$25, MATCH(0, COUNTIF($O$5:O22, $N$6:$N$25), 0))),"",INDEX($N$6:$N$25, MATCH(0, COUNTIF($O$5:O22, $N$6:$N$25), 0)))</f>
        <v/>
      </c>
      <c r="Q23" s="215" t="str">
        <f>IF(Overview!C30=1*LEFT(Overview!$C$42,3),Overview!B30,"")</f>
        <v/>
      </c>
      <c r="R23" s="215" t="str">
        <f t="array" ref="R23">IF(ISBLANK(INDEX($Q$6:$Q$25, MATCH(0, COUNTIF($R$5:R22, $Q$6:$Q$25), 0))),"",INDEX($Q$6:$Q$25, MATCH(0, COUNTIF($R$5:R22, $Q$6:$Q$25), 0)))</f>
        <v/>
      </c>
    </row>
    <row r="24" spans="4:20">
      <c r="N24" s="215" t="str">
        <f>IF(Overview!C41="3.3 V","VSYS_3P3V","")</f>
        <v/>
      </c>
      <c r="Q24" s="215" t="str">
        <f>IF(Overview!C42="3.3 V","VSYS_3P3V","")</f>
        <v/>
      </c>
    </row>
    <row r="25" spans="4:20">
      <c r="K25" s="215" t="b">
        <f>IF(COUNTIF(K6:K23,D6)&gt;0,TRUE,FALSE)</f>
        <v>1</v>
      </c>
      <c r="O25" s="215" t="b">
        <f>IF(OR('Additional Details'!C36="Yes",COUNTIF(O6:O23,D7)&gt;0),TRUE,FALSE)</f>
        <v>1</v>
      </c>
      <c r="R25" s="215" t="b">
        <f>IF(OR(AND('Additional Details'!C37="Yes",'Additional Details'!C38="Yes"),COUNTIF(R6:R23,D8)&gt;0),TRUE,FALSE)</f>
        <v>1</v>
      </c>
      <c r="T25" s="215" t="b">
        <f>IF(COUNTIF(T6:T23,D9)&gt;0,TRUE,FALSE)</f>
        <v>1</v>
      </c>
    </row>
    <row r="26" spans="4:20">
      <c r="D26" s="212"/>
      <c r="E26" s="214"/>
    </row>
    <row r="27" spans="4:20">
      <c r="E27" s="214"/>
    </row>
    <row r="28" spans="4:20">
      <c r="D28" s="212"/>
      <c r="E28" s="214"/>
    </row>
  </sheetData>
  <sheetProtection password="CA35" sheet="1" objects="1" scenarios="1"/>
  <conditionalFormatting sqref="D6">
    <cfRule type="expression" dxfId="4" priority="4">
      <formula>$K$25</formula>
    </cfRule>
  </conditionalFormatting>
  <conditionalFormatting sqref="D7">
    <cfRule type="expression" dxfId="3" priority="3">
      <formula>$O$25</formula>
    </cfRule>
  </conditionalFormatting>
  <conditionalFormatting sqref="D8">
    <cfRule type="expression" dxfId="2" priority="2">
      <formula>$R$25</formula>
    </cfRule>
  </conditionalFormatting>
  <conditionalFormatting sqref="D9">
    <cfRule type="expression" dxfId="1" priority="1">
      <formula>$T$25</formula>
    </cfRule>
  </conditionalFormatting>
  <dataValidations count="4">
    <dataValidation type="list" allowBlank="1" showInputMessage="1" showErrorMessage="1" sqref="D9" xr:uid="{00000000-0002-0000-0400-000000000000}">
      <formula1>$T$6:$T$9</formula1>
    </dataValidation>
    <dataValidation type="list" allowBlank="1" showInputMessage="1" showErrorMessage="1" sqref="D8" xr:uid="{00000000-0002-0000-0400-000001000000}">
      <formula1>$R$6:$R$10</formula1>
    </dataValidation>
    <dataValidation type="list" allowBlank="1" showInputMessage="1" showErrorMessage="1" sqref="D7" xr:uid="{00000000-0002-0000-0400-000002000000}">
      <formula1>$O$6:$O$12</formula1>
    </dataValidation>
    <dataValidation type="list" allowBlank="1" showInputMessage="1" showErrorMessage="1" sqref="D6" xr:uid="{00000000-0002-0000-0400-000003000000}">
      <formula1>$K$6:$K$10</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A1:Z807"/>
  <sheetViews>
    <sheetView topLeftCell="A40" zoomScale="85" zoomScaleNormal="85" workbookViewId="0">
      <selection activeCell="F86" sqref="F86"/>
    </sheetView>
  </sheetViews>
  <sheetFormatPr defaultColWidth="9.08984375" defaultRowHeight="14.5"/>
  <cols>
    <col min="1" max="1" width="4" style="157" customWidth="1"/>
    <col min="2" max="2" width="58.6328125" style="157" bestFit="1" customWidth="1"/>
    <col min="3" max="3" width="7.6328125" style="215" customWidth="1"/>
    <col min="4" max="4" width="18.08984375" style="157" bestFit="1" customWidth="1"/>
    <col min="5" max="5" width="23" style="157" bestFit="1" customWidth="1"/>
    <col min="6" max="6" width="13.7265625" style="157" bestFit="1" customWidth="1"/>
    <col min="7" max="7" width="59.36328125" style="157" bestFit="1" customWidth="1"/>
    <col min="8" max="12" width="9.08984375" style="157"/>
    <col min="13" max="17" width="9.08984375" style="157" hidden="1" customWidth="1"/>
    <col min="18" max="18" width="27.81640625" style="157" hidden="1" customWidth="1"/>
    <col min="19" max="21" width="9.08984375" style="157" hidden="1" customWidth="1"/>
    <col min="22" max="22" width="20.08984375" style="157" hidden="1" customWidth="1"/>
    <col min="23" max="23" width="11.36328125" style="157" hidden="1" customWidth="1"/>
    <col min="24" max="26" width="9.08984375" customWidth="1"/>
    <col min="27" max="27" width="43.6328125" style="157" customWidth="1"/>
    <col min="28" max="16384" width="9.08984375" style="157"/>
  </cols>
  <sheetData>
    <row r="1" spans="1:23">
      <c r="A1" s="215" t="s">
        <v>1525</v>
      </c>
      <c r="D1" s="286" t="s">
        <v>1526</v>
      </c>
      <c r="E1" s="287"/>
      <c r="F1" s="287"/>
      <c r="G1" s="288"/>
      <c r="M1" s="157" t="s">
        <v>1441</v>
      </c>
    </row>
    <row r="2" spans="1:23">
      <c r="B2" s="223" t="str">
        <f>"var custom_program_"&amp;RIGHT(Overview!C6,3)&amp;" = ["</f>
        <v>var custom_program_100 = [</v>
      </c>
      <c r="D2" s="225" t="s">
        <v>1507</v>
      </c>
      <c r="E2" s="224" t="s">
        <v>1506</v>
      </c>
      <c r="F2" s="224" t="s">
        <v>1508</v>
      </c>
      <c r="G2" s="226" t="s">
        <v>1524</v>
      </c>
      <c r="M2" s="157" t="s">
        <v>755</v>
      </c>
      <c r="T2" s="157" t="s">
        <v>762</v>
      </c>
    </row>
    <row r="3" spans="1:23">
      <c r="B3" s="223" t="str">
        <f>CONCATENATE("                   {group: 'PART_NUMBER', value: 0x",BIN2HEX(RIGHT('register map'!V8,4),1),BIN2HEX(RIGHT('register map'!V6,8),2),"},")</f>
        <v>                   {group: 'PART_NUMBER', value: 0x100},</v>
      </c>
      <c r="D3" s="227" t="s">
        <v>1511</v>
      </c>
      <c r="E3" s="228" t="s">
        <v>1512</v>
      </c>
      <c r="F3" s="224" t="s">
        <v>1518</v>
      </c>
      <c r="G3" s="226" t="s">
        <v>1519</v>
      </c>
      <c r="I3" s="215"/>
      <c r="J3" s="215"/>
      <c r="M3" s="135" t="s">
        <v>1351</v>
      </c>
      <c r="R3" s="157" t="str">
        <f>IF('Logical Group Generator'!W3="FALSE","",IF('Logical Group Generator'!B3="OTP_RSVD_38_03","",'Logical Group Generator'!B3))</f>
        <v>DEVICEID1</v>
      </c>
      <c r="T3" s="157">
        <f>MATCH(U3,'Logical Group Generator'!B:B,0)</f>
        <v>3</v>
      </c>
      <c r="U3" s="157" t="str">
        <f t="array" ref="U3">IF(ROWS($3:3)&lt;=COUNTA($R$3:$R$902),INDEX($R$3:$R$902,SMALL(IF($R$3:$R$902&lt;&gt;"",ROW($R$3:$R$902)-MIN(ROW($R$3:$R$902))+1),ROWS($3:3))),"")</f>
        <v>DEVICEID1</v>
      </c>
      <c r="W3" s="157" t="str">
        <f>IF(INDEX('Logical Group Generator'!W:W,MATCH(U3,'Logical Group Generator'!B:B,0))="REGISTER","REGISTER","BIT")</f>
        <v>REGISTER</v>
      </c>
    </row>
    <row r="4" spans="1:23">
      <c r="B4" s="223" t="str">
        <f>IF(ISERROR(T4),"",CONCATENATE(IF(W4="BIT",$M$2,$M$1),U4,$M$3,BIN2HEX(IF(W4="BIT",INDEX('Logical Group Generator'!H:H,'Script Generator'!T4),INDEX('Logical Group Generator'!L:L,'Script Generator'!T4)),2),IF(ISERROR(T5),$M$5,$M$4)))</f>
        <v>                   {register: 'DEVICEID2', value: 0x01},</v>
      </c>
      <c r="D4" s="227" t="s">
        <v>1511</v>
      </c>
      <c r="E4" s="228" t="s">
        <v>1517</v>
      </c>
      <c r="F4" s="228" t="s">
        <v>1513</v>
      </c>
      <c r="G4" s="226" t="s">
        <v>1514</v>
      </c>
      <c r="I4" s="215"/>
      <c r="J4" s="215"/>
      <c r="M4" s="157" t="s">
        <v>756</v>
      </c>
      <c r="R4" s="215" t="str">
        <f>IF('Logical Group Generator'!W4="FALSE","",IF('Logical Group Generator'!B4="OTP_RSVD_38_03","",'Logical Group Generator'!B4))</f>
        <v/>
      </c>
      <c r="T4" s="157">
        <f>MATCH(U4,'Logical Group Generator'!B:B,0)</f>
        <v>5</v>
      </c>
      <c r="U4" s="157" t="str">
        <f t="array" ref="U4">IF(ROWS($3:4)&lt;=COUNTA($R$3:$R$902),INDEX($R$3:$R$902,SMALL(IF($R$3:$R$902&lt;&gt;"",ROW($R$3:$R$902)-MIN(ROW($R$3:$R$902))+1),ROWS($3:4))),"")</f>
        <v>DEVICEID2</v>
      </c>
      <c r="W4" s="157" t="str">
        <f>IF(INDEX('Logical Group Generator'!W:W,MATCH(U4,'Logical Group Generator'!B:B,0))="REGISTER","REGISTER","BIT")</f>
        <v>REGISTER</v>
      </c>
    </row>
    <row r="5" spans="1:23">
      <c r="B5" s="223" t="str">
        <f>IF(ISERROR(T5),"",CONCATENATE(IF(W5="BIT",$M$2,$M$1),U5,$M$3,BIN2HEX(IF(W5="BIT",INDEX('Logical Group Generator'!H:H,'Script Generator'!T5),INDEX('Logical Group Generator'!L:L,'Script Generator'!T5)),2),IF(ISERROR(T6),$M$5,$M$4)))</f>
        <v>                   {register: 'BUCK1CTRL', value: 0x70},</v>
      </c>
      <c r="D5" s="227" t="s">
        <v>1511</v>
      </c>
      <c r="E5" s="228" t="s">
        <v>1556</v>
      </c>
      <c r="F5" s="228" t="s">
        <v>1533</v>
      </c>
      <c r="G5" s="226" t="s">
        <v>1534</v>
      </c>
      <c r="I5" s="215"/>
      <c r="J5" s="215"/>
      <c r="M5" s="157" t="s">
        <v>1352</v>
      </c>
      <c r="R5" s="215" t="str">
        <f>IF('Logical Group Generator'!W5="FALSE","",IF('Logical Group Generator'!B5="OTP_RSVD_38_03","",'Logical Group Generator'!B5))</f>
        <v>DEVICEID2</v>
      </c>
      <c r="T5" s="157">
        <f>MATCH(U5,'Logical Group Generator'!B:B,0)</f>
        <v>24</v>
      </c>
      <c r="U5" s="157" t="str">
        <f t="array" ref="U5">IF(ROWS($3:5)&lt;=COUNTA($R$3:$R$902),INDEX($R$3:$R$902,SMALL(IF($R$3:$R$902&lt;&gt;"",ROW($R$3:$R$902)-MIN(ROW($R$3:$R$902))+1),ROWS($3:5))),"")</f>
        <v>BUCK1CTRL</v>
      </c>
      <c r="W5" s="157" t="str">
        <f>IF(INDEX('Logical Group Generator'!W:W,MATCH(U5,'Logical Group Generator'!B:B,0))="REGISTER","REGISTER","BIT")</f>
        <v>REGISTER</v>
      </c>
    </row>
    <row r="6" spans="1:23">
      <c r="B6" s="223" t="str">
        <f>IF(ISERROR(T6),"",CONCATENATE(IF(W6="BIT",$M$2,$M$1),U6,$M$3,BIN2HEX(IF(W6="BIT",INDEX('Logical Group Generator'!H:H,'Script Generator'!T6),INDEX('Logical Group Generator'!L:L,'Script Generator'!T6)),2),IF(ISERROR(T7),$M$5,$M$4)))</f>
        <v>                   {register: 'BUCK2CTRL', value: 0x78},</v>
      </c>
      <c r="D6" s="225" t="str">
        <f>RIGHT(INDEX('Logical Group Generator'!E:E,T3),2)</f>
        <v>5E</v>
      </c>
      <c r="E6" s="224" t="str">
        <f>RIGHT(INDEX('Logical Group Generator'!F:F,T3),2)</f>
        <v>00</v>
      </c>
      <c r="F6" s="224" t="str">
        <f>BIN2HEX(INDEX('Logical Group Generator'!L:L,'Script Generator'!T3),2)</f>
        <v>00</v>
      </c>
      <c r="G6" s="226"/>
      <c r="I6" s="215"/>
      <c r="J6" s="215"/>
      <c r="R6" s="215" t="str">
        <f>IF('Logical Group Generator'!W6="FALSE","",IF('Logical Group Generator'!B6="OTP_RSVD_38_03","",'Logical Group Generator'!B6))</f>
        <v/>
      </c>
      <c r="T6" s="157">
        <f>MATCH(U6,'Logical Group Generator'!B:B,0)</f>
        <v>27</v>
      </c>
      <c r="U6" s="157" t="str">
        <f t="array" ref="U6">IF(ROWS($3:6)&lt;=COUNTA($R$3:$R$902),INDEX($R$3:$R$902,SMALL(IF($R$3:$R$902&lt;&gt;"",ROW($R$3:$R$902)-MIN(ROW($R$3:$R$902))+1),ROWS($3:6))),"")</f>
        <v>BUCK2CTRL</v>
      </c>
      <c r="W6" s="157" t="str">
        <f>IF(INDEX('Logical Group Generator'!W:W,MATCH(U6,'Logical Group Generator'!B:B,0))="REGISTER","REGISTER","BIT")</f>
        <v>REGISTER</v>
      </c>
    </row>
    <row r="7" spans="1:23">
      <c r="B7" s="223" t="str">
        <f>IF(ISERROR(T7),"",CONCATENATE(IF(W7="BIT",$M$2,$M$1),U7,$M$3,BIN2HEX(IF(W7="BIT",INDEX('Logical Group Generator'!H:H,'Script Generator'!T7),INDEX('Logical Group Generator'!L:L,'Script Generator'!T7)),2),IF(ISERROR(T8),$M$5,$M$4)))</f>
        <v>                   {register: 'BUCK3DECAY', value: 0xE8},</v>
      </c>
      <c r="D7" s="225" t="str">
        <f>RIGHT(INDEX('Logical Group Generator'!E:E,T4),2)</f>
        <v>5E</v>
      </c>
      <c r="E7" s="224" t="str">
        <f>RIGHT(INDEX('Logical Group Generator'!F:F,T4),2)</f>
        <v>01</v>
      </c>
      <c r="F7" s="224" t="str">
        <f>BIN2HEX(INDEX('Logical Group Generator'!L:L,'Script Generator'!T4),2)</f>
        <v>01</v>
      </c>
      <c r="G7" s="226"/>
      <c r="I7" s="215"/>
      <c r="J7" s="215"/>
      <c r="R7" s="215" t="str">
        <f>IF('Logical Group Generator'!W7="FALSE","",IF('Logical Group Generator'!B7="OTP_RSVD_38_03","",'Logical Group Generator'!B7))</f>
        <v/>
      </c>
      <c r="T7" s="157">
        <f>MATCH(U7,'Logical Group Generator'!B:B,0)</f>
        <v>30</v>
      </c>
      <c r="U7" s="157" t="str">
        <f t="array" ref="U7">IF(ROWS($3:7)&lt;=COUNTA($R$3:$R$902),INDEX($R$3:$R$902,SMALL(IF($R$3:$R$902&lt;&gt;"",ROW($R$3:$R$902)-MIN(ROW($R$3:$R$902))+1),ROWS($3:7))),"")</f>
        <v>BUCK3DECAY</v>
      </c>
      <c r="W7" s="157" t="str">
        <f>IF(INDEX('Logical Group Generator'!W:W,MATCH(U7,'Logical Group Generator'!B:B,0))="REGISTER","REGISTER","BIT")</f>
        <v>REGISTER</v>
      </c>
    </row>
    <row r="8" spans="1:23">
      <c r="B8" s="223" t="str">
        <f>IF(ISERROR(T8),"",CONCATENATE(IF(W8="BIT",$M$2,$M$1),U8,$M$3,BIN2HEX(IF(W8="BIT",INDEX('Logical Group Generator'!H:H,'Script Generator'!T8),INDEX('Logical Group Generator'!L:L,'Script Generator'!T8)),2),IF(ISERROR(T9),$M$5,$M$4)))</f>
        <v>                   {register: 'BUCK3VID', value: 0xE8},</v>
      </c>
      <c r="D8" s="225" t="str">
        <f>RIGHT(INDEX('Logical Group Generator'!E:E,T5),2)</f>
        <v>5E</v>
      </c>
      <c r="E8" s="224" t="str">
        <f>RIGHT(INDEX('Logical Group Generator'!F:F,T5),2)</f>
        <v>20</v>
      </c>
      <c r="F8" s="224" t="str">
        <f>BIN2HEX(INDEX('Logical Group Generator'!L:L,'Script Generator'!T5),2)</f>
        <v>70</v>
      </c>
      <c r="G8" s="226"/>
      <c r="I8" s="215"/>
      <c r="J8" s="215"/>
      <c r="R8" s="215" t="str">
        <f>IF('Logical Group Generator'!W8="FALSE","",IF('Logical Group Generator'!B8="OTP_RSVD_38_03","",'Logical Group Generator'!B8))</f>
        <v/>
      </c>
      <c r="T8" s="157">
        <f>MATCH(U8,'Logical Group Generator'!B:B,0)</f>
        <v>33</v>
      </c>
      <c r="U8" s="157" t="str">
        <f t="array" ref="U8">IF(ROWS($3:8)&lt;=COUNTA($R$3:$R$902),INDEX($R$3:$R$902,SMALL(IF($R$3:$R$902&lt;&gt;"",ROW($R$3:$R$902)-MIN(ROW($R$3:$R$902))+1),ROWS($3:8))),"")</f>
        <v>BUCK3VID</v>
      </c>
      <c r="W8" s="157" t="str">
        <f>IF(INDEX('Logical Group Generator'!W:W,MATCH(U8,'Logical Group Generator'!B:B,0))="REGISTER","REGISTER","BIT")</f>
        <v>REGISTER</v>
      </c>
    </row>
    <row r="9" spans="1:23">
      <c r="B9" s="223" t="str">
        <f>IF(ISERROR(T9),"",CONCATENATE(IF(W9="BIT",$M$2,$M$1),U9,$M$3,BIN2HEX(IF(W9="BIT",INDEX('Logical Group Generator'!H:H,'Script Generator'!T9),INDEX('Logical Group Generator'!L:L,'Script Generator'!T9)),2),IF(ISERROR(T10),$M$5,$M$4)))</f>
        <v>                   {register: 'BUCK3SLPCTRL', value: 0xE8},</v>
      </c>
      <c r="D9" s="225" t="str">
        <f>RIGHT(INDEX('Logical Group Generator'!E:E,T6),2)</f>
        <v>5E</v>
      </c>
      <c r="E9" s="224" t="str">
        <f>RIGHT(INDEX('Logical Group Generator'!F:F,T6),2)</f>
        <v>21</v>
      </c>
      <c r="F9" s="224" t="str">
        <f>BIN2HEX(INDEX('Logical Group Generator'!L:L,'Script Generator'!T6),2)</f>
        <v>78</v>
      </c>
      <c r="G9" s="226"/>
      <c r="I9" s="215"/>
      <c r="J9" s="215"/>
      <c r="R9" s="215" t="str">
        <f>IF('Logical Group Generator'!W9="FALSE","",IF('Logical Group Generator'!B9="OTP_RSVD_38_03","",'Logical Group Generator'!B9))</f>
        <v/>
      </c>
      <c r="T9" s="157">
        <f>MATCH(U9,'Logical Group Generator'!B:B,0)</f>
        <v>36</v>
      </c>
      <c r="U9" s="157" t="str">
        <f t="array" ref="U9">IF(ROWS($3:9)&lt;=COUNTA($R$3:$R$902),INDEX($R$3:$R$902,SMALL(IF($R$3:$R$902&lt;&gt;"",ROW($R$3:$R$902)-MIN(ROW($R$3:$R$902))+1),ROWS($3:9))),"")</f>
        <v>BUCK3SLPCTRL</v>
      </c>
      <c r="W9" s="157" t="str">
        <f>IF(INDEX('Logical Group Generator'!W:W,MATCH(U9,'Logical Group Generator'!B:B,0))="REGISTER","REGISTER","BIT")</f>
        <v>REGISTER</v>
      </c>
    </row>
    <row r="10" spans="1:23">
      <c r="B10" s="223" t="str">
        <f>IF(ISERROR(T10),"",CONCATENATE(IF(W10="BIT",$M$2,$M$1),U10,$M$3,BIN2HEX(IF(W10="BIT",INDEX('Logical Group Generator'!H:H,'Script Generator'!T10),INDEX('Logical Group Generator'!L:L,'Script Generator'!T10)),2),IF(ISERROR(T11),$M$5,$M$4)))</f>
        <v>                   {register: 'BUCK4CTRL', value: 0x0F},</v>
      </c>
      <c r="D10" s="225" t="str">
        <f>RIGHT(INDEX('Logical Group Generator'!E:E,T7),2)</f>
        <v>5E</v>
      </c>
      <c r="E10" s="224" t="str">
        <f>RIGHT(INDEX('Logical Group Generator'!F:F,T7),2)</f>
        <v>22</v>
      </c>
      <c r="F10" s="224" t="str">
        <f>BIN2HEX(INDEX('Logical Group Generator'!L:L,'Script Generator'!T7),2)</f>
        <v>E8</v>
      </c>
      <c r="G10" s="226"/>
      <c r="I10" s="215"/>
      <c r="J10" s="215"/>
      <c r="R10" s="215" t="str">
        <f>IF('Logical Group Generator'!W10="FALSE","",IF('Logical Group Generator'!B10="OTP_RSVD_38_03","",'Logical Group Generator'!B10))</f>
        <v/>
      </c>
      <c r="T10" s="157">
        <f>MATCH(U10,'Logical Group Generator'!B:B,0)</f>
        <v>39</v>
      </c>
      <c r="U10" s="157" t="str">
        <f t="array" ref="U10">IF(ROWS($3:10)&lt;=COUNTA($R$3:$R$902),INDEX($R$3:$R$902,SMALL(IF($R$3:$R$902&lt;&gt;"",ROW($R$3:$R$902)-MIN(ROW($R$3:$R$902))+1),ROWS($3:10))),"")</f>
        <v>BUCK4CTRL</v>
      </c>
      <c r="W10" s="157" t="str">
        <f>IF(INDEX('Logical Group Generator'!W:W,MATCH(U10,'Logical Group Generator'!B:B,0))="REGISTER","REGISTER","BIT")</f>
        <v>REGISTER</v>
      </c>
    </row>
    <row r="11" spans="1:23">
      <c r="B11" s="223" t="str">
        <f>IF(ISERROR(T11),"",CONCATENATE(IF(W11="BIT",$M$2,$M$1),U11,$M$3,BIN2HEX(IF(W11="BIT",INDEX('Logical Group Generator'!H:H,'Script Generator'!T11),INDEX('Logical Group Generator'!L:L,'Script Generator'!T11)),2),IF(ISERROR(T12),$M$5,$M$4)))</f>
        <v>                   {register: 'BUCK5CTRL', value: 0x0E},</v>
      </c>
      <c r="D11" s="225" t="str">
        <f>RIGHT(INDEX('Logical Group Generator'!E:E,T8),2)</f>
        <v>5E</v>
      </c>
      <c r="E11" s="224" t="str">
        <f>RIGHT(INDEX('Logical Group Generator'!F:F,T8),2)</f>
        <v>23</v>
      </c>
      <c r="F11" s="224" t="str">
        <f>BIN2HEX(INDEX('Logical Group Generator'!L:L,'Script Generator'!T8),2)</f>
        <v>E8</v>
      </c>
      <c r="G11" s="226"/>
      <c r="I11" s="215"/>
      <c r="J11" s="215"/>
      <c r="R11" s="215" t="str">
        <f>IF('Logical Group Generator'!W11="FALSE","",IF('Logical Group Generator'!B11="OTP_RSVD_38_03","",'Logical Group Generator'!B11))</f>
        <v/>
      </c>
      <c r="T11" s="157">
        <f>MATCH(U11,'Logical Group Generator'!B:B,0)</f>
        <v>45</v>
      </c>
      <c r="U11" s="157" t="str">
        <f t="array" ref="U11">IF(ROWS($3:11)&lt;=COUNTA($R$3:$R$902),INDEX($R$3:$R$902,SMALL(IF($R$3:$R$902&lt;&gt;"",ROW($R$3:$R$902)-MIN(ROW($R$3:$R$902))+1),ROWS($3:11))),"")</f>
        <v>BUCK5CTRL</v>
      </c>
      <c r="W11" s="157" t="str">
        <f>IF(INDEX('Logical Group Generator'!W:W,MATCH(U11,'Logical Group Generator'!B:B,0))="REGISTER","REGISTER","BIT")</f>
        <v>REGISTER</v>
      </c>
    </row>
    <row r="12" spans="1:23">
      <c r="B12" s="223" t="str">
        <f>IF(ISERROR(T12),"",CONCATENATE(IF(W12="BIT",$M$2,$M$1),U12,$M$3,BIN2HEX(IF(W12="BIT",INDEX('Logical Group Generator'!H:H,'Script Generator'!T12),INDEX('Logical Group Generator'!L:L,'Script Generator'!T12)),2),IF(ISERROR(T13),$M$5,$M$4)))</f>
        <v>                   {register: 'BUCK6CTRL', value: 0x0F},</v>
      </c>
      <c r="D12" s="225" t="str">
        <f>RIGHT(INDEX('Logical Group Generator'!E:E,T9),2)</f>
        <v>5E</v>
      </c>
      <c r="E12" s="224" t="str">
        <f>RIGHT(INDEX('Logical Group Generator'!F:F,T9),2)</f>
        <v>24</v>
      </c>
      <c r="F12" s="224" t="str">
        <f>BIN2HEX(INDEX('Logical Group Generator'!L:L,'Script Generator'!T9),2)</f>
        <v>E8</v>
      </c>
      <c r="G12" s="226"/>
      <c r="I12" s="215"/>
      <c r="J12" s="215"/>
      <c r="R12" s="215" t="str">
        <f>IF('Logical Group Generator'!W12="FALSE","",IF('Logical Group Generator'!B12="OTP_RSVD_38_03","",'Logical Group Generator'!B12))</f>
        <v/>
      </c>
      <c r="T12" s="157">
        <f>MATCH(U12,'Logical Group Generator'!B:B,0)</f>
        <v>51</v>
      </c>
      <c r="U12" s="157" t="str">
        <f t="array" ref="U12">IF(ROWS($3:12)&lt;=COUNTA($R$3:$R$902),INDEX($R$3:$R$902,SMALL(IF($R$3:$R$902&lt;&gt;"",ROW($R$3:$R$902)-MIN(ROW($R$3:$R$902))+1),ROWS($3:12))),"")</f>
        <v>BUCK6CTRL</v>
      </c>
      <c r="W12" s="157" t="str">
        <f>IF(INDEX('Logical Group Generator'!W:W,MATCH(U12,'Logical Group Generator'!B:B,0))="REGISTER","REGISTER","BIT")</f>
        <v>REGISTER</v>
      </c>
    </row>
    <row r="13" spans="1:23">
      <c r="B13" s="223" t="str">
        <f>IF(ISERROR(T13),"",CONCATENATE(IF(W13="BIT",$M$2,$M$1),U13,$M$3,BIN2HEX(IF(W13="BIT",INDEX('Logical Group Generator'!H:H,'Script Generator'!T13),INDEX('Logical Group Generator'!L:L,'Script Generator'!T13)),2),IF(ISERROR(T14),$M$5,$M$4)))</f>
        <v>                   {register: 'LDOA2CTRL', value: 0x0C},</v>
      </c>
      <c r="D13" s="225" t="str">
        <f>RIGHT(INDEX('Logical Group Generator'!E:E,T10),2)</f>
        <v>5E</v>
      </c>
      <c r="E13" s="224" t="str">
        <f>RIGHT(INDEX('Logical Group Generator'!F:F,T10),2)</f>
        <v>25</v>
      </c>
      <c r="F13" s="224" t="str">
        <f>BIN2HEX(INDEX('Logical Group Generator'!L:L,'Script Generator'!T10),2)</f>
        <v>0F</v>
      </c>
      <c r="G13" s="226"/>
      <c r="I13" s="215"/>
      <c r="J13" s="215"/>
      <c r="R13" s="215" t="str">
        <f>IF('Logical Group Generator'!W13="FALSE","",IF('Logical Group Generator'!B13="OTP_RSVD_38_03","",'Logical Group Generator'!B13))</f>
        <v/>
      </c>
      <c r="T13" s="157">
        <f>MATCH(U13,'Logical Group Generator'!B:B,0)</f>
        <v>57</v>
      </c>
      <c r="U13" s="157" t="str">
        <f t="array" ref="U13">IF(ROWS($3:13)&lt;=COUNTA($R$3:$R$902),INDEX($R$3:$R$902,SMALL(IF($R$3:$R$902&lt;&gt;"",ROW($R$3:$R$902)-MIN(ROW($R$3:$R$902))+1),ROWS($3:13))),"")</f>
        <v>LDOA2CTRL</v>
      </c>
      <c r="W13" s="157" t="str">
        <f>IF(INDEX('Logical Group Generator'!W:W,MATCH(U13,'Logical Group Generator'!B:B,0))="REGISTER","REGISTER","BIT")</f>
        <v>REGISTER</v>
      </c>
    </row>
    <row r="14" spans="1:23">
      <c r="B14" s="223" t="str">
        <f>IF(ISERROR(T14),"",CONCATENATE(IF(W14="BIT",$M$2,$M$1),U14,$M$3,BIN2HEX(IF(W14="BIT",INDEX('Logical Group Generator'!H:H,'Script Generator'!T14),INDEX('Logical Group Generator'!L:L,'Script Generator'!T14)),2),IF(ISERROR(T15),$M$5,$M$4)))</f>
        <v>                   {register: 'LDOA3CTRL', value: 0x0D},</v>
      </c>
      <c r="D14" s="225" t="str">
        <f>RIGHT(INDEX('Logical Group Generator'!E:E,T11),2)</f>
        <v>5E</v>
      </c>
      <c r="E14" s="224" t="str">
        <f>RIGHT(INDEX('Logical Group Generator'!F:F,T11),2)</f>
        <v>26</v>
      </c>
      <c r="F14" s="224" t="str">
        <f>BIN2HEX(INDEX('Logical Group Generator'!L:L,'Script Generator'!T11),2)</f>
        <v>0E</v>
      </c>
      <c r="G14" s="226"/>
      <c r="I14" s="215"/>
      <c r="J14" s="215"/>
      <c r="R14" s="215" t="str">
        <f>IF('Logical Group Generator'!W14="FALSE","",IF('Logical Group Generator'!B14="OTP_RSVD_38_03","",'Logical Group Generator'!B14))</f>
        <v/>
      </c>
      <c r="T14" s="157">
        <f>MATCH(U14,'Logical Group Generator'!B:B,0)</f>
        <v>63</v>
      </c>
      <c r="U14" s="157" t="str">
        <f t="array" ref="U14">IF(ROWS($3:14)&lt;=COUNTA($R$3:$R$902),INDEX($R$3:$R$902,SMALL(IF($R$3:$R$902&lt;&gt;"",ROW($R$3:$R$902)-MIN(ROW($R$3:$R$902))+1),ROWS($3:14))),"")</f>
        <v>LDOA3CTRL</v>
      </c>
      <c r="W14" s="157" t="str">
        <f>IF(INDEX('Logical Group Generator'!W:W,MATCH(U14,'Logical Group Generator'!B:B,0))="REGISTER","REGISTER","BIT")</f>
        <v>REGISTER</v>
      </c>
    </row>
    <row r="15" spans="1:23">
      <c r="B15" s="223" t="str">
        <f>IF(ISERROR(T15),"",CONCATENATE(IF(W15="BIT",$M$2,$M$1),U15,$M$3,BIN2HEX(IF(W15="BIT",INDEX('Logical Group Generator'!H:H,'Script Generator'!T15),INDEX('Logical Group Generator'!L:L,'Script Generator'!T15)),2),IF(ISERROR(T16),$M$5,$M$4)))</f>
        <v>                   {register: 'DISCHCTRL1', value: 0x00},</v>
      </c>
      <c r="D15" s="225" t="str">
        <f>RIGHT(INDEX('Logical Group Generator'!E:E,T12),2)</f>
        <v>5E</v>
      </c>
      <c r="E15" s="224" t="str">
        <f>RIGHT(INDEX('Logical Group Generator'!F:F,T12),2)</f>
        <v>27</v>
      </c>
      <c r="F15" s="224" t="str">
        <f>BIN2HEX(INDEX('Logical Group Generator'!L:L,'Script Generator'!T12),2)</f>
        <v>0F</v>
      </c>
      <c r="G15" s="226"/>
      <c r="I15" s="215"/>
      <c r="J15" s="215"/>
      <c r="R15" s="215" t="str">
        <f>IF('Logical Group Generator'!W15="FALSE","",IF('Logical Group Generator'!B15="OTP_RSVD_38_03","",'Logical Group Generator'!B15))</f>
        <v/>
      </c>
      <c r="T15" s="157">
        <f>MATCH(U15,'Logical Group Generator'!B:B,0)</f>
        <v>69</v>
      </c>
      <c r="U15" s="157" t="str">
        <f t="array" ref="U15">IF(ROWS($3:15)&lt;=COUNTA($R$3:$R$902),INDEX($R$3:$R$902,SMALL(IF($R$3:$R$902&lt;&gt;"",ROW($R$3:$R$902)-MIN(ROW($R$3:$R$902))+1),ROWS($3:15))),"")</f>
        <v>DISCHCTRL1</v>
      </c>
      <c r="W15" s="157" t="str">
        <f>IF(INDEX('Logical Group Generator'!W:W,MATCH(U15,'Logical Group Generator'!B:B,0))="REGISTER","REGISTER","BIT")</f>
        <v>REGISTER</v>
      </c>
    </row>
    <row r="16" spans="1:23">
      <c r="B16" s="223" t="str">
        <f>IF(ISERROR(T16),"",CONCATENATE(IF(W16="BIT",$M$2,$M$1),U16,$M$3,BIN2HEX(IF(W16="BIT",INDEX('Logical Group Generator'!H:H,'Script Generator'!T16),INDEX('Logical Group Generator'!L:L,'Script Generator'!T16)),2),IF(ISERROR(T17),$M$5,$M$4)))</f>
        <v>                   {register: 'DISCHCTRL2', value: 0x00},</v>
      </c>
      <c r="D16" s="225" t="str">
        <f>RIGHT(INDEX('Logical Group Generator'!E:E,T13),2)</f>
        <v>5E</v>
      </c>
      <c r="E16" s="224" t="str">
        <f>RIGHT(INDEX('Logical Group Generator'!F:F,T13),2)</f>
        <v>28</v>
      </c>
      <c r="F16" s="224" t="str">
        <f>BIN2HEX(INDEX('Logical Group Generator'!L:L,'Script Generator'!T13),2)</f>
        <v>0C</v>
      </c>
      <c r="G16" s="226"/>
      <c r="I16" s="215"/>
      <c r="J16" s="215"/>
      <c r="R16" s="215" t="str">
        <f>IF('Logical Group Generator'!W16="FALSE","",IF('Logical Group Generator'!B16="OTP_RSVD_38_03","",'Logical Group Generator'!B16))</f>
        <v/>
      </c>
      <c r="T16" s="157">
        <f>MATCH(U16,'Logical Group Generator'!B:B,0)</f>
        <v>74</v>
      </c>
      <c r="U16" s="157" t="str">
        <f t="array" ref="U16">IF(ROWS($3:16)&lt;=COUNTA($R$3:$R$902),INDEX($R$3:$R$902,SMALL(IF($R$3:$R$902&lt;&gt;"",ROW($R$3:$R$902)-MIN(ROW($R$3:$R$902))+1),ROWS($3:16))),"")</f>
        <v>DISCHCTRL2</v>
      </c>
      <c r="W16" s="157" t="str">
        <f>IF(INDEX('Logical Group Generator'!W:W,MATCH(U16,'Logical Group Generator'!B:B,0))="REGISTER","REGISTER","BIT")</f>
        <v>REGISTER</v>
      </c>
    </row>
    <row r="17" spans="2:23">
      <c r="B17" s="223" t="str">
        <f>IF(ISERROR(T17),"",CONCATENATE(IF(W17="BIT",$M$2,$M$1),U17,$M$3,BIN2HEX(IF(W17="BIT",INDEX('Logical Group Generator'!H:H,'Script Generator'!T17),INDEX('Logical Group Generator'!L:L,'Script Generator'!T17)),2),IF(ISERROR(T18),$M$5,$M$4)))</f>
        <v>                   {register: 'DISCHCTRL3', value: 0x00},</v>
      </c>
      <c r="D17" s="225" t="str">
        <f>RIGHT(INDEX('Logical Group Generator'!E:E,T14),2)</f>
        <v>5E</v>
      </c>
      <c r="E17" s="224" t="str">
        <f>RIGHT(INDEX('Logical Group Generator'!F:F,T14),2)</f>
        <v>29</v>
      </c>
      <c r="F17" s="224" t="str">
        <f>BIN2HEX(INDEX('Logical Group Generator'!L:L,'Script Generator'!T14),2)</f>
        <v>0D</v>
      </c>
      <c r="G17" s="226"/>
      <c r="I17" s="215"/>
      <c r="J17" s="215"/>
      <c r="R17" s="215" t="str">
        <f>IF('Logical Group Generator'!W17="FALSE","",IF('Logical Group Generator'!B17="OTP_RSVD_38_03","",'Logical Group Generator'!B17))</f>
        <v/>
      </c>
      <c r="T17" s="157">
        <f>MATCH(U17,'Logical Group Generator'!B:B,0)</f>
        <v>79</v>
      </c>
      <c r="U17" s="157" t="str">
        <f t="array" ref="U17">IF(ROWS($3:17)&lt;=COUNTA($R$3:$R$902),INDEX($R$3:$R$902,SMALL(IF($R$3:$R$902&lt;&gt;"",ROW($R$3:$R$902)-MIN(ROW($R$3:$R$902))+1),ROWS($3:17))),"")</f>
        <v>DISCHCTRL3</v>
      </c>
      <c r="W17" s="157" t="str">
        <f>IF(INDEX('Logical Group Generator'!W:W,MATCH(U17,'Logical Group Generator'!B:B,0))="REGISTER","REGISTER","BIT")</f>
        <v>REGISTER</v>
      </c>
    </row>
    <row r="18" spans="2:23">
      <c r="B18" s="223" t="str">
        <f>IF(ISERROR(T18),"",CONCATENATE(IF(W18="BIT",$M$2,$M$1),U18,$M$3,BIN2HEX(IF(W18="BIT",INDEX('Logical Group Generator'!H:H,'Script Generator'!T18),INDEX('Logical Group Generator'!L:L,'Script Generator'!T18)),2),IF(ISERROR(T19),$M$5,$M$4)))</f>
        <v>                   {register: 'PG_DELAY1', value: 0x02},</v>
      </c>
      <c r="D18" s="225" t="str">
        <f>RIGHT(INDEX('Logical Group Generator'!E:E,T15),2)</f>
        <v>5E</v>
      </c>
      <c r="E18" s="224" t="str">
        <f>RIGHT(INDEX('Logical Group Generator'!F:F,T15),2)</f>
        <v>40</v>
      </c>
      <c r="F18" s="224" t="str">
        <f>BIN2HEX(INDEX('Logical Group Generator'!L:L,'Script Generator'!T15),2)</f>
        <v>00</v>
      </c>
      <c r="G18" s="226"/>
      <c r="I18" s="215"/>
      <c r="J18" s="215"/>
      <c r="R18" s="215" t="str">
        <f>IF('Logical Group Generator'!W18="FALSE","",IF('Logical Group Generator'!B18="OTP_RSVD_38_03","",'Logical Group Generator'!B18))</f>
        <v/>
      </c>
      <c r="T18" s="157">
        <f>MATCH(U18,'Logical Group Generator'!B:B,0)</f>
        <v>84</v>
      </c>
      <c r="U18" s="157" t="str">
        <f t="array" ref="U18">IF(ROWS($3:18)&lt;=COUNTA($R$3:$R$902),INDEX($R$3:$R$902,SMALL(IF($R$3:$R$902&lt;&gt;"",ROW($R$3:$R$902)-MIN(ROW($R$3:$R$902))+1),ROWS($3:18))),"")</f>
        <v>PG_DELAY1</v>
      </c>
      <c r="W18" s="157" t="str">
        <f>IF(INDEX('Logical Group Generator'!W:W,MATCH(U18,'Logical Group Generator'!B:B,0))="REGISTER","REGISTER","BIT")</f>
        <v>REGISTER</v>
      </c>
    </row>
    <row r="19" spans="2:23">
      <c r="B19" s="223" t="str">
        <f>IF(ISERROR(T19),"",CONCATENATE(IF(W19="BIT",$M$2,$M$1),U19,$M$3,BIN2HEX(IF(W19="BIT",INDEX('Logical Group Generator'!H:H,'Script Generator'!T19),INDEX('Logical Group Generator'!L:L,'Script Generator'!T19)),2),IF(ISERROR(T20),$M$5,$M$4)))</f>
        <v>                   {register: 'BUCK1SLPCTRL', value: 0x70},</v>
      </c>
      <c r="D19" s="225" t="str">
        <f>RIGHT(INDEX('Logical Group Generator'!E:E,T16),2)</f>
        <v>5E</v>
      </c>
      <c r="E19" s="224" t="str">
        <f>RIGHT(INDEX('Logical Group Generator'!F:F,T16),2)</f>
        <v>41</v>
      </c>
      <c r="F19" s="224" t="str">
        <f>BIN2HEX(INDEX('Logical Group Generator'!L:L,'Script Generator'!T16),2)</f>
        <v>00</v>
      </c>
      <c r="G19" s="226"/>
      <c r="I19" s="215"/>
      <c r="J19" s="215"/>
      <c r="R19" s="215" t="str">
        <f>IF('Logical Group Generator'!W19="FALSE","",IF('Logical Group Generator'!B19="OTP_RSVD_38_03","",'Logical Group Generator'!B19))</f>
        <v/>
      </c>
      <c r="T19" s="157">
        <f>MATCH(U19,'Logical Group Generator'!B:B,0)</f>
        <v>87</v>
      </c>
      <c r="U19" s="157" t="str">
        <f t="array" ref="U19">IF(ROWS($3:19)&lt;=COUNTA($R$3:$R$902),INDEX($R$3:$R$902,SMALL(IF($R$3:$R$902&lt;&gt;"",ROW($R$3:$R$902)-MIN(ROW($R$3:$R$902))+1),ROWS($3:19))),"")</f>
        <v>BUCK1SLPCTRL</v>
      </c>
      <c r="W19" s="157" t="str">
        <f>IF(INDEX('Logical Group Generator'!W:W,MATCH(U19,'Logical Group Generator'!B:B,0))="REGISTER","REGISTER","BIT")</f>
        <v>REGISTER</v>
      </c>
    </row>
    <row r="20" spans="2:23">
      <c r="B20" s="223" t="str">
        <f>IF(ISERROR(T20),"",CONCATENATE(IF(W20="BIT",$M$2,$M$1),U20,$M$3,BIN2HEX(IF(W20="BIT",INDEX('Logical Group Generator'!H:H,'Script Generator'!T20),INDEX('Logical Group Generator'!L:L,'Script Generator'!T20)),2),IF(ISERROR(T21),$M$5,$M$4)))</f>
        <v>                   {register: 'BUCK2SLPCTRL', value: 0x78},</v>
      </c>
      <c r="D20" s="225" t="str">
        <f>RIGHT(INDEX('Logical Group Generator'!E:E,T17),2)</f>
        <v>5E</v>
      </c>
      <c r="E20" s="224" t="str">
        <f>RIGHT(INDEX('Logical Group Generator'!F:F,T17),2)</f>
        <v>42</v>
      </c>
      <c r="F20" s="224" t="str">
        <f>BIN2HEX(INDEX('Logical Group Generator'!L:L,'Script Generator'!T17),2)</f>
        <v>00</v>
      </c>
      <c r="G20" s="226"/>
      <c r="I20" s="215"/>
      <c r="J20" s="215"/>
      <c r="R20" s="215" t="str">
        <f>IF('Logical Group Generator'!W20="FALSE","",IF('Logical Group Generator'!B20="OTP_RSVD_38_03","",'Logical Group Generator'!B20))</f>
        <v/>
      </c>
      <c r="T20" s="157">
        <f>MATCH(U20,'Logical Group Generator'!B:B,0)</f>
        <v>90</v>
      </c>
      <c r="U20" s="157" t="str">
        <f t="array" ref="U20">IF(ROWS($3:20)&lt;=COUNTA($R$3:$R$902),INDEX($R$3:$R$902,SMALL(IF($R$3:$R$902&lt;&gt;"",ROW($R$3:$R$902)-MIN(ROW($R$3:$R$902))+1),ROWS($3:20))),"")</f>
        <v>BUCK2SLPCTRL</v>
      </c>
      <c r="W20" s="157" t="str">
        <f>IF(INDEX('Logical Group Generator'!W:W,MATCH(U20,'Logical Group Generator'!B:B,0))="REGISTER","REGISTER","BIT")</f>
        <v>REGISTER</v>
      </c>
    </row>
    <row r="21" spans="2:23">
      <c r="B21" s="223" t="str">
        <f>IF(ISERROR(T21),"",CONCATENATE(IF(W21="BIT",$M$2,$M$1),U21,$M$3,BIN2HEX(IF(W21="BIT",INDEX('Logical Group Generator'!H:H,'Script Generator'!T21),INDEX('Logical Group Generator'!L:L,'Script Generator'!T21)),2),IF(ISERROR(T22),$M$5,$M$4)))</f>
        <v>                   {register: 'BUCK4VID', value: 0xA8},</v>
      </c>
      <c r="D21" s="225" t="str">
        <f>RIGHT(INDEX('Logical Group Generator'!E:E,T18),2)</f>
        <v>5E</v>
      </c>
      <c r="E21" s="224" t="str">
        <f>RIGHT(INDEX('Logical Group Generator'!F:F,T18),2)</f>
        <v>43</v>
      </c>
      <c r="F21" s="224" t="str">
        <f>BIN2HEX(INDEX('Logical Group Generator'!L:L,'Script Generator'!T18),2)</f>
        <v>02</v>
      </c>
      <c r="G21" s="226"/>
      <c r="I21" s="215"/>
      <c r="J21" s="215"/>
      <c r="R21" s="215" t="str">
        <f>IF('Logical Group Generator'!W21="FALSE","",IF('Logical Group Generator'!B21="OTP_RSVD_38_03","",'Logical Group Generator'!B21))</f>
        <v/>
      </c>
      <c r="T21" s="157">
        <f>MATCH(U21,'Logical Group Generator'!B:B,0)</f>
        <v>93</v>
      </c>
      <c r="U21" s="157" t="str">
        <f t="array" ref="U21">IF(ROWS($3:21)&lt;=COUNTA($R$3:$R$902),INDEX($R$3:$R$902,SMALL(IF($R$3:$R$902&lt;&gt;"",ROW($R$3:$R$902)-MIN(ROW($R$3:$R$902))+1),ROWS($3:21))),"")</f>
        <v>BUCK4VID</v>
      </c>
      <c r="W21" s="157" t="str">
        <f>IF(INDEX('Logical Group Generator'!W:W,MATCH(U21,'Logical Group Generator'!B:B,0))="REGISTER","REGISTER","BIT")</f>
        <v>REGISTER</v>
      </c>
    </row>
    <row r="22" spans="2:23">
      <c r="B22" s="223" t="str">
        <f>IF(ISERROR(T22),"",CONCATENATE(IF(W22="BIT",$M$2,$M$1),U22,$M$3,BIN2HEX(IF(W22="BIT",INDEX('Logical Group Generator'!H:H,'Script Generator'!T22),INDEX('Logical Group Generator'!L:L,'Script Generator'!T22)),2),IF(ISERROR(T23),$M$5,$M$4)))</f>
        <v>                   {register: 'BUCK4SLPVID', value: 0xA8},</v>
      </c>
      <c r="D22" s="225" t="str">
        <f>RIGHT(INDEX('Logical Group Generator'!E:E,T19),2)</f>
        <v>5E</v>
      </c>
      <c r="E22" s="224" t="str">
        <f>RIGHT(INDEX('Logical Group Generator'!F:F,T19),2)</f>
        <v>92</v>
      </c>
      <c r="F22" s="224" t="str">
        <f>BIN2HEX(INDEX('Logical Group Generator'!L:L,'Script Generator'!T19),2)</f>
        <v>70</v>
      </c>
      <c r="G22" s="226"/>
      <c r="I22" s="215"/>
      <c r="J22" s="215"/>
      <c r="R22" s="215" t="str">
        <f>IF('Logical Group Generator'!W22="FALSE","",IF('Logical Group Generator'!B22="OTP_RSVD_38_03","",'Logical Group Generator'!B22))</f>
        <v/>
      </c>
      <c r="T22" s="157">
        <f>MATCH(U22,'Logical Group Generator'!B:B,0)</f>
        <v>96</v>
      </c>
      <c r="U22" s="157" t="str">
        <f t="array" ref="U22">IF(ROWS($3:22)&lt;=COUNTA($R$3:$R$902),INDEX($R$3:$R$902,SMALL(IF($R$3:$R$902&lt;&gt;"",ROW($R$3:$R$902)-MIN(ROW($R$3:$R$902))+1),ROWS($3:22))),"")</f>
        <v>BUCK4SLPVID</v>
      </c>
      <c r="W22" s="157" t="str">
        <f>IF(INDEX('Logical Group Generator'!W:W,MATCH(U22,'Logical Group Generator'!B:B,0))="REGISTER","REGISTER","BIT")</f>
        <v>REGISTER</v>
      </c>
    </row>
    <row r="23" spans="2:23">
      <c r="B23" s="223" t="str">
        <f>IF(ISERROR(T23),"",CONCATENATE(IF(W23="BIT",$M$2,$M$1),U23,$M$3,BIN2HEX(IF(W23="BIT",INDEX('Logical Group Generator'!H:H,'Script Generator'!T23),INDEX('Logical Group Generator'!L:L,'Script Generator'!T23)),2),IF(ISERROR(T24),$M$5,$M$4)))</f>
        <v>                   {register: 'BUCK5VID', value: 0x00},</v>
      </c>
      <c r="D23" s="225" t="str">
        <f>RIGHT(INDEX('Logical Group Generator'!E:E,T20),2)</f>
        <v>5E</v>
      </c>
      <c r="E23" s="224" t="str">
        <f>RIGHT(INDEX('Logical Group Generator'!F:F,T20),2)</f>
        <v>93</v>
      </c>
      <c r="F23" s="224" t="str">
        <f>BIN2HEX(INDEX('Logical Group Generator'!L:L,'Script Generator'!T20),2)</f>
        <v>78</v>
      </c>
      <c r="G23" s="226"/>
      <c r="I23" s="215"/>
      <c r="J23" s="215"/>
      <c r="R23" s="215" t="str">
        <f>IF('Logical Group Generator'!W23="FALSE","",IF('Logical Group Generator'!B23="OTP_RSVD_38_03","",'Logical Group Generator'!B23))</f>
        <v/>
      </c>
      <c r="T23" s="157">
        <f>MATCH(U23,'Logical Group Generator'!B:B,0)</f>
        <v>99</v>
      </c>
      <c r="U23" s="157" t="str">
        <f t="array" ref="U23">IF(ROWS($3:23)&lt;=COUNTA($R$3:$R$902),INDEX($R$3:$R$902,SMALL(IF($R$3:$R$902&lt;&gt;"",ROW($R$3:$R$902)-MIN(ROW($R$3:$R$902))+1),ROWS($3:23))),"")</f>
        <v>BUCK5VID</v>
      </c>
      <c r="W23" s="157" t="str">
        <f>IF(INDEX('Logical Group Generator'!W:W,MATCH(U23,'Logical Group Generator'!B:B,0))="REGISTER","REGISTER","BIT")</f>
        <v>REGISTER</v>
      </c>
    </row>
    <row r="24" spans="2:23">
      <c r="B24" s="223" t="str">
        <f>IF(ISERROR(T24),"",CONCATENATE(IF(W24="BIT",$M$2,$M$1),U24,$M$3,BIN2HEX(IF(W24="BIT",INDEX('Logical Group Generator'!H:H,'Script Generator'!T24),INDEX('Logical Group Generator'!L:L,'Script Generator'!T24)),2),IF(ISERROR(T25),$M$5,$M$4)))</f>
        <v>                   {register: 'BUCK5SLPVID', value: 0x00},</v>
      </c>
      <c r="D24" s="225" t="str">
        <f>RIGHT(INDEX('Logical Group Generator'!E:E,T21),2)</f>
        <v>5E</v>
      </c>
      <c r="E24" s="224" t="str">
        <f>RIGHT(INDEX('Logical Group Generator'!F:F,T21),2)</f>
        <v>94</v>
      </c>
      <c r="F24" s="224" t="str">
        <f>BIN2HEX(INDEX('Logical Group Generator'!L:L,'Script Generator'!T21),2)</f>
        <v>A8</v>
      </c>
      <c r="G24" s="226"/>
      <c r="I24" s="215"/>
      <c r="J24" s="215"/>
      <c r="R24" s="215" t="str">
        <f>IF('Logical Group Generator'!W24="FALSE","",IF('Logical Group Generator'!B24="OTP_RSVD_38_03","",'Logical Group Generator'!B24))</f>
        <v>BUCK1CTRL</v>
      </c>
      <c r="T24" s="157">
        <f>MATCH(U24,'Logical Group Generator'!B:B,0)</f>
        <v>102</v>
      </c>
      <c r="U24" s="157" t="str">
        <f t="array" ref="U24">IF(ROWS($3:24)&lt;=COUNTA($R$3:$R$902),INDEX($R$3:$R$902,SMALL(IF($R$3:$R$902&lt;&gt;"",ROW($R$3:$R$902)-MIN(ROW($R$3:$R$902))+1),ROWS($3:24))),"")</f>
        <v>BUCK5SLPVID</v>
      </c>
      <c r="W24" s="157" t="str">
        <f>IF(INDEX('Logical Group Generator'!W:W,MATCH(U24,'Logical Group Generator'!B:B,0))="REGISTER","REGISTER","BIT")</f>
        <v>REGISTER</v>
      </c>
    </row>
    <row r="25" spans="2:23">
      <c r="B25" s="223" t="str">
        <f>IF(ISERROR(T25),"",CONCATENATE(IF(W25="BIT",$M$2,$M$1),U25,$M$3,BIN2HEX(IF(W25="BIT",INDEX('Logical Group Generator'!H:H,'Script Generator'!T25),INDEX('Logical Group Generator'!L:L,'Script Generator'!T25)),2),IF(ISERROR(T26),$M$5,$M$4)))</f>
        <v>                   {register: 'BUCK6VID', value: 0xA0},</v>
      </c>
      <c r="D25" s="225" t="str">
        <f>RIGHT(INDEX('Logical Group Generator'!E:E,T22),2)</f>
        <v>5E</v>
      </c>
      <c r="E25" s="224" t="str">
        <f>RIGHT(INDEX('Logical Group Generator'!F:F,T22),2)</f>
        <v>95</v>
      </c>
      <c r="F25" s="224" t="str">
        <f>BIN2HEX(INDEX('Logical Group Generator'!L:L,'Script Generator'!T22),2)</f>
        <v>A8</v>
      </c>
      <c r="G25" s="226"/>
      <c r="I25" s="215"/>
      <c r="J25" s="215"/>
      <c r="R25" s="215" t="str">
        <f>IF('Logical Group Generator'!W25="FALSE","",IF('Logical Group Generator'!B25="OTP_RSVD_38_03","",'Logical Group Generator'!B25))</f>
        <v/>
      </c>
      <c r="T25" s="157">
        <f>MATCH(U25,'Logical Group Generator'!B:B,0)</f>
        <v>105</v>
      </c>
      <c r="U25" s="157" t="str">
        <f t="array" ref="U25">IF(ROWS($3:25)&lt;=COUNTA($R$3:$R$902),INDEX($R$3:$R$902,SMALL(IF($R$3:$R$902&lt;&gt;"",ROW($R$3:$R$902)-MIN(ROW($R$3:$R$902))+1),ROWS($3:25))),"")</f>
        <v>BUCK6VID</v>
      </c>
      <c r="W25" s="157" t="str">
        <f>IF(INDEX('Logical Group Generator'!W:W,MATCH(U25,'Logical Group Generator'!B:B,0))="REGISTER","REGISTER","BIT")</f>
        <v>REGISTER</v>
      </c>
    </row>
    <row r="26" spans="2:23">
      <c r="B26" s="223" t="str">
        <f>IF(ISERROR(T26),"",CONCATENATE(IF(W26="BIT",$M$2,$M$1),U26,$M$3,BIN2HEX(IF(W26="BIT",INDEX('Logical Group Generator'!H:H,'Script Generator'!T26),INDEX('Logical Group Generator'!L:L,'Script Generator'!T26)),2),IF(ISERROR(T27),$M$5,$M$4)))</f>
        <v>                   {register: 'BUCK6SLPVID', value: 0xA0},</v>
      </c>
      <c r="D26" s="225" t="str">
        <f>RIGHT(INDEX('Logical Group Generator'!E:E,T23),2)</f>
        <v>5E</v>
      </c>
      <c r="E26" s="224" t="str">
        <f>RIGHT(INDEX('Logical Group Generator'!F:F,T23),2)</f>
        <v>96</v>
      </c>
      <c r="F26" s="224" t="str">
        <f>BIN2HEX(INDEX('Logical Group Generator'!L:L,'Script Generator'!T23),2)</f>
        <v>00</v>
      </c>
      <c r="G26" s="226"/>
      <c r="I26" s="215"/>
      <c r="J26" s="215"/>
      <c r="R26" s="215" t="str">
        <f>IF('Logical Group Generator'!W26="FALSE","",IF('Logical Group Generator'!B26="OTP_RSVD_38_03","",'Logical Group Generator'!B26))</f>
        <v/>
      </c>
      <c r="T26" s="157">
        <f>MATCH(U26,'Logical Group Generator'!B:B,0)</f>
        <v>108</v>
      </c>
      <c r="U26" s="157" t="str">
        <f t="array" ref="U26">IF(ROWS($3:26)&lt;=COUNTA($R$3:$R$902),INDEX($R$3:$R$902,SMALL(IF($R$3:$R$902&lt;&gt;"",ROW($R$3:$R$902)-MIN(ROW($R$3:$R$902))+1),ROWS($3:26))),"")</f>
        <v>BUCK6SLPVID</v>
      </c>
      <c r="W26" s="157" t="str">
        <f>IF(INDEX('Logical Group Generator'!W:W,MATCH(U26,'Logical Group Generator'!B:B,0))="REGISTER","REGISTER","BIT")</f>
        <v>REGISTER</v>
      </c>
    </row>
    <row r="27" spans="2:23">
      <c r="B27" s="223" t="str">
        <f>IF(ISERROR(T27),"",CONCATENATE(IF(W27="BIT",$M$2,$M$1),U27,$M$3,BIN2HEX(IF(W27="BIT",INDEX('Logical Group Generator'!H:H,'Script Generator'!T27),INDEX('Logical Group Generator'!L:L,'Script Generator'!T27)),2),IF(ISERROR(T28),$M$5,$M$4)))</f>
        <v>                   {register: 'LDOA2VID', value: 0x22},</v>
      </c>
      <c r="D27" s="225" t="str">
        <f>RIGHT(INDEX('Logical Group Generator'!E:E,T24),2)</f>
        <v>5E</v>
      </c>
      <c r="E27" s="224" t="str">
        <f>RIGHT(INDEX('Logical Group Generator'!F:F,T24),2)</f>
        <v>97</v>
      </c>
      <c r="F27" s="224" t="str">
        <f>BIN2HEX(INDEX('Logical Group Generator'!L:L,'Script Generator'!T24),2)</f>
        <v>00</v>
      </c>
      <c r="G27" s="226"/>
      <c r="I27" s="215"/>
      <c r="J27" s="215"/>
      <c r="R27" s="215" t="str">
        <f>IF('Logical Group Generator'!W27="FALSE","",IF('Logical Group Generator'!B27="OTP_RSVD_38_03","",'Logical Group Generator'!B27))</f>
        <v>BUCK2CTRL</v>
      </c>
      <c r="T27" s="157">
        <f>MATCH(U27,'Logical Group Generator'!B:B,0)</f>
        <v>111</v>
      </c>
      <c r="U27" s="157" t="str">
        <f t="array" ref="U27">IF(ROWS($3:27)&lt;=COUNTA($R$3:$R$902),INDEX($R$3:$R$902,SMALL(IF($R$3:$R$902&lt;&gt;"",ROW($R$3:$R$902)-MIN(ROW($R$3:$R$902))+1),ROWS($3:27))),"")</f>
        <v>LDOA2VID</v>
      </c>
      <c r="W27" s="157" t="str">
        <f>IF(INDEX('Logical Group Generator'!W:W,MATCH(U27,'Logical Group Generator'!B:B,0))="REGISTER","REGISTER","BIT")</f>
        <v>REGISTER</v>
      </c>
    </row>
    <row r="28" spans="2:23">
      <c r="B28" s="223" t="str">
        <f>IF(ISERROR(T28),"",CONCATENATE(IF(W28="BIT",$M$2,$M$1),U28,$M$3,BIN2HEX(IF(W28="BIT",INDEX('Logical Group Generator'!H:H,'Script Generator'!T28),INDEX('Logical Group Generator'!L:L,'Script Generator'!T28)),2),IF(ISERROR(T29),$M$5,$M$4)))</f>
        <v>                   {register: 'LDOA3VID', value: 0xDD},</v>
      </c>
      <c r="D28" s="225" t="str">
        <f>RIGHT(INDEX('Logical Group Generator'!E:E,T25),2)</f>
        <v>5E</v>
      </c>
      <c r="E28" s="224" t="str">
        <f>RIGHT(INDEX('Logical Group Generator'!F:F,T25),2)</f>
        <v>98</v>
      </c>
      <c r="F28" s="224" t="str">
        <f>BIN2HEX(INDEX('Logical Group Generator'!L:L,'Script Generator'!T25),2)</f>
        <v>A0</v>
      </c>
      <c r="G28" s="226"/>
      <c r="I28" s="215"/>
      <c r="J28" s="215"/>
      <c r="R28" s="215" t="str">
        <f>IF('Logical Group Generator'!W28="FALSE","",IF('Logical Group Generator'!B28="OTP_RSVD_38_03","",'Logical Group Generator'!B28))</f>
        <v/>
      </c>
      <c r="T28" s="157">
        <f>MATCH(U28,'Logical Group Generator'!B:B,0)</f>
        <v>114</v>
      </c>
      <c r="U28" s="157" t="str">
        <f t="array" ref="U28">IF(ROWS($3:28)&lt;=COUNTA($R$3:$R$902),INDEX($R$3:$R$902,SMALL(IF($R$3:$R$902&lt;&gt;"",ROW($R$3:$R$902)-MIN(ROW($R$3:$R$902))+1),ROWS($3:28))),"")</f>
        <v>LDOA3VID</v>
      </c>
      <c r="W28" s="157" t="str">
        <f>IF(INDEX('Logical Group Generator'!W:W,MATCH(U28,'Logical Group Generator'!B:B,0))="REGISTER","REGISTER","BIT")</f>
        <v>REGISTER</v>
      </c>
    </row>
    <row r="29" spans="2:23">
      <c r="B29" s="223" t="str">
        <f>IF(ISERROR(T29),"",CONCATENATE(IF(W29="BIT",$M$2,$M$1),U29,$M$3,BIN2HEX(IF(W29="BIT",INDEX('Logical Group Generator'!H:H,'Script Generator'!T29),INDEX('Logical Group Generator'!L:L,'Script Generator'!T29)),2),IF(ISERROR(T30),$M$5,$M$4)))</f>
        <v>                   {register: 'BUCK123CTRL', value: 0x3F},</v>
      </c>
      <c r="D29" s="225" t="str">
        <f>RIGHT(INDEX('Logical Group Generator'!E:E,T26),2)</f>
        <v>5E</v>
      </c>
      <c r="E29" s="224" t="str">
        <f>RIGHT(INDEX('Logical Group Generator'!F:F,T26),2)</f>
        <v>99</v>
      </c>
      <c r="F29" s="224" t="str">
        <f>BIN2HEX(INDEX('Logical Group Generator'!L:L,'Script Generator'!T26),2)</f>
        <v>A0</v>
      </c>
      <c r="G29" s="226"/>
      <c r="I29" s="215"/>
      <c r="J29" s="215"/>
      <c r="R29" s="215" t="str">
        <f>IF('Logical Group Generator'!W29="FALSE","",IF('Logical Group Generator'!B29="OTP_RSVD_38_03","",'Logical Group Generator'!B29))</f>
        <v/>
      </c>
      <c r="T29" s="157">
        <f>MATCH(U29,'Logical Group Generator'!B:B,0)</f>
        <v>117</v>
      </c>
      <c r="U29" s="157" t="str">
        <f t="array" ref="U29">IF(ROWS($3:29)&lt;=COUNTA($R$3:$R$902),INDEX($R$3:$R$902,SMALL(IF($R$3:$R$902&lt;&gt;"",ROW($R$3:$R$902)-MIN(ROW($R$3:$R$902))+1),ROWS($3:29))),"")</f>
        <v>BUCK123CTRL</v>
      </c>
      <c r="W29" s="157" t="str">
        <f>IF(INDEX('Logical Group Generator'!W:W,MATCH(U29,'Logical Group Generator'!B:B,0))="REGISTER","REGISTER","BIT")</f>
        <v>REGISTER</v>
      </c>
    </row>
    <row r="30" spans="2:23">
      <c r="B30" s="223" t="str">
        <f>IF(ISERROR(T30),"",CONCATENATE(IF(W30="BIT",$M$2,$M$1),U30,$M$3,BIN2HEX(IF(W30="BIT",INDEX('Logical Group Generator'!H:H,'Script Generator'!T30),INDEX('Logical Group Generator'!L:L,'Script Generator'!T30)),2),IF(ISERROR(T31),$M$5,$M$4)))</f>
        <v>                   {register: 'PG_DELAY2', value: 0x4A},</v>
      </c>
      <c r="D30" s="225" t="str">
        <f>RIGHT(INDEX('Logical Group Generator'!E:E,T27),2)</f>
        <v>5E</v>
      </c>
      <c r="E30" s="224" t="str">
        <f>RIGHT(INDEX('Logical Group Generator'!F:F,T27),2)</f>
        <v>9A</v>
      </c>
      <c r="F30" s="224" t="str">
        <f>BIN2HEX(INDEX('Logical Group Generator'!L:L,'Script Generator'!T27),2)</f>
        <v>22</v>
      </c>
      <c r="G30" s="226"/>
      <c r="I30" s="215"/>
      <c r="J30" s="215"/>
      <c r="R30" s="215" t="str">
        <f>IF('Logical Group Generator'!W30="FALSE","",IF('Logical Group Generator'!B30="OTP_RSVD_38_03","",'Logical Group Generator'!B30))</f>
        <v>BUCK3DECAY</v>
      </c>
      <c r="T30" s="157">
        <f>MATCH(U30,'Logical Group Generator'!B:B,0)</f>
        <v>125</v>
      </c>
      <c r="U30" s="157" t="str">
        <f t="array" ref="U30">IF(ROWS($3:30)&lt;=COUNTA($R$3:$R$902),INDEX($R$3:$R$902,SMALL(IF($R$3:$R$902&lt;&gt;"",ROW($R$3:$R$902)-MIN(ROW($R$3:$R$902))+1),ROWS($3:30))),"")</f>
        <v>PG_DELAY2</v>
      </c>
      <c r="W30" s="157" t="str">
        <f>IF(INDEX('Logical Group Generator'!W:W,MATCH(U30,'Logical Group Generator'!B:B,0))="REGISTER","REGISTER","BIT")</f>
        <v>REGISTER</v>
      </c>
    </row>
    <row r="31" spans="2:23">
      <c r="B31" s="223" t="str">
        <f>IF(ISERROR(T31),"",CONCATENATE(IF(W31="BIT",$M$2,$M$1),U31,$M$3,BIN2HEX(IF(W31="BIT",INDEX('Logical Group Generator'!H:H,'Script Generator'!T31),INDEX('Logical Group Generator'!L:L,'Script Generator'!T31)),2),IF(ISERROR(T32),$M$5,$M$4)))</f>
        <v>                   {register: 'SWVTT_DIS', value: 0x80},</v>
      </c>
      <c r="D31" s="225" t="str">
        <f>RIGHT(INDEX('Logical Group Generator'!E:E,T28),2)</f>
        <v>5E</v>
      </c>
      <c r="E31" s="224" t="str">
        <f>RIGHT(INDEX('Logical Group Generator'!F:F,T28),2)</f>
        <v>9B</v>
      </c>
      <c r="F31" s="224" t="str">
        <f>BIN2HEX(INDEX('Logical Group Generator'!L:L,'Script Generator'!T28),2)</f>
        <v>DD</v>
      </c>
      <c r="G31" s="226"/>
      <c r="I31" s="215"/>
      <c r="J31" s="215"/>
      <c r="R31" s="215" t="str">
        <f>IF('Logical Group Generator'!W31="FALSE","",IF('Logical Group Generator'!B31="OTP_RSVD_38_03","",'Logical Group Generator'!B31))</f>
        <v/>
      </c>
      <c r="T31" s="157">
        <f>MATCH(U31,'Logical Group Generator'!B:B,0)</f>
        <v>138</v>
      </c>
      <c r="U31" s="157" t="str">
        <f t="array" ref="U31">IF(ROWS($3:31)&lt;=COUNTA($R$3:$R$902),INDEX($R$3:$R$902,SMALL(IF($R$3:$R$902&lt;&gt;"",ROW($R$3:$R$902)-MIN(ROW($R$3:$R$902))+1),ROWS($3:31))),"")</f>
        <v>SWVTT_DIS</v>
      </c>
      <c r="W31" s="157" t="str">
        <f>IF(INDEX('Logical Group Generator'!W:W,MATCH(U31,'Logical Group Generator'!B:B,0))="REGISTER","REGISTER","BIT")</f>
        <v>REGISTER</v>
      </c>
    </row>
    <row r="32" spans="2:23">
      <c r="B32" s="223" t="str">
        <f>IF(ISERROR(T32),"",CONCATENATE(IF(W32="BIT",$M$2,$M$1),U32,$M$3,BIN2HEX(IF(W32="BIT",INDEX('Logical Group Generator'!H:H,'Script Generator'!T32),INDEX('Logical Group Generator'!L:L,'Script Generator'!T32)),2),IF(ISERROR(T33),$M$5,$M$4)))</f>
        <v>                   {register: 'I2C_RAIL_EN1', value: 0xD0},</v>
      </c>
      <c r="D32" s="225" t="str">
        <f>RIGHT(INDEX('Logical Group Generator'!E:E,T29),2)</f>
        <v>5E</v>
      </c>
      <c r="E32" s="224" t="str">
        <f>RIGHT(INDEX('Logical Group Generator'!F:F,T29),2)</f>
        <v>9C</v>
      </c>
      <c r="F32" s="224" t="str">
        <f>BIN2HEX(INDEX('Logical Group Generator'!L:L,'Script Generator'!T29),2)</f>
        <v>3F</v>
      </c>
      <c r="G32" s="226"/>
      <c r="I32" s="215"/>
      <c r="J32" s="215"/>
      <c r="R32" s="215" t="str">
        <f>IF('Logical Group Generator'!W32="FALSE","",IF('Logical Group Generator'!B32="OTP_RSVD_38_03","",'Logical Group Generator'!B32))</f>
        <v/>
      </c>
      <c r="T32" s="157">
        <f>MATCH(U32,'Logical Group Generator'!B:B,0)</f>
        <v>147</v>
      </c>
      <c r="U32" s="157" t="str">
        <f t="array" ref="U32">IF(ROWS($3:32)&lt;=COUNTA($R$3:$R$902),INDEX($R$3:$R$902,SMALL(IF($R$3:$R$902&lt;&gt;"",ROW($R$3:$R$902)-MIN(ROW($R$3:$R$902))+1),ROWS($3:32))),"")</f>
        <v>I2C_RAIL_EN1</v>
      </c>
      <c r="W32" s="157" t="str">
        <f>IF(INDEX('Logical Group Generator'!W:W,MATCH(U32,'Logical Group Generator'!B:B,0))="REGISTER","REGISTER","BIT")</f>
        <v>REGISTER</v>
      </c>
    </row>
    <row r="33" spans="2:23">
      <c r="B33" s="223" t="str">
        <f>IF(ISERROR(T33),"",CONCATENATE(IF(W33="BIT",$M$2,$M$1),U33,$M$3,BIN2HEX(IF(W33="BIT",INDEX('Logical Group Generator'!H:H,'Script Generator'!T33),INDEX('Logical Group Generator'!L:L,'Script Generator'!T33)),2),IF(ISERROR(T34),$M$5,$M$4)))</f>
        <v>                   {register: 'I2C_RAIL_EN2', value: 0x0A},</v>
      </c>
      <c r="D33" s="225" t="str">
        <f>RIGHT(INDEX('Logical Group Generator'!E:E,T30),2)</f>
        <v>5E</v>
      </c>
      <c r="E33" s="224" t="str">
        <f>RIGHT(INDEX('Logical Group Generator'!F:F,T30),2)</f>
        <v>9D</v>
      </c>
      <c r="F33" s="224" t="str">
        <f>BIN2HEX(INDEX('Logical Group Generator'!L:L,'Script Generator'!T30),2)</f>
        <v>4A</v>
      </c>
      <c r="G33" s="226"/>
      <c r="I33" s="215"/>
      <c r="J33" s="215"/>
      <c r="R33" s="215" t="str">
        <f>IF('Logical Group Generator'!W33="FALSE","",IF('Logical Group Generator'!B33="OTP_RSVD_38_03","",'Logical Group Generator'!B33))</f>
        <v>BUCK3VID</v>
      </c>
      <c r="T33" s="157">
        <f>MATCH(U33,'Logical Group Generator'!B:B,0)</f>
        <v>156</v>
      </c>
      <c r="U33" s="157" t="str">
        <f t="array" ref="U33">IF(ROWS($3:33)&lt;=COUNTA($R$3:$R$902),INDEX($R$3:$R$902,SMALL(IF($R$3:$R$902&lt;&gt;"",ROW($R$3:$R$902)-MIN(ROW($R$3:$R$902))+1),ROWS($3:33))),"")</f>
        <v>I2C_RAIL_EN2</v>
      </c>
      <c r="W33" s="157" t="str">
        <f>IF(INDEX('Logical Group Generator'!W:W,MATCH(U33,'Logical Group Generator'!B:B,0))="REGISTER","REGISTER","BIT")</f>
        <v>REGISTER</v>
      </c>
    </row>
    <row r="34" spans="2:23">
      <c r="B34" s="223" t="str">
        <f>IF(ISERROR(T34),"",CONCATENATE(IF(W34="BIT",$M$2,$M$1),U34,$M$3,BIN2HEX(IF(W34="BIT",INDEX('Logical Group Generator'!H:H,'Script Generator'!T34),INDEX('Logical Group Generator'!L:L,'Script Generator'!T34)),2),IF(ISERROR(T35),$M$5,$M$4)))</f>
        <v>                   {register: 'PWR_FAULT_MASK1', value: 0xD0},</v>
      </c>
      <c r="D34" s="225" t="str">
        <f>RIGHT(INDEX('Logical Group Generator'!E:E,T31),2)</f>
        <v>5E</v>
      </c>
      <c r="E34" s="224" t="str">
        <f>RIGHT(INDEX('Logical Group Generator'!F:F,T31),2)</f>
        <v>9F</v>
      </c>
      <c r="F34" s="224" t="str">
        <f>BIN2HEX(INDEX('Logical Group Generator'!L:L,'Script Generator'!T31),2)</f>
        <v>80</v>
      </c>
      <c r="G34" s="226"/>
      <c r="I34" s="215"/>
      <c r="J34" s="215"/>
      <c r="R34" s="215" t="str">
        <f>IF('Logical Group Generator'!W34="FALSE","",IF('Logical Group Generator'!B34="OTP_RSVD_38_03","",'Logical Group Generator'!B34))</f>
        <v/>
      </c>
      <c r="T34" s="157">
        <f>MATCH(U34,'Logical Group Generator'!B:B,0)</f>
        <v>165</v>
      </c>
      <c r="U34" s="157" t="str">
        <f t="array" ref="U34">IF(ROWS($3:34)&lt;=COUNTA($R$3:$R$902),INDEX($R$3:$R$902,SMALL(IF($R$3:$R$902&lt;&gt;"",ROW($R$3:$R$902)-MIN(ROW($R$3:$R$902))+1),ROWS($3:34))),"")</f>
        <v>PWR_FAULT_MASK1</v>
      </c>
      <c r="W34" s="157" t="str">
        <f>IF(INDEX('Logical Group Generator'!W:W,MATCH(U34,'Logical Group Generator'!B:B,0))="REGISTER","REGISTER","BIT")</f>
        <v>REGISTER</v>
      </c>
    </row>
    <row r="35" spans="2:23">
      <c r="B35" s="223" t="str">
        <f>IF(ISERROR(T35),"",CONCATENATE(IF(W35="BIT",$M$2,$M$1),U35,$M$3,BIN2HEX(IF(W35="BIT",INDEX('Logical Group Generator'!H:H,'Script Generator'!T35),INDEX('Logical Group Generator'!L:L,'Script Generator'!T35)),2),IF(ISERROR(T36),$M$5,$M$4)))</f>
        <v>                   {register: 'PWR_FAULT_MASK2', value: 0x2E},</v>
      </c>
      <c r="D35" s="225" t="str">
        <f>RIGHT(INDEX('Logical Group Generator'!E:E,T32),2)</f>
        <v>5E</v>
      </c>
      <c r="E35" s="224" t="str">
        <f>RIGHT(INDEX('Logical Group Generator'!F:F,T32),2)</f>
        <v>A0</v>
      </c>
      <c r="F35" s="224" t="str">
        <f>BIN2HEX(INDEX('Logical Group Generator'!L:L,'Script Generator'!T32),2)</f>
        <v>D0</v>
      </c>
      <c r="G35" s="226"/>
      <c r="I35" s="215"/>
      <c r="J35" s="215"/>
      <c r="R35" s="215" t="str">
        <f>IF('Logical Group Generator'!W35="FALSE","",IF('Logical Group Generator'!B35="OTP_RSVD_38_03","",'Logical Group Generator'!B35))</f>
        <v/>
      </c>
      <c r="T35" s="157">
        <f>MATCH(U35,'Logical Group Generator'!B:B,0)</f>
        <v>174</v>
      </c>
      <c r="U35" s="157" t="str">
        <f t="array" ref="U35">IF(ROWS($3:35)&lt;=COUNTA($R$3:$R$902),INDEX($R$3:$R$902,SMALL(IF($R$3:$R$902&lt;&gt;"",ROW($R$3:$R$902)-MIN(ROW($R$3:$R$902))+1),ROWS($3:35))),"")</f>
        <v>PWR_FAULT_MASK2</v>
      </c>
      <c r="W35" s="157" t="str">
        <f>IF(INDEX('Logical Group Generator'!W:W,MATCH(U35,'Logical Group Generator'!B:B,0))="REGISTER","REGISTER","BIT")</f>
        <v>REGISTER</v>
      </c>
    </row>
    <row r="36" spans="2:23">
      <c r="B36" s="223" t="str">
        <f>IF(ISERROR(T36),"",CONCATENATE(IF(W36="BIT",$M$2,$M$1),U36,$M$3,BIN2HEX(IF(W36="BIT",INDEX('Logical Group Generator'!H:H,'Script Generator'!T36),INDEX('Logical Group Generator'!L:L,'Script Generator'!T36)),2),IF(ISERROR(T37),$M$5,$M$4)))</f>
        <v>                   {register: 'GPO1PG_CTRL1', value: 0xF2},</v>
      </c>
      <c r="D36" s="225" t="str">
        <f>RIGHT(INDEX('Logical Group Generator'!E:E,T33),2)</f>
        <v>5E</v>
      </c>
      <c r="E36" s="224" t="str">
        <f>RIGHT(INDEX('Logical Group Generator'!F:F,T33),2)</f>
        <v>A1</v>
      </c>
      <c r="F36" s="224" t="str">
        <f>BIN2HEX(INDEX('Logical Group Generator'!L:L,'Script Generator'!T33),2)</f>
        <v>0A</v>
      </c>
      <c r="G36" s="226"/>
      <c r="I36" s="215"/>
      <c r="J36" s="215"/>
      <c r="R36" s="215" t="str">
        <f>IF('Logical Group Generator'!W36="FALSE","",IF('Logical Group Generator'!B36="OTP_RSVD_38_03","",'Logical Group Generator'!B36))</f>
        <v>BUCK3SLPCTRL</v>
      </c>
      <c r="T36" s="157">
        <f>MATCH(U36,'Logical Group Generator'!B:B,0)</f>
        <v>183</v>
      </c>
      <c r="U36" s="157" t="str">
        <f t="array" ref="U36">IF(ROWS($3:36)&lt;=COUNTA($R$3:$R$902),INDEX($R$3:$R$902,SMALL(IF($R$3:$R$902&lt;&gt;"",ROW($R$3:$R$902)-MIN(ROW($R$3:$R$902))+1),ROWS($3:36))),"")</f>
        <v>GPO1PG_CTRL1</v>
      </c>
      <c r="W36" s="157" t="str">
        <f>IF(INDEX('Logical Group Generator'!W:W,MATCH(U36,'Logical Group Generator'!B:B,0))="REGISTER","REGISTER","BIT")</f>
        <v>REGISTER</v>
      </c>
    </row>
    <row r="37" spans="2:23">
      <c r="B37" s="223" t="str">
        <f>IF(ISERROR(T37),"",CONCATENATE(IF(W37="BIT",$M$2,$M$1),U37,$M$3,BIN2HEX(IF(W37="BIT",INDEX('Logical Group Generator'!H:H,'Script Generator'!T37),INDEX('Logical Group Generator'!L:L,'Script Generator'!T37)),2),IF(ISERROR(T38),$M$5,$M$4)))</f>
        <v>                   {register: 'GPO1PG_CTRL2', value: 0xFF},</v>
      </c>
      <c r="D37" s="225" t="str">
        <f>RIGHT(INDEX('Logical Group Generator'!E:E,T34),2)</f>
        <v>5E</v>
      </c>
      <c r="E37" s="224" t="str">
        <f>RIGHT(INDEX('Logical Group Generator'!F:F,T34),2)</f>
        <v>A2</v>
      </c>
      <c r="F37" s="224" t="str">
        <f>BIN2HEX(INDEX('Logical Group Generator'!L:L,'Script Generator'!T34),2)</f>
        <v>D0</v>
      </c>
      <c r="G37" s="226"/>
      <c r="I37" s="215"/>
      <c r="J37" s="215"/>
      <c r="R37" s="215" t="str">
        <f>IF('Logical Group Generator'!W37="FALSE","",IF('Logical Group Generator'!B37="OTP_RSVD_38_03","",'Logical Group Generator'!B37))</f>
        <v/>
      </c>
      <c r="T37" s="157">
        <f>MATCH(U37,'Logical Group Generator'!B:B,0)</f>
        <v>192</v>
      </c>
      <c r="U37" s="157" t="str">
        <f t="array" ref="U37">IF(ROWS($3:37)&lt;=COUNTA($R$3:$R$902),INDEX($R$3:$R$902,SMALL(IF($R$3:$R$902&lt;&gt;"",ROW($R$3:$R$902)-MIN(ROW($R$3:$R$902))+1),ROWS($3:37))),"")</f>
        <v>GPO1PG_CTRL2</v>
      </c>
      <c r="W37" s="157" t="str">
        <f>IF(INDEX('Logical Group Generator'!W:W,MATCH(U37,'Logical Group Generator'!B:B,0))="REGISTER","REGISTER","BIT")</f>
        <v>REGISTER</v>
      </c>
    </row>
    <row r="38" spans="2:23">
      <c r="B38" s="223" t="str">
        <f>IF(ISERROR(T38),"",CONCATENATE(IF(W38="BIT",$M$2,$M$1),U38,$M$3,BIN2HEX(IF(W38="BIT",INDEX('Logical Group Generator'!H:H,'Script Generator'!T38),INDEX('Logical Group Generator'!L:L,'Script Generator'!T38)),2),IF(ISERROR(T39),$M$5,$M$4)))</f>
        <v>                   {register: 'GPO4PG_CTRL1', value: 0xDF},</v>
      </c>
      <c r="D38" s="225" t="str">
        <f>RIGHT(INDEX('Logical Group Generator'!E:E,T35),2)</f>
        <v>5E</v>
      </c>
      <c r="E38" s="224" t="str">
        <f>RIGHT(INDEX('Logical Group Generator'!F:F,T35),2)</f>
        <v>A3</v>
      </c>
      <c r="F38" s="224" t="str">
        <f>BIN2HEX(INDEX('Logical Group Generator'!L:L,'Script Generator'!T35),2)</f>
        <v>2E</v>
      </c>
      <c r="G38" s="226"/>
      <c r="I38" s="215"/>
      <c r="J38" s="215"/>
      <c r="R38" s="215" t="str">
        <f>IF('Logical Group Generator'!W38="FALSE","",IF('Logical Group Generator'!B38="OTP_RSVD_38_03","",'Logical Group Generator'!B38))</f>
        <v/>
      </c>
      <c r="T38" s="157">
        <f>MATCH(U38,'Logical Group Generator'!B:B,0)</f>
        <v>201</v>
      </c>
      <c r="U38" s="157" t="str">
        <f t="array" ref="U38">IF(ROWS($3:38)&lt;=COUNTA($R$3:$R$902),INDEX($R$3:$R$902,SMALL(IF($R$3:$R$902&lt;&gt;"",ROW($R$3:$R$902)-MIN(ROW($R$3:$R$902))+1),ROWS($3:38))),"")</f>
        <v>GPO4PG_CTRL1</v>
      </c>
      <c r="W38" s="157" t="str">
        <f>IF(INDEX('Logical Group Generator'!W:W,MATCH(U38,'Logical Group Generator'!B:B,0))="REGISTER","REGISTER","BIT")</f>
        <v>REGISTER</v>
      </c>
    </row>
    <row r="39" spans="2:23">
      <c r="B39" s="223" t="str">
        <f>IF(ISERROR(T39),"",CONCATENATE(IF(W39="BIT",$M$2,$M$1),U39,$M$3,BIN2HEX(IF(W39="BIT",INDEX('Logical Group Generator'!H:H,'Script Generator'!T39),INDEX('Logical Group Generator'!L:L,'Script Generator'!T39)),2),IF(ISERROR(T40),$M$5,$M$4)))</f>
        <v>                   {register: 'GPO4PG_CTRL2', value: 0xFF},</v>
      </c>
      <c r="D39" s="225" t="str">
        <f>RIGHT(INDEX('Logical Group Generator'!E:E,T36),2)</f>
        <v>5E</v>
      </c>
      <c r="E39" s="224" t="str">
        <f>RIGHT(INDEX('Logical Group Generator'!F:F,T36),2)</f>
        <v>A4</v>
      </c>
      <c r="F39" s="224" t="str">
        <f>BIN2HEX(INDEX('Logical Group Generator'!L:L,'Script Generator'!T36),2)</f>
        <v>F2</v>
      </c>
      <c r="G39" s="226"/>
      <c r="I39" s="215"/>
      <c r="J39" s="215"/>
      <c r="R39" s="215" t="str">
        <f>IF('Logical Group Generator'!W39="FALSE","",IF('Logical Group Generator'!B39="OTP_RSVD_38_03","",'Logical Group Generator'!B39))</f>
        <v>BUCK4CTRL</v>
      </c>
      <c r="T39" s="157">
        <f>MATCH(U39,'Logical Group Generator'!B:B,0)</f>
        <v>210</v>
      </c>
      <c r="U39" s="157" t="str">
        <f t="array" ref="U39">IF(ROWS($3:39)&lt;=COUNTA($R$3:$R$902),INDEX($R$3:$R$902,SMALL(IF($R$3:$R$902&lt;&gt;"",ROW($R$3:$R$902)-MIN(ROW($R$3:$R$902))+1),ROWS($3:39))),"")</f>
        <v>GPO4PG_CTRL2</v>
      </c>
      <c r="W39" s="157" t="str">
        <f>IF(INDEX('Logical Group Generator'!W:W,MATCH(U39,'Logical Group Generator'!B:B,0))="REGISTER","REGISTER","BIT")</f>
        <v>REGISTER</v>
      </c>
    </row>
    <row r="40" spans="2:23">
      <c r="B40" s="223" t="str">
        <f>IF(ISERROR(T40),"",CONCATENATE(IF(W40="BIT",$M$2,$M$1),U40,$M$3,BIN2HEX(IF(W40="BIT",INDEX('Logical Group Generator'!H:H,'Script Generator'!T40),INDEX('Logical Group Generator'!L:L,'Script Generator'!T40)),2),IF(ISERROR(T41),$M$5,$M$4)))</f>
        <v>                   {register: 'GPO2PG_CTRL1', value: 0xFF},</v>
      </c>
      <c r="D40" s="225" t="str">
        <f>RIGHT(INDEX('Logical Group Generator'!E:E,T37),2)</f>
        <v>5E</v>
      </c>
      <c r="E40" s="224" t="str">
        <f>RIGHT(INDEX('Logical Group Generator'!F:F,T37),2)</f>
        <v>A5</v>
      </c>
      <c r="F40" s="224" t="str">
        <f>BIN2HEX(INDEX('Logical Group Generator'!L:L,'Script Generator'!T37),2)</f>
        <v>FF</v>
      </c>
      <c r="G40" s="226"/>
      <c r="I40" s="215"/>
      <c r="J40" s="215"/>
      <c r="R40" s="215" t="str">
        <f>IF('Logical Group Generator'!W40="FALSE","",IF('Logical Group Generator'!B40="OTP_RSVD_38_03","",'Logical Group Generator'!B40))</f>
        <v/>
      </c>
      <c r="T40" s="157">
        <f>MATCH(U40,'Logical Group Generator'!B:B,0)</f>
        <v>219</v>
      </c>
      <c r="U40" s="157" t="str">
        <f t="array" ref="U40">IF(ROWS($3:40)&lt;=COUNTA($R$3:$R$902),INDEX($R$3:$R$902,SMALL(IF($R$3:$R$902&lt;&gt;"",ROW($R$3:$R$902)-MIN(ROW($R$3:$R$902))+1),ROWS($3:40))),"")</f>
        <v>GPO2PG_CTRL1</v>
      </c>
      <c r="W40" s="157" t="str">
        <f>IF(INDEX('Logical Group Generator'!W:W,MATCH(U40,'Logical Group Generator'!B:B,0))="REGISTER","REGISTER","BIT")</f>
        <v>REGISTER</v>
      </c>
    </row>
    <row r="41" spans="2:23">
      <c r="B41" s="223" t="str">
        <f>IF(ISERROR(T41),"",CONCATENATE(IF(W41="BIT",$M$2,$M$1),U41,$M$3,BIN2HEX(IF(W41="BIT",INDEX('Logical Group Generator'!H:H,'Script Generator'!T41),INDEX('Logical Group Generator'!L:L,'Script Generator'!T41)),2),IF(ISERROR(T42),$M$5,$M$4)))</f>
        <v>                   {register: 'GPO2PG_CTRL2', value: 0xFE},</v>
      </c>
      <c r="D41" s="225" t="str">
        <f>RIGHT(INDEX('Logical Group Generator'!E:E,T38),2)</f>
        <v>5E</v>
      </c>
      <c r="E41" s="224" t="str">
        <f>RIGHT(INDEX('Logical Group Generator'!F:F,T38),2)</f>
        <v>A6</v>
      </c>
      <c r="F41" s="224" t="str">
        <f>BIN2HEX(INDEX('Logical Group Generator'!L:L,'Script Generator'!T38),2)</f>
        <v>DF</v>
      </c>
      <c r="G41" s="226"/>
      <c r="I41" s="215"/>
      <c r="J41" s="215"/>
      <c r="R41" s="215" t="str">
        <f>IF('Logical Group Generator'!W41="FALSE","",IF('Logical Group Generator'!B41="OTP_RSVD_38_03","",'Logical Group Generator'!B41))</f>
        <v/>
      </c>
      <c r="T41" s="157">
        <f>MATCH(U41,'Logical Group Generator'!B:B,0)</f>
        <v>228</v>
      </c>
      <c r="U41" s="157" t="str">
        <f t="array" ref="U41">IF(ROWS($3:41)&lt;=COUNTA($R$3:$R$902),INDEX($R$3:$R$902,SMALL(IF($R$3:$R$902&lt;&gt;"",ROW($R$3:$R$902)-MIN(ROW($R$3:$R$902))+1),ROWS($3:41))),"")</f>
        <v>GPO2PG_CTRL2</v>
      </c>
      <c r="W41" s="157" t="str">
        <f>IF(INDEX('Logical Group Generator'!W:W,MATCH(U41,'Logical Group Generator'!B:B,0))="REGISTER","REGISTER","BIT")</f>
        <v>REGISTER</v>
      </c>
    </row>
    <row r="42" spans="2:23">
      <c r="B42" s="223" t="str">
        <f>IF(ISERROR(T42),"",CONCATENATE(IF(W42="BIT",$M$2,$M$1),U42,$M$3,BIN2HEX(IF(W42="BIT",INDEX('Logical Group Generator'!H:H,'Script Generator'!T42),INDEX('Logical Group Generator'!L:L,'Script Generator'!T42)),2),IF(ISERROR(T43),$M$5,$M$4)))</f>
        <v>                   {register: 'GPO3PG_CTRL1', value: 0xFD},</v>
      </c>
      <c r="D42" s="225" t="str">
        <f>RIGHT(INDEX('Logical Group Generator'!E:E,T39),2)</f>
        <v>5E</v>
      </c>
      <c r="E42" s="224" t="str">
        <f>RIGHT(INDEX('Logical Group Generator'!F:F,T39),2)</f>
        <v>A7</v>
      </c>
      <c r="F42" s="224" t="str">
        <f>BIN2HEX(INDEX('Logical Group Generator'!L:L,'Script Generator'!T39),2)</f>
        <v>FF</v>
      </c>
      <c r="G42" s="226"/>
      <c r="I42" s="215"/>
      <c r="J42" s="215"/>
      <c r="R42" s="215" t="str">
        <f>IF('Logical Group Generator'!W42="FALSE","",IF('Logical Group Generator'!B42="OTP_RSVD_38_03","",'Logical Group Generator'!B42))</f>
        <v/>
      </c>
      <c r="T42" s="157">
        <f>MATCH(U42,'Logical Group Generator'!B:B,0)</f>
        <v>237</v>
      </c>
      <c r="U42" s="157" t="str">
        <f t="array" ref="U42">IF(ROWS($3:42)&lt;=COUNTA($R$3:$R$902),INDEX($R$3:$R$902,SMALL(IF($R$3:$R$902&lt;&gt;"",ROW($R$3:$R$902)-MIN(ROW($R$3:$R$902))+1),ROWS($3:42))),"")</f>
        <v>GPO3PG_CTRL1</v>
      </c>
      <c r="W42" s="157" t="str">
        <f>IF(INDEX('Logical Group Generator'!W:W,MATCH(U42,'Logical Group Generator'!B:B,0))="REGISTER","REGISTER","BIT")</f>
        <v>REGISTER</v>
      </c>
    </row>
    <row r="43" spans="2:23">
      <c r="B43" s="223" t="str">
        <f>IF(ISERROR(T43),"",CONCATENATE(IF(W43="BIT",$M$2,$M$1),U43,$M$3,BIN2HEX(IF(W43="BIT",INDEX('Logical Group Generator'!H:H,'Script Generator'!T43),INDEX('Logical Group Generator'!L:L,'Script Generator'!T43)),2),IF(ISERROR(T44),$M$5,$M$4)))</f>
        <v>                   {register: 'GPO3PG_CTRL2', value: 0xFF},</v>
      </c>
      <c r="D43" s="225" t="str">
        <f>RIGHT(INDEX('Logical Group Generator'!E:E,T40),2)</f>
        <v>5E</v>
      </c>
      <c r="E43" s="224" t="str">
        <f>RIGHT(INDEX('Logical Group Generator'!F:F,T40),2)</f>
        <v>A8</v>
      </c>
      <c r="F43" s="224" t="str">
        <f>BIN2HEX(INDEX('Logical Group Generator'!L:L,'Script Generator'!T40),2)</f>
        <v>FF</v>
      </c>
      <c r="G43" s="226"/>
      <c r="I43" s="215"/>
      <c r="J43" s="215"/>
      <c r="R43" s="215" t="str">
        <f>IF('Logical Group Generator'!W43="FALSE","",IF('Logical Group Generator'!B43="OTP_RSVD_38_03","",'Logical Group Generator'!B43))</f>
        <v/>
      </c>
      <c r="T43" s="157">
        <f>MATCH(U43,'Logical Group Generator'!B:B,0)</f>
        <v>246</v>
      </c>
      <c r="U43" s="157" t="str">
        <f t="array" ref="U43">IF(ROWS($3:43)&lt;=COUNTA($R$3:$R$902),INDEX($R$3:$R$902,SMALL(IF($R$3:$R$902&lt;&gt;"",ROW($R$3:$R$902)-MIN(ROW($R$3:$R$902))+1),ROWS($3:43))),"")</f>
        <v>GPO3PG_CTRL2</v>
      </c>
      <c r="W43" s="157" t="str">
        <f>IF(INDEX('Logical Group Generator'!W:W,MATCH(U43,'Logical Group Generator'!B:B,0))="REGISTER","REGISTER","BIT")</f>
        <v>REGISTER</v>
      </c>
    </row>
    <row r="44" spans="2:23">
      <c r="B44" s="223" t="str">
        <f>IF(ISERROR(T44),"",CONCATENATE(IF(W44="BIT",$M$2,$M$1),U44,$M$3,BIN2HEX(IF(W44="BIT",INDEX('Logical Group Generator'!H:H,'Script Generator'!T44),INDEX('Logical Group Generator'!L:L,'Script Generator'!T44)),2),IF(ISERROR(T45),$M$5,$M$4)))</f>
        <v>                   {register: 'MISCSYSPG', value: 0xFF},</v>
      </c>
      <c r="D44" s="225" t="str">
        <f>RIGHT(INDEX('Logical Group Generator'!E:E,T41),2)</f>
        <v>5E</v>
      </c>
      <c r="E44" s="224" t="str">
        <f>RIGHT(INDEX('Logical Group Generator'!F:F,T41),2)</f>
        <v>A9</v>
      </c>
      <c r="F44" s="224" t="str">
        <f>BIN2HEX(INDEX('Logical Group Generator'!L:L,'Script Generator'!T41),2)</f>
        <v>FE</v>
      </c>
      <c r="G44" s="226"/>
      <c r="I44" s="215"/>
      <c r="J44" s="215"/>
      <c r="R44" s="215" t="str">
        <f>IF('Logical Group Generator'!W44="FALSE","",IF('Logical Group Generator'!B44="OTP_RSVD_38_03","",'Logical Group Generator'!B44))</f>
        <v/>
      </c>
      <c r="T44" s="157">
        <f>MATCH(U44,'Logical Group Generator'!B:B,0)</f>
        <v>255</v>
      </c>
      <c r="U44" s="157" t="str">
        <f t="array" ref="U44">IF(ROWS($3:44)&lt;=COUNTA($R$3:$R$902),INDEX($R$3:$R$902,SMALL(IF($R$3:$R$902&lt;&gt;"",ROW($R$3:$R$902)-MIN(ROW($R$3:$R$902))+1),ROWS($3:44))),"")</f>
        <v>MISCSYSPG</v>
      </c>
      <c r="W44" s="157" t="str">
        <f>IF(INDEX('Logical Group Generator'!W:W,MATCH(U44,'Logical Group Generator'!B:B,0))="REGISTER","REGISTER","BIT")</f>
        <v>REGISTER</v>
      </c>
    </row>
    <row r="45" spans="2:23">
      <c r="B45" s="223" t="str">
        <f>IF(ISERROR(T45),"",CONCATENATE(IF(W45="BIT",$M$2,$M$1),U45,$M$3,BIN2HEX(IF(W45="BIT",INDEX('Logical Group Generator'!H:H,'Script Generator'!T45),INDEX('Logical Group Generator'!L:L,'Script Generator'!T45)),2),IF(ISERROR(T46),$M$5,$M$4)))</f>
        <v>                   {register: 'VTT_DISCH_CTRL', value: 0x4F},</v>
      </c>
      <c r="D45" s="225" t="str">
        <f>RIGHT(INDEX('Logical Group Generator'!E:E,T42),2)</f>
        <v>5E</v>
      </c>
      <c r="E45" s="224" t="str">
        <f>RIGHT(INDEX('Logical Group Generator'!F:F,T42),2)</f>
        <v>AA</v>
      </c>
      <c r="F45" s="224" t="str">
        <f>BIN2HEX(INDEX('Logical Group Generator'!L:L,'Script Generator'!T42),2)</f>
        <v>FD</v>
      </c>
      <c r="G45" s="226"/>
      <c r="I45" s="215"/>
      <c r="J45" s="215"/>
      <c r="R45" s="215" t="str">
        <f>IF('Logical Group Generator'!W45="FALSE","",IF('Logical Group Generator'!B45="OTP_RSVD_38_03","",'Logical Group Generator'!B45))</f>
        <v>BUCK5CTRL</v>
      </c>
      <c r="T45" s="157">
        <f>MATCH(U45,'Logical Group Generator'!B:B,0)</f>
        <v>264</v>
      </c>
      <c r="U45" s="157" t="str">
        <f t="array" ref="U45">IF(ROWS($3:45)&lt;=COUNTA($R$3:$R$902),INDEX($R$3:$R$902,SMALL(IF($R$3:$R$902&lt;&gt;"",ROW($R$3:$R$902)-MIN(ROW($R$3:$R$902))+1),ROWS($3:45))),"")</f>
        <v>VTT_DISCH_CTRL</v>
      </c>
      <c r="W45" s="157" t="str">
        <f>IF(INDEX('Logical Group Generator'!W:W,MATCH(U45,'Logical Group Generator'!B:B,0))="REGISTER","REGISTER","BIT")</f>
        <v>REGISTER</v>
      </c>
    </row>
    <row r="46" spans="2:23">
      <c r="B46" s="223" t="str">
        <f>IF(ISERROR(T46),"",CONCATENATE(IF(W46="BIT",$M$2,$M$1),U46,$M$3,BIN2HEX(IF(W46="BIT",INDEX('Logical Group Generator'!H:H,'Script Generator'!T46),INDEX('Logical Group Generator'!L:L,'Script Generator'!T46)),2),IF(ISERROR(T47),$M$5,$M$4)))</f>
        <v>                   {register: 'LDOA1_SWB2_CTRL', value: 0x1C},</v>
      </c>
      <c r="D46" s="225" t="str">
        <f>RIGHT(INDEX('Logical Group Generator'!E:E,T43),2)</f>
        <v>5E</v>
      </c>
      <c r="E46" s="224" t="str">
        <f>RIGHT(INDEX('Logical Group Generator'!F:F,T43),2)</f>
        <v>AB</v>
      </c>
      <c r="F46" s="224" t="str">
        <f>BIN2HEX(INDEX('Logical Group Generator'!L:L,'Script Generator'!T43),2)</f>
        <v>FF</v>
      </c>
      <c r="G46" s="226"/>
      <c r="I46" s="215"/>
      <c r="J46" s="215"/>
      <c r="R46" s="215" t="str">
        <f>IF('Logical Group Generator'!W46="FALSE","",IF('Logical Group Generator'!B46="OTP_RSVD_38_03","",'Logical Group Generator'!B46))</f>
        <v/>
      </c>
      <c r="T46" s="157">
        <f>MATCH(U46,'Logical Group Generator'!B:B,0)</f>
        <v>271</v>
      </c>
      <c r="U46" s="157" t="str">
        <f t="array" ref="U46">IF(ROWS($3:46)&lt;=COUNTA($R$3:$R$902),INDEX($R$3:$R$902,SMALL(IF($R$3:$R$902&lt;&gt;"",ROW($R$3:$R$902)-MIN(ROW($R$3:$R$902))+1),ROWS($3:46))),"")</f>
        <v>LDOA1_SWB2_CTRL</v>
      </c>
      <c r="W46" s="157" t="str">
        <f>IF(INDEX('Logical Group Generator'!W:W,MATCH(U46,'Logical Group Generator'!B:B,0))="REGISTER","REGISTER","BIT")</f>
        <v>REGISTER</v>
      </c>
    </row>
    <row r="47" spans="2:23">
      <c r="B47" s="223" t="str">
        <f>IF(ISERROR(T49),"",CONCATENATE(IF(W49="BIT",$M$2,$M$1),U49,$M$3,BIN2HEX(IF(W49="BIT",INDEX('Logical Group Generator'!H:H,'Script Generator'!T49),INDEX('Logical Group Generator'!L:L,'Script Generator'!T49)),2),IF(ISERROR(T50),$M$5,$M$4)))</f>
        <v>                   {register: 'BUCK1_CTRL_EN1', value: 0xFB},</v>
      </c>
      <c r="D47" s="225" t="str">
        <f>RIGHT(INDEX('Logical Group Generator'!E:E,T44),2)</f>
        <v>5E</v>
      </c>
      <c r="E47" s="224" t="str">
        <f>RIGHT(INDEX('Logical Group Generator'!F:F,T44),2)</f>
        <v>AC</v>
      </c>
      <c r="F47" s="224" t="str">
        <f>BIN2HEX(INDEX('Logical Group Generator'!L:L,'Script Generator'!T44),2)</f>
        <v>FF</v>
      </c>
      <c r="G47" s="226"/>
      <c r="I47" s="215"/>
      <c r="J47" s="215"/>
      <c r="R47" s="215" t="str">
        <f>IF('Logical Group Generator'!W47="FALSE","",IF('Logical Group Generator'!B47="OTP_RSVD_38_03","",'Logical Group Generator'!B47))</f>
        <v/>
      </c>
      <c r="T47" s="157">
        <f>MATCH(U47,'Logical Group Generator'!B:B,0)</f>
        <v>276</v>
      </c>
      <c r="U47" s="157" t="str">
        <f t="array" ref="U47">IF(ROWS($3:47)&lt;=COUNTA($R$3:$R$902),INDEX($R$3:$R$902,SMALL(IF($R$3:$R$902&lt;&gt;"",ROW($R$3:$R$902)-MIN(ROW($R$3:$R$902))+1),ROWS($3:47))),"")</f>
        <v>OTP_RSVD_5E_AF</v>
      </c>
      <c r="W47" s="157" t="str">
        <f>IF(INDEX('Logical Group Generator'!W:W,MATCH(U47,'Logical Group Generator'!B:B,0))="REGISTER","REGISTER","BIT")</f>
        <v>REGISTER</v>
      </c>
    </row>
    <row r="48" spans="2:23">
      <c r="B48" s="223" t="str">
        <f>IF(ISERROR(T50),"",CONCATENATE(IF(W50="BIT",$M$2,$M$1),U50,$M$3,BIN2HEX(IF(W50="BIT",INDEX('Logical Group Generator'!H:H,'Script Generator'!T50),INDEX('Logical Group Generator'!L:L,'Script Generator'!T50)),2),IF(ISERROR(T51),$M$5,$M$4)))</f>
        <v>                   {register: 'BUCK1_CTRL_EN2', value: 0xE3},</v>
      </c>
      <c r="D48" s="225" t="str">
        <f>RIGHT(INDEX('Logical Group Generator'!E:E,T45),2)</f>
        <v>5E</v>
      </c>
      <c r="E48" s="224" t="str">
        <f>RIGHT(INDEX('Logical Group Generator'!F:F,T45),2)</f>
        <v>AD</v>
      </c>
      <c r="F48" s="224" t="str">
        <f>BIN2HEX(INDEX('Logical Group Generator'!L:L,'Script Generator'!T45),2)</f>
        <v>4F</v>
      </c>
      <c r="G48" s="226"/>
      <c r="I48" s="215"/>
      <c r="J48" s="215"/>
      <c r="R48" s="215" t="str">
        <f>IF('Logical Group Generator'!W48="FALSE","",IF('Logical Group Generator'!B48="OTP_RSVD_38_03","",'Logical Group Generator'!B48))</f>
        <v/>
      </c>
      <c r="T48" s="157">
        <f>MATCH(U48,'Logical Group Generator'!B:B,0)</f>
        <v>287</v>
      </c>
      <c r="U48" s="157" t="str">
        <f t="array" ref="U48">IF(ROWS($3:48)&lt;=COUNTA($R$3:$R$902),INDEX($R$3:$R$902,SMALL(IF($R$3:$R$902&lt;&gt;"",ROW($R$3:$R$902)-MIN(ROW($R$3:$R$902))+1),ROWS($3:48))),"")</f>
        <v>OTP_CTRL_2</v>
      </c>
      <c r="W48" s="157" t="str">
        <f>IF(INDEX('Logical Group Generator'!W:W,MATCH(U48,'Logical Group Generator'!B:B,0))="REGISTER","REGISTER","BIT")</f>
        <v>REGISTER</v>
      </c>
    </row>
    <row r="49" spans="2:23">
      <c r="B49" s="223" t="str">
        <f>IF(ISERROR(T51),"",CONCATENATE(IF(W51="BIT",$M$2,$M$1),U51,$M$3,BIN2HEX(IF(W51="BIT",INDEX('Logical Group Generator'!H:H,'Script Generator'!T51),INDEX('Logical Group Generator'!L:L,'Script Generator'!T51)),2),IF(ISERROR(T52),$M$5,$M$4)))</f>
        <v>                   {register: 'BUCK1_CTRL_EN3', value: 0x24},</v>
      </c>
      <c r="D49" s="225" t="str">
        <f>RIGHT(INDEX('Logical Group Generator'!E:E,T46),2)</f>
        <v>5E</v>
      </c>
      <c r="E49" s="224" t="str">
        <f>RIGHT(INDEX('Logical Group Generator'!F:F,T46),2)</f>
        <v>AE</v>
      </c>
      <c r="F49" s="224" t="str">
        <f>BIN2HEX(INDEX('Logical Group Generator'!L:L,'Script Generator'!T46),2)</f>
        <v>1C</v>
      </c>
      <c r="G49" s="226"/>
      <c r="I49" s="215"/>
      <c r="J49" s="215"/>
      <c r="R49" s="215" t="str">
        <f>IF('Logical Group Generator'!W49="FALSE","",IF('Logical Group Generator'!B49="OTP_RSVD_38_03","",'Logical Group Generator'!B49))</f>
        <v/>
      </c>
      <c r="T49" s="157">
        <f>MATCH(U49,'Logical Group Generator'!B:B,0)</f>
        <v>290</v>
      </c>
      <c r="U49" s="157" t="str">
        <f t="array" ref="U49">IF(ROWS($3:49)&lt;=COUNTA($R$3:$R$902),INDEX($R$3:$R$902,SMALL(IF($R$3:$R$902&lt;&gt;"",ROW($R$3:$R$902)-MIN(ROW($R$3:$R$902))+1),ROWS($3:49))),"")</f>
        <v>BUCK1_CTRL_EN1</v>
      </c>
      <c r="W49" s="157" t="str">
        <f>IF(INDEX('Logical Group Generator'!W:W,MATCH(U49,'Logical Group Generator'!B:B,0))="REGISTER","REGISTER","BIT")</f>
        <v>REGISTER</v>
      </c>
    </row>
    <row r="50" spans="2:23">
      <c r="B50" s="223" t="str">
        <f>IF(ISERROR(T52),"",CONCATENATE(IF(W52="BIT",$M$2,$M$1),U52,$M$3,BIN2HEX(IF(W52="BIT",INDEX('Logical Group Generator'!H:H,'Script Generator'!T52),INDEX('Logical Group Generator'!L:L,'Script Generator'!T52)),2),IF(ISERROR(T53),$M$5,$M$4)))</f>
        <v>                   {register: 'BUCK2_CTRL_EN1', value: 0x7F},</v>
      </c>
      <c r="D50" s="225" t="str">
        <f>RIGHT(INDEX('Logical Group Generator'!E:E,T49),2)</f>
        <v>38</v>
      </c>
      <c r="E50" s="224" t="str">
        <f>RIGHT(INDEX('Logical Group Generator'!F:F,T49),2)</f>
        <v>07</v>
      </c>
      <c r="F50" s="224" t="str">
        <f>BIN2HEX(INDEX('Logical Group Generator'!L:L,'Script Generator'!T49),2)</f>
        <v>FB</v>
      </c>
      <c r="G50" s="226"/>
      <c r="I50" s="215"/>
      <c r="J50" s="215"/>
      <c r="R50" s="215" t="str">
        <f>IF('Logical Group Generator'!W50="FALSE","",IF('Logical Group Generator'!B50="OTP_RSVD_38_03","",'Logical Group Generator'!B50))</f>
        <v/>
      </c>
      <c r="T50" s="157">
        <f>MATCH(U50,'Logical Group Generator'!B:B,0)</f>
        <v>299</v>
      </c>
      <c r="U50" s="157" t="str">
        <f t="array" ref="U50">IF(ROWS($3:50)&lt;=COUNTA($R$3:$R$902),INDEX($R$3:$R$902,SMALL(IF($R$3:$R$902&lt;&gt;"",ROW($R$3:$R$902)-MIN(ROW($R$3:$R$902))+1),ROWS($3:50))),"")</f>
        <v>BUCK1_CTRL_EN2</v>
      </c>
      <c r="W50" s="157" t="str">
        <f>IF(INDEX('Logical Group Generator'!W:W,MATCH(U50,'Logical Group Generator'!B:B,0))="REGISTER","REGISTER","BIT")</f>
        <v>REGISTER</v>
      </c>
    </row>
    <row r="51" spans="2:23">
      <c r="B51" s="223" t="str">
        <f>IF(ISERROR(T53),"",CONCATENATE(IF(W53="BIT",$M$2,$M$1),U53,$M$3,BIN2HEX(IF(W53="BIT",INDEX('Logical Group Generator'!H:H,'Script Generator'!T53),INDEX('Logical Group Generator'!L:L,'Script Generator'!T53)),2),IF(ISERROR(T54),$M$5,$M$4)))</f>
        <v>                   {register: 'BUCK2_CTRL_EN2', value: 0xC7},</v>
      </c>
      <c r="D51" s="225" t="str">
        <f>RIGHT(INDEX('Logical Group Generator'!E:E,T50),2)</f>
        <v>38</v>
      </c>
      <c r="E51" s="224" t="str">
        <f>RIGHT(INDEX('Logical Group Generator'!F:F,T50),2)</f>
        <v>08</v>
      </c>
      <c r="F51" s="224" t="str">
        <f>BIN2HEX(INDEX('Logical Group Generator'!L:L,'Script Generator'!T50),2)</f>
        <v>E3</v>
      </c>
      <c r="G51" s="226"/>
      <c r="I51" s="215"/>
      <c r="J51" s="215"/>
      <c r="R51" s="215" t="str">
        <f>IF('Logical Group Generator'!W51="FALSE","",IF('Logical Group Generator'!B51="OTP_RSVD_38_03","",'Logical Group Generator'!B51))</f>
        <v>BUCK6CTRL</v>
      </c>
      <c r="T51" s="157">
        <f>MATCH(U51,'Logical Group Generator'!B:B,0)</f>
        <v>305</v>
      </c>
      <c r="U51" s="157" t="str">
        <f t="array" ref="U51">IF(ROWS($3:51)&lt;=COUNTA($R$3:$R$902),INDEX($R$3:$R$902,SMALL(IF($R$3:$R$902&lt;&gt;"",ROW($R$3:$R$902)-MIN(ROW($R$3:$R$902))+1),ROWS($3:51))),"")</f>
        <v>BUCK1_CTRL_EN3</v>
      </c>
      <c r="W51" s="157" t="str">
        <f>IF(INDEX('Logical Group Generator'!W:W,MATCH(U51,'Logical Group Generator'!B:B,0))="REGISTER","REGISTER","BIT")</f>
        <v>REGISTER</v>
      </c>
    </row>
    <row r="52" spans="2:23">
      <c r="B52" s="223" t="str">
        <f>IF(ISERROR(T54),"",CONCATENATE(IF(W54="BIT",$M$2,$M$1),U54,$M$3,BIN2HEX(IF(W54="BIT",INDEX('Logical Group Generator'!H:H,'Script Generator'!T54),INDEX('Logical Group Generator'!L:L,'Script Generator'!T54)),2),IF(ISERROR(T55),$M$5,$M$4)))</f>
        <v>                   {register: 'BUCK2_CTRL_EN3', value: 0x24},</v>
      </c>
      <c r="D52" s="225" t="str">
        <f>RIGHT(INDEX('Logical Group Generator'!E:E,T51),2)</f>
        <v>38</v>
      </c>
      <c r="E52" s="224" t="str">
        <f>RIGHT(INDEX('Logical Group Generator'!F:F,T51),2)</f>
        <v>09</v>
      </c>
      <c r="F52" s="224" t="str">
        <f>BIN2HEX(INDEX('Logical Group Generator'!L:L,'Script Generator'!T51),2)</f>
        <v>24</v>
      </c>
      <c r="G52" s="226"/>
      <c r="I52" s="215"/>
      <c r="J52" s="215"/>
      <c r="R52" s="215" t="str">
        <f>IF('Logical Group Generator'!W52="FALSE","",IF('Logical Group Generator'!B52="OTP_RSVD_38_03","",'Logical Group Generator'!B52))</f>
        <v/>
      </c>
      <c r="T52" s="157">
        <f>MATCH(U52,'Logical Group Generator'!B:B,0)</f>
        <v>309</v>
      </c>
      <c r="U52" s="157" t="str">
        <f t="array" ref="U52">IF(ROWS($3:52)&lt;=COUNTA($R$3:$R$902),INDEX($R$3:$R$902,SMALL(IF($R$3:$R$902&lt;&gt;"",ROW($R$3:$R$902)-MIN(ROW($R$3:$R$902))+1),ROWS($3:52))),"")</f>
        <v>BUCK2_CTRL_EN1</v>
      </c>
      <c r="W52" s="157" t="str">
        <f>IF(INDEX('Logical Group Generator'!W:W,MATCH(U52,'Logical Group Generator'!B:B,0))="REGISTER","REGISTER","BIT")</f>
        <v>REGISTER</v>
      </c>
    </row>
    <row r="53" spans="2:23">
      <c r="B53" s="223" t="str">
        <f>IF(ISERROR(T55),"",CONCATENATE(IF(W55="BIT",$M$2,$M$1),U55,$M$3,BIN2HEX(IF(W55="BIT",INDEX('Logical Group Generator'!H:H,'Script Generator'!T55),INDEX('Logical Group Generator'!L:L,'Script Generator'!T55)),2),IF(ISERROR(T56),$M$5,$M$4)))</f>
        <v>                   {register: 'BUCK3_CTRL_EN1', value: 0xFF},</v>
      </c>
      <c r="D53" s="225" t="str">
        <f>RIGHT(INDEX('Logical Group Generator'!E:E,T52),2)</f>
        <v>38</v>
      </c>
      <c r="E53" s="224" t="str">
        <f>RIGHT(INDEX('Logical Group Generator'!F:F,T52),2)</f>
        <v>0A</v>
      </c>
      <c r="F53" s="224" t="str">
        <f>BIN2HEX(INDEX('Logical Group Generator'!L:L,'Script Generator'!T52),2)</f>
        <v>7F</v>
      </c>
      <c r="G53" s="226"/>
      <c r="I53" s="215"/>
      <c r="J53" s="215"/>
      <c r="R53" s="215" t="str">
        <f>IF('Logical Group Generator'!W53="FALSE","",IF('Logical Group Generator'!B53="OTP_RSVD_38_03","",'Logical Group Generator'!B53))</f>
        <v/>
      </c>
      <c r="T53" s="157">
        <f>MATCH(U53,'Logical Group Generator'!B:B,0)</f>
        <v>318</v>
      </c>
      <c r="U53" s="157" t="str">
        <f t="array" ref="U53">IF(ROWS($3:53)&lt;=COUNTA($R$3:$R$902),INDEX($R$3:$R$902,SMALL(IF($R$3:$R$902&lt;&gt;"",ROW($R$3:$R$902)-MIN(ROW($R$3:$R$902))+1),ROWS($3:53))),"")</f>
        <v>BUCK2_CTRL_EN2</v>
      </c>
      <c r="W53" s="157" t="str">
        <f>IF(INDEX('Logical Group Generator'!W:W,MATCH(U53,'Logical Group Generator'!B:B,0))="REGISTER","REGISTER","BIT")</f>
        <v>REGISTER</v>
      </c>
    </row>
    <row r="54" spans="2:23">
      <c r="B54" s="223" t="str">
        <f>IF(ISERROR(T56),"",CONCATENATE(IF(W56="BIT",$M$2,$M$1),U56,$M$3,BIN2HEX(IF(W56="BIT",INDEX('Logical Group Generator'!H:H,'Script Generator'!T56),INDEX('Logical Group Generator'!L:L,'Script Generator'!T56)),2),IF(ISERROR(T57),$M$5,$M$4)))</f>
        <v>                   {register: 'BUCK3_CTRL_EN2', value: 0x63},</v>
      </c>
      <c r="D54" s="225" t="str">
        <f>RIGHT(INDEX('Logical Group Generator'!E:E,T53),2)</f>
        <v>38</v>
      </c>
      <c r="E54" s="224" t="str">
        <f>RIGHT(INDEX('Logical Group Generator'!F:F,T53),2)</f>
        <v>0B</v>
      </c>
      <c r="F54" s="224" t="str">
        <f>BIN2HEX(INDEX('Logical Group Generator'!L:L,'Script Generator'!T53),2)</f>
        <v>C7</v>
      </c>
      <c r="G54" s="226"/>
      <c r="I54" s="215"/>
      <c r="J54" s="215"/>
      <c r="R54" s="215" t="str">
        <f>IF('Logical Group Generator'!W54="FALSE","",IF('Logical Group Generator'!B54="OTP_RSVD_38_03","",'Logical Group Generator'!B54))</f>
        <v/>
      </c>
      <c r="T54" s="157">
        <f>MATCH(U54,'Logical Group Generator'!B:B,0)</f>
        <v>324</v>
      </c>
      <c r="U54" s="157" t="str">
        <f t="array" ref="U54">IF(ROWS($3:54)&lt;=COUNTA($R$3:$R$902),INDEX($R$3:$R$902,SMALL(IF($R$3:$R$902&lt;&gt;"",ROW($R$3:$R$902)-MIN(ROW($R$3:$R$902))+1),ROWS($3:54))),"")</f>
        <v>BUCK2_CTRL_EN3</v>
      </c>
      <c r="W54" s="157" t="str">
        <f>IF(INDEX('Logical Group Generator'!W:W,MATCH(U54,'Logical Group Generator'!B:B,0))="REGISTER","REGISTER","BIT")</f>
        <v>REGISTER</v>
      </c>
    </row>
    <row r="55" spans="2:23">
      <c r="B55" s="223" t="str">
        <f>IF(ISERROR(T57),"",CONCATENATE(IF(W57="BIT",$M$2,$M$1),U57,$M$3,BIN2HEX(IF(W57="BIT",INDEX('Logical Group Generator'!H:H,'Script Generator'!T57),INDEX('Logical Group Generator'!L:L,'Script Generator'!T57)),2),IF(ISERROR(T58),$M$5,$M$4)))</f>
        <v>                   {register: 'BUCK3_CTRL_EN3', value: 0x24},</v>
      </c>
      <c r="D55" s="225" t="str">
        <f>RIGHT(INDEX('Logical Group Generator'!E:E,T54),2)</f>
        <v>38</v>
      </c>
      <c r="E55" s="224" t="str">
        <f>RIGHT(INDEX('Logical Group Generator'!F:F,T54),2)</f>
        <v>0C</v>
      </c>
      <c r="F55" s="224" t="str">
        <f>BIN2HEX(INDEX('Logical Group Generator'!L:L,'Script Generator'!T54),2)</f>
        <v>24</v>
      </c>
      <c r="G55" s="226"/>
      <c r="I55" s="215"/>
      <c r="J55" s="215"/>
      <c r="R55" s="215" t="str">
        <f>IF('Logical Group Generator'!W55="FALSE","",IF('Logical Group Generator'!B55="OTP_RSVD_38_03","",'Logical Group Generator'!B55))</f>
        <v/>
      </c>
      <c r="T55" s="157">
        <f>MATCH(U55,'Logical Group Generator'!B:B,0)</f>
        <v>328</v>
      </c>
      <c r="U55" s="157" t="str">
        <f t="array" ref="U55">IF(ROWS($3:55)&lt;=COUNTA($R$3:$R$902),INDEX($R$3:$R$902,SMALL(IF($R$3:$R$902&lt;&gt;"",ROW($R$3:$R$902)-MIN(ROW($R$3:$R$902))+1),ROWS($3:55))),"")</f>
        <v>BUCK3_CTRL_EN1</v>
      </c>
      <c r="W55" s="157" t="str">
        <f>IF(INDEX('Logical Group Generator'!W:W,MATCH(U55,'Logical Group Generator'!B:B,0))="REGISTER","REGISTER","BIT")</f>
        <v>REGISTER</v>
      </c>
    </row>
    <row r="56" spans="2:23">
      <c r="B56" s="223" t="str">
        <f>IF(ISERROR(T58),"",CONCATENATE(IF(W58="BIT",$M$2,$M$1),U58,$M$3,BIN2HEX(IF(W58="BIT",INDEX('Logical Group Generator'!H:H,'Script Generator'!T58),INDEX('Logical Group Generator'!L:L,'Script Generator'!T58)),2),IF(ISERROR(T59),$M$5,$M$4)))</f>
        <v>                   {register: 'BUCK4_CTRL_EN1', value: 0xFB},</v>
      </c>
      <c r="D56" s="225" t="str">
        <f>RIGHT(INDEX('Logical Group Generator'!E:E,T55),2)</f>
        <v>38</v>
      </c>
      <c r="E56" s="224" t="str">
        <f>RIGHT(INDEX('Logical Group Generator'!F:F,T55),2)</f>
        <v>0D</v>
      </c>
      <c r="F56" s="224" t="str">
        <f>BIN2HEX(INDEX('Logical Group Generator'!L:L,'Script Generator'!T55),2)</f>
        <v>FF</v>
      </c>
      <c r="G56" s="226"/>
      <c r="I56" s="215"/>
      <c r="J56" s="215"/>
      <c r="R56" s="215" t="str">
        <f>IF('Logical Group Generator'!W56="FALSE","",IF('Logical Group Generator'!B56="OTP_RSVD_38_03","",'Logical Group Generator'!B56))</f>
        <v/>
      </c>
      <c r="T56" s="157">
        <f>MATCH(U56,'Logical Group Generator'!B:B,0)</f>
        <v>337</v>
      </c>
      <c r="U56" s="157" t="str">
        <f t="array" ref="U56">IF(ROWS($3:56)&lt;=COUNTA($R$3:$R$902),INDEX($R$3:$R$902,SMALL(IF($R$3:$R$902&lt;&gt;"",ROW($R$3:$R$902)-MIN(ROW($R$3:$R$902))+1),ROWS($3:56))),"")</f>
        <v>BUCK3_CTRL_EN2</v>
      </c>
      <c r="W56" s="157" t="str">
        <f>IF(INDEX('Logical Group Generator'!W:W,MATCH(U56,'Logical Group Generator'!B:B,0))="REGISTER","REGISTER","BIT")</f>
        <v>REGISTER</v>
      </c>
    </row>
    <row r="57" spans="2:23">
      <c r="B57" s="223" t="str">
        <f>IF(ISERROR(T59),"",CONCATENATE(IF(W59="BIT",$M$2,$M$1),U59,$M$3,BIN2HEX(IF(W59="BIT",INDEX('Logical Group Generator'!H:H,'Script Generator'!T59),INDEX('Logical Group Generator'!L:L,'Script Generator'!T59)),2),IF(ISERROR(T60),$M$5,$M$4)))</f>
        <v>                   {register: 'BUCK4_CTRL_EN2', value: 0xE3},</v>
      </c>
      <c r="D57" s="225" t="str">
        <f>RIGHT(INDEX('Logical Group Generator'!E:E,T56),2)</f>
        <v>38</v>
      </c>
      <c r="E57" s="224" t="str">
        <f>RIGHT(INDEX('Logical Group Generator'!F:F,T56),2)</f>
        <v>0E</v>
      </c>
      <c r="F57" s="224" t="str">
        <f>BIN2HEX(INDEX('Logical Group Generator'!L:L,'Script Generator'!T56),2)</f>
        <v>63</v>
      </c>
      <c r="G57" s="226"/>
      <c r="I57" s="215"/>
      <c r="J57" s="215"/>
      <c r="R57" s="215" t="str">
        <f>IF('Logical Group Generator'!W57="FALSE","",IF('Logical Group Generator'!B57="OTP_RSVD_38_03","",'Logical Group Generator'!B57))</f>
        <v>LDOA2CTRL</v>
      </c>
      <c r="T57" s="157">
        <f>MATCH(U57,'Logical Group Generator'!B:B,0)</f>
        <v>343</v>
      </c>
      <c r="U57" s="157" t="str">
        <f t="array" ref="U57">IF(ROWS($3:57)&lt;=COUNTA($R$3:$R$902),INDEX($R$3:$R$902,SMALL(IF($R$3:$R$902&lt;&gt;"",ROW($R$3:$R$902)-MIN(ROW($R$3:$R$902))+1),ROWS($3:57))),"")</f>
        <v>BUCK3_CTRL_EN3</v>
      </c>
      <c r="W57" s="157" t="str">
        <f>IF(INDEX('Logical Group Generator'!W:W,MATCH(U57,'Logical Group Generator'!B:B,0))="REGISTER","REGISTER","BIT")</f>
        <v>REGISTER</v>
      </c>
    </row>
    <row r="58" spans="2:23">
      <c r="B58" s="223" t="str">
        <f>IF(ISERROR(T60),"",CONCATENATE(IF(W60="BIT",$M$2,$M$1),U60,$M$3,BIN2HEX(IF(W60="BIT",INDEX('Logical Group Generator'!H:H,'Script Generator'!T60),INDEX('Logical Group Generator'!L:L,'Script Generator'!T60)),2),IF(ISERROR(T61),$M$5,$M$4)))</f>
        <v>                   {register: 'BUCK4_CTRL_EN3', value: 0x24},</v>
      </c>
      <c r="D58" s="225" t="str">
        <f>RIGHT(INDEX('Logical Group Generator'!E:E,T57),2)</f>
        <v>38</v>
      </c>
      <c r="E58" s="224" t="str">
        <f>RIGHT(INDEX('Logical Group Generator'!F:F,T57),2)</f>
        <v>0F</v>
      </c>
      <c r="F58" s="224" t="str">
        <f>BIN2HEX(INDEX('Logical Group Generator'!L:L,'Script Generator'!T57),2)</f>
        <v>24</v>
      </c>
      <c r="G58" s="226"/>
      <c r="I58" s="215"/>
      <c r="J58" s="215"/>
      <c r="R58" s="215" t="str">
        <f>IF('Logical Group Generator'!W58="FALSE","",IF('Logical Group Generator'!B58="OTP_RSVD_38_03","",'Logical Group Generator'!B58))</f>
        <v/>
      </c>
      <c r="T58" s="157">
        <f>MATCH(U58,'Logical Group Generator'!B:B,0)</f>
        <v>347</v>
      </c>
      <c r="U58" s="157" t="str">
        <f t="array" ref="U58">IF(ROWS($3:58)&lt;=COUNTA($R$3:$R$902),INDEX($R$3:$R$902,SMALL(IF($R$3:$R$902&lt;&gt;"",ROW($R$3:$R$902)-MIN(ROW($R$3:$R$902))+1),ROWS($3:58))),"")</f>
        <v>BUCK4_CTRL_EN1</v>
      </c>
      <c r="W58" s="157" t="str">
        <f>IF(INDEX('Logical Group Generator'!W:W,MATCH(U58,'Logical Group Generator'!B:B,0))="REGISTER","REGISTER","BIT")</f>
        <v>REGISTER</v>
      </c>
    </row>
    <row r="59" spans="2:23">
      <c r="B59" s="223" t="str">
        <f>IF(ISERROR(T61),"",CONCATENATE(IF(W61="BIT",$M$2,$M$1),U61,$M$3,BIN2HEX(IF(W61="BIT",INDEX('Logical Group Generator'!H:H,'Script Generator'!T61),INDEX('Logical Group Generator'!L:L,'Script Generator'!T61)),2),IF(ISERROR(T62),$M$5,$M$4)))</f>
        <v>                   {register: 'BUCK5_CTRL_EN1', value: 0xFF},</v>
      </c>
      <c r="D59" s="225" t="str">
        <f>RIGHT(INDEX('Logical Group Generator'!E:E,T58),2)</f>
        <v>38</v>
      </c>
      <c r="E59" s="224" t="str">
        <f>RIGHT(INDEX('Logical Group Generator'!F:F,T58),2)</f>
        <v>10</v>
      </c>
      <c r="F59" s="224" t="str">
        <f>BIN2HEX(INDEX('Logical Group Generator'!L:L,'Script Generator'!T58),2)</f>
        <v>FB</v>
      </c>
      <c r="G59" s="226"/>
      <c r="I59" s="215"/>
      <c r="J59" s="215"/>
      <c r="R59" s="215" t="str">
        <f>IF('Logical Group Generator'!W59="FALSE","",IF('Logical Group Generator'!B59="OTP_RSVD_38_03","",'Logical Group Generator'!B59))</f>
        <v/>
      </c>
      <c r="T59" s="157">
        <f>MATCH(U59,'Logical Group Generator'!B:B,0)</f>
        <v>356</v>
      </c>
      <c r="U59" s="157" t="str">
        <f t="array" ref="U59">IF(ROWS($3:59)&lt;=COUNTA($R$3:$R$902),INDEX($R$3:$R$902,SMALL(IF($R$3:$R$902&lt;&gt;"",ROW($R$3:$R$902)-MIN(ROW($R$3:$R$902))+1),ROWS($3:59))),"")</f>
        <v>BUCK4_CTRL_EN2</v>
      </c>
      <c r="W59" s="157" t="str">
        <f>IF(INDEX('Logical Group Generator'!W:W,MATCH(U59,'Logical Group Generator'!B:B,0))="REGISTER","REGISTER","BIT")</f>
        <v>REGISTER</v>
      </c>
    </row>
    <row r="60" spans="2:23">
      <c r="B60" s="223" t="str">
        <f>IF(ISERROR(T62),"",CONCATENATE(IF(W62="BIT",$M$2,$M$1),U62,$M$3,BIN2HEX(IF(W62="BIT",INDEX('Logical Group Generator'!H:H,'Script Generator'!T62),INDEX('Logical Group Generator'!L:L,'Script Generator'!T62)),2),IF(ISERROR(T63),$M$5,$M$4)))</f>
        <v>                   {register: 'BUCK5_CTRL_EN2', value: 0x63},</v>
      </c>
      <c r="D60" s="225" t="str">
        <f>RIGHT(INDEX('Logical Group Generator'!E:E,T59),2)</f>
        <v>38</v>
      </c>
      <c r="E60" s="224" t="str">
        <f>RIGHT(INDEX('Logical Group Generator'!F:F,T59),2)</f>
        <v>11</v>
      </c>
      <c r="F60" s="224" t="str">
        <f>BIN2HEX(INDEX('Logical Group Generator'!L:L,'Script Generator'!T59),2)</f>
        <v>E3</v>
      </c>
      <c r="G60" s="226"/>
      <c r="I60" s="215"/>
      <c r="J60" s="215"/>
      <c r="R60" s="215" t="str">
        <f>IF('Logical Group Generator'!W60="FALSE","",IF('Logical Group Generator'!B60="OTP_RSVD_38_03","",'Logical Group Generator'!B60))</f>
        <v/>
      </c>
      <c r="T60" s="157">
        <f>MATCH(U60,'Logical Group Generator'!B:B,0)</f>
        <v>362</v>
      </c>
      <c r="U60" s="157" t="str">
        <f t="array" ref="U60">IF(ROWS($3:60)&lt;=COUNTA($R$3:$R$902),INDEX($R$3:$R$902,SMALL(IF($R$3:$R$902&lt;&gt;"",ROW($R$3:$R$902)-MIN(ROW($R$3:$R$902))+1),ROWS($3:60))),"")</f>
        <v>BUCK4_CTRL_EN3</v>
      </c>
      <c r="W60" s="157" t="str">
        <f>IF(INDEX('Logical Group Generator'!W:W,MATCH(U60,'Logical Group Generator'!B:B,0))="REGISTER","REGISTER","BIT")</f>
        <v>REGISTER</v>
      </c>
    </row>
    <row r="61" spans="2:23">
      <c r="B61" s="223" t="str">
        <f>IF(ISERROR(T63),"",CONCATENATE(IF(W63="BIT",$M$2,$M$1),U63,$M$3,BIN2HEX(IF(W63="BIT",INDEX('Logical Group Generator'!H:H,'Script Generator'!T63),INDEX('Logical Group Generator'!L:L,'Script Generator'!T63)),2),IF(ISERROR(T64),$M$5,$M$4)))</f>
        <v>                   {register: 'BUCK5_CTRL_EN3', value: 0x12},</v>
      </c>
      <c r="D61" s="225" t="str">
        <f>RIGHT(INDEX('Logical Group Generator'!E:E,T60),2)</f>
        <v>38</v>
      </c>
      <c r="E61" s="224" t="str">
        <f>RIGHT(INDEX('Logical Group Generator'!F:F,T60),2)</f>
        <v>12</v>
      </c>
      <c r="F61" s="224" t="str">
        <f>BIN2HEX(INDEX('Logical Group Generator'!L:L,'Script Generator'!T60),2)</f>
        <v>24</v>
      </c>
      <c r="G61" s="226"/>
      <c r="I61" s="215"/>
      <c r="J61" s="215"/>
      <c r="R61" s="215" t="str">
        <f>IF('Logical Group Generator'!W61="FALSE","",IF('Logical Group Generator'!B61="OTP_RSVD_38_03","",'Logical Group Generator'!B61))</f>
        <v/>
      </c>
      <c r="T61" s="157">
        <f>MATCH(U61,'Logical Group Generator'!B:B,0)</f>
        <v>366</v>
      </c>
      <c r="U61" s="157" t="str">
        <f t="array" ref="U61">IF(ROWS($3:61)&lt;=COUNTA($R$3:$R$902),INDEX($R$3:$R$902,SMALL(IF($R$3:$R$902&lt;&gt;"",ROW($R$3:$R$902)-MIN(ROW($R$3:$R$902))+1),ROWS($3:61))),"")</f>
        <v>BUCK5_CTRL_EN1</v>
      </c>
      <c r="W61" s="157" t="str">
        <f>IF(INDEX('Logical Group Generator'!W:W,MATCH(U61,'Logical Group Generator'!B:B,0))="REGISTER","REGISTER","BIT")</f>
        <v>REGISTER</v>
      </c>
    </row>
    <row r="62" spans="2:23">
      <c r="B62" s="223" t="str">
        <f>IF(ISERROR(T64),"",CONCATENATE(IF(W64="BIT",$M$2,$M$1),U64,$M$3,BIN2HEX(IF(W64="BIT",INDEX('Logical Group Generator'!H:H,'Script Generator'!T64),INDEX('Logical Group Generator'!L:L,'Script Generator'!T64)),2),IF(ISERROR(T65),$M$5,$M$4)))</f>
        <v>                   {register: 'BUCK6_CTRL_EN1', value: 0xFD},</v>
      </c>
      <c r="D62" s="225" t="str">
        <f>RIGHT(INDEX('Logical Group Generator'!E:E,T61),2)</f>
        <v>38</v>
      </c>
      <c r="E62" s="224" t="str">
        <f>RIGHT(INDEX('Logical Group Generator'!F:F,T61),2)</f>
        <v>13</v>
      </c>
      <c r="F62" s="224" t="str">
        <f>BIN2HEX(INDEX('Logical Group Generator'!L:L,'Script Generator'!T61),2)</f>
        <v>FF</v>
      </c>
      <c r="G62" s="226"/>
      <c r="I62" s="215"/>
      <c r="J62" s="215"/>
      <c r="R62" s="215" t="str">
        <f>IF('Logical Group Generator'!W62="FALSE","",IF('Logical Group Generator'!B62="OTP_RSVD_38_03","",'Logical Group Generator'!B62))</f>
        <v/>
      </c>
      <c r="T62" s="157">
        <f>MATCH(U62,'Logical Group Generator'!B:B,0)</f>
        <v>375</v>
      </c>
      <c r="U62" s="157" t="str">
        <f t="array" ref="U62">IF(ROWS($3:62)&lt;=COUNTA($R$3:$R$902),INDEX($R$3:$R$902,SMALL(IF($R$3:$R$902&lt;&gt;"",ROW($R$3:$R$902)-MIN(ROW($R$3:$R$902))+1),ROWS($3:62))),"")</f>
        <v>BUCK5_CTRL_EN2</v>
      </c>
      <c r="W62" s="157" t="str">
        <f>IF(INDEX('Logical Group Generator'!W:W,MATCH(U62,'Logical Group Generator'!B:B,0))="REGISTER","REGISTER","BIT")</f>
        <v>REGISTER</v>
      </c>
    </row>
    <row r="63" spans="2:23">
      <c r="B63" s="223" t="str">
        <f>IF(ISERROR(T65),"",CONCATENATE(IF(W65="BIT",$M$2,$M$1),U65,$M$3,BIN2HEX(IF(W65="BIT",INDEX('Logical Group Generator'!H:H,'Script Generator'!T65),INDEX('Logical Group Generator'!L:L,'Script Generator'!T65)),2),IF(ISERROR(T66),$M$5,$M$4)))</f>
        <v>                   {register: 'BUCK6_CTRL_EN2', value: 0xD3},</v>
      </c>
      <c r="D63" s="225" t="str">
        <f>RIGHT(INDEX('Logical Group Generator'!E:E,T62),2)</f>
        <v>38</v>
      </c>
      <c r="E63" s="224" t="str">
        <f>RIGHT(INDEX('Logical Group Generator'!F:F,T62),2)</f>
        <v>14</v>
      </c>
      <c r="F63" s="224" t="str">
        <f>BIN2HEX(INDEX('Logical Group Generator'!L:L,'Script Generator'!T62),2)</f>
        <v>63</v>
      </c>
      <c r="G63" s="226"/>
      <c r="I63" s="215"/>
      <c r="J63" s="215"/>
      <c r="R63" s="215" t="str">
        <f>IF('Logical Group Generator'!W63="FALSE","",IF('Logical Group Generator'!B63="OTP_RSVD_38_03","",'Logical Group Generator'!B63))</f>
        <v>LDOA3CTRL</v>
      </c>
      <c r="T63" s="157">
        <f>MATCH(U63,'Logical Group Generator'!B:B,0)</f>
        <v>381</v>
      </c>
      <c r="U63" s="157" t="str">
        <f t="array" ref="U63">IF(ROWS($3:63)&lt;=COUNTA($R$3:$R$902),INDEX($R$3:$R$902,SMALL(IF($R$3:$R$902&lt;&gt;"",ROW($R$3:$R$902)-MIN(ROW($R$3:$R$902))+1),ROWS($3:63))),"")</f>
        <v>BUCK5_CTRL_EN3</v>
      </c>
      <c r="W63" s="157" t="str">
        <f>IF(INDEX('Logical Group Generator'!W:W,MATCH(U63,'Logical Group Generator'!B:B,0))="REGISTER","REGISTER","BIT")</f>
        <v>REGISTER</v>
      </c>
    </row>
    <row r="64" spans="2:23">
      <c r="B64" s="223" t="str">
        <f>IF(ISERROR(T66),"",CONCATENATE(IF(W66="BIT",$M$2,$M$1),U66,$M$3,BIN2HEX(IF(W66="BIT",INDEX('Logical Group Generator'!H:H,'Script Generator'!T66),INDEX('Logical Group Generator'!L:L,'Script Generator'!T66)),2),IF(ISERROR(T67),$M$5,$M$4)))</f>
        <v>                   {register: 'BUCK6_CTRL_EN3', value: 0x24},</v>
      </c>
      <c r="D64" s="225" t="str">
        <f>RIGHT(INDEX('Logical Group Generator'!E:E,T63),2)</f>
        <v>38</v>
      </c>
      <c r="E64" s="224" t="str">
        <f>RIGHT(INDEX('Logical Group Generator'!F:F,T63),2)</f>
        <v>15</v>
      </c>
      <c r="F64" s="224" t="str">
        <f>BIN2HEX(INDEX('Logical Group Generator'!L:L,'Script Generator'!T63),2)</f>
        <v>12</v>
      </c>
      <c r="G64" s="226"/>
      <c r="I64" s="215"/>
      <c r="J64" s="215"/>
      <c r="R64" s="215" t="str">
        <f>IF('Logical Group Generator'!W64="FALSE","",IF('Logical Group Generator'!B64="OTP_RSVD_38_03","",'Logical Group Generator'!B64))</f>
        <v/>
      </c>
      <c r="T64" s="157">
        <f>MATCH(U64,'Logical Group Generator'!B:B,0)</f>
        <v>385</v>
      </c>
      <c r="U64" s="157" t="str">
        <f t="array" ref="U64">IF(ROWS($3:64)&lt;=COUNTA($R$3:$R$902),INDEX($R$3:$R$902,SMALL(IF($R$3:$R$902&lt;&gt;"",ROW($R$3:$R$902)-MIN(ROW($R$3:$R$902))+1),ROWS($3:64))),"")</f>
        <v>BUCK6_CTRL_EN1</v>
      </c>
      <c r="W64" s="157" t="str">
        <f>IF(INDEX('Logical Group Generator'!W:W,MATCH(U64,'Logical Group Generator'!B:B,0))="REGISTER","REGISTER","BIT")</f>
        <v>REGISTER</v>
      </c>
    </row>
    <row r="65" spans="2:23">
      <c r="B65" s="223" t="str">
        <f>IF(ISERROR(T67),"",CONCATENATE(IF(W67="BIT",$M$2,$M$1),U67,$M$3,BIN2HEX(IF(W67="BIT",INDEX('Logical Group Generator'!H:H,'Script Generator'!T67),INDEX('Logical Group Generator'!L:L,'Script Generator'!T67)),2),IF(ISERROR(T68),$M$5,$M$4)))</f>
        <v>                   {register: 'SWA1_CTRL_EN1', value: 0xFF},</v>
      </c>
      <c r="D65" s="225" t="str">
        <f>RIGHT(INDEX('Logical Group Generator'!E:E,T64),2)</f>
        <v>38</v>
      </c>
      <c r="E65" s="224" t="str">
        <f>RIGHT(INDEX('Logical Group Generator'!F:F,T64),2)</f>
        <v>16</v>
      </c>
      <c r="F65" s="224" t="str">
        <f>BIN2HEX(INDEX('Logical Group Generator'!L:L,'Script Generator'!T64),2)</f>
        <v>FD</v>
      </c>
      <c r="G65" s="226"/>
      <c r="I65" s="215"/>
      <c r="J65" s="215"/>
      <c r="R65" s="215" t="str">
        <f>IF('Logical Group Generator'!W65="FALSE","",IF('Logical Group Generator'!B65="OTP_RSVD_38_03","",'Logical Group Generator'!B65))</f>
        <v/>
      </c>
      <c r="T65" s="157">
        <f>MATCH(U65,'Logical Group Generator'!B:B,0)</f>
        <v>394</v>
      </c>
      <c r="U65" s="157" t="str">
        <f t="array" ref="U65">IF(ROWS($3:65)&lt;=COUNTA($R$3:$R$902),INDEX($R$3:$R$902,SMALL(IF($R$3:$R$902&lt;&gt;"",ROW($R$3:$R$902)-MIN(ROW($R$3:$R$902))+1),ROWS($3:65))),"")</f>
        <v>BUCK6_CTRL_EN2</v>
      </c>
      <c r="W65" s="157" t="str">
        <f>IF(INDEX('Logical Group Generator'!W:W,MATCH(U65,'Logical Group Generator'!B:B,0))="REGISTER","REGISTER","BIT")</f>
        <v>REGISTER</v>
      </c>
    </row>
    <row r="66" spans="2:23">
      <c r="B66" s="223" t="str">
        <f>IF(ISERROR(T68),"",CONCATENATE(IF(W68="BIT",$M$2,$M$1),U68,$M$3,BIN2HEX(IF(W68="BIT",INDEX('Logical Group Generator'!H:H,'Script Generator'!T68),INDEX('Logical Group Generator'!L:L,'Script Generator'!T68)),2),IF(ISERROR(T69),$M$5,$M$4)))</f>
        <v>                   {register: 'SWA1_CTRL_EN2', value: 0x23},</v>
      </c>
      <c r="D66" s="225" t="str">
        <f>RIGHT(INDEX('Logical Group Generator'!E:E,T65),2)</f>
        <v>38</v>
      </c>
      <c r="E66" s="224" t="str">
        <f>RIGHT(INDEX('Logical Group Generator'!F:F,T65),2)</f>
        <v>17</v>
      </c>
      <c r="F66" s="224" t="str">
        <f>BIN2HEX(INDEX('Logical Group Generator'!L:L,'Script Generator'!T65),2)</f>
        <v>D3</v>
      </c>
      <c r="G66" s="226"/>
      <c r="I66" s="215"/>
      <c r="J66" s="215"/>
      <c r="R66" s="215" t="str">
        <f>IF('Logical Group Generator'!W66="FALSE","",IF('Logical Group Generator'!B66="OTP_RSVD_38_03","",'Logical Group Generator'!B66))</f>
        <v/>
      </c>
      <c r="T66" s="157">
        <f>MATCH(U66,'Logical Group Generator'!B:B,0)</f>
        <v>400</v>
      </c>
      <c r="U66" s="157" t="str">
        <f t="array" ref="U66">IF(ROWS($3:66)&lt;=COUNTA($R$3:$R$902),INDEX($R$3:$R$902,SMALL(IF($R$3:$R$902&lt;&gt;"",ROW($R$3:$R$902)-MIN(ROW($R$3:$R$902))+1),ROWS($3:66))),"")</f>
        <v>BUCK6_CTRL_EN3</v>
      </c>
      <c r="W66" s="157" t="str">
        <f>IF(INDEX('Logical Group Generator'!W:W,MATCH(U66,'Logical Group Generator'!B:B,0))="REGISTER","REGISTER","BIT")</f>
        <v>REGISTER</v>
      </c>
    </row>
    <row r="67" spans="2:23">
      <c r="B67" s="223" t="str">
        <f>IF(ISERROR(T69),"",CONCATENATE(IF(W69="BIT",$M$2,$M$1),U69,$M$3,BIN2HEX(IF(W69="BIT",INDEX('Logical Group Generator'!H:H,'Script Generator'!T69),INDEX('Logical Group Generator'!L:L,'Script Generator'!T69)),2),IF(ISERROR(T70),$M$5,$M$4)))</f>
        <v>                   {register: 'SWA1_CTRL_EN3', value: 0x00},</v>
      </c>
      <c r="D67" s="225" t="str">
        <f>RIGHT(INDEX('Logical Group Generator'!E:E,T66),2)</f>
        <v>38</v>
      </c>
      <c r="E67" s="224" t="str">
        <f>RIGHT(INDEX('Logical Group Generator'!F:F,T66),2)</f>
        <v>18</v>
      </c>
      <c r="F67" s="224" t="str">
        <f>BIN2HEX(INDEX('Logical Group Generator'!L:L,'Script Generator'!T66),2)</f>
        <v>24</v>
      </c>
      <c r="G67" s="226"/>
      <c r="I67" s="215"/>
      <c r="J67" s="215"/>
      <c r="R67" s="215" t="str">
        <f>IF('Logical Group Generator'!W67="FALSE","",IF('Logical Group Generator'!B67="OTP_RSVD_38_03","",'Logical Group Generator'!B67))</f>
        <v/>
      </c>
      <c r="T67" s="157">
        <f>MATCH(U67,'Logical Group Generator'!B:B,0)</f>
        <v>404</v>
      </c>
      <c r="U67" s="157" t="str">
        <f t="array" ref="U67">IF(ROWS($3:67)&lt;=COUNTA($R$3:$R$902),INDEX($R$3:$R$902,SMALL(IF($R$3:$R$902&lt;&gt;"",ROW($R$3:$R$902)-MIN(ROW($R$3:$R$902))+1),ROWS($3:67))),"")</f>
        <v>SWA1_CTRL_EN1</v>
      </c>
      <c r="W67" s="157" t="str">
        <f>IF(INDEX('Logical Group Generator'!W:W,MATCH(U67,'Logical Group Generator'!B:B,0))="REGISTER","REGISTER","BIT")</f>
        <v>REGISTER</v>
      </c>
    </row>
    <row r="68" spans="2:23">
      <c r="B68" s="223" t="str">
        <f>IF(ISERROR(T70),"",CONCATENATE(IF(W70="BIT",$M$2,$M$1),U70,$M$3,BIN2HEX(IF(W70="BIT",INDEX('Logical Group Generator'!H:H,'Script Generator'!T70),INDEX('Logical Group Generator'!L:L,'Script Generator'!T70)),2),IF(ISERROR(T71),$M$5,$M$4)))</f>
        <v>                   {register: 'LDOA2_CTRL_EN1', value: 0xFF},</v>
      </c>
      <c r="D68" s="225" t="str">
        <f>RIGHT(INDEX('Logical Group Generator'!E:E,T67),2)</f>
        <v>38</v>
      </c>
      <c r="E68" s="224" t="str">
        <f>RIGHT(INDEX('Logical Group Generator'!F:F,T67),2)</f>
        <v>19</v>
      </c>
      <c r="F68" s="224" t="str">
        <f>BIN2HEX(INDEX('Logical Group Generator'!L:L,'Script Generator'!T67),2)</f>
        <v>FF</v>
      </c>
      <c r="G68" s="226"/>
      <c r="I68" s="215"/>
      <c r="J68" s="215"/>
      <c r="R68" s="215" t="str">
        <f>IF('Logical Group Generator'!W68="FALSE","",IF('Logical Group Generator'!B68="OTP_RSVD_38_03","",'Logical Group Generator'!B68))</f>
        <v/>
      </c>
      <c r="T68" s="157">
        <f>MATCH(U68,'Logical Group Generator'!B:B,0)</f>
        <v>413</v>
      </c>
      <c r="U68" s="157" t="str">
        <f t="array" ref="U68">IF(ROWS($3:68)&lt;=COUNTA($R$3:$R$902),INDEX($R$3:$R$902,SMALL(IF($R$3:$R$902&lt;&gt;"",ROW($R$3:$R$902)-MIN(ROW($R$3:$R$902))+1),ROWS($3:68))),"")</f>
        <v>SWA1_CTRL_EN2</v>
      </c>
      <c r="W68" s="157" t="str">
        <f>IF(INDEX('Logical Group Generator'!W:W,MATCH(U68,'Logical Group Generator'!B:B,0))="REGISTER","REGISTER","BIT")</f>
        <v>REGISTER</v>
      </c>
    </row>
    <row r="69" spans="2:23">
      <c r="B69" s="223" t="str">
        <f>IF(ISERROR(T71),"",CONCATENATE(IF(W71="BIT",$M$2,$M$1),U71,$M$3,BIN2HEX(IF(W71="BIT",INDEX('Logical Group Generator'!H:H,'Script Generator'!T71),INDEX('Logical Group Generator'!L:L,'Script Generator'!T71)),2),IF(ISERROR(T72),$M$5,$M$4)))</f>
        <v>                   {register: 'LDOA2_CTRL_EN2', value: 0x43},</v>
      </c>
      <c r="D69" s="225" t="str">
        <f>RIGHT(INDEX('Logical Group Generator'!E:E,T68),2)</f>
        <v>38</v>
      </c>
      <c r="E69" s="224" t="str">
        <f>RIGHT(INDEX('Logical Group Generator'!F:F,T68),2)</f>
        <v>1A</v>
      </c>
      <c r="F69" s="224" t="str">
        <f>BIN2HEX(INDEX('Logical Group Generator'!L:L,'Script Generator'!T68),2)</f>
        <v>23</v>
      </c>
      <c r="G69" s="226"/>
      <c r="I69" s="215"/>
      <c r="J69" s="215"/>
      <c r="R69" s="215" t="str">
        <f>IF('Logical Group Generator'!W69="FALSE","",IF('Logical Group Generator'!B69="OTP_RSVD_38_03","",'Logical Group Generator'!B69))</f>
        <v>DISCHCTRL1</v>
      </c>
      <c r="T69" s="157">
        <f>MATCH(U69,'Logical Group Generator'!B:B,0)</f>
        <v>419</v>
      </c>
      <c r="U69" s="157" t="str">
        <f t="array" ref="U69">IF(ROWS($3:69)&lt;=COUNTA($R$3:$R$902),INDEX($R$3:$R$902,SMALL(IF($R$3:$R$902&lt;&gt;"",ROW($R$3:$R$902)-MIN(ROW($R$3:$R$902))+1),ROWS($3:69))),"")</f>
        <v>SWA1_CTRL_EN3</v>
      </c>
      <c r="W69" s="157" t="str">
        <f>IF(INDEX('Logical Group Generator'!W:W,MATCH(U69,'Logical Group Generator'!B:B,0))="REGISTER","REGISTER","BIT")</f>
        <v>REGISTER</v>
      </c>
    </row>
    <row r="70" spans="2:23">
      <c r="B70" s="223" t="str">
        <f>IF(ISERROR(T72),"",CONCATENATE(IF(W72="BIT",$M$2,$M$1),U72,$M$3,BIN2HEX(IF(W72="BIT",INDEX('Logical Group Generator'!H:H,'Script Generator'!T72),INDEX('Logical Group Generator'!L:L,'Script Generator'!T72)),2),IF(ISERROR(T73),$M$5,$M$4)))</f>
        <v>                   {register: 'LDOA2_CTRL_EN3', value: 0x12},</v>
      </c>
      <c r="D70" s="225" t="str">
        <f>RIGHT(INDEX('Logical Group Generator'!E:E,T69),2)</f>
        <v>38</v>
      </c>
      <c r="E70" s="224" t="str">
        <f>RIGHT(INDEX('Logical Group Generator'!F:F,T69),2)</f>
        <v>1B</v>
      </c>
      <c r="F70" s="224" t="str">
        <f>BIN2HEX(INDEX('Logical Group Generator'!L:L,'Script Generator'!T69),2)</f>
        <v>00</v>
      </c>
      <c r="G70" s="226"/>
      <c r="I70" s="215"/>
      <c r="J70" s="215"/>
      <c r="R70" s="215" t="str">
        <f>IF('Logical Group Generator'!W70="FALSE","",IF('Logical Group Generator'!B70="OTP_RSVD_38_03","",'Logical Group Generator'!B70))</f>
        <v/>
      </c>
      <c r="T70" s="157">
        <f>MATCH(U70,'Logical Group Generator'!B:B,0)</f>
        <v>423</v>
      </c>
      <c r="U70" s="157" t="str">
        <f t="array" ref="U70">IF(ROWS($3:70)&lt;=COUNTA($R$3:$R$902),INDEX($R$3:$R$902,SMALL(IF($R$3:$R$902&lt;&gt;"",ROW($R$3:$R$902)-MIN(ROW($R$3:$R$902))+1),ROWS($3:70))),"")</f>
        <v>LDOA2_CTRL_EN1</v>
      </c>
      <c r="W70" s="157" t="str">
        <f>IF(INDEX('Logical Group Generator'!W:W,MATCH(U70,'Logical Group Generator'!B:B,0))="REGISTER","REGISTER","BIT")</f>
        <v>REGISTER</v>
      </c>
    </row>
    <row r="71" spans="2:23">
      <c r="B71" s="223" t="str">
        <f>IF(ISERROR(T73),"",CONCATENATE(IF(W73="BIT",$M$2,$M$1),U73,$M$3,BIN2HEX(IF(W73="BIT",INDEX('Logical Group Generator'!H:H,'Script Generator'!T73),INDEX('Logical Group Generator'!L:L,'Script Generator'!T73)),2),IF(ISERROR(T74),$M$5,$M$4)))</f>
        <v>                   {register: 'LDOA3_CTRL_EN1', value: 0xFE},</v>
      </c>
      <c r="D71" s="225" t="str">
        <f>RIGHT(INDEX('Logical Group Generator'!E:E,T70),2)</f>
        <v>38</v>
      </c>
      <c r="E71" s="224" t="str">
        <f>RIGHT(INDEX('Logical Group Generator'!F:F,T70),2)</f>
        <v>1C</v>
      </c>
      <c r="F71" s="224" t="str">
        <f>BIN2HEX(INDEX('Logical Group Generator'!L:L,'Script Generator'!T70),2)</f>
        <v>FF</v>
      </c>
      <c r="G71" s="226"/>
      <c r="I71" s="215"/>
      <c r="J71" s="215"/>
      <c r="R71" s="215" t="str">
        <f>IF('Logical Group Generator'!W71="FALSE","",IF('Logical Group Generator'!B71="OTP_RSVD_38_03","",'Logical Group Generator'!B71))</f>
        <v/>
      </c>
      <c r="T71" s="157">
        <f>MATCH(U71,'Logical Group Generator'!B:B,0)</f>
        <v>432</v>
      </c>
      <c r="U71" s="157" t="str">
        <f t="array" ref="U71">IF(ROWS($3:71)&lt;=COUNTA($R$3:$R$902),INDEX($R$3:$R$902,SMALL(IF($R$3:$R$902&lt;&gt;"",ROW($R$3:$R$902)-MIN(ROW($R$3:$R$902))+1),ROWS($3:71))),"")</f>
        <v>LDOA2_CTRL_EN2</v>
      </c>
      <c r="W71" s="157" t="str">
        <f>IF(INDEX('Logical Group Generator'!W:W,MATCH(U71,'Logical Group Generator'!B:B,0))="REGISTER","REGISTER","BIT")</f>
        <v>REGISTER</v>
      </c>
    </row>
    <row r="72" spans="2:23">
      <c r="B72" s="223" t="str">
        <f>IF(ISERROR(T74),"",CONCATENATE(IF(W74="BIT",$M$2,$M$1),U74,$M$3,BIN2HEX(IF(W74="BIT",INDEX('Logical Group Generator'!H:H,'Script Generator'!T74),INDEX('Logical Group Generator'!L:L,'Script Generator'!T74)),2),IF(ISERROR(T75),$M$5,$M$4)))</f>
        <v>                   {register: 'LDOA3_CTRL_EN2', value: 0x03},</v>
      </c>
      <c r="D72" s="225" t="str">
        <f>RIGHT(INDEX('Logical Group Generator'!E:E,T71),2)</f>
        <v>38</v>
      </c>
      <c r="E72" s="224" t="str">
        <f>RIGHT(INDEX('Logical Group Generator'!F:F,T71),2)</f>
        <v>1D</v>
      </c>
      <c r="F72" s="224" t="str">
        <f>BIN2HEX(INDEX('Logical Group Generator'!L:L,'Script Generator'!T71),2)</f>
        <v>43</v>
      </c>
      <c r="G72" s="226"/>
      <c r="I72" s="215"/>
      <c r="J72" s="215"/>
      <c r="R72" s="215" t="str">
        <f>IF('Logical Group Generator'!W72="FALSE","",IF('Logical Group Generator'!B72="OTP_RSVD_38_03","",'Logical Group Generator'!B72))</f>
        <v/>
      </c>
      <c r="T72" s="157">
        <f>MATCH(U72,'Logical Group Generator'!B:B,0)</f>
        <v>439</v>
      </c>
      <c r="U72" s="157" t="str">
        <f t="array" ref="U72">IF(ROWS($3:72)&lt;=COUNTA($R$3:$R$902),INDEX($R$3:$R$902,SMALL(IF($R$3:$R$902&lt;&gt;"",ROW($R$3:$R$902)-MIN(ROW($R$3:$R$902))+1),ROWS($3:72))),"")</f>
        <v>LDOA2_CTRL_EN3</v>
      </c>
      <c r="W72" s="157" t="str">
        <f>IF(INDEX('Logical Group Generator'!W:W,MATCH(U72,'Logical Group Generator'!B:B,0))="REGISTER","REGISTER","BIT")</f>
        <v>REGISTER</v>
      </c>
    </row>
    <row r="73" spans="2:23">
      <c r="B73" s="223" t="str">
        <f>IF(ISERROR(T75),"",CONCATENATE(IF(W75="BIT",$M$2,$M$1),U75,$M$3,BIN2HEX(IF(W75="BIT",INDEX('Logical Group Generator'!H:H,'Script Generator'!T75),INDEX('Logical Group Generator'!L:L,'Script Generator'!T75)),2),IF(ISERROR(T76),$M$5,$M$4)))</f>
        <v>                   {register: 'LDOA3_CTRL_EN3', value: 0x64},</v>
      </c>
      <c r="D73" s="225" t="str">
        <f>RIGHT(INDEX('Logical Group Generator'!E:E,T72),2)</f>
        <v>38</v>
      </c>
      <c r="E73" s="224" t="str">
        <f>RIGHT(INDEX('Logical Group Generator'!F:F,T72),2)</f>
        <v>1E</v>
      </c>
      <c r="F73" s="224" t="str">
        <f>BIN2HEX(INDEX('Logical Group Generator'!L:L,'Script Generator'!T72),2)</f>
        <v>12</v>
      </c>
      <c r="G73" s="226"/>
      <c r="I73" s="215"/>
      <c r="J73" s="215"/>
      <c r="R73" s="215" t="str">
        <f>IF('Logical Group Generator'!W73="FALSE","",IF('Logical Group Generator'!B73="OTP_RSVD_38_03","",'Logical Group Generator'!B73))</f>
        <v/>
      </c>
      <c r="T73" s="157">
        <f>MATCH(U73,'Logical Group Generator'!B:B,0)</f>
        <v>443</v>
      </c>
      <c r="U73" s="157" t="str">
        <f t="array" ref="U73">IF(ROWS($3:73)&lt;=COUNTA($R$3:$R$902),INDEX($R$3:$R$902,SMALL(IF($R$3:$R$902&lt;&gt;"",ROW($R$3:$R$902)-MIN(ROW($R$3:$R$902))+1),ROWS($3:73))),"")</f>
        <v>LDOA3_CTRL_EN1</v>
      </c>
      <c r="W73" s="157" t="str">
        <f>IF(INDEX('Logical Group Generator'!W:W,MATCH(U73,'Logical Group Generator'!B:B,0))="REGISTER","REGISTER","BIT")</f>
        <v>REGISTER</v>
      </c>
    </row>
    <row r="74" spans="2:23">
      <c r="B74" s="223" t="str">
        <f>IF(ISERROR(T76),"",CONCATENATE(IF(W76="BIT",$M$2,$M$1),U76,$M$3,BIN2HEX(IF(W76="BIT",INDEX('Logical Group Generator'!H:H,'Script Generator'!T76),INDEX('Logical Group Generator'!L:L,'Script Generator'!T76)),2),IF(ISERROR(T77),$M$5,$M$4)))</f>
        <v>                   {register: 'SWB1_CTRL_EN1', value: 0xFF},</v>
      </c>
      <c r="D74" s="225" t="str">
        <f>RIGHT(INDEX('Logical Group Generator'!E:E,T73),2)</f>
        <v>38</v>
      </c>
      <c r="E74" s="224" t="str">
        <f>RIGHT(INDEX('Logical Group Generator'!F:F,T73),2)</f>
        <v>1F</v>
      </c>
      <c r="F74" s="224" t="str">
        <f>BIN2HEX(INDEX('Logical Group Generator'!L:L,'Script Generator'!T73),2)</f>
        <v>FE</v>
      </c>
      <c r="G74" s="226"/>
      <c r="I74" s="215"/>
      <c r="J74" s="215"/>
      <c r="R74" s="215" t="str">
        <f>IF('Logical Group Generator'!W74="FALSE","",IF('Logical Group Generator'!B74="OTP_RSVD_38_03","",'Logical Group Generator'!B74))</f>
        <v>DISCHCTRL2</v>
      </c>
      <c r="T74" s="157">
        <f>MATCH(U74,'Logical Group Generator'!B:B,0)</f>
        <v>452</v>
      </c>
      <c r="U74" s="157" t="str">
        <f t="array" ref="U74">IF(ROWS($3:74)&lt;=COUNTA($R$3:$R$902),INDEX($R$3:$R$902,SMALL(IF($R$3:$R$902&lt;&gt;"",ROW($R$3:$R$902)-MIN(ROW($R$3:$R$902))+1),ROWS($3:74))),"")</f>
        <v>LDOA3_CTRL_EN2</v>
      </c>
      <c r="W74" s="157" t="str">
        <f>IF(INDEX('Logical Group Generator'!W:W,MATCH(U74,'Logical Group Generator'!B:B,0))="REGISTER","REGISTER","BIT")</f>
        <v>REGISTER</v>
      </c>
    </row>
    <row r="75" spans="2:23">
      <c r="B75" s="223" t="str">
        <f>IF(ISERROR(T77),"",CONCATENATE(IF(W77="BIT",$M$2,$M$1),U77,$M$3,BIN2HEX(IF(W77="BIT",INDEX('Logical Group Generator'!H:H,'Script Generator'!T77),INDEX('Logical Group Generator'!L:L,'Script Generator'!T77)),2),IF(ISERROR(T78),$M$5,$M$4)))</f>
        <v>                   {register: 'SWB1_CTRL_EN2', value: 0xA3},</v>
      </c>
      <c r="D75" s="225" t="str">
        <f>RIGHT(INDEX('Logical Group Generator'!E:E,T74),2)</f>
        <v>38</v>
      </c>
      <c r="E75" s="224" t="str">
        <f>RIGHT(INDEX('Logical Group Generator'!F:F,T74),2)</f>
        <v>20</v>
      </c>
      <c r="F75" s="224" t="str">
        <f>BIN2HEX(INDEX('Logical Group Generator'!L:L,'Script Generator'!T74),2)</f>
        <v>03</v>
      </c>
      <c r="G75" s="226"/>
      <c r="I75" s="215"/>
      <c r="J75" s="215"/>
      <c r="R75" s="215" t="str">
        <f>IF('Logical Group Generator'!W75="FALSE","",IF('Logical Group Generator'!B75="OTP_RSVD_38_03","",'Logical Group Generator'!B75))</f>
        <v/>
      </c>
      <c r="T75" s="157">
        <f>MATCH(U75,'Logical Group Generator'!B:B,0)</f>
        <v>459</v>
      </c>
      <c r="U75" s="157" t="str">
        <f t="array" ref="U75">IF(ROWS($3:75)&lt;=COUNTA($R$3:$R$902),INDEX($R$3:$R$902,SMALL(IF($R$3:$R$902&lt;&gt;"",ROW($R$3:$R$902)-MIN(ROW($R$3:$R$902))+1),ROWS($3:75))),"")</f>
        <v>LDOA3_CTRL_EN3</v>
      </c>
      <c r="W75" s="157" t="str">
        <f>IF(INDEX('Logical Group Generator'!W:W,MATCH(U75,'Logical Group Generator'!B:B,0))="REGISTER","REGISTER","BIT")</f>
        <v>REGISTER</v>
      </c>
    </row>
    <row r="76" spans="2:23">
      <c r="B76" s="223" t="str">
        <f>IF(ISERROR(T78),"",CONCATENATE(IF(W78="BIT",$M$2,$M$1),U78,$M$3,BIN2HEX(IF(W78="BIT",INDEX('Logical Group Generator'!H:H,'Script Generator'!T78),INDEX('Logical Group Generator'!L:L,'Script Generator'!T78)),2),IF(ISERROR(T79),$M$5,$M$4)))</f>
        <v>                   {register: 'SWB1_CTRL_EN3', value: 0x00},</v>
      </c>
      <c r="D76" s="225" t="str">
        <f>RIGHT(INDEX('Logical Group Generator'!E:E,T75),2)</f>
        <v>38</v>
      </c>
      <c r="E76" s="224" t="str">
        <f>RIGHT(INDEX('Logical Group Generator'!F:F,T75),2)</f>
        <v>21</v>
      </c>
      <c r="F76" s="224" t="str">
        <f>BIN2HEX(INDEX('Logical Group Generator'!L:L,'Script Generator'!T75),2)</f>
        <v>64</v>
      </c>
      <c r="G76" s="226"/>
      <c r="I76" s="215"/>
      <c r="J76" s="215"/>
      <c r="R76" s="215" t="str">
        <f>IF('Logical Group Generator'!W76="FALSE","",IF('Logical Group Generator'!B76="OTP_RSVD_38_03","",'Logical Group Generator'!B76))</f>
        <v/>
      </c>
      <c r="T76" s="157">
        <f>MATCH(U76,'Logical Group Generator'!B:B,0)</f>
        <v>464</v>
      </c>
      <c r="U76" s="157" t="str">
        <f t="array" ref="U76">IF(ROWS($3:76)&lt;=COUNTA($R$3:$R$902),INDEX($R$3:$R$902,SMALL(IF($R$3:$R$902&lt;&gt;"",ROW($R$3:$R$902)-MIN(ROW($R$3:$R$902))+1),ROWS($3:76))),"")</f>
        <v>SWB1_CTRL_EN1</v>
      </c>
      <c r="W76" s="157" t="str">
        <f>IF(INDEX('Logical Group Generator'!W:W,MATCH(U76,'Logical Group Generator'!B:B,0))="REGISTER","REGISTER","BIT")</f>
        <v>REGISTER</v>
      </c>
    </row>
    <row r="77" spans="2:23">
      <c r="B77" s="223" t="str">
        <f>IF(ISERROR(T79),"",CONCATENATE(IF(W79="BIT",$M$2,$M$1),U79,$M$3,BIN2HEX(IF(W79="BIT",INDEX('Logical Group Generator'!H:H,'Script Generator'!T79),INDEX('Logical Group Generator'!L:L,'Script Generator'!T79)),2),IF(ISERROR(T80),$M$5,$M$4)))</f>
        <v>                   {register: 'SWB2_LDOA1_CTRL_EN1', value: 0xFF},</v>
      </c>
      <c r="D77" s="225" t="str">
        <f>RIGHT(INDEX('Logical Group Generator'!E:E,T76),2)</f>
        <v>38</v>
      </c>
      <c r="E77" s="224" t="str">
        <f>RIGHT(INDEX('Logical Group Generator'!F:F,T76),2)</f>
        <v>22</v>
      </c>
      <c r="F77" s="224" t="str">
        <f>BIN2HEX(INDEX('Logical Group Generator'!L:L,'Script Generator'!T76),2)</f>
        <v>FF</v>
      </c>
      <c r="G77" s="226"/>
      <c r="I77" s="215"/>
      <c r="J77" s="215"/>
      <c r="R77" s="215" t="str">
        <f>IF('Logical Group Generator'!W77="FALSE","",IF('Logical Group Generator'!B77="OTP_RSVD_38_03","",'Logical Group Generator'!B77))</f>
        <v/>
      </c>
      <c r="T77" s="157">
        <f>MATCH(U77,'Logical Group Generator'!B:B,0)</f>
        <v>473</v>
      </c>
      <c r="U77" s="157" t="str">
        <f t="array" ref="U77">IF(ROWS($3:77)&lt;=COUNTA($R$3:$R$902),INDEX($R$3:$R$902,SMALL(IF($R$3:$R$902&lt;&gt;"",ROW($R$3:$R$902)-MIN(ROW($R$3:$R$902))+1),ROWS($3:77))),"")</f>
        <v>SWB1_CTRL_EN2</v>
      </c>
      <c r="W77" s="157" t="str">
        <f>IF(INDEX('Logical Group Generator'!W:W,MATCH(U77,'Logical Group Generator'!B:B,0))="REGISTER","REGISTER","BIT")</f>
        <v>REGISTER</v>
      </c>
    </row>
    <row r="78" spans="2:23">
      <c r="B78" s="223" t="str">
        <f>IF(ISERROR(T80),"",CONCATENATE(IF(W80="BIT",$M$2,$M$1),U80,$M$3,BIN2HEX(IF(W80="BIT",INDEX('Logical Group Generator'!H:H,'Script Generator'!T80),INDEX('Logical Group Generator'!L:L,'Script Generator'!T80)),2),IF(ISERROR(T81),$M$5,$M$4)))</f>
        <v>                   {register: 'SWB2_LDOA1_CTRL_EN2', value: 0xA3},</v>
      </c>
      <c r="D78" s="225" t="str">
        <f>RIGHT(INDEX('Logical Group Generator'!E:E,T77),2)</f>
        <v>38</v>
      </c>
      <c r="E78" s="224" t="str">
        <f>RIGHT(INDEX('Logical Group Generator'!F:F,T77),2)</f>
        <v>23</v>
      </c>
      <c r="F78" s="224" t="str">
        <f>BIN2HEX(INDEX('Logical Group Generator'!L:L,'Script Generator'!T77),2)</f>
        <v>A3</v>
      </c>
      <c r="G78" s="226"/>
      <c r="I78" s="215"/>
      <c r="J78" s="215"/>
      <c r="R78" s="215" t="str">
        <f>IF('Logical Group Generator'!W78="FALSE","",IF('Logical Group Generator'!B78="OTP_RSVD_38_03","",'Logical Group Generator'!B78))</f>
        <v/>
      </c>
      <c r="T78" s="157">
        <f>MATCH(U78,'Logical Group Generator'!B:B,0)</f>
        <v>479</v>
      </c>
      <c r="U78" s="157" t="str">
        <f t="array" ref="U78">IF(ROWS($3:78)&lt;=COUNTA($R$3:$R$902),INDEX($R$3:$R$902,SMALL(IF($R$3:$R$902&lt;&gt;"",ROW($R$3:$R$902)-MIN(ROW($R$3:$R$902))+1),ROWS($3:78))),"")</f>
        <v>SWB1_CTRL_EN3</v>
      </c>
      <c r="W78" s="157" t="str">
        <f>IF(INDEX('Logical Group Generator'!W:W,MATCH(U78,'Logical Group Generator'!B:B,0))="REGISTER","REGISTER","BIT")</f>
        <v>REGISTER</v>
      </c>
    </row>
    <row r="79" spans="2:23">
      <c r="B79" s="223" t="str">
        <f>IF(ISERROR(T81),"",CONCATENATE(IF(W81="BIT",$M$2,$M$1),U81,$M$3,BIN2HEX(IF(W81="BIT",INDEX('Logical Group Generator'!H:H,'Script Generator'!T81),INDEX('Logical Group Generator'!L:L,'Script Generator'!T81)),2),IF(ISERROR(T82),$M$5,$M$4)))</f>
        <v>                   {register: 'SWB2_LDOA1_CTRL_EN3', value: 0x00},</v>
      </c>
      <c r="D79" s="225" t="str">
        <f>RIGHT(INDEX('Logical Group Generator'!E:E,T78),2)</f>
        <v>38</v>
      </c>
      <c r="E79" s="224" t="str">
        <f>RIGHT(INDEX('Logical Group Generator'!F:F,T78),2)</f>
        <v>24</v>
      </c>
      <c r="F79" s="224" t="str">
        <f>BIN2HEX(INDEX('Logical Group Generator'!L:L,'Script Generator'!T78),2)</f>
        <v>00</v>
      </c>
      <c r="G79" s="226"/>
      <c r="I79" s="215"/>
      <c r="J79" s="215"/>
      <c r="R79" s="215" t="str">
        <f>IF('Logical Group Generator'!W79="FALSE","",IF('Logical Group Generator'!B79="OTP_RSVD_38_03","",'Logical Group Generator'!B79))</f>
        <v>DISCHCTRL3</v>
      </c>
      <c r="T79" s="157">
        <f>MATCH(U79,'Logical Group Generator'!B:B,0)</f>
        <v>483</v>
      </c>
      <c r="U79" s="157" t="str">
        <f t="array" ref="U79">IF(ROWS($3:79)&lt;=COUNTA($R$3:$R$902),INDEX($R$3:$R$902,SMALL(IF($R$3:$R$902&lt;&gt;"",ROW($R$3:$R$902)-MIN(ROW($R$3:$R$902))+1),ROWS($3:79))),"")</f>
        <v>SWB2_LDOA1_CTRL_EN1</v>
      </c>
      <c r="W79" s="157" t="str">
        <f>IF(INDEX('Logical Group Generator'!W:W,MATCH(U79,'Logical Group Generator'!B:B,0))="REGISTER","REGISTER","BIT")</f>
        <v>REGISTER</v>
      </c>
    </row>
    <row r="80" spans="2:23">
      <c r="B80" s="223" t="str">
        <f>IF(ISERROR(T82),"",CONCATENATE(IF(W82="BIT",$M$2,$M$1),U82,$M$3,BIN2HEX(IF(W82="BIT",INDEX('Logical Group Generator'!H:H,'Script Generator'!T82),INDEX('Logical Group Generator'!L:L,'Script Generator'!T82)),2),IF(ISERROR(T83),$M$5,$M$4)))</f>
        <v>                   {register: 'OTP_RSVD_38_28', value: 0x18},</v>
      </c>
      <c r="D80" s="225" t="str">
        <f>RIGHT(INDEX('Logical Group Generator'!E:E,T79),2)</f>
        <v>38</v>
      </c>
      <c r="E80" s="224" t="str">
        <f>RIGHT(INDEX('Logical Group Generator'!F:F,T79),2)</f>
        <v>25</v>
      </c>
      <c r="F80" s="224" t="str">
        <f>BIN2HEX(INDEX('Logical Group Generator'!L:L,'Script Generator'!T79),2)</f>
        <v>FF</v>
      </c>
      <c r="G80" s="226"/>
      <c r="I80" s="215"/>
      <c r="J80" s="215"/>
      <c r="R80" s="215" t="str">
        <f>IF('Logical Group Generator'!W80="FALSE","",IF('Logical Group Generator'!B80="OTP_RSVD_38_03","",'Logical Group Generator'!B80))</f>
        <v/>
      </c>
      <c r="T80" s="157">
        <f>MATCH(U80,'Logical Group Generator'!B:B,0)</f>
        <v>492</v>
      </c>
      <c r="U80" s="157" t="str">
        <f t="array" ref="U80">IF(ROWS($3:80)&lt;=COUNTA($R$3:$R$902),INDEX($R$3:$R$902,SMALL(IF($R$3:$R$902&lt;&gt;"",ROW($R$3:$R$902)-MIN(ROW($R$3:$R$902))+1),ROWS($3:80))),"")</f>
        <v>SWB2_LDOA1_CTRL_EN2</v>
      </c>
      <c r="W80" s="157" t="str">
        <f>IF(INDEX('Logical Group Generator'!W:W,MATCH(U80,'Logical Group Generator'!B:B,0))="REGISTER","REGISTER","BIT")</f>
        <v>REGISTER</v>
      </c>
    </row>
    <row r="81" spans="2:23">
      <c r="B81" s="223" t="str">
        <f>IF(ISERROR(T83),"",CONCATENATE(IF(W83="BIT",$M$2,$M$1),U83,$M$3,BIN2HEX(IF(W83="BIT",INDEX('Logical Group Generator'!H:H,'Script Generator'!T83),INDEX('Logical Group Generator'!L:L,'Script Generator'!T83)),2),IF(ISERROR(T84),$M$5,$M$4)))</f>
        <v>                   {register: 'SLP_PIN', value: 0x00},</v>
      </c>
      <c r="D81" s="225" t="str">
        <f>RIGHT(INDEX('Logical Group Generator'!E:E,T80),2)</f>
        <v>38</v>
      </c>
      <c r="E81" s="224" t="str">
        <f>RIGHT(INDEX('Logical Group Generator'!F:F,T80),2)</f>
        <v>26</v>
      </c>
      <c r="F81" s="224" t="str">
        <f>BIN2HEX(INDEX('Logical Group Generator'!L:L,'Script Generator'!T80),2)</f>
        <v>A3</v>
      </c>
      <c r="G81" s="226"/>
      <c r="I81" s="215"/>
      <c r="J81" s="215"/>
      <c r="R81" s="215" t="str">
        <f>IF('Logical Group Generator'!W81="FALSE","",IF('Logical Group Generator'!B81="OTP_RSVD_38_03","",'Logical Group Generator'!B81))</f>
        <v/>
      </c>
      <c r="T81" s="157">
        <f>MATCH(U81,'Logical Group Generator'!B:B,0)</f>
        <v>498</v>
      </c>
      <c r="U81" s="157" t="str">
        <f t="array" ref="U81">IF(ROWS($3:81)&lt;=COUNTA($R$3:$R$902),INDEX($R$3:$R$902,SMALL(IF($R$3:$R$902&lt;&gt;"",ROW($R$3:$R$902)-MIN(ROW($R$3:$R$902))+1),ROWS($3:81))),"")</f>
        <v>SWB2_LDOA1_CTRL_EN3</v>
      </c>
      <c r="W81" s="157" t="str">
        <f>IF(INDEX('Logical Group Generator'!W:W,MATCH(U81,'Logical Group Generator'!B:B,0))="REGISTER","REGISTER","BIT")</f>
        <v>REGISTER</v>
      </c>
    </row>
    <row r="82" spans="2:23">
      <c r="B82" s="223" t="str">
        <f>IF(ISERROR(T84),"",CONCATENATE(IF(W84="BIT",$M$2,$M$1),U84,$M$3,BIN2HEX(IF(W84="BIT",INDEX('Logical Group Generator'!H:H,'Script Generator'!T84),INDEX('Logical Group Generator'!L:L,'Script Generator'!T84)),2),IF(ISERROR(T85),$M$5,$M$4)))</f>
        <v>                   {register: 'OUTPUT_MODE', value: 0x07},</v>
      </c>
      <c r="D82" s="225" t="str">
        <f>RIGHT(INDEX('Logical Group Generator'!E:E,T81),2)</f>
        <v>38</v>
      </c>
      <c r="E82" s="224" t="str">
        <f>RIGHT(INDEX('Logical Group Generator'!F:F,T81),2)</f>
        <v>27</v>
      </c>
      <c r="F82" s="224" t="str">
        <f>BIN2HEX(INDEX('Logical Group Generator'!L:L,'Script Generator'!T81),2)</f>
        <v>00</v>
      </c>
      <c r="G82" s="226"/>
      <c r="I82" s="215"/>
      <c r="J82" s="215"/>
      <c r="R82" s="215" t="str">
        <f>IF('Logical Group Generator'!W82="FALSE","",IF('Logical Group Generator'!B82="OTP_RSVD_38_03","",'Logical Group Generator'!B82))</f>
        <v/>
      </c>
      <c r="T82" s="157">
        <f>MATCH(U82,'Logical Group Generator'!B:B,0)</f>
        <v>502</v>
      </c>
      <c r="U82" s="157" t="str">
        <f t="array" ref="U82">IF(ROWS($3:82)&lt;=COUNTA($R$3:$R$902),INDEX($R$3:$R$902,SMALL(IF($R$3:$R$902&lt;&gt;"",ROW($R$3:$R$902)-MIN(ROW($R$3:$R$902))+1),ROWS($3:82))),"")</f>
        <v>OTP_RSVD_38_28</v>
      </c>
      <c r="W82" s="157" t="str">
        <f>IF(INDEX('Logical Group Generator'!W:W,MATCH(U82,'Logical Group Generator'!B:B,0))="REGISTER","REGISTER","BIT")</f>
        <v>REGISTER</v>
      </c>
    </row>
    <row r="83" spans="2:23">
      <c r="B83" s="223" t="str">
        <f>IF(ISERROR(T85),"",CONCATENATE(IF(W85="BIT",$M$2,$M$1),U85,$M$3,BIN2HEX(IF(W85="BIT",INDEX('Logical Group Generator'!H:H,'Script Generator'!T85),INDEX('Logical Group Generator'!L:L,'Script Generator'!T85)),2),IF(ISERROR(T86),$M$5,$M$4)))</f>
        <v>                   {register: 'OTP_RSVD_38_2C', value: 0xA1},</v>
      </c>
      <c r="D83" s="225" t="str">
        <f>RIGHT(INDEX('Logical Group Generator'!E:E,T82),2)</f>
        <v>38</v>
      </c>
      <c r="E83" s="224" t="str">
        <f>RIGHT(INDEX('Logical Group Generator'!F:F,T82),2)</f>
        <v>28</v>
      </c>
      <c r="F83" s="224" t="str">
        <f>BIN2HEX(INDEX('Logical Group Generator'!L:L,'Script Generator'!T82),2)</f>
        <v>18</v>
      </c>
      <c r="G83" s="226"/>
      <c r="I83" s="215"/>
      <c r="J83" s="215"/>
      <c r="R83" s="215" t="str">
        <f>IF('Logical Group Generator'!W83="FALSE","",IF('Logical Group Generator'!B83="OTP_RSVD_38_03","",'Logical Group Generator'!B83))</f>
        <v/>
      </c>
      <c r="T83" s="157">
        <f>MATCH(U83,'Logical Group Generator'!B:B,0)</f>
        <v>509</v>
      </c>
      <c r="U83" s="157" t="str">
        <f t="array" ref="U83">IF(ROWS($3:83)&lt;=COUNTA($R$3:$R$902),INDEX($R$3:$R$902,SMALL(IF($R$3:$R$902&lt;&gt;"",ROW($R$3:$R$902)-MIN(ROW($R$3:$R$902))+1),ROWS($3:83))),"")</f>
        <v>SLP_PIN</v>
      </c>
      <c r="W83" s="157" t="str">
        <f>IF(INDEX('Logical Group Generator'!W:W,MATCH(U83,'Logical Group Generator'!B:B,0))="REGISTER","REGISTER","BIT")</f>
        <v>REGISTER</v>
      </c>
    </row>
    <row r="84" spans="2:23">
      <c r="B84" s="223" t="str">
        <f>IF(ISERROR(T86),"",CONCATENATE(IF(W86="BIT",$M$2,$M$1),U86,$M$3,BIN2HEX(IF(W86="BIT",INDEX('Logical Group Generator'!H:H,'Script Generator'!T86),INDEX('Logical Group Generator'!L:L,'Script Generator'!T86)),2),IF(ISERROR(T87),$M$5,$M$4)))</f>
        <v>                   {register: 'OTP_RSVD_38_2E', value: 0xAA},</v>
      </c>
      <c r="D84" s="225" t="str">
        <f>RIGHT(INDEX('Logical Group Generator'!E:E,T83),2)</f>
        <v>38</v>
      </c>
      <c r="E84" s="224" t="str">
        <f>RIGHT(INDEX('Logical Group Generator'!F:F,T83),2)</f>
        <v>29</v>
      </c>
      <c r="F84" s="224" t="str">
        <f>BIN2HEX(INDEX('Logical Group Generator'!L:L,'Script Generator'!T83),2)</f>
        <v>00</v>
      </c>
      <c r="G84" s="226"/>
      <c r="I84" s="215"/>
      <c r="J84" s="215"/>
      <c r="R84" s="215" t="str">
        <f>IF('Logical Group Generator'!W84="FALSE","",IF('Logical Group Generator'!B84="OTP_RSVD_38_03","",'Logical Group Generator'!B84))</f>
        <v>PG_DELAY1</v>
      </c>
      <c r="T84" s="157">
        <f>MATCH(U84,'Logical Group Generator'!B:B,0)</f>
        <v>518</v>
      </c>
      <c r="U84" s="157" t="str">
        <f t="array" ref="U84">IF(ROWS($3:84)&lt;=COUNTA($R$3:$R$902),INDEX($R$3:$R$902,SMALL(IF($R$3:$R$902&lt;&gt;"",ROW($R$3:$R$902)-MIN(ROW($R$3:$R$902))+1),ROWS($3:84))),"")</f>
        <v>OUTPUT_MODE</v>
      </c>
      <c r="W84" s="157" t="str">
        <f>IF(INDEX('Logical Group Generator'!W:W,MATCH(U84,'Logical Group Generator'!B:B,0))="REGISTER","REGISTER","BIT")</f>
        <v>REGISTER</v>
      </c>
    </row>
    <row r="85" spans="2:23">
      <c r="B85" s="223" t="str">
        <f>IF(ISERROR(T88),"",CONCATENATE(IF(W88="BIT",$M$2,$M$1),U88,$M$3,BIN2HEX(IF(W88="BIT",INDEX('Logical Group Generator'!H:H,'Script Generator'!T88),INDEX('Logical Group Generator'!L:L,'Script Generator'!T88)),2),IF(ISERROR(T89),$M$5,$M$4)))</f>
        <v>                   {register: 'OTP_RSVD_38_32', value: 0x61},</v>
      </c>
      <c r="D85" s="225" t="str">
        <f>RIGHT(INDEX('Logical Group Generator'!E:E,T84),2)</f>
        <v>38</v>
      </c>
      <c r="E85" s="224" t="str">
        <f>RIGHT(INDEX('Logical Group Generator'!F:F,T84),2)</f>
        <v>2A</v>
      </c>
      <c r="F85" s="224" t="str">
        <f>BIN2HEX(INDEX('Logical Group Generator'!L:L,'Script Generator'!T84),2)</f>
        <v>07</v>
      </c>
      <c r="G85" s="226"/>
      <c r="I85" s="215"/>
      <c r="J85" s="215"/>
      <c r="R85" s="215" t="str">
        <f>IF('Logical Group Generator'!W85="FALSE","",IF('Logical Group Generator'!B85="OTP_RSVD_38_03","",'Logical Group Generator'!B85))</f>
        <v/>
      </c>
      <c r="T85" s="157">
        <f>MATCH(U85,'Logical Group Generator'!B:B,0)</f>
        <v>530</v>
      </c>
      <c r="U85" s="157" t="str">
        <f t="array" ref="U85">IF(ROWS($3:85)&lt;=COUNTA($R$3:$R$902),INDEX($R$3:$R$902,SMALL(IF($R$3:$R$902&lt;&gt;"",ROW($R$3:$R$902)-MIN(ROW($R$3:$R$902))+1),ROWS($3:85))),"")</f>
        <v>OTP_RSVD_38_2C</v>
      </c>
      <c r="W85" s="157" t="str">
        <f>IF(INDEX('Logical Group Generator'!W:W,MATCH(U85,'Logical Group Generator'!B:B,0))="REGISTER","REGISTER","BIT")</f>
        <v>REGISTER</v>
      </c>
    </row>
    <row r="86" spans="2:23">
      <c r="B86" s="223" t="str">
        <f>IF(ISERROR(T89),"",CONCATENATE(IF(W89="BIT",$M$2,$M$1),U89,$M$3,BIN2HEX(IF(W89="BIT",INDEX('Logical Group Generator'!H:H,'Script Generator'!T89),INDEX('Logical Group Generator'!L:L,'Script Generator'!T89)),2),IF(ISERROR(T90),$M$5,$M$4)))</f>
        <v>                   {register: 'OTP_RSVD_38_34', value: 0xAA},</v>
      </c>
      <c r="D86" s="225" t="str">
        <f>RIGHT(INDEX('Logical Group Generator'!E:E,T85),2)</f>
        <v>38</v>
      </c>
      <c r="E86" s="224" t="str">
        <f>RIGHT(INDEX('Logical Group Generator'!F:F,T85),2)</f>
        <v>2C</v>
      </c>
      <c r="F86" s="224" t="str">
        <f>BIN2HEX(INDEX('Logical Group Generator'!L:L,'Script Generator'!T85),2)</f>
        <v>A1</v>
      </c>
      <c r="G86" s="226"/>
      <c r="I86" s="215"/>
      <c r="J86" s="215"/>
      <c r="R86" s="215" t="str">
        <f>IF('Logical Group Generator'!W86="FALSE","",IF('Logical Group Generator'!B86="OTP_RSVD_38_03","",'Logical Group Generator'!B86))</f>
        <v/>
      </c>
      <c r="T86" s="157">
        <f>MATCH(U86,'Logical Group Generator'!B:B,0)</f>
        <v>541</v>
      </c>
      <c r="U86" s="157" t="str">
        <f t="array" ref="U86">IF(ROWS($3:86)&lt;=COUNTA($R$3:$R$902),INDEX($R$3:$R$902,SMALL(IF($R$3:$R$902&lt;&gt;"",ROW($R$3:$R$902)-MIN(ROW($R$3:$R$902))+1),ROWS($3:86))),"")</f>
        <v>OTP_RSVD_38_2E</v>
      </c>
      <c r="W86" s="157" t="str">
        <f>IF(INDEX('Logical Group Generator'!W:W,MATCH(U86,'Logical Group Generator'!B:B,0))="REGISTER","REGISTER","BIT")</f>
        <v>REGISTER</v>
      </c>
    </row>
    <row r="87" spans="2:23">
      <c r="B87" s="223" t="str">
        <f>IF(ISERROR(T91),"",CONCATENATE(IF(W91="BIT",$M$2,$M$1),U91,$M$3,BIN2HEX(IF(W91="BIT",INDEX('Logical Group Generator'!H:H,'Script Generator'!T91),INDEX('Logical Group Generator'!L:L,'Script Generator'!T91)),2),IF(ISERROR(T92),$M$5,$M$4)))</f>
        <v>                   {register: 'OTP_RSVD_38_38', value: 0x61},</v>
      </c>
      <c r="D87" s="225" t="str">
        <f>RIGHT(INDEX('Logical Group Generator'!E:E,T86),2)</f>
        <v>38</v>
      </c>
      <c r="E87" s="224" t="str">
        <f>RIGHT(INDEX('Logical Group Generator'!F:F,T86),2)</f>
        <v>2E</v>
      </c>
      <c r="F87" s="224" t="str">
        <f>BIN2HEX(INDEX('Logical Group Generator'!L:L,'Script Generator'!T86),2)</f>
        <v>AA</v>
      </c>
      <c r="G87" s="226"/>
      <c r="I87" s="215"/>
      <c r="J87" s="215"/>
      <c r="R87" s="215" t="str">
        <f>IF('Logical Group Generator'!W87="FALSE","",IF('Logical Group Generator'!B87="OTP_RSVD_38_03","",'Logical Group Generator'!B87))</f>
        <v>BUCK1SLPCTRL</v>
      </c>
      <c r="T87" s="157">
        <f>MATCH(U87,'Logical Group Generator'!B:B,0)</f>
        <v>556</v>
      </c>
      <c r="U87" s="157" t="str">
        <f t="array" ref="U87">IF(ROWS($3:87)&lt;=COUNTA($R$3:$R$902),INDEX($R$3:$R$902,SMALL(IF($R$3:$R$902&lt;&gt;"",ROW($R$3:$R$902)-MIN(ROW($R$3:$R$902))+1),ROWS($3:87))),"")</f>
        <v>OTP_RSVD_38_30</v>
      </c>
      <c r="W87" s="157" t="str">
        <f>IF(INDEX('Logical Group Generator'!W:W,MATCH(U87,'Logical Group Generator'!B:B,0))="REGISTER","REGISTER","BIT")</f>
        <v>REGISTER</v>
      </c>
    </row>
    <row r="88" spans="2:23">
      <c r="B88" s="223" t="str">
        <f>IF(ISERROR(T92),"",CONCATENATE(IF(W92="BIT",$M$2,$M$1),U92,$M$3,BIN2HEX(IF(W92="BIT",INDEX('Logical Group Generator'!H:H,'Script Generator'!T92),INDEX('Logical Group Generator'!L:L,'Script Generator'!T92)),2),IF(ISERROR(T93),$M$5,$M$4)))</f>
        <v>                   {register: 'OTP_RSVD_38_3A', value: 0xAA},</v>
      </c>
      <c r="D88" s="225" t="str">
        <f>RIGHT(INDEX('Logical Group Generator'!E:E,T88),2)</f>
        <v>38</v>
      </c>
      <c r="E88" s="224" t="str">
        <f>RIGHT(INDEX('Logical Group Generator'!F:F,T88),2)</f>
        <v>32</v>
      </c>
      <c r="F88" s="224" t="str">
        <f>BIN2HEX(INDEX('Logical Group Generator'!L:L,'Script Generator'!T88),2)</f>
        <v>61</v>
      </c>
      <c r="G88" s="226"/>
      <c r="I88" s="215"/>
      <c r="J88" s="215"/>
      <c r="R88" s="215" t="str">
        <f>IF('Logical Group Generator'!W88="FALSE","",IF('Logical Group Generator'!B88="OTP_RSVD_38_03","",'Logical Group Generator'!B88))</f>
        <v/>
      </c>
      <c r="T88" s="157">
        <f>MATCH(U88,'Logical Group Generator'!B:B,0)</f>
        <v>562</v>
      </c>
      <c r="U88" s="157" t="str">
        <f t="array" ref="U88">IF(ROWS($3:88)&lt;=COUNTA($R$3:$R$902),INDEX($R$3:$R$902,SMALL(IF($R$3:$R$902&lt;&gt;"",ROW($R$3:$R$902)-MIN(ROW($R$3:$R$902))+1),ROWS($3:88))),"")</f>
        <v>OTP_RSVD_38_32</v>
      </c>
      <c r="W88" s="157" t="str">
        <f>IF(INDEX('Logical Group Generator'!W:W,MATCH(U88,'Logical Group Generator'!B:B,0))="REGISTER","REGISTER","BIT")</f>
        <v>REGISTER</v>
      </c>
    </row>
    <row r="89" spans="2:23">
      <c r="B89" s="223" t="str">
        <f>IF(ISERROR(T94),"",CONCATENATE(IF(W94="BIT",$M$2,$M$1),U94,$M$3,BIN2HEX(IF(W94="BIT",INDEX('Logical Group Generator'!H:H,'Script Generator'!T94),INDEX('Logical Group Generator'!L:L,'Script Generator'!T94)),2),IF(ISERROR(T95),$M$5,$M$4)))</f>
        <v>                   {register: 'OTP_RSVD_38_44', value: 0x05},</v>
      </c>
      <c r="D89" s="224" t="str">
        <f>RIGHT(INDEX('Logical Group Generator'!E:E,T89),2)</f>
        <v>38</v>
      </c>
      <c r="E89" s="224" t="str">
        <f>RIGHT(INDEX('Logical Group Generator'!F:F,T89),2)</f>
        <v>34</v>
      </c>
      <c r="F89" s="224" t="str">
        <f>BIN2HEX(INDEX('Logical Group Generator'!L:L,'Script Generator'!T89),2)</f>
        <v>AA</v>
      </c>
      <c r="G89" s="226"/>
      <c r="I89" s="215"/>
      <c r="J89" s="215"/>
      <c r="R89" s="215" t="str">
        <f>IF('Logical Group Generator'!W89="FALSE","",IF('Logical Group Generator'!B89="OTP_RSVD_38_03","",'Logical Group Generator'!B89))</f>
        <v/>
      </c>
      <c r="T89" s="157">
        <f>MATCH(U89,'Logical Group Generator'!B:B,0)</f>
        <v>573</v>
      </c>
      <c r="U89" s="157" t="str">
        <f t="array" ref="U89">IF(ROWS($3:89)&lt;=COUNTA($R$3:$R$902),INDEX($R$3:$R$902,SMALL(IF($R$3:$R$902&lt;&gt;"",ROW($R$3:$R$902)-MIN(ROW($R$3:$R$902))+1),ROWS($3:89))),"")</f>
        <v>OTP_RSVD_38_34</v>
      </c>
      <c r="W89" s="157" t="str">
        <f>IF(INDEX('Logical Group Generator'!W:W,MATCH(U89,'Logical Group Generator'!B:B,0))="REGISTER","REGISTER","BIT")</f>
        <v>REGISTER</v>
      </c>
    </row>
    <row r="90" spans="2:23">
      <c r="B90" s="223" t="str">
        <f>IF(ISERROR(T95),"",CONCATENATE(IF(W95="BIT",$M$2,$M$1),U95,$M$3,BIN2HEX(IF(W95="BIT",INDEX('Logical Group Generator'!H:H,'Script Generator'!T95),INDEX('Logical Group Generator'!L:L,'Script Generator'!T95)),2),IF(ISERROR(T96),$M$5,$M$4)))</f>
        <v>                   {register: 'OTP_RSVD_38_48', value: 0x25},</v>
      </c>
      <c r="D90" s="224" t="str">
        <f>RIGHT(INDEX('Logical Group Generator'!E:E,T91),2)</f>
        <v>38</v>
      </c>
      <c r="E90" s="224" t="str">
        <f>RIGHT(INDEX('Logical Group Generator'!F:F,T91),2)</f>
        <v>38</v>
      </c>
      <c r="F90" s="224" t="str">
        <f>BIN2HEX(INDEX('Logical Group Generator'!L:L,'Script Generator'!T91),2)</f>
        <v>61</v>
      </c>
      <c r="G90" s="226"/>
      <c r="I90" s="215"/>
      <c r="J90" s="215"/>
      <c r="R90" s="215" t="str">
        <f>IF('Logical Group Generator'!W90="FALSE","",IF('Logical Group Generator'!B90="OTP_RSVD_38_03","",'Logical Group Generator'!B90))</f>
        <v>BUCK2SLPCTRL</v>
      </c>
      <c r="T90" s="157">
        <f>MATCH(U90,'Logical Group Generator'!B:B,0)</f>
        <v>588</v>
      </c>
      <c r="U90" s="157" t="str">
        <f t="array" ref="U90">IF(ROWS($3:90)&lt;=COUNTA($R$3:$R$902),INDEX($R$3:$R$902,SMALL(IF($R$3:$R$902&lt;&gt;"",ROW($R$3:$R$902)-MIN(ROW($R$3:$R$902))+1),ROWS($3:90))),"")</f>
        <v>OTP_RSVD_38_36</v>
      </c>
      <c r="W90" s="157" t="str">
        <f>IF(INDEX('Logical Group Generator'!W:W,MATCH(U90,'Logical Group Generator'!B:B,0))="REGISTER","REGISTER","BIT")</f>
        <v>REGISTER</v>
      </c>
    </row>
    <row r="91" spans="2:23">
      <c r="B91" s="223" t="str">
        <f>IF(ISERROR(T96),"",CONCATENATE(IF(W96="BIT",$M$2,$M$1),U96,$M$3,BIN2HEX(IF(W96="BIT",INDEX('Logical Group Generator'!H:H,'Script Generator'!T96),INDEX('Logical Group Generator'!L:L,'Script Generator'!T96)),2),IF(ISERROR(T97),$M$5,$M$4)))</f>
        <v>                   {register: 'OTP_RSVD_38_4C', value: 0x25},</v>
      </c>
      <c r="D91" s="224" t="str">
        <f>RIGHT(INDEX('Logical Group Generator'!E:E,T92),2)</f>
        <v>38</v>
      </c>
      <c r="E91" s="224" t="str">
        <f>RIGHT(INDEX('Logical Group Generator'!F:F,T92),2)</f>
        <v>3A</v>
      </c>
      <c r="F91" s="224" t="str">
        <f>BIN2HEX(INDEX('Logical Group Generator'!L:L,'Script Generator'!T92),2)</f>
        <v>AA</v>
      </c>
      <c r="G91" s="226"/>
      <c r="I91" s="215"/>
      <c r="J91" s="215"/>
      <c r="R91" s="215" t="str">
        <f>IF('Logical Group Generator'!W91="FALSE","",IF('Logical Group Generator'!B91="OTP_RSVD_38_03","",'Logical Group Generator'!B91))</f>
        <v/>
      </c>
      <c r="T91" s="157">
        <f>MATCH(U91,'Logical Group Generator'!B:B,0)</f>
        <v>594</v>
      </c>
      <c r="U91" s="157" t="str">
        <f t="array" ref="U91">IF(ROWS($3:91)&lt;=COUNTA($R$3:$R$902),INDEX($R$3:$R$902,SMALL(IF($R$3:$R$902&lt;&gt;"",ROW($R$3:$R$902)-MIN(ROW($R$3:$R$902))+1),ROWS($3:91))),"")</f>
        <v>OTP_RSVD_38_38</v>
      </c>
      <c r="W91" s="157" t="str">
        <f>IF(INDEX('Logical Group Generator'!W:W,MATCH(U91,'Logical Group Generator'!B:B,0))="REGISTER","REGISTER","BIT")</f>
        <v>REGISTER</v>
      </c>
    </row>
    <row r="92" spans="2:23">
      <c r="B92" s="223" t="str">
        <f>IF(ISERROR(T97),"",CONCATENATE(IF(W97="BIT",$M$2,$M$1),U97,$M$3,BIN2HEX(IF(W97="BIT",INDEX('Logical Group Generator'!H:H,'Script Generator'!T97),INDEX('Logical Group Generator'!L:L,'Script Generator'!T97)),2),IF(ISERROR(T98),$M$5,$M$4)))</f>
        <v>                   {register: 'OTP_RSVD_38_53', value: 0xA8},</v>
      </c>
      <c r="D92" s="224" t="str">
        <f>RIGHT(INDEX('Logical Group Generator'!E:E,T93),2)</f>
        <v>38</v>
      </c>
      <c r="E92" s="224" t="str">
        <f>RIGHT(INDEX('Logical Group Generator'!F:F,T94),2)</f>
        <v>44</v>
      </c>
      <c r="F92" s="224" t="str">
        <f>BIN2HEX(INDEX('Logical Group Generator'!L:L,'Script Generator'!T94),2)</f>
        <v>05</v>
      </c>
      <c r="G92" s="226"/>
      <c r="I92" s="215"/>
      <c r="J92" s="215"/>
      <c r="R92" s="215" t="str">
        <f>IF('Logical Group Generator'!W92="FALSE","",IF('Logical Group Generator'!B92="OTP_RSVD_38_03","",'Logical Group Generator'!B92))</f>
        <v/>
      </c>
      <c r="T92" s="157">
        <f>MATCH(U92,'Logical Group Generator'!B:B,0)</f>
        <v>605</v>
      </c>
      <c r="U92" s="157" t="str">
        <f t="array" ref="U92">IF(ROWS($3:92)&lt;=COUNTA($R$3:$R$902),INDEX($R$3:$R$902,SMALL(IF($R$3:$R$902&lt;&gt;"",ROW($R$3:$R$902)-MIN(ROW($R$3:$R$902))+1),ROWS($3:92))),"")</f>
        <v>OTP_RSVD_38_3A</v>
      </c>
      <c r="W92" s="157" t="str">
        <f>IF(INDEX('Logical Group Generator'!W:W,MATCH(U92,'Logical Group Generator'!B:B,0))="REGISTER","REGISTER","BIT")</f>
        <v>REGISTER</v>
      </c>
    </row>
    <row r="93" spans="2:23">
      <c r="B93" s="223" t="str">
        <f>IF(ISERROR(T99),"",CONCATENATE(IF(W99="BIT",$M$2,$M$1),U99,$M$3,BIN2HEX(IF(W99="BIT",INDEX('Logical Group Generator'!H:H,'Script Generator'!T99),INDEX('Logical Group Generator'!L:L,'Script Generator'!T99)),2),IF(ISERROR(T100),$M$5,$M$4)))</f>
        <v>                   {register: 'I2CADDRESS', value: 0x00}];</v>
      </c>
      <c r="D93" s="224" t="str">
        <f>RIGHT(INDEX('Logical Group Generator'!E:E,T94),2)</f>
        <v>38</v>
      </c>
      <c r="E93" s="224" t="str">
        <f>RIGHT(INDEX('Logical Group Generator'!F:F,T95),2)</f>
        <v>48</v>
      </c>
      <c r="F93" s="224" t="str">
        <f>BIN2HEX(INDEX('Logical Group Generator'!L:L,'Script Generator'!T95),2)</f>
        <v>25</v>
      </c>
      <c r="G93" s="226"/>
      <c r="I93" s="215"/>
      <c r="J93" s="215"/>
      <c r="R93" s="215" t="str">
        <f>IF('Logical Group Generator'!W93="FALSE","",IF('Logical Group Generator'!B93="OTP_RSVD_38_03","",'Logical Group Generator'!B93))</f>
        <v>BUCK4VID</v>
      </c>
      <c r="T93" s="157">
        <f>MATCH(U93,'Logical Group Generator'!B:B,0)</f>
        <v>620</v>
      </c>
      <c r="U93" s="157" t="str">
        <f t="array" ref="U93">IF(ROWS($3:93)&lt;=COUNTA($R$3:$R$902),INDEX($R$3:$R$902,SMALL(IF($R$3:$R$902&lt;&gt;"",ROW($R$3:$R$902)-MIN(ROW($R$3:$R$902))+1),ROWS($3:93))),"")</f>
        <v>OTP_RSVD_38_3C</v>
      </c>
      <c r="W93" s="157" t="str">
        <f>IF(INDEX('Logical Group Generator'!W:W,MATCH(U93,'Logical Group Generator'!B:B,0))="REGISTER","REGISTER","BIT")</f>
        <v>REGISTER</v>
      </c>
    </row>
    <row r="94" spans="2:23">
      <c r="D94" s="224" t="str">
        <f>RIGHT(INDEX('Logical Group Generator'!E:E,T95),2)</f>
        <v>38</v>
      </c>
      <c r="E94" s="224" t="str">
        <f>RIGHT(INDEX('Logical Group Generator'!F:F,T96),2)</f>
        <v>4C</v>
      </c>
      <c r="F94" s="224" t="str">
        <f>BIN2HEX(INDEX('Logical Group Generator'!L:L,'Script Generator'!T96),2)</f>
        <v>25</v>
      </c>
      <c r="G94" s="226"/>
      <c r="I94" s="215"/>
      <c r="J94" s="215"/>
      <c r="R94" s="215" t="str">
        <f>IF('Logical Group Generator'!W94="FALSE","",IF('Logical Group Generator'!B94="OTP_RSVD_38_03","",'Logical Group Generator'!B94))</f>
        <v/>
      </c>
      <c r="T94" s="157">
        <f>MATCH(U94,'Logical Group Generator'!B:B,0)</f>
        <v>634</v>
      </c>
      <c r="U94" s="157" t="str">
        <f t="array" ref="U94">IF(ROWS($3:94)&lt;=COUNTA($R$3:$R$902),INDEX($R$3:$R$902,SMALL(IF($R$3:$R$902&lt;&gt;"",ROW($R$3:$R$902)-MIN(ROW($R$3:$R$902))+1),ROWS($3:94))),"")</f>
        <v>OTP_RSVD_38_44</v>
      </c>
      <c r="W94" s="157" t="str">
        <f>IF(INDEX('Logical Group Generator'!W:W,MATCH(U94,'Logical Group Generator'!B:B,0))="REGISTER","REGISTER","BIT")</f>
        <v>REGISTER</v>
      </c>
    </row>
    <row r="95" spans="2:23">
      <c r="D95" s="224" t="str">
        <f>RIGHT(INDEX('Logical Group Generator'!E:E,T96),2)</f>
        <v>38</v>
      </c>
      <c r="E95" s="224" t="str">
        <f>RIGHT(INDEX('Logical Group Generator'!F:F,T97),2)</f>
        <v>53</v>
      </c>
      <c r="F95" s="224" t="str">
        <f>BIN2HEX(INDEX('Logical Group Generator'!L:L,'Script Generator'!T97),2)</f>
        <v>A8</v>
      </c>
      <c r="G95" s="226"/>
      <c r="I95" s="215"/>
      <c r="J95" s="215"/>
      <c r="R95" s="215" t="str">
        <f>IF('Logical Group Generator'!W95="FALSE","",IF('Logical Group Generator'!B95="OTP_RSVD_38_03","",'Logical Group Generator'!B95))</f>
        <v/>
      </c>
      <c r="T95" s="157">
        <f>MATCH(U95,'Logical Group Generator'!B:B,0)</f>
        <v>653</v>
      </c>
      <c r="U95" s="157" t="str">
        <f t="array" ref="U95">IF(ROWS($3:95)&lt;=COUNTA($R$3:$R$902),INDEX($R$3:$R$902,SMALL(IF($R$3:$R$902&lt;&gt;"",ROW($R$3:$R$902)-MIN(ROW($R$3:$R$902))+1),ROWS($3:95))),"")</f>
        <v>OTP_RSVD_38_48</v>
      </c>
      <c r="W95" s="157" t="str">
        <f>IF(INDEX('Logical Group Generator'!W:W,MATCH(U95,'Logical Group Generator'!B:B,0))="REGISTER","REGISTER","BIT")</f>
        <v>REGISTER</v>
      </c>
    </row>
    <row r="96" spans="2:23">
      <c r="D96" s="227" t="s">
        <v>1511</v>
      </c>
      <c r="E96" s="228" t="s">
        <v>1556</v>
      </c>
      <c r="F96" s="224" t="str">
        <f>LEFT(RIGHT(B93,5),2)</f>
        <v>00</v>
      </c>
      <c r="G96" s="226"/>
      <c r="I96" s="215"/>
      <c r="J96" s="215"/>
      <c r="R96" s="215" t="str">
        <f>IF('Logical Group Generator'!W96="FALSE","",IF('Logical Group Generator'!B96="OTP_RSVD_38_03","",'Logical Group Generator'!B96))</f>
        <v>BUCK4SLPVID</v>
      </c>
      <c r="T96" s="157">
        <f>MATCH(U96,'Logical Group Generator'!B:B,0)</f>
        <v>672</v>
      </c>
      <c r="U96" s="157" t="str">
        <f t="array" ref="U96">IF(ROWS($3:96)&lt;=COUNTA($R$3:$R$902),INDEX($R$3:$R$902,SMALL(IF($R$3:$R$902&lt;&gt;"",ROW($R$3:$R$902)-MIN(ROW($R$3:$R$902))+1),ROWS($3:96))),"")</f>
        <v>OTP_RSVD_38_4C</v>
      </c>
      <c r="W96" s="157" t="str">
        <f>IF(INDEX('Logical Group Generator'!W:W,MATCH(U96,'Logical Group Generator'!B:B,0))="REGISTER","REGISTER","BIT")</f>
        <v>REGISTER</v>
      </c>
    </row>
    <row r="97" spans="2:23">
      <c r="D97" s="215"/>
      <c r="E97" s="215"/>
      <c r="F97" s="215"/>
      <c r="G97" s="215"/>
      <c r="I97" s="215"/>
      <c r="J97" s="215"/>
      <c r="R97" s="215" t="str">
        <f>IF('Logical Group Generator'!W97="FALSE","",IF('Logical Group Generator'!B97="OTP_RSVD_38_03","",'Logical Group Generator'!B97))</f>
        <v/>
      </c>
      <c r="T97" s="157">
        <f>MATCH(U97,'Logical Group Generator'!B:B,0)</f>
        <v>704</v>
      </c>
      <c r="U97" s="157" t="str">
        <f t="array" ref="U97">IF(ROWS($3:97)&lt;=COUNTA($R$3:$R$902),INDEX($R$3:$R$902,SMALL(IF($R$3:$R$902&lt;&gt;"",ROW($R$3:$R$902)-MIN(ROW($R$3:$R$902))+1),ROWS($3:97))),"")</f>
        <v>OTP_RSVD_38_53</v>
      </c>
      <c r="W97" s="157" t="str">
        <f>IF(INDEX('Logical Group Generator'!W:W,MATCH(U97,'Logical Group Generator'!B:B,0))="REGISTER","REGISTER","BIT")</f>
        <v>REGISTER</v>
      </c>
    </row>
    <row r="98" spans="2:23">
      <c r="D98" s="215"/>
      <c r="E98" s="215"/>
      <c r="F98" s="215"/>
      <c r="G98" s="215"/>
      <c r="J98" s="215"/>
      <c r="R98" s="215" t="str">
        <f>IF('Logical Group Generator'!W98="FALSE","",IF('Logical Group Generator'!B98="OTP_RSVD_38_03","",'Logical Group Generator'!B98))</f>
        <v/>
      </c>
      <c r="T98" s="157">
        <f>MATCH(U98,'Logical Group Generator'!B:B,0)</f>
        <v>733</v>
      </c>
      <c r="U98" s="157" t="str">
        <f t="array" ref="U98">IF(ROWS($3:98)&lt;=COUNTA($R$3:$R$902),INDEX($R$3:$R$902,SMALL(IF($R$3:$R$902&lt;&gt;"",ROW($R$3:$R$902)-MIN(ROW($R$3:$R$902))+1),ROWS($3:98))),"")</f>
        <v>OTP_RSVD_38_5C</v>
      </c>
      <c r="W98" s="157" t="str">
        <f>IF(INDEX('Logical Group Generator'!W:W,MATCH(U98,'Logical Group Generator'!B:B,0))="REGISTER","REGISTER","BIT")</f>
        <v>REGISTER</v>
      </c>
    </row>
    <row r="99" spans="2:23">
      <c r="B99" s="214" t="str">
        <f>IF(ISERROR(T100),"",CONCATENATE(IF(W100="BIT",$M$2,$M$1),U100,$M$3,BIN2HEX(IF(W100="BIT",INDEX('Logical Group Generator'!H:H,'Script Generator'!T100),INDEX('Logical Group Generator'!L:L,'Script Generator'!T100)),2),IF(ISERROR(T101),$M$5,$M$4)))</f>
        <v/>
      </c>
      <c r="D99" s="215"/>
      <c r="E99" s="215"/>
      <c r="F99" s="215"/>
      <c r="G99" s="215"/>
      <c r="R99" s="215" t="str">
        <f>IF('Logical Group Generator'!W99="FALSE","",IF('Logical Group Generator'!B99="OTP_RSVD_38_03","",'Logical Group Generator'!B99))</f>
        <v>BUCK5VID</v>
      </c>
      <c r="T99" s="157">
        <f>MATCH(U99,'Logical Group Generator'!B:B,0)</f>
        <v>742</v>
      </c>
      <c r="U99" s="157" t="str">
        <f t="array" ref="U99">IF(ROWS($3:99)&lt;=COUNTA($R$3:$R$902),INDEX($R$3:$R$902,SMALL(IF($R$3:$R$902&lt;&gt;"",ROW($R$3:$R$902)-MIN(ROW($R$3:$R$902))+1),ROWS($3:99))),"")</f>
        <v>I2CADDRESS</v>
      </c>
      <c r="W99" s="157" t="str">
        <f>IF(INDEX('Logical Group Generator'!W:W,MATCH(U99,'Logical Group Generator'!B:B,0))="REGISTER","REGISTER","BIT")</f>
        <v>REGISTER</v>
      </c>
    </row>
    <row r="100" spans="2:23">
      <c r="B100" s="157" t="str">
        <f>IF(ISERROR(T101),"",CONCATENATE(IF(W101="BIT",$M$2,$M$1),U101,$M$3,BIN2HEX(IF(W101="BIT",INDEX('Logical Group Generator'!H:H,'Script Generator'!T101),INDEX('Logical Group Generator'!L:L,'Script Generator'!T101)),2),IF(ISERROR(T102),$M$5,$M$4)))</f>
        <v/>
      </c>
      <c r="D100" s="215"/>
      <c r="E100" s="215"/>
      <c r="F100" s="215"/>
      <c r="G100" s="215"/>
      <c r="R100" s="215" t="str">
        <f>IF('Logical Group Generator'!W100="FALSE","",IF('Logical Group Generator'!B100="OTP_RSVD_38_03","",'Logical Group Generator'!B100))</f>
        <v/>
      </c>
      <c r="T100" s="157" t="e">
        <f>MATCH(U100,'Logical Group Generator'!B:B,0)</f>
        <v>#N/A</v>
      </c>
      <c r="U100" s="157">
        <f t="array" ref="U100">IF(ROWS($3:100)&lt;=COUNTA($R$3:$R$902),INDEX($R$3:$R$902,SMALL(IF($R$3:$R$902&lt;&gt;"",ROW($R$3:$R$902)-MIN(ROW($R$3:$R$902))+1),ROWS($3:100))),"")</f>
        <v>0</v>
      </c>
      <c r="W100" s="157" t="e">
        <f>IF(INDEX('Logical Group Generator'!W:W,MATCH(U100,'Logical Group Generator'!B:B,0))="REGISTER","REGISTER","BIT")</f>
        <v>#N/A</v>
      </c>
    </row>
    <row r="101" spans="2:23">
      <c r="B101" s="157" t="str">
        <f>IF(ISERROR(T102),"",CONCATENATE(IF(W102="BIT",$M$2,$M$1),U102,$M$3,BIN2HEX(IF(W102="BIT",INDEX('Logical Group Generator'!H:H,'Script Generator'!T102),INDEX('Logical Group Generator'!L:L,'Script Generator'!T102)),2),IF(ISERROR(T103),$M$5,$M$4)))</f>
        <v/>
      </c>
      <c r="D101" s="215"/>
      <c r="E101" s="215"/>
      <c r="F101" s="215"/>
      <c r="G101" s="215"/>
      <c r="R101" s="215" t="str">
        <f>IF('Logical Group Generator'!W101="FALSE","",IF('Logical Group Generator'!B101="OTP_RSVD_38_03","",'Logical Group Generator'!B101))</f>
        <v/>
      </c>
      <c r="T101" s="157" t="e">
        <f>MATCH(U101,'Logical Group Generator'!B:B,0)</f>
        <v>#N/A</v>
      </c>
      <c r="U101" s="157">
        <f t="array" ref="U101">IF(ROWS($3:101)&lt;=COUNTA($R$3:$R$902),INDEX($R$3:$R$902,SMALL(IF($R$3:$R$902&lt;&gt;"",ROW($R$3:$R$902)-MIN(ROW($R$3:$R$902))+1),ROWS($3:101))),"")</f>
        <v>0</v>
      </c>
      <c r="W101" s="157" t="e">
        <f>IF(INDEX('Logical Group Generator'!W:W,MATCH(U101,'Logical Group Generator'!B:B,0))="REGISTER","REGISTER","BIT")</f>
        <v>#N/A</v>
      </c>
    </row>
    <row r="102" spans="2:23">
      <c r="B102" s="157" t="str">
        <f>IF(ISERROR(T103),"",CONCATENATE(IF(W103="BIT",$M$2,$M$1),U103,$M$3,BIN2HEX(IF(W103="BIT",INDEX('Logical Group Generator'!H:H,'Script Generator'!T103),INDEX('Logical Group Generator'!L:L,'Script Generator'!T103)),2),IF(ISERROR(T104),$M$5,$M$4)))</f>
        <v/>
      </c>
      <c r="D102" s="215"/>
      <c r="E102" s="215"/>
      <c r="F102" s="215"/>
      <c r="G102" s="215"/>
      <c r="R102" s="215" t="str">
        <f>IF('Logical Group Generator'!W102="FALSE","",IF('Logical Group Generator'!B102="OTP_RSVD_38_03","",'Logical Group Generator'!B102))</f>
        <v>BUCK5SLPVID</v>
      </c>
      <c r="T102" s="157" t="e">
        <f>MATCH(U102,'Logical Group Generator'!B:B,0)</f>
        <v>#N/A</v>
      </c>
      <c r="U102" s="157">
        <f t="array" ref="U102">IF(ROWS($3:102)&lt;=COUNTA($R$3:$R$902),INDEX($R$3:$R$902,SMALL(IF($R$3:$R$902&lt;&gt;"",ROW($R$3:$R$902)-MIN(ROW($R$3:$R$902))+1),ROWS($3:102))),"")</f>
        <v>0</v>
      </c>
      <c r="W102" s="157" t="e">
        <f>IF(INDEX('Logical Group Generator'!W:W,MATCH(U102,'Logical Group Generator'!B:B,0))="REGISTER","REGISTER","BIT")</f>
        <v>#N/A</v>
      </c>
    </row>
    <row r="103" spans="2:23">
      <c r="B103" s="157" t="str">
        <f>IF(ISERROR(T104),"",CONCATENATE(IF(W104="BIT",$M$2,$M$1),U104,$M$3,BIN2HEX(IF(W104="BIT",INDEX('Logical Group Generator'!H:H,'Script Generator'!T104),INDEX('Logical Group Generator'!L:L,'Script Generator'!T104)),2),IF(ISERROR(T105),$M$5,$M$4)))</f>
        <v/>
      </c>
      <c r="D103" s="215"/>
      <c r="E103" s="215"/>
      <c r="F103" s="215"/>
      <c r="G103" s="215"/>
      <c r="R103" s="215" t="str">
        <f>IF('Logical Group Generator'!W103="FALSE","",IF('Logical Group Generator'!B103="OTP_RSVD_38_03","",'Logical Group Generator'!B103))</f>
        <v/>
      </c>
      <c r="T103" s="157" t="e">
        <f>MATCH(U103,'Logical Group Generator'!B:B,0)</f>
        <v>#N/A</v>
      </c>
      <c r="U103" s="157">
        <f t="array" ref="U103">IF(ROWS($3:103)&lt;=COUNTA($R$3:$R$902),INDEX($R$3:$R$902,SMALL(IF($R$3:$R$902&lt;&gt;"",ROW($R$3:$R$902)-MIN(ROW($R$3:$R$902))+1),ROWS($3:103))),"")</f>
        <v>0</v>
      </c>
      <c r="W103" s="157" t="e">
        <f>IF(INDEX('Logical Group Generator'!W:W,MATCH(U103,'Logical Group Generator'!B:B,0))="REGISTER","REGISTER","BIT")</f>
        <v>#N/A</v>
      </c>
    </row>
    <row r="104" spans="2:23">
      <c r="B104" s="157" t="str">
        <f>IF(ISERROR(T105),"",CONCATENATE(IF(W105="BIT",$M$2,$M$1),U105,$M$3,BIN2HEX(IF(W105="BIT",INDEX('Logical Group Generator'!H:H,'Script Generator'!T105),INDEX('Logical Group Generator'!L:L,'Script Generator'!T105)),2),IF(ISERROR(T106),$M$5,$M$4)))</f>
        <v/>
      </c>
      <c r="D104" s="215"/>
      <c r="E104" s="215"/>
      <c r="F104" s="215"/>
      <c r="G104" s="215"/>
      <c r="R104" s="215" t="str">
        <f>IF('Logical Group Generator'!W104="FALSE","",IF('Logical Group Generator'!B104="OTP_RSVD_38_03","",'Logical Group Generator'!B104))</f>
        <v/>
      </c>
      <c r="T104" s="157" t="e">
        <f>MATCH(U104,'Logical Group Generator'!B:B,0)</f>
        <v>#N/A</v>
      </c>
      <c r="U104" s="157">
        <f t="array" ref="U104">IF(ROWS($3:104)&lt;=COUNTA($R$3:$R$902),INDEX($R$3:$R$902,SMALL(IF($R$3:$R$902&lt;&gt;"",ROW($R$3:$R$902)-MIN(ROW($R$3:$R$902))+1),ROWS($3:104))),"")</f>
        <v>0</v>
      </c>
      <c r="W104" s="157" t="e">
        <f>IF(INDEX('Logical Group Generator'!W:W,MATCH(U104,'Logical Group Generator'!B:B,0))="REGISTER","REGISTER","BIT")</f>
        <v>#N/A</v>
      </c>
    </row>
    <row r="105" spans="2:23">
      <c r="B105" s="157" t="str">
        <f>IF(ISERROR(T106),"",CONCATENATE(IF(W106="BIT",$M$2,$M$1),U106,$M$3,BIN2HEX(IF(W106="BIT",INDEX('Logical Group Generator'!H:H,'Script Generator'!T106),INDEX('Logical Group Generator'!L:L,'Script Generator'!T106)),2),IF(ISERROR(T107),$M$5,$M$4)))</f>
        <v/>
      </c>
      <c r="D105" s="215"/>
      <c r="E105" s="215"/>
      <c r="F105" s="215"/>
      <c r="G105" s="215"/>
      <c r="R105" s="215" t="str">
        <f>IF('Logical Group Generator'!W105="FALSE","",IF('Logical Group Generator'!B105="OTP_RSVD_38_03","",'Logical Group Generator'!B105))</f>
        <v>BUCK6VID</v>
      </c>
      <c r="T105" s="157" t="e">
        <f>MATCH(U105,'Logical Group Generator'!B:B,0)</f>
        <v>#N/A</v>
      </c>
      <c r="U105" s="157">
        <f t="array" ref="U105">IF(ROWS($3:105)&lt;=COUNTA($R$3:$R$902),INDEX($R$3:$R$902,SMALL(IF($R$3:$R$902&lt;&gt;"",ROW($R$3:$R$902)-MIN(ROW($R$3:$R$902))+1),ROWS($3:105))),"")</f>
        <v>0</v>
      </c>
      <c r="W105" s="157" t="e">
        <f>IF(INDEX('Logical Group Generator'!W:W,MATCH(U105,'Logical Group Generator'!B:B,0))="REGISTER","REGISTER","BIT")</f>
        <v>#N/A</v>
      </c>
    </row>
    <row r="106" spans="2:23">
      <c r="B106" s="157" t="str">
        <f>IF(ISERROR(T107),"",CONCATENATE(IF(W107="BIT",$M$2,$M$1),U107,$M$3,BIN2HEX(IF(W107="BIT",INDEX('Logical Group Generator'!H:H,'Script Generator'!T107),INDEX('Logical Group Generator'!L:L,'Script Generator'!T107)),2),IF(ISERROR(T108),$M$5,$M$4)))</f>
        <v/>
      </c>
      <c r="D106" s="215"/>
      <c r="E106" s="215"/>
      <c r="F106" s="215"/>
      <c r="G106" s="215"/>
      <c r="R106" s="215" t="str">
        <f>IF('Logical Group Generator'!W106="FALSE","",IF('Logical Group Generator'!B106="OTP_RSVD_38_03","",'Logical Group Generator'!B106))</f>
        <v/>
      </c>
      <c r="T106" s="157" t="e">
        <f>MATCH(U106,'Logical Group Generator'!B:B,0)</f>
        <v>#N/A</v>
      </c>
      <c r="U106" s="157">
        <f t="array" ref="U106">IF(ROWS($3:106)&lt;=COUNTA($R$3:$R$902),INDEX($R$3:$R$902,SMALL(IF($R$3:$R$902&lt;&gt;"",ROW($R$3:$R$902)-MIN(ROW($R$3:$R$902))+1),ROWS($3:106))),"")</f>
        <v>0</v>
      </c>
      <c r="W106" s="157" t="e">
        <f>IF(INDEX('Logical Group Generator'!W:W,MATCH(U106,'Logical Group Generator'!B:B,0))="REGISTER","REGISTER","BIT")</f>
        <v>#N/A</v>
      </c>
    </row>
    <row r="107" spans="2:23">
      <c r="B107" s="157" t="str">
        <f>IF(ISERROR(T108),"",CONCATENATE(IF(W108="BIT",$M$2,$M$1),U108,$M$3,BIN2HEX(IF(W108="BIT",INDEX('Logical Group Generator'!H:H,'Script Generator'!T108),INDEX('Logical Group Generator'!L:L,'Script Generator'!T108)),2),IF(ISERROR(T109),$M$5,$M$4)))</f>
        <v/>
      </c>
      <c r="D107" s="215"/>
      <c r="E107" s="215"/>
      <c r="F107" s="215"/>
      <c r="G107" s="215"/>
      <c r="R107" s="215" t="str">
        <f>IF('Logical Group Generator'!W107="FALSE","",IF('Logical Group Generator'!B107="OTP_RSVD_38_03","",'Logical Group Generator'!B107))</f>
        <v/>
      </c>
      <c r="T107" s="157" t="e">
        <f>MATCH(U107,'Logical Group Generator'!B:B,0)</f>
        <v>#N/A</v>
      </c>
      <c r="U107" s="157">
        <f t="array" ref="U107">IF(ROWS($3:107)&lt;=COUNTA($R$3:$R$902),INDEX($R$3:$R$902,SMALL(IF($R$3:$R$902&lt;&gt;"",ROW($R$3:$R$902)-MIN(ROW($R$3:$R$902))+1),ROWS($3:107))),"")</f>
        <v>0</v>
      </c>
      <c r="W107" s="157" t="e">
        <f>IF(INDEX('Logical Group Generator'!W:W,MATCH(U107,'Logical Group Generator'!B:B,0))="REGISTER","REGISTER","BIT")</f>
        <v>#N/A</v>
      </c>
    </row>
    <row r="108" spans="2:23">
      <c r="B108" s="157" t="str">
        <f>IF(ISERROR(T109),"",CONCATENATE(IF(W109="BIT",$M$2,$M$1),U109,$M$3,BIN2HEX(IF(W109="BIT",INDEX('Logical Group Generator'!H:H,'Script Generator'!T109),INDEX('Logical Group Generator'!L:L,'Script Generator'!T109)),2),IF(ISERROR(T110),$M$5,$M$4)))</f>
        <v/>
      </c>
      <c r="D108" s="215"/>
      <c r="E108" s="215"/>
      <c r="F108" s="215"/>
      <c r="G108" s="215"/>
      <c r="R108" s="215" t="str">
        <f>IF('Logical Group Generator'!W108="FALSE","",IF('Logical Group Generator'!B108="OTP_RSVD_38_03","",'Logical Group Generator'!B108))</f>
        <v>BUCK6SLPVID</v>
      </c>
      <c r="T108" s="157" t="e">
        <f>MATCH(U108,'Logical Group Generator'!B:B,0)</f>
        <v>#N/A</v>
      </c>
      <c r="U108" s="157">
        <f t="array" ref="U108">IF(ROWS($3:108)&lt;=COUNTA($R$3:$R$902),INDEX($R$3:$R$902,SMALL(IF($R$3:$R$902&lt;&gt;"",ROW($R$3:$R$902)-MIN(ROW($R$3:$R$902))+1),ROWS($3:108))),"")</f>
        <v>0</v>
      </c>
      <c r="W108" s="157" t="e">
        <f>IF(INDEX('Logical Group Generator'!W:W,MATCH(U108,'Logical Group Generator'!B:B,0))="REGISTER","REGISTER","BIT")</f>
        <v>#N/A</v>
      </c>
    </row>
    <row r="109" spans="2:23">
      <c r="B109" s="157" t="str">
        <f>IF(ISERROR(T110),"",CONCATENATE(IF(W110="BIT",$M$2,$M$1),U110,$M$3,BIN2HEX(IF(W110="BIT",INDEX('Logical Group Generator'!H:H,'Script Generator'!T110),INDEX('Logical Group Generator'!L:L,'Script Generator'!T110)),2),IF(ISERROR(T111),$M$5,$M$4)))</f>
        <v/>
      </c>
      <c r="D109" s="215"/>
      <c r="R109" s="215" t="str">
        <f>IF('Logical Group Generator'!W109="FALSE","",IF('Logical Group Generator'!B109="OTP_RSVD_38_03","",'Logical Group Generator'!B109))</f>
        <v/>
      </c>
      <c r="T109" s="157" t="e">
        <f>MATCH(U109,'Logical Group Generator'!B:B,0)</f>
        <v>#N/A</v>
      </c>
      <c r="U109" s="157">
        <f t="array" ref="U109">IF(ROWS($3:109)&lt;=COUNTA($R$3:$R$902),INDEX($R$3:$R$902,SMALL(IF($R$3:$R$902&lt;&gt;"",ROW($R$3:$R$902)-MIN(ROW($R$3:$R$902))+1),ROWS($3:109))),"")</f>
        <v>0</v>
      </c>
      <c r="W109" s="157" t="e">
        <f>IF(INDEX('Logical Group Generator'!W:W,MATCH(U109,'Logical Group Generator'!B:B,0))="REGISTER","REGISTER","BIT")</f>
        <v>#N/A</v>
      </c>
    </row>
    <row r="110" spans="2:23">
      <c r="B110" s="157" t="str">
        <f>IF(ISERROR(T111),"",CONCATENATE(IF(W111="BIT",$M$2,$M$1),U111,$M$3,BIN2HEX(IF(W111="BIT",INDEX('Logical Group Generator'!H:H,'Script Generator'!T111),INDEX('Logical Group Generator'!L:L,'Script Generator'!T111)),2),IF(ISERROR(T112),$M$5,$M$4)))</f>
        <v/>
      </c>
      <c r="D110" s="215"/>
      <c r="R110" s="215" t="str">
        <f>IF('Logical Group Generator'!W110="FALSE","",IF('Logical Group Generator'!B110="OTP_RSVD_38_03","",'Logical Group Generator'!B110))</f>
        <v/>
      </c>
      <c r="T110" s="157" t="e">
        <f>MATCH(U110,'Logical Group Generator'!B:B,0)</f>
        <v>#N/A</v>
      </c>
      <c r="U110" s="157">
        <f t="array" ref="U110">IF(ROWS($3:110)&lt;=COUNTA($R$3:$R$902),INDEX($R$3:$R$902,SMALL(IF($R$3:$R$902&lt;&gt;"",ROW($R$3:$R$902)-MIN(ROW($R$3:$R$902))+1),ROWS($3:110))),"")</f>
        <v>0</v>
      </c>
      <c r="W110" s="157" t="e">
        <f>IF(INDEX('Logical Group Generator'!W:W,MATCH(U110,'Logical Group Generator'!B:B,0))="REGISTER","REGISTER","BIT")</f>
        <v>#N/A</v>
      </c>
    </row>
    <row r="111" spans="2:23">
      <c r="B111" s="157" t="str">
        <f>IF(ISERROR(T112),"",CONCATENATE(IF(W112="BIT",$M$2,$M$1),U112,$M$3,BIN2HEX(IF(W112="BIT",INDEX('Logical Group Generator'!H:H,'Script Generator'!T112),INDEX('Logical Group Generator'!L:L,'Script Generator'!T112)),2),IF(ISERROR(T113),$M$5,$M$4)))</f>
        <v/>
      </c>
      <c r="D111" s="215"/>
      <c r="R111" s="215" t="str">
        <f>IF('Logical Group Generator'!W111="FALSE","",IF('Logical Group Generator'!B111="OTP_RSVD_38_03","",'Logical Group Generator'!B111))</f>
        <v>LDOA2VID</v>
      </c>
      <c r="T111" s="157" t="e">
        <f>MATCH(U111,'Logical Group Generator'!B:B,0)</f>
        <v>#N/A</v>
      </c>
      <c r="U111" s="157">
        <f t="array" ref="U111">IF(ROWS($3:111)&lt;=COUNTA($R$3:$R$902),INDEX($R$3:$R$902,SMALL(IF($R$3:$R$902&lt;&gt;"",ROW($R$3:$R$902)-MIN(ROW($R$3:$R$902))+1),ROWS($3:111))),"")</f>
        <v>0</v>
      </c>
      <c r="W111" s="157" t="e">
        <f>IF(INDEX('Logical Group Generator'!W:W,MATCH(U111,'Logical Group Generator'!B:B,0))="REGISTER","REGISTER","BIT")</f>
        <v>#N/A</v>
      </c>
    </row>
    <row r="112" spans="2:23">
      <c r="B112" s="157" t="str">
        <f>IF(ISERROR(T113),"",CONCATENATE(IF(W113="BIT",$M$2,$M$1),U113,$M$3,BIN2HEX(IF(W113="BIT",INDEX('Logical Group Generator'!H:H,'Script Generator'!T113),INDEX('Logical Group Generator'!L:L,'Script Generator'!T113)),2),IF(ISERROR(T114),$M$5,$M$4)))</f>
        <v/>
      </c>
      <c r="D112" s="215"/>
      <c r="R112" s="215" t="str">
        <f>IF('Logical Group Generator'!W112="FALSE","",IF('Logical Group Generator'!B112="OTP_RSVD_38_03","",'Logical Group Generator'!B112))</f>
        <v/>
      </c>
      <c r="T112" s="157" t="e">
        <f>MATCH(U112,'Logical Group Generator'!B:B,0)</f>
        <v>#N/A</v>
      </c>
      <c r="U112" s="157">
        <f t="array" ref="U112">IF(ROWS($3:112)&lt;=COUNTA($R$3:$R$902),INDEX($R$3:$R$902,SMALL(IF($R$3:$R$902&lt;&gt;"",ROW($R$3:$R$902)-MIN(ROW($R$3:$R$902))+1),ROWS($3:112))),"")</f>
        <v>0</v>
      </c>
      <c r="W112" s="157" t="e">
        <f>IF(INDEX('Logical Group Generator'!W:W,MATCH(U112,'Logical Group Generator'!B:B,0))="REGISTER","REGISTER","BIT")</f>
        <v>#N/A</v>
      </c>
    </row>
    <row r="113" spans="2:23">
      <c r="B113" s="157" t="str">
        <f>IF(ISERROR(T114),"",CONCATENATE(IF(W114="BIT",$M$2,$M$1),U114,$M$3,BIN2HEX(IF(W114="BIT",INDEX('Logical Group Generator'!H:H,'Script Generator'!T114),INDEX('Logical Group Generator'!L:L,'Script Generator'!T114)),2),IF(ISERROR(T115),$M$5,$M$4)))</f>
        <v/>
      </c>
      <c r="D113" s="215"/>
      <c r="R113" s="215" t="str">
        <f>IF('Logical Group Generator'!W113="FALSE","",IF('Logical Group Generator'!B113="OTP_RSVD_38_03","",'Logical Group Generator'!B113))</f>
        <v/>
      </c>
      <c r="T113" s="157" t="e">
        <f>MATCH(U113,'Logical Group Generator'!B:B,0)</f>
        <v>#N/A</v>
      </c>
      <c r="U113" s="157">
        <f t="array" ref="U113">IF(ROWS($3:113)&lt;=COUNTA($R$3:$R$902),INDEX($R$3:$R$902,SMALL(IF($R$3:$R$902&lt;&gt;"",ROW($R$3:$R$902)-MIN(ROW($R$3:$R$902))+1),ROWS($3:113))),"")</f>
        <v>0</v>
      </c>
      <c r="W113" s="157" t="e">
        <f>IF(INDEX('Logical Group Generator'!W:W,MATCH(U113,'Logical Group Generator'!B:B,0))="REGISTER","REGISTER","BIT")</f>
        <v>#N/A</v>
      </c>
    </row>
    <row r="114" spans="2:23">
      <c r="B114" s="157" t="str">
        <f>IF(ISERROR(T115),"",CONCATENATE(IF(W115="BIT",$M$2,$M$1),U115,$M$3,BIN2HEX(IF(W115="BIT",INDEX('Logical Group Generator'!H:H,'Script Generator'!T115),INDEX('Logical Group Generator'!L:L,'Script Generator'!T115)),2),IF(ISERROR(T116),$M$5,$M$4)))</f>
        <v/>
      </c>
      <c r="D114" s="215"/>
      <c r="R114" s="215" t="str">
        <f>IF('Logical Group Generator'!W114="FALSE","",IF('Logical Group Generator'!B114="OTP_RSVD_38_03","",'Logical Group Generator'!B114))</f>
        <v>LDOA3VID</v>
      </c>
      <c r="T114" s="157" t="e">
        <f>MATCH(U114,'Logical Group Generator'!B:B,0)</f>
        <v>#N/A</v>
      </c>
      <c r="U114" s="157">
        <f t="array" ref="U114">IF(ROWS($3:114)&lt;=COUNTA($R$3:$R$902),INDEX($R$3:$R$902,SMALL(IF($R$3:$R$902&lt;&gt;"",ROW($R$3:$R$902)-MIN(ROW($R$3:$R$902))+1),ROWS($3:114))),"")</f>
        <v>0</v>
      </c>
      <c r="W114" s="157" t="e">
        <f>IF(INDEX('Logical Group Generator'!W:W,MATCH(U114,'Logical Group Generator'!B:B,0))="REGISTER","REGISTER","BIT")</f>
        <v>#N/A</v>
      </c>
    </row>
    <row r="115" spans="2:23">
      <c r="B115" s="157" t="str">
        <f>IF(ISERROR(T116),"",CONCATENATE(IF(W116="BIT",$M$2,$M$1),U116,$M$3,BIN2HEX(IF(W116="BIT",INDEX('Logical Group Generator'!H:H,'Script Generator'!T116),INDEX('Logical Group Generator'!L:L,'Script Generator'!T116)),2),IF(ISERROR(T117),$M$5,$M$4)))</f>
        <v/>
      </c>
      <c r="D115" s="215"/>
      <c r="R115" s="215" t="str">
        <f>IF('Logical Group Generator'!W115="FALSE","",IF('Logical Group Generator'!B115="OTP_RSVD_38_03","",'Logical Group Generator'!B115))</f>
        <v/>
      </c>
      <c r="T115" s="157" t="e">
        <f>MATCH(U115,'Logical Group Generator'!B:B,0)</f>
        <v>#N/A</v>
      </c>
      <c r="U115" s="157">
        <f t="array" ref="U115">IF(ROWS($3:115)&lt;=COUNTA($R$3:$R$902),INDEX($R$3:$R$902,SMALL(IF($R$3:$R$902&lt;&gt;"",ROW($R$3:$R$902)-MIN(ROW($R$3:$R$902))+1),ROWS($3:115))),"")</f>
        <v>0</v>
      </c>
      <c r="W115" s="157" t="e">
        <f>IF(INDEX('Logical Group Generator'!W:W,MATCH(U115,'Logical Group Generator'!B:B,0))="REGISTER","REGISTER","BIT")</f>
        <v>#N/A</v>
      </c>
    </row>
    <row r="116" spans="2:23">
      <c r="B116" s="157" t="str">
        <f>IF(ISERROR(T117),"",CONCATENATE(IF(W117="BIT",$M$2,$M$1),U117,$M$3,BIN2HEX(IF(W117="BIT",INDEX('Logical Group Generator'!H:H,'Script Generator'!T117),INDEX('Logical Group Generator'!L:L,'Script Generator'!T117)),2),IF(ISERROR(T118),$M$5,$M$4)))</f>
        <v/>
      </c>
      <c r="D116" s="215"/>
      <c r="R116" s="215" t="str">
        <f>IF('Logical Group Generator'!W116="FALSE","",IF('Logical Group Generator'!B116="OTP_RSVD_38_03","",'Logical Group Generator'!B116))</f>
        <v/>
      </c>
      <c r="T116" s="157" t="e">
        <f>MATCH(U116,'Logical Group Generator'!B:B,0)</f>
        <v>#N/A</v>
      </c>
      <c r="U116" s="157">
        <f t="array" ref="U116">IF(ROWS($3:116)&lt;=COUNTA($R$3:$R$902),INDEX($R$3:$R$902,SMALL(IF($R$3:$R$902&lt;&gt;"",ROW($R$3:$R$902)-MIN(ROW($R$3:$R$902))+1),ROWS($3:116))),"")</f>
        <v>0</v>
      </c>
      <c r="W116" s="157" t="e">
        <f>IF(INDEX('Logical Group Generator'!W:W,MATCH(U116,'Logical Group Generator'!B:B,0))="REGISTER","REGISTER","BIT")</f>
        <v>#N/A</v>
      </c>
    </row>
    <row r="117" spans="2:23">
      <c r="B117" s="157" t="str">
        <f>IF(ISERROR(T118),"",CONCATENATE(IF(W118="BIT",$M$2,$M$1),U118,$M$3,BIN2HEX(IF(W118="BIT",INDEX('Logical Group Generator'!H:H,'Script Generator'!T118),INDEX('Logical Group Generator'!L:L,'Script Generator'!T118)),2),IF(ISERROR(T119),$M$5,$M$4)))</f>
        <v/>
      </c>
      <c r="D117" s="215"/>
      <c r="R117" s="215" t="str">
        <f>IF('Logical Group Generator'!W117="FALSE","",IF('Logical Group Generator'!B117="OTP_RSVD_38_03","",'Logical Group Generator'!B117))</f>
        <v>BUCK123CTRL</v>
      </c>
      <c r="T117" s="157" t="e">
        <f>MATCH(U117,'Logical Group Generator'!B:B,0)</f>
        <v>#N/A</v>
      </c>
      <c r="U117" s="157">
        <f t="array" ref="U117">IF(ROWS($3:117)&lt;=COUNTA($R$3:$R$902),INDEX($R$3:$R$902,SMALL(IF($R$3:$R$902&lt;&gt;"",ROW($R$3:$R$902)-MIN(ROW($R$3:$R$902))+1),ROWS($3:117))),"")</f>
        <v>0</v>
      </c>
      <c r="W117" s="157" t="e">
        <f>IF(INDEX('Logical Group Generator'!W:W,MATCH(U117,'Logical Group Generator'!B:B,0))="REGISTER","REGISTER","BIT")</f>
        <v>#N/A</v>
      </c>
    </row>
    <row r="118" spans="2:23">
      <c r="B118" s="157" t="str">
        <f>IF(ISERROR(T119),"",CONCATENATE(IF(W119="BIT",$M$2,$M$1),U119,$M$3,BIN2HEX(IF(W119="BIT",INDEX('Logical Group Generator'!H:H,'Script Generator'!T119),INDEX('Logical Group Generator'!L:L,'Script Generator'!T119)),2),IF(ISERROR(T120),$M$5,$M$4)))</f>
        <v/>
      </c>
      <c r="D118" s="215"/>
      <c r="R118" s="215" t="str">
        <f>IF('Logical Group Generator'!W118="FALSE","",IF('Logical Group Generator'!B118="OTP_RSVD_38_03","",'Logical Group Generator'!B118))</f>
        <v/>
      </c>
      <c r="T118" s="157" t="e">
        <f>MATCH(U118,'Logical Group Generator'!B:B,0)</f>
        <v>#N/A</v>
      </c>
      <c r="U118" s="157">
        <f t="array" ref="U118">IF(ROWS($3:118)&lt;=COUNTA($R$3:$R$902),INDEX($R$3:$R$902,SMALL(IF($R$3:$R$902&lt;&gt;"",ROW($R$3:$R$902)-MIN(ROW($R$3:$R$902))+1),ROWS($3:118))),"")</f>
        <v>0</v>
      </c>
      <c r="W118" s="157" t="e">
        <f>IF(INDEX('Logical Group Generator'!W:W,MATCH(U118,'Logical Group Generator'!B:B,0))="REGISTER","REGISTER","BIT")</f>
        <v>#N/A</v>
      </c>
    </row>
    <row r="119" spans="2:23">
      <c r="B119" s="157" t="str">
        <f>IF(ISERROR(T120),"",CONCATENATE(IF(W120="BIT",$M$2,$M$1),U120,$M$3,BIN2HEX(IF(W120="BIT",INDEX('Logical Group Generator'!H:H,'Script Generator'!T120),INDEX('Logical Group Generator'!L:L,'Script Generator'!T120)),2),IF(ISERROR(T121),$M$5,$M$4)))</f>
        <v/>
      </c>
      <c r="D119" s="215"/>
      <c r="R119" s="215" t="str">
        <f>IF('Logical Group Generator'!W119="FALSE","",IF('Logical Group Generator'!B119="OTP_RSVD_38_03","",'Logical Group Generator'!B119))</f>
        <v/>
      </c>
      <c r="T119" s="157" t="e">
        <f>MATCH(U119,'Logical Group Generator'!B:B,0)</f>
        <v>#N/A</v>
      </c>
      <c r="U119" s="157">
        <f t="array" ref="U119">IF(ROWS($3:119)&lt;=COUNTA($R$3:$R$902),INDEX($R$3:$R$902,SMALL(IF($R$3:$R$902&lt;&gt;"",ROW($R$3:$R$902)-MIN(ROW($R$3:$R$902))+1),ROWS($3:119))),"")</f>
        <v>0</v>
      </c>
      <c r="W119" s="157" t="e">
        <f>IF(INDEX('Logical Group Generator'!W:W,MATCH(U119,'Logical Group Generator'!B:B,0))="REGISTER","REGISTER","BIT")</f>
        <v>#N/A</v>
      </c>
    </row>
    <row r="120" spans="2:23">
      <c r="B120" s="157" t="str">
        <f>IF(ISERROR(T121),"",CONCATENATE(IF(W121="BIT",$M$2,$M$1),U121,$M$3,BIN2HEX(IF(W121="BIT",INDEX('Logical Group Generator'!H:H,'Script Generator'!T121),INDEX('Logical Group Generator'!L:L,'Script Generator'!T121)),2),IF(ISERROR(T122),$M$5,$M$4)))</f>
        <v/>
      </c>
      <c r="D120" s="215"/>
      <c r="R120" s="215" t="str">
        <f>IF('Logical Group Generator'!W120="FALSE","",IF('Logical Group Generator'!B120="OTP_RSVD_38_03","",'Logical Group Generator'!B120))</f>
        <v/>
      </c>
      <c r="T120" s="157" t="e">
        <f>MATCH(U120,'Logical Group Generator'!B:B,0)</f>
        <v>#N/A</v>
      </c>
      <c r="U120" s="157">
        <f t="array" ref="U120">IF(ROWS($3:120)&lt;=COUNTA($R$3:$R$902),INDEX($R$3:$R$902,SMALL(IF($R$3:$R$902&lt;&gt;"",ROW($R$3:$R$902)-MIN(ROW($R$3:$R$902))+1),ROWS($3:120))),"")</f>
        <v>0</v>
      </c>
      <c r="W120" s="157" t="e">
        <f>IF(INDEX('Logical Group Generator'!W:W,MATCH(U120,'Logical Group Generator'!B:B,0))="REGISTER","REGISTER","BIT")</f>
        <v>#N/A</v>
      </c>
    </row>
    <row r="121" spans="2:23">
      <c r="B121" s="157" t="str">
        <f>IF(ISERROR(T122),"",CONCATENATE(IF(W122="BIT",$M$2,$M$1),U122,$M$3,BIN2HEX(IF(W122="BIT",INDEX('Logical Group Generator'!H:H,'Script Generator'!T122),INDEX('Logical Group Generator'!L:L,'Script Generator'!T122)),2),IF(ISERROR(T123),$M$5,$M$4)))</f>
        <v/>
      </c>
      <c r="D121" s="215"/>
      <c r="R121" s="215" t="str">
        <f>IF('Logical Group Generator'!W121="FALSE","",IF('Logical Group Generator'!B121="OTP_RSVD_38_03","",'Logical Group Generator'!B121))</f>
        <v/>
      </c>
      <c r="T121" s="157" t="e">
        <f>MATCH(U121,'Logical Group Generator'!B:B,0)</f>
        <v>#N/A</v>
      </c>
      <c r="U121" s="157">
        <f t="array" ref="U121">IF(ROWS($3:121)&lt;=COUNTA($R$3:$R$902),INDEX($R$3:$R$902,SMALL(IF($R$3:$R$902&lt;&gt;"",ROW($R$3:$R$902)-MIN(ROW($R$3:$R$902))+1),ROWS($3:121))),"")</f>
        <v>0</v>
      </c>
      <c r="W121" s="157" t="e">
        <f>IF(INDEX('Logical Group Generator'!W:W,MATCH(U121,'Logical Group Generator'!B:B,0))="REGISTER","REGISTER","BIT")</f>
        <v>#N/A</v>
      </c>
    </row>
    <row r="122" spans="2:23">
      <c r="B122" s="157" t="str">
        <f>IF(ISERROR(T123),"",CONCATENATE(IF(W123="BIT",$M$2,$M$1),U123,$M$3,BIN2HEX(IF(W123="BIT",INDEX('Logical Group Generator'!H:H,'Script Generator'!T123),INDEX('Logical Group Generator'!L:L,'Script Generator'!T123)),2),IF(ISERROR(T124),$M$5,$M$4)))</f>
        <v/>
      </c>
      <c r="D122" s="215"/>
      <c r="R122" s="215" t="str">
        <f>IF('Logical Group Generator'!W122="FALSE","",IF('Logical Group Generator'!B122="OTP_RSVD_38_03","",'Logical Group Generator'!B122))</f>
        <v/>
      </c>
      <c r="T122" s="157" t="e">
        <f>MATCH(U122,'Logical Group Generator'!B:B,0)</f>
        <v>#N/A</v>
      </c>
      <c r="U122" s="157">
        <f t="array" ref="U122">IF(ROWS($3:122)&lt;=COUNTA($R$3:$R$902),INDEX($R$3:$R$902,SMALL(IF($R$3:$R$902&lt;&gt;"",ROW($R$3:$R$902)-MIN(ROW($R$3:$R$902))+1),ROWS($3:122))),"")</f>
        <v>0</v>
      </c>
      <c r="W122" s="157" t="e">
        <f>IF(INDEX('Logical Group Generator'!W:W,MATCH(U122,'Logical Group Generator'!B:B,0))="REGISTER","REGISTER","BIT")</f>
        <v>#N/A</v>
      </c>
    </row>
    <row r="123" spans="2:23">
      <c r="B123" s="157" t="str">
        <f>IF(ISERROR(T124),"",CONCATENATE(IF(W124="BIT",$M$2,$M$1),U124,$M$3,BIN2HEX(IF(W124="BIT",INDEX('Logical Group Generator'!H:H,'Script Generator'!T124),INDEX('Logical Group Generator'!L:L,'Script Generator'!T124)),2),IF(ISERROR(T125),$M$5,$M$4)))</f>
        <v/>
      </c>
      <c r="D123" s="215"/>
      <c r="R123" s="215" t="str">
        <f>IF('Logical Group Generator'!W123="FALSE","",IF('Logical Group Generator'!B123="OTP_RSVD_38_03","",'Logical Group Generator'!B123))</f>
        <v/>
      </c>
      <c r="T123" s="157" t="e">
        <f>MATCH(U123,'Logical Group Generator'!B:B,0)</f>
        <v>#N/A</v>
      </c>
      <c r="U123" s="157">
        <f t="array" ref="U123">IF(ROWS($3:123)&lt;=COUNTA($R$3:$R$902),INDEX($R$3:$R$902,SMALL(IF($R$3:$R$902&lt;&gt;"",ROW($R$3:$R$902)-MIN(ROW($R$3:$R$902))+1),ROWS($3:123))),"")</f>
        <v>0</v>
      </c>
      <c r="W123" s="157" t="e">
        <f>IF(INDEX('Logical Group Generator'!W:W,MATCH(U123,'Logical Group Generator'!B:B,0))="REGISTER","REGISTER","BIT")</f>
        <v>#N/A</v>
      </c>
    </row>
    <row r="124" spans="2:23">
      <c r="B124" s="157" t="str">
        <f>IF(ISERROR(T125),"",CONCATENATE(IF(W125="BIT",$M$2,$M$1),U125,$M$3,BIN2HEX(IF(W125="BIT",INDEX('Logical Group Generator'!H:H,'Script Generator'!T125),INDEX('Logical Group Generator'!L:L,'Script Generator'!T125)),2),IF(ISERROR(T126),$M$5,$M$4)))</f>
        <v/>
      </c>
      <c r="D124" s="215"/>
      <c r="R124" s="215" t="str">
        <f>IF('Logical Group Generator'!W124="FALSE","",IF('Logical Group Generator'!B124="OTP_RSVD_38_03","",'Logical Group Generator'!B124))</f>
        <v/>
      </c>
      <c r="T124" s="157" t="e">
        <f>MATCH(U124,'Logical Group Generator'!B:B,0)</f>
        <v>#N/A</v>
      </c>
      <c r="U124" s="157">
        <f t="array" ref="U124">IF(ROWS($3:124)&lt;=COUNTA($R$3:$R$902),INDEX($R$3:$R$902,SMALL(IF($R$3:$R$902&lt;&gt;"",ROW($R$3:$R$902)-MIN(ROW($R$3:$R$902))+1),ROWS($3:124))),"")</f>
        <v>0</v>
      </c>
      <c r="W124" s="157" t="e">
        <f>IF(INDEX('Logical Group Generator'!W:W,MATCH(U124,'Logical Group Generator'!B:B,0))="REGISTER","REGISTER","BIT")</f>
        <v>#N/A</v>
      </c>
    </row>
    <row r="125" spans="2:23">
      <c r="B125" s="157" t="str">
        <f>IF(ISERROR(T126),"",CONCATENATE(IF(W126="BIT",$M$2,$M$1),U126,$M$3,BIN2HEX(IF(W126="BIT",INDEX('Logical Group Generator'!H:H,'Script Generator'!T126),INDEX('Logical Group Generator'!L:L,'Script Generator'!T126)),2),IF(ISERROR(T127),$M$5,$M$4)))</f>
        <v/>
      </c>
      <c r="D125" s="215"/>
      <c r="R125" s="215" t="str">
        <f>IF('Logical Group Generator'!W125="FALSE","",IF('Logical Group Generator'!B125="OTP_RSVD_38_03","",'Logical Group Generator'!B125))</f>
        <v>PG_DELAY2</v>
      </c>
      <c r="T125" s="157" t="e">
        <f>MATCH(U125,'Logical Group Generator'!B:B,0)</f>
        <v>#N/A</v>
      </c>
      <c r="U125" s="157">
        <f t="array" ref="U125">IF(ROWS($3:125)&lt;=COUNTA($R$3:$R$902),INDEX($R$3:$R$902,SMALL(IF($R$3:$R$902&lt;&gt;"",ROW($R$3:$R$902)-MIN(ROW($R$3:$R$902))+1),ROWS($3:125))),"")</f>
        <v>0</v>
      </c>
      <c r="W125" s="157" t="e">
        <f>IF(INDEX('Logical Group Generator'!W:W,MATCH(U125,'Logical Group Generator'!B:B,0))="REGISTER","REGISTER","BIT")</f>
        <v>#N/A</v>
      </c>
    </row>
    <row r="126" spans="2:23">
      <c r="B126" s="157" t="str">
        <f>IF(ISERROR(T127),"",CONCATENATE(IF(W127="BIT",$M$2,$M$1),U127,$M$3,BIN2HEX(IF(W127="BIT",INDEX('Logical Group Generator'!H:H,'Script Generator'!T127),INDEX('Logical Group Generator'!L:L,'Script Generator'!T127)),2),IF(ISERROR(T128),$M$5,$M$4)))</f>
        <v/>
      </c>
      <c r="D126" s="215"/>
      <c r="R126" s="215" t="str">
        <f>IF('Logical Group Generator'!W126="FALSE","",IF('Logical Group Generator'!B126="OTP_RSVD_38_03","",'Logical Group Generator'!B126))</f>
        <v/>
      </c>
      <c r="T126" s="157" t="e">
        <f>MATCH(U126,'Logical Group Generator'!B:B,0)</f>
        <v>#N/A</v>
      </c>
      <c r="U126" s="157">
        <f t="array" ref="U126">IF(ROWS($3:126)&lt;=COUNTA($R$3:$R$902),INDEX($R$3:$R$902,SMALL(IF($R$3:$R$902&lt;&gt;"",ROW($R$3:$R$902)-MIN(ROW($R$3:$R$902))+1),ROWS($3:126))),"")</f>
        <v>0</v>
      </c>
      <c r="W126" s="157" t="e">
        <f>IF(INDEX('Logical Group Generator'!W:W,MATCH(U126,'Logical Group Generator'!B:B,0))="REGISTER","REGISTER","BIT")</f>
        <v>#N/A</v>
      </c>
    </row>
    <row r="127" spans="2:23">
      <c r="B127" s="157" t="str">
        <f>IF(ISERROR(T128),"",CONCATENATE(IF(W128="BIT",$M$2,$M$1),U128,$M$3,BIN2HEX(IF(W128="BIT",INDEX('Logical Group Generator'!H:H,'Script Generator'!T128),INDEX('Logical Group Generator'!L:L,'Script Generator'!T128)),2),IF(ISERROR(T129),$M$5,$M$4)))</f>
        <v/>
      </c>
      <c r="D127" s="215"/>
      <c r="R127" s="215" t="str">
        <f>IF('Logical Group Generator'!W127="FALSE","",IF('Logical Group Generator'!B127="OTP_RSVD_38_03","",'Logical Group Generator'!B127))</f>
        <v/>
      </c>
      <c r="T127" s="157" t="e">
        <f>MATCH(U127,'Logical Group Generator'!B:B,0)</f>
        <v>#N/A</v>
      </c>
      <c r="U127" s="157">
        <f t="array" ref="U127">IF(ROWS($3:127)&lt;=COUNTA($R$3:$R$902),INDEX($R$3:$R$902,SMALL(IF($R$3:$R$902&lt;&gt;"",ROW($R$3:$R$902)-MIN(ROW($R$3:$R$902))+1),ROWS($3:127))),"")</f>
        <v>0</v>
      </c>
      <c r="W127" s="157" t="e">
        <f>IF(INDEX('Logical Group Generator'!W:W,MATCH(U127,'Logical Group Generator'!B:B,0))="REGISTER","REGISTER","BIT")</f>
        <v>#N/A</v>
      </c>
    </row>
    <row r="128" spans="2:23">
      <c r="B128" s="157" t="str">
        <f>IF(ISERROR(T129),"",CONCATENATE(IF(W129="BIT",$M$2,$M$1),U129,$M$3,BIN2HEX(IF(W129="BIT",INDEX('Logical Group Generator'!H:H,'Script Generator'!T129),INDEX('Logical Group Generator'!L:L,'Script Generator'!T129)),2),IF(ISERROR(T130),$M$5,$M$4)))</f>
        <v/>
      </c>
      <c r="D128" s="215"/>
      <c r="R128" s="215" t="str">
        <f>IF('Logical Group Generator'!W128="FALSE","",IF('Logical Group Generator'!B128="OTP_RSVD_38_03","",'Logical Group Generator'!B128))</f>
        <v/>
      </c>
      <c r="T128" s="157" t="e">
        <f>MATCH(U128,'Logical Group Generator'!B:B,0)</f>
        <v>#N/A</v>
      </c>
      <c r="U128" s="157">
        <f t="array" ref="U128">IF(ROWS($3:128)&lt;=COUNTA($R$3:$R$902),INDEX($R$3:$R$902,SMALL(IF($R$3:$R$902&lt;&gt;"",ROW($R$3:$R$902)-MIN(ROW($R$3:$R$902))+1),ROWS($3:128))),"")</f>
        <v>0</v>
      </c>
      <c r="W128" s="157" t="e">
        <f>IF(INDEX('Logical Group Generator'!W:W,MATCH(U128,'Logical Group Generator'!B:B,0))="REGISTER","REGISTER","BIT")</f>
        <v>#N/A</v>
      </c>
    </row>
    <row r="129" spans="2:23">
      <c r="B129" s="157" t="str">
        <f>IF(ISERROR(T130),"",CONCATENATE(IF(W130="BIT",$M$2,$M$1),U130,$M$3,BIN2HEX(IF(W130="BIT",INDEX('Logical Group Generator'!H:H,'Script Generator'!T130),INDEX('Logical Group Generator'!L:L,'Script Generator'!T130)),2),IF(ISERROR(T131),$M$5,$M$4)))</f>
        <v/>
      </c>
      <c r="D129" s="215"/>
      <c r="R129" s="215" t="str">
        <f>IF('Logical Group Generator'!W129="FALSE","",IF('Logical Group Generator'!B129="OTP_RSVD_38_03","",'Logical Group Generator'!B129))</f>
        <v/>
      </c>
      <c r="T129" s="157" t="e">
        <f>MATCH(U129,'Logical Group Generator'!B:B,0)</f>
        <v>#N/A</v>
      </c>
      <c r="U129" s="157">
        <f t="array" ref="U129">IF(ROWS($3:129)&lt;=COUNTA($R$3:$R$902),INDEX($R$3:$R$902,SMALL(IF($R$3:$R$902&lt;&gt;"",ROW($R$3:$R$902)-MIN(ROW($R$3:$R$902))+1),ROWS($3:129))),"")</f>
        <v>0</v>
      </c>
      <c r="W129" s="157" t="e">
        <f>IF(INDEX('Logical Group Generator'!W:W,MATCH(U129,'Logical Group Generator'!B:B,0))="REGISTER","REGISTER","BIT")</f>
        <v>#N/A</v>
      </c>
    </row>
    <row r="130" spans="2:23">
      <c r="B130" s="157" t="str">
        <f>IF(ISERROR(T131),"",CONCATENATE(IF(W131="BIT",$M$2,$M$1),U131,$M$3,BIN2HEX(IF(W131="BIT",INDEX('Logical Group Generator'!H:H,'Script Generator'!T131),INDEX('Logical Group Generator'!L:L,'Script Generator'!T131)),2),IF(ISERROR(T132),$M$5,$M$4)))</f>
        <v/>
      </c>
      <c r="D130" s="215"/>
      <c r="R130" s="215" t="str">
        <f>IF('Logical Group Generator'!W130="FALSE","",IF('Logical Group Generator'!B130="OTP_RSVD_38_03","",'Logical Group Generator'!B130))</f>
        <v/>
      </c>
      <c r="T130" s="157" t="e">
        <f>MATCH(U130,'Logical Group Generator'!B:B,0)</f>
        <v>#N/A</v>
      </c>
      <c r="U130" s="157">
        <f t="array" ref="U130">IF(ROWS($3:130)&lt;=COUNTA($R$3:$R$902),INDEX($R$3:$R$902,SMALL(IF($R$3:$R$902&lt;&gt;"",ROW($R$3:$R$902)-MIN(ROW($R$3:$R$902))+1),ROWS($3:130))),"")</f>
        <v>0</v>
      </c>
      <c r="W130" s="157" t="e">
        <f>IF(INDEX('Logical Group Generator'!W:W,MATCH(U130,'Logical Group Generator'!B:B,0))="REGISTER","REGISTER","BIT")</f>
        <v>#N/A</v>
      </c>
    </row>
    <row r="131" spans="2:23">
      <c r="B131" s="157" t="str">
        <f>IF(ISERROR(T132),"",CONCATENATE(IF(W132="BIT",$M$2,$M$1),U132,$M$3,BIN2HEX(IF(W132="BIT",INDEX('Logical Group Generator'!H:H,'Script Generator'!T132),INDEX('Logical Group Generator'!L:L,'Script Generator'!T132)),2),IF(ISERROR(T133),$M$5,$M$4)))</f>
        <v/>
      </c>
      <c r="D131" s="215"/>
      <c r="R131" s="215" t="str">
        <f>IF('Logical Group Generator'!W131="FALSE","",IF('Logical Group Generator'!B131="OTP_RSVD_38_03","",'Logical Group Generator'!B131))</f>
        <v/>
      </c>
      <c r="T131" s="157" t="e">
        <f>MATCH(U131,'Logical Group Generator'!B:B,0)</f>
        <v>#N/A</v>
      </c>
      <c r="U131" s="157">
        <f t="array" ref="U131">IF(ROWS($3:131)&lt;=COUNTA($R$3:$R$902),INDEX($R$3:$R$902,SMALL(IF($R$3:$R$902&lt;&gt;"",ROW($R$3:$R$902)-MIN(ROW($R$3:$R$902))+1),ROWS($3:131))),"")</f>
        <v>0</v>
      </c>
      <c r="W131" s="157" t="e">
        <f>IF(INDEX('Logical Group Generator'!W:W,MATCH(U131,'Logical Group Generator'!B:B,0))="REGISTER","REGISTER","BIT")</f>
        <v>#N/A</v>
      </c>
    </row>
    <row r="132" spans="2:23">
      <c r="B132" s="157" t="str">
        <f>IF(ISERROR(T133),"",CONCATENATE(IF(W133="BIT",$M$2,$M$1),U133,$M$3,BIN2HEX(IF(W133="BIT",INDEX('Logical Group Generator'!H:H,'Script Generator'!T133),INDEX('Logical Group Generator'!L:L,'Script Generator'!T133)),2),IF(ISERROR(T134),$M$5,$M$4)))</f>
        <v/>
      </c>
      <c r="D132" s="215"/>
      <c r="R132" s="215" t="str">
        <f>IF('Logical Group Generator'!W132="FALSE","",IF('Logical Group Generator'!B132="OTP_RSVD_38_03","",'Logical Group Generator'!B132))</f>
        <v/>
      </c>
      <c r="T132" s="157" t="e">
        <f>MATCH(U132,'Logical Group Generator'!B:B,0)</f>
        <v>#N/A</v>
      </c>
      <c r="U132" s="157">
        <f t="array" ref="U132">IF(ROWS($3:132)&lt;=COUNTA($R$3:$R$902),INDEX($R$3:$R$902,SMALL(IF($R$3:$R$902&lt;&gt;"",ROW($R$3:$R$902)-MIN(ROW($R$3:$R$902))+1),ROWS($3:132))),"")</f>
        <v>0</v>
      </c>
      <c r="W132" s="157" t="e">
        <f>IF(INDEX('Logical Group Generator'!W:W,MATCH(U132,'Logical Group Generator'!B:B,0))="REGISTER","REGISTER","BIT")</f>
        <v>#N/A</v>
      </c>
    </row>
    <row r="133" spans="2:23">
      <c r="B133" s="157" t="str">
        <f>IF(ISERROR(T134),"",CONCATENATE(IF(W134="BIT",$M$2,$M$1),U134,$M$3,BIN2HEX(IF(W134="BIT",INDEX('Logical Group Generator'!H:H,'Script Generator'!T134),INDEX('Logical Group Generator'!L:L,'Script Generator'!T134)),2),IF(ISERROR(T135),$M$5,$M$4)))</f>
        <v/>
      </c>
      <c r="D133" s="215"/>
      <c r="R133" s="215" t="str">
        <f>IF('Logical Group Generator'!W133="FALSE","",IF('Logical Group Generator'!B133="OTP_RSVD_38_03","",'Logical Group Generator'!B133))</f>
        <v/>
      </c>
      <c r="T133" s="157" t="e">
        <f>MATCH(U133,'Logical Group Generator'!B:B,0)</f>
        <v>#N/A</v>
      </c>
      <c r="U133" s="157">
        <f t="array" ref="U133">IF(ROWS($3:133)&lt;=COUNTA($R$3:$R$902),INDEX($R$3:$R$902,SMALL(IF($R$3:$R$902&lt;&gt;"",ROW($R$3:$R$902)-MIN(ROW($R$3:$R$902))+1),ROWS($3:133))),"")</f>
        <v>0</v>
      </c>
      <c r="W133" s="157" t="e">
        <f>IF(INDEX('Logical Group Generator'!W:W,MATCH(U133,'Logical Group Generator'!B:B,0))="REGISTER","REGISTER","BIT")</f>
        <v>#N/A</v>
      </c>
    </row>
    <row r="134" spans="2:23">
      <c r="B134" s="157" t="str">
        <f>IF(ISERROR(T135),"",CONCATENATE(IF(W135="BIT",$M$2,$M$1),U135,$M$3,BIN2HEX(IF(W135="BIT",INDEX('Logical Group Generator'!H:H,'Script Generator'!T135),INDEX('Logical Group Generator'!L:L,'Script Generator'!T135)),2),IF(ISERROR(T136),$M$5,$M$4)))</f>
        <v/>
      </c>
      <c r="D134" s="215"/>
      <c r="R134" s="215" t="str">
        <f>IF('Logical Group Generator'!W134="FALSE","",IF('Logical Group Generator'!B134="OTP_RSVD_38_03","",'Logical Group Generator'!B134))</f>
        <v/>
      </c>
      <c r="T134" s="157" t="e">
        <f>MATCH(U134,'Logical Group Generator'!B:B,0)</f>
        <v>#N/A</v>
      </c>
      <c r="U134" s="157">
        <f t="array" ref="U134">IF(ROWS($3:134)&lt;=COUNTA($R$3:$R$902),INDEX($R$3:$R$902,SMALL(IF($R$3:$R$902&lt;&gt;"",ROW($R$3:$R$902)-MIN(ROW($R$3:$R$902))+1),ROWS($3:134))),"")</f>
        <v>0</v>
      </c>
      <c r="W134" s="157" t="e">
        <f>IF(INDEX('Logical Group Generator'!W:W,MATCH(U134,'Logical Group Generator'!B:B,0))="REGISTER","REGISTER","BIT")</f>
        <v>#N/A</v>
      </c>
    </row>
    <row r="135" spans="2:23">
      <c r="B135" s="157" t="str">
        <f>IF(ISERROR(T136),"",CONCATENATE(IF(W136="BIT",$M$2,$M$1),U136,$M$3,BIN2HEX(IF(W136="BIT",INDEX('Logical Group Generator'!H:H,'Script Generator'!T136),INDEX('Logical Group Generator'!L:L,'Script Generator'!T136)),2),IF(ISERROR(T137),$M$5,$M$4)))</f>
        <v/>
      </c>
      <c r="D135" s="215"/>
      <c r="R135" s="215" t="str">
        <f>IF('Logical Group Generator'!W135="FALSE","",IF('Logical Group Generator'!B135="OTP_RSVD_38_03","",'Logical Group Generator'!B135))</f>
        <v/>
      </c>
      <c r="T135" s="157" t="e">
        <f>MATCH(U135,'Logical Group Generator'!B:B,0)</f>
        <v>#N/A</v>
      </c>
      <c r="U135" s="157">
        <f t="array" ref="U135">IF(ROWS($3:135)&lt;=COUNTA($R$3:$R$902),INDEX($R$3:$R$902,SMALL(IF($R$3:$R$902&lt;&gt;"",ROW($R$3:$R$902)-MIN(ROW($R$3:$R$902))+1),ROWS($3:135))),"")</f>
        <v>0</v>
      </c>
      <c r="W135" s="157" t="e">
        <f>IF(INDEX('Logical Group Generator'!W:W,MATCH(U135,'Logical Group Generator'!B:B,0))="REGISTER","REGISTER","BIT")</f>
        <v>#N/A</v>
      </c>
    </row>
    <row r="136" spans="2:23">
      <c r="B136" s="157" t="str">
        <f>IF(ISERROR(T137),"",CONCATENATE(IF(W137="BIT",$M$2,$M$1),U137,$M$3,BIN2HEX(IF(W137="BIT",INDEX('Logical Group Generator'!H:H,'Script Generator'!T137),INDEX('Logical Group Generator'!L:L,'Script Generator'!T137)),2),IF(ISERROR(T138),$M$5,$M$4)))</f>
        <v/>
      </c>
      <c r="D136" s="215"/>
      <c r="R136" s="215" t="str">
        <f>IF('Logical Group Generator'!W136="FALSE","",IF('Logical Group Generator'!B136="OTP_RSVD_38_03","",'Logical Group Generator'!B136))</f>
        <v/>
      </c>
      <c r="T136" s="157" t="e">
        <f>MATCH(U136,'Logical Group Generator'!B:B,0)</f>
        <v>#N/A</v>
      </c>
      <c r="U136" s="157">
        <f t="array" ref="U136">IF(ROWS($3:136)&lt;=COUNTA($R$3:$R$902),INDEX($R$3:$R$902,SMALL(IF($R$3:$R$902&lt;&gt;"",ROW($R$3:$R$902)-MIN(ROW($R$3:$R$902))+1),ROWS($3:136))),"")</f>
        <v>0</v>
      </c>
      <c r="W136" s="157" t="e">
        <f>IF(INDEX('Logical Group Generator'!W:W,MATCH(U136,'Logical Group Generator'!B:B,0))="REGISTER","REGISTER","BIT")</f>
        <v>#N/A</v>
      </c>
    </row>
    <row r="137" spans="2:23">
      <c r="B137" s="157" t="str">
        <f>IF(ISERROR(T138),"",CONCATENATE(IF(W138="BIT",$M$2,$M$1),U138,$M$3,BIN2HEX(IF(W138="BIT",INDEX('Logical Group Generator'!H:H,'Script Generator'!T138),INDEX('Logical Group Generator'!L:L,'Script Generator'!T138)),2),IF(ISERROR(T139),$M$5,$M$4)))</f>
        <v/>
      </c>
      <c r="D137" s="215"/>
      <c r="R137" s="215" t="str">
        <f>IF('Logical Group Generator'!W137="FALSE","",IF('Logical Group Generator'!B137="OTP_RSVD_38_03","",'Logical Group Generator'!B137))</f>
        <v/>
      </c>
      <c r="T137" s="157" t="e">
        <f>MATCH(U137,'Logical Group Generator'!B:B,0)</f>
        <v>#N/A</v>
      </c>
      <c r="U137" s="157">
        <f t="array" ref="U137">IF(ROWS($3:137)&lt;=COUNTA($R$3:$R$902),INDEX($R$3:$R$902,SMALL(IF($R$3:$R$902&lt;&gt;"",ROW($R$3:$R$902)-MIN(ROW($R$3:$R$902))+1),ROWS($3:137))),"")</f>
        <v>0</v>
      </c>
      <c r="W137" s="157" t="e">
        <f>IF(INDEX('Logical Group Generator'!W:W,MATCH(U137,'Logical Group Generator'!B:B,0))="REGISTER","REGISTER","BIT")</f>
        <v>#N/A</v>
      </c>
    </row>
    <row r="138" spans="2:23">
      <c r="B138" s="157" t="str">
        <f>IF(ISERROR(T139),"",CONCATENATE(IF(W139="BIT",$M$2,$M$1),U139,$M$3,BIN2HEX(IF(W139="BIT",INDEX('Logical Group Generator'!H:H,'Script Generator'!T139),INDEX('Logical Group Generator'!L:L,'Script Generator'!T139)),2),IF(ISERROR(T140),$M$5,$M$4)))</f>
        <v/>
      </c>
      <c r="D138" s="215"/>
      <c r="R138" s="215" t="str">
        <f>IF('Logical Group Generator'!W138="FALSE","",IF('Logical Group Generator'!B138="OTP_RSVD_38_03","",'Logical Group Generator'!B138))</f>
        <v>SWVTT_DIS</v>
      </c>
      <c r="T138" s="157" t="e">
        <f>MATCH(U138,'Logical Group Generator'!B:B,0)</f>
        <v>#N/A</v>
      </c>
      <c r="U138" s="157">
        <f t="array" ref="U138">IF(ROWS($3:138)&lt;=COUNTA($R$3:$R$902),INDEX($R$3:$R$902,SMALL(IF($R$3:$R$902&lt;&gt;"",ROW($R$3:$R$902)-MIN(ROW($R$3:$R$902))+1),ROWS($3:138))),"")</f>
        <v>0</v>
      </c>
      <c r="W138" s="157" t="e">
        <f>IF(INDEX('Logical Group Generator'!W:W,MATCH(U138,'Logical Group Generator'!B:B,0))="REGISTER","REGISTER","BIT")</f>
        <v>#N/A</v>
      </c>
    </row>
    <row r="139" spans="2:23">
      <c r="B139" s="157" t="str">
        <f>IF(ISERROR(T140),"",CONCATENATE(IF(W140="BIT",$M$2,$M$1),U140,$M$3,BIN2HEX(IF(W140="BIT",INDEX('Logical Group Generator'!H:H,'Script Generator'!T140),INDEX('Logical Group Generator'!L:L,'Script Generator'!T140)),2),IF(ISERROR(T141),$M$5,$M$4)))</f>
        <v/>
      </c>
      <c r="D139" s="215"/>
      <c r="R139" s="215" t="str">
        <f>IF('Logical Group Generator'!W139="FALSE","",IF('Logical Group Generator'!B139="OTP_RSVD_38_03","",'Logical Group Generator'!B139))</f>
        <v/>
      </c>
      <c r="T139" s="157" t="e">
        <f>MATCH(U139,'Logical Group Generator'!B:B,0)</f>
        <v>#N/A</v>
      </c>
      <c r="U139" s="157">
        <f t="array" ref="U139">IF(ROWS($3:139)&lt;=COUNTA($R$3:$R$902),INDEX($R$3:$R$902,SMALL(IF($R$3:$R$902&lt;&gt;"",ROW($R$3:$R$902)-MIN(ROW($R$3:$R$902))+1),ROWS($3:139))),"")</f>
        <v>0</v>
      </c>
      <c r="W139" s="157" t="e">
        <f>IF(INDEX('Logical Group Generator'!W:W,MATCH(U139,'Logical Group Generator'!B:B,0))="REGISTER","REGISTER","BIT")</f>
        <v>#N/A</v>
      </c>
    </row>
    <row r="140" spans="2:23">
      <c r="B140" s="157" t="str">
        <f>IF(ISERROR(T141),"",CONCATENATE(IF(W141="BIT",$M$2,$M$1),U141,$M$3,BIN2HEX(IF(W141="BIT",INDEX('Logical Group Generator'!H:H,'Script Generator'!T141),INDEX('Logical Group Generator'!L:L,'Script Generator'!T141)),2),IF(ISERROR(T142),$M$5,$M$4)))</f>
        <v/>
      </c>
      <c r="D140" s="215"/>
      <c r="R140" s="215" t="str">
        <f>IF('Logical Group Generator'!W140="FALSE","",IF('Logical Group Generator'!B140="OTP_RSVD_38_03","",'Logical Group Generator'!B140))</f>
        <v/>
      </c>
      <c r="T140" s="157" t="e">
        <f>MATCH(U140,'Logical Group Generator'!B:B,0)</f>
        <v>#N/A</v>
      </c>
      <c r="U140" s="157">
        <f t="array" ref="U140">IF(ROWS($3:140)&lt;=COUNTA($R$3:$R$902),INDEX($R$3:$R$902,SMALL(IF($R$3:$R$902&lt;&gt;"",ROW($R$3:$R$902)-MIN(ROW($R$3:$R$902))+1),ROWS($3:140))),"")</f>
        <v>0</v>
      </c>
      <c r="W140" s="157" t="e">
        <f>IF(INDEX('Logical Group Generator'!W:W,MATCH(U140,'Logical Group Generator'!B:B,0))="REGISTER","REGISTER","BIT")</f>
        <v>#N/A</v>
      </c>
    </row>
    <row r="141" spans="2:23">
      <c r="B141" s="157" t="str">
        <f>IF(ISERROR(T142),"",CONCATENATE(IF(W142="BIT",$M$2,$M$1),U142,$M$3,BIN2HEX(IF(W142="BIT",INDEX('Logical Group Generator'!H:H,'Script Generator'!T142),INDEX('Logical Group Generator'!L:L,'Script Generator'!T142)),2),IF(ISERROR(T143),$M$5,$M$4)))</f>
        <v/>
      </c>
      <c r="D141" s="215"/>
      <c r="R141" s="215" t="str">
        <f>IF('Logical Group Generator'!W141="FALSE","",IF('Logical Group Generator'!B141="OTP_RSVD_38_03","",'Logical Group Generator'!B141))</f>
        <v/>
      </c>
      <c r="T141" s="157" t="e">
        <f>MATCH(U141,'Logical Group Generator'!B:B,0)</f>
        <v>#N/A</v>
      </c>
      <c r="U141" s="157">
        <f t="array" ref="U141">IF(ROWS($3:141)&lt;=COUNTA($R$3:$R$902),INDEX($R$3:$R$902,SMALL(IF($R$3:$R$902&lt;&gt;"",ROW($R$3:$R$902)-MIN(ROW($R$3:$R$902))+1),ROWS($3:141))),"")</f>
        <v>0</v>
      </c>
      <c r="W141" s="157" t="e">
        <f>IF(INDEX('Logical Group Generator'!W:W,MATCH(U141,'Logical Group Generator'!B:B,0))="REGISTER","REGISTER","BIT")</f>
        <v>#N/A</v>
      </c>
    </row>
    <row r="142" spans="2:23">
      <c r="B142" s="157" t="str">
        <f>IF(ISERROR(T143),"",CONCATENATE(IF(W143="BIT",$M$2,$M$1),U143,$M$3,BIN2HEX(IF(W143="BIT",INDEX('Logical Group Generator'!H:H,'Script Generator'!T143),INDEX('Logical Group Generator'!L:L,'Script Generator'!T143)),2),IF(ISERROR(T144),$M$5,$M$4)))</f>
        <v/>
      </c>
      <c r="D142" s="215"/>
      <c r="R142" s="215" t="str">
        <f>IF('Logical Group Generator'!W142="FALSE","",IF('Logical Group Generator'!B142="OTP_RSVD_38_03","",'Logical Group Generator'!B142))</f>
        <v/>
      </c>
      <c r="T142" s="157" t="e">
        <f>MATCH(U142,'Logical Group Generator'!B:B,0)</f>
        <v>#N/A</v>
      </c>
      <c r="U142" s="157">
        <f t="array" ref="U142">IF(ROWS($3:142)&lt;=COUNTA($R$3:$R$902),INDEX($R$3:$R$902,SMALL(IF($R$3:$R$902&lt;&gt;"",ROW($R$3:$R$902)-MIN(ROW($R$3:$R$902))+1),ROWS($3:142))),"")</f>
        <v>0</v>
      </c>
      <c r="W142" s="157" t="e">
        <f>IF(INDEX('Logical Group Generator'!W:W,MATCH(U142,'Logical Group Generator'!B:B,0))="REGISTER","REGISTER","BIT")</f>
        <v>#N/A</v>
      </c>
    </row>
    <row r="143" spans="2:23">
      <c r="B143" s="157" t="str">
        <f>IF(ISERROR(T144),"",CONCATENATE(IF(W144="BIT",$M$2,$M$1),U144,$M$3,BIN2HEX(IF(W144="BIT",INDEX('Logical Group Generator'!H:H,'Script Generator'!T144),INDEX('Logical Group Generator'!L:L,'Script Generator'!T144)),2),IF(ISERROR(T145),$M$5,$M$4)))</f>
        <v/>
      </c>
      <c r="D143" s="215"/>
      <c r="R143" s="215" t="str">
        <f>IF('Logical Group Generator'!W143="FALSE","",IF('Logical Group Generator'!B143="OTP_RSVD_38_03","",'Logical Group Generator'!B143))</f>
        <v/>
      </c>
      <c r="T143" s="157" t="e">
        <f>MATCH(U143,'Logical Group Generator'!B:B,0)</f>
        <v>#N/A</v>
      </c>
      <c r="U143" s="157">
        <f t="array" ref="U143">IF(ROWS($3:143)&lt;=COUNTA($R$3:$R$902),INDEX($R$3:$R$902,SMALL(IF($R$3:$R$902&lt;&gt;"",ROW($R$3:$R$902)-MIN(ROW($R$3:$R$902))+1),ROWS($3:143))),"")</f>
        <v>0</v>
      </c>
      <c r="W143" s="157" t="e">
        <f>IF(INDEX('Logical Group Generator'!W:W,MATCH(U143,'Logical Group Generator'!B:B,0))="REGISTER","REGISTER","BIT")</f>
        <v>#N/A</v>
      </c>
    </row>
    <row r="144" spans="2:23">
      <c r="B144" s="157" t="str">
        <f>IF(ISERROR(T145),"",CONCATENATE(IF(W145="BIT",$M$2,$M$1),U145,$M$3,BIN2HEX(IF(W145="BIT",INDEX('Logical Group Generator'!H:H,'Script Generator'!T145),INDEX('Logical Group Generator'!L:L,'Script Generator'!T145)),2),IF(ISERROR(T146),$M$5,$M$4)))</f>
        <v/>
      </c>
      <c r="D144" s="215"/>
      <c r="R144" s="215" t="str">
        <f>IF('Logical Group Generator'!W144="FALSE","",IF('Logical Group Generator'!B144="OTP_RSVD_38_03","",'Logical Group Generator'!B144))</f>
        <v/>
      </c>
      <c r="T144" s="157" t="e">
        <f>MATCH(U144,'Logical Group Generator'!B:B,0)</f>
        <v>#N/A</v>
      </c>
      <c r="U144" s="157">
        <f t="array" ref="U144">IF(ROWS($3:144)&lt;=COUNTA($R$3:$R$902),INDEX($R$3:$R$902,SMALL(IF($R$3:$R$902&lt;&gt;"",ROW($R$3:$R$902)-MIN(ROW($R$3:$R$902))+1),ROWS($3:144))),"")</f>
        <v>0</v>
      </c>
      <c r="W144" s="157" t="e">
        <f>IF(INDEX('Logical Group Generator'!W:W,MATCH(U144,'Logical Group Generator'!B:B,0))="REGISTER","REGISTER","BIT")</f>
        <v>#N/A</v>
      </c>
    </row>
    <row r="145" spans="2:23">
      <c r="B145" s="157" t="str">
        <f>IF(ISERROR(T146),"",CONCATENATE(IF(W146="BIT",$M$2,$M$1),U146,$M$3,BIN2HEX(IF(W146="BIT",INDEX('Logical Group Generator'!H:H,'Script Generator'!T146),INDEX('Logical Group Generator'!L:L,'Script Generator'!T146)),2),IF(ISERROR(T147),$M$5,$M$4)))</f>
        <v/>
      </c>
      <c r="D145" s="215"/>
      <c r="R145" s="215" t="str">
        <f>IF('Logical Group Generator'!W145="FALSE","",IF('Logical Group Generator'!B145="OTP_RSVD_38_03","",'Logical Group Generator'!B145))</f>
        <v/>
      </c>
      <c r="T145" s="157" t="e">
        <f>MATCH(U145,'Logical Group Generator'!B:B,0)</f>
        <v>#N/A</v>
      </c>
      <c r="U145" s="157">
        <f t="array" ref="U145">IF(ROWS($3:145)&lt;=COUNTA($R$3:$R$902),INDEX($R$3:$R$902,SMALL(IF($R$3:$R$902&lt;&gt;"",ROW($R$3:$R$902)-MIN(ROW($R$3:$R$902))+1),ROWS($3:145))),"")</f>
        <v>0</v>
      </c>
      <c r="W145" s="157" t="e">
        <f>IF(INDEX('Logical Group Generator'!W:W,MATCH(U145,'Logical Group Generator'!B:B,0))="REGISTER","REGISTER","BIT")</f>
        <v>#N/A</v>
      </c>
    </row>
    <row r="146" spans="2:23">
      <c r="B146" s="157" t="str">
        <f>IF(ISERROR(T147),"",CONCATENATE(IF(W147="BIT",$M$2,$M$1),U147,$M$3,BIN2HEX(IF(W147="BIT",INDEX('Logical Group Generator'!H:H,'Script Generator'!T147),INDEX('Logical Group Generator'!L:L,'Script Generator'!T147)),2),IF(ISERROR(T148),$M$5,$M$4)))</f>
        <v/>
      </c>
      <c r="D146" s="215"/>
      <c r="R146" s="215" t="str">
        <f>IF('Logical Group Generator'!W146="FALSE","",IF('Logical Group Generator'!B146="OTP_RSVD_38_03","",'Logical Group Generator'!B146))</f>
        <v/>
      </c>
      <c r="T146" s="157" t="e">
        <f>MATCH(U146,'Logical Group Generator'!B:B,0)</f>
        <v>#N/A</v>
      </c>
      <c r="U146" s="157">
        <f t="array" ref="U146">IF(ROWS($3:146)&lt;=COUNTA($R$3:$R$902),INDEX($R$3:$R$902,SMALL(IF($R$3:$R$902&lt;&gt;"",ROW($R$3:$R$902)-MIN(ROW($R$3:$R$902))+1),ROWS($3:146))),"")</f>
        <v>0</v>
      </c>
      <c r="W146" s="157" t="e">
        <f>IF(INDEX('Logical Group Generator'!W:W,MATCH(U146,'Logical Group Generator'!B:B,0))="REGISTER","REGISTER","BIT")</f>
        <v>#N/A</v>
      </c>
    </row>
    <row r="147" spans="2:23">
      <c r="B147" s="157" t="str">
        <f>IF(ISERROR(T148),"",CONCATENATE(IF(W148="BIT",$M$2,$M$1),U148,$M$3,BIN2HEX(IF(W148="BIT",INDEX('Logical Group Generator'!H:H,'Script Generator'!T148),INDEX('Logical Group Generator'!L:L,'Script Generator'!T148)),2),IF(ISERROR(T149),$M$5,$M$4)))</f>
        <v/>
      </c>
      <c r="D147" s="215"/>
      <c r="R147" s="215" t="str">
        <f>IF('Logical Group Generator'!W147="FALSE","",IF('Logical Group Generator'!B147="OTP_RSVD_38_03","",'Logical Group Generator'!B147))</f>
        <v>I2C_RAIL_EN1</v>
      </c>
      <c r="T147" s="157" t="e">
        <f>MATCH(U147,'Logical Group Generator'!B:B,0)</f>
        <v>#N/A</v>
      </c>
      <c r="U147" s="157">
        <f t="array" ref="U147">IF(ROWS($3:147)&lt;=COUNTA($R$3:$R$902),INDEX($R$3:$R$902,SMALL(IF($R$3:$R$902&lt;&gt;"",ROW($R$3:$R$902)-MIN(ROW($R$3:$R$902))+1),ROWS($3:147))),"")</f>
        <v>0</v>
      </c>
      <c r="W147" s="157" t="e">
        <f>IF(INDEX('Logical Group Generator'!W:W,MATCH(U147,'Logical Group Generator'!B:B,0))="REGISTER","REGISTER","BIT")</f>
        <v>#N/A</v>
      </c>
    </row>
    <row r="148" spans="2:23">
      <c r="B148" s="157" t="str">
        <f>IF(ISERROR(T149),"",CONCATENATE(IF(W149="BIT",$M$2,$M$1),U149,$M$3,BIN2HEX(IF(W149="BIT",INDEX('Logical Group Generator'!H:H,'Script Generator'!T149),INDEX('Logical Group Generator'!L:L,'Script Generator'!T149)),2),IF(ISERROR(T150),$M$5,$M$4)))</f>
        <v/>
      </c>
      <c r="D148" s="215"/>
      <c r="R148" s="215" t="str">
        <f>IF('Logical Group Generator'!W148="FALSE","",IF('Logical Group Generator'!B148="OTP_RSVD_38_03","",'Logical Group Generator'!B148))</f>
        <v/>
      </c>
      <c r="T148" s="157" t="e">
        <f>MATCH(U148,'Logical Group Generator'!B:B,0)</f>
        <v>#N/A</v>
      </c>
      <c r="U148" s="157">
        <f t="array" ref="U148">IF(ROWS($3:148)&lt;=COUNTA($R$3:$R$902),INDEX($R$3:$R$902,SMALL(IF($R$3:$R$902&lt;&gt;"",ROW($R$3:$R$902)-MIN(ROW($R$3:$R$902))+1),ROWS($3:148))),"")</f>
        <v>0</v>
      </c>
      <c r="W148" s="157" t="e">
        <f>IF(INDEX('Logical Group Generator'!W:W,MATCH(U148,'Logical Group Generator'!B:B,0))="REGISTER","REGISTER","BIT")</f>
        <v>#N/A</v>
      </c>
    </row>
    <row r="149" spans="2:23">
      <c r="B149" s="157" t="str">
        <f>IF(ISERROR(T150),"",CONCATENATE(IF(W150="BIT",$M$2,$M$1),U150,$M$3,BIN2HEX(IF(W150="BIT",INDEX('Logical Group Generator'!H:H,'Script Generator'!T150),INDEX('Logical Group Generator'!L:L,'Script Generator'!T150)),2),IF(ISERROR(T151),$M$5,$M$4)))</f>
        <v/>
      </c>
      <c r="D149" s="215"/>
      <c r="R149" s="215" t="str">
        <f>IF('Logical Group Generator'!W149="FALSE","",IF('Logical Group Generator'!B149="OTP_RSVD_38_03","",'Logical Group Generator'!B149))</f>
        <v/>
      </c>
      <c r="T149" s="157" t="e">
        <f>MATCH(U149,'Logical Group Generator'!B:B,0)</f>
        <v>#N/A</v>
      </c>
      <c r="U149" s="157">
        <f t="array" ref="U149">IF(ROWS($3:149)&lt;=COUNTA($R$3:$R$902),INDEX($R$3:$R$902,SMALL(IF($R$3:$R$902&lt;&gt;"",ROW($R$3:$R$902)-MIN(ROW($R$3:$R$902))+1),ROWS($3:149))),"")</f>
        <v>0</v>
      </c>
      <c r="W149" s="157" t="e">
        <f>IF(INDEX('Logical Group Generator'!W:W,MATCH(U149,'Logical Group Generator'!B:B,0))="REGISTER","REGISTER","BIT")</f>
        <v>#N/A</v>
      </c>
    </row>
    <row r="150" spans="2:23">
      <c r="B150" s="157" t="str">
        <f>IF(ISERROR(T151),"",CONCATENATE(IF(W151="BIT",$M$2,$M$1),U151,$M$3,BIN2HEX(IF(W151="BIT",INDEX('Logical Group Generator'!H:H,'Script Generator'!T151),INDEX('Logical Group Generator'!L:L,'Script Generator'!T151)),2),IF(ISERROR(T152),$M$5,$M$4)))</f>
        <v/>
      </c>
      <c r="D150" s="215"/>
      <c r="R150" s="215" t="str">
        <f>IF('Logical Group Generator'!W150="FALSE","",IF('Logical Group Generator'!B150="OTP_RSVD_38_03","",'Logical Group Generator'!B150))</f>
        <v/>
      </c>
      <c r="T150" s="157" t="e">
        <f>MATCH(U150,'Logical Group Generator'!B:B,0)</f>
        <v>#N/A</v>
      </c>
      <c r="U150" s="157">
        <f t="array" ref="U150">IF(ROWS($3:150)&lt;=COUNTA($R$3:$R$902),INDEX($R$3:$R$902,SMALL(IF($R$3:$R$902&lt;&gt;"",ROW($R$3:$R$902)-MIN(ROW($R$3:$R$902))+1),ROWS($3:150))),"")</f>
        <v>0</v>
      </c>
      <c r="W150" s="157" t="e">
        <f>IF(INDEX('Logical Group Generator'!W:W,MATCH(U150,'Logical Group Generator'!B:B,0))="REGISTER","REGISTER","BIT")</f>
        <v>#N/A</v>
      </c>
    </row>
    <row r="151" spans="2:23">
      <c r="B151" s="157" t="str">
        <f>IF(ISERROR(T152),"",CONCATENATE(IF(W152="BIT",$M$2,$M$1),U152,$M$3,BIN2HEX(IF(W152="BIT",INDEX('Logical Group Generator'!H:H,'Script Generator'!T152),INDEX('Logical Group Generator'!L:L,'Script Generator'!T152)),2),IF(ISERROR(T153),$M$5,$M$4)))</f>
        <v/>
      </c>
      <c r="D151" s="215"/>
      <c r="R151" s="215" t="str">
        <f>IF('Logical Group Generator'!W151="FALSE","",IF('Logical Group Generator'!B151="OTP_RSVD_38_03","",'Logical Group Generator'!B151))</f>
        <v/>
      </c>
      <c r="T151" s="157" t="e">
        <f>MATCH(U151,'Logical Group Generator'!B:B,0)</f>
        <v>#N/A</v>
      </c>
      <c r="U151" s="157">
        <f t="array" ref="U151">IF(ROWS($3:151)&lt;=COUNTA($R$3:$R$902),INDEX($R$3:$R$902,SMALL(IF($R$3:$R$902&lt;&gt;"",ROW($R$3:$R$902)-MIN(ROW($R$3:$R$902))+1),ROWS($3:151))),"")</f>
        <v>0</v>
      </c>
      <c r="W151" s="157" t="e">
        <f>IF(INDEX('Logical Group Generator'!W:W,MATCH(U151,'Logical Group Generator'!B:B,0))="REGISTER","REGISTER","BIT")</f>
        <v>#N/A</v>
      </c>
    </row>
    <row r="152" spans="2:23">
      <c r="B152" s="157" t="str">
        <f>IF(ISERROR(T153),"",CONCATENATE(IF(W153="BIT",$M$2,$M$1),U153,$M$3,BIN2HEX(IF(W153="BIT",INDEX('Logical Group Generator'!H:H,'Script Generator'!T153),INDEX('Logical Group Generator'!L:L,'Script Generator'!T153)),2),IF(ISERROR(T154),$M$5,$M$4)))</f>
        <v/>
      </c>
      <c r="D152" s="215"/>
      <c r="R152" s="215" t="str">
        <f>IF('Logical Group Generator'!W152="FALSE","",IF('Logical Group Generator'!B152="OTP_RSVD_38_03","",'Logical Group Generator'!B152))</f>
        <v/>
      </c>
      <c r="T152" s="157" t="e">
        <f>MATCH(U152,'Logical Group Generator'!B:B,0)</f>
        <v>#N/A</v>
      </c>
      <c r="U152" s="157">
        <f t="array" ref="U152">IF(ROWS($3:152)&lt;=COUNTA($R$3:$R$902),INDEX($R$3:$R$902,SMALL(IF($R$3:$R$902&lt;&gt;"",ROW($R$3:$R$902)-MIN(ROW($R$3:$R$902))+1),ROWS($3:152))),"")</f>
        <v>0</v>
      </c>
      <c r="W152" s="157" t="e">
        <f>IF(INDEX('Logical Group Generator'!W:W,MATCH(U152,'Logical Group Generator'!B:B,0))="REGISTER","REGISTER","BIT")</f>
        <v>#N/A</v>
      </c>
    </row>
    <row r="153" spans="2:23">
      <c r="B153" s="157" t="str">
        <f>IF(ISERROR(T154),"",CONCATENATE(IF(W154="BIT",$M$2,$M$1),U154,$M$3,BIN2HEX(IF(W154="BIT",INDEX('Logical Group Generator'!H:H,'Script Generator'!T154),INDEX('Logical Group Generator'!L:L,'Script Generator'!T154)),2),IF(ISERROR(T155),$M$5,$M$4)))</f>
        <v/>
      </c>
      <c r="D153" s="215"/>
      <c r="R153" s="215" t="str">
        <f>IF('Logical Group Generator'!W153="FALSE","",IF('Logical Group Generator'!B153="OTP_RSVD_38_03","",'Logical Group Generator'!B153))</f>
        <v/>
      </c>
      <c r="T153" s="157" t="e">
        <f>MATCH(U153,'Logical Group Generator'!B:B,0)</f>
        <v>#N/A</v>
      </c>
      <c r="U153" s="157">
        <f t="array" ref="U153">IF(ROWS($3:153)&lt;=COUNTA($R$3:$R$902),INDEX($R$3:$R$902,SMALL(IF($R$3:$R$902&lt;&gt;"",ROW($R$3:$R$902)-MIN(ROW($R$3:$R$902))+1),ROWS($3:153))),"")</f>
        <v>0</v>
      </c>
      <c r="W153" s="157" t="e">
        <f>IF(INDEX('Logical Group Generator'!W:W,MATCH(U153,'Logical Group Generator'!B:B,0))="REGISTER","REGISTER","BIT")</f>
        <v>#N/A</v>
      </c>
    </row>
    <row r="154" spans="2:23">
      <c r="B154" s="157" t="str">
        <f>IF(ISERROR(T155),"",CONCATENATE(IF(W155="BIT",$M$2,$M$1),U155,$M$3,BIN2HEX(IF(W155="BIT",INDEX('Logical Group Generator'!H:H,'Script Generator'!T155),INDEX('Logical Group Generator'!L:L,'Script Generator'!T155)),2),IF(ISERROR(T156),$M$5,$M$4)))</f>
        <v/>
      </c>
      <c r="D154" s="215"/>
      <c r="R154" s="215" t="str">
        <f>IF('Logical Group Generator'!W154="FALSE","",IF('Logical Group Generator'!B154="OTP_RSVD_38_03","",'Logical Group Generator'!B154))</f>
        <v/>
      </c>
      <c r="T154" s="157" t="e">
        <f>MATCH(U154,'Logical Group Generator'!B:B,0)</f>
        <v>#N/A</v>
      </c>
      <c r="U154" s="157">
        <f t="array" ref="U154">IF(ROWS($3:154)&lt;=COUNTA($R$3:$R$902),INDEX($R$3:$R$902,SMALL(IF($R$3:$R$902&lt;&gt;"",ROW($R$3:$R$902)-MIN(ROW($R$3:$R$902))+1),ROWS($3:154))),"")</f>
        <v>0</v>
      </c>
      <c r="W154" s="157" t="e">
        <f>IF(INDEX('Logical Group Generator'!W:W,MATCH(U154,'Logical Group Generator'!B:B,0))="REGISTER","REGISTER","BIT")</f>
        <v>#N/A</v>
      </c>
    </row>
    <row r="155" spans="2:23">
      <c r="B155" s="157" t="str">
        <f>IF(ISERROR(T156),"",CONCATENATE(IF(W156="BIT",$M$2,$M$1),U156,$M$3,BIN2HEX(IF(W156="BIT",INDEX('Logical Group Generator'!H:H,'Script Generator'!T156),INDEX('Logical Group Generator'!L:L,'Script Generator'!T156)),2),IF(ISERROR(T157),$M$5,$M$4)))</f>
        <v/>
      </c>
      <c r="D155" s="215"/>
      <c r="R155" s="215" t="str">
        <f>IF('Logical Group Generator'!W155="FALSE","",IF('Logical Group Generator'!B155="OTP_RSVD_38_03","",'Logical Group Generator'!B155))</f>
        <v/>
      </c>
      <c r="T155" s="157" t="e">
        <f>MATCH(U155,'Logical Group Generator'!B:B,0)</f>
        <v>#N/A</v>
      </c>
      <c r="U155" s="157">
        <f t="array" ref="U155">IF(ROWS($3:155)&lt;=COUNTA($R$3:$R$902),INDEX($R$3:$R$902,SMALL(IF($R$3:$R$902&lt;&gt;"",ROW($R$3:$R$902)-MIN(ROW($R$3:$R$902))+1),ROWS($3:155))),"")</f>
        <v>0</v>
      </c>
      <c r="W155" s="157" t="e">
        <f>IF(INDEX('Logical Group Generator'!W:W,MATCH(U155,'Logical Group Generator'!B:B,0))="REGISTER","REGISTER","BIT")</f>
        <v>#N/A</v>
      </c>
    </row>
    <row r="156" spans="2:23">
      <c r="B156" s="157" t="str">
        <f>IF(ISERROR(T157),"",CONCATENATE(IF(W157="BIT",$M$2,$M$1),U157,$M$3,BIN2HEX(IF(W157="BIT",INDEX('Logical Group Generator'!H:H,'Script Generator'!T157),INDEX('Logical Group Generator'!L:L,'Script Generator'!T157)),2),IF(ISERROR(T158),$M$5,$M$4)))</f>
        <v/>
      </c>
      <c r="D156" s="215"/>
      <c r="R156" s="215" t="str">
        <f>IF('Logical Group Generator'!W156="FALSE","",IF('Logical Group Generator'!B156="OTP_RSVD_38_03","",'Logical Group Generator'!B156))</f>
        <v>I2C_RAIL_EN2</v>
      </c>
      <c r="T156" s="157" t="e">
        <f>MATCH(U156,'Logical Group Generator'!B:B,0)</f>
        <v>#N/A</v>
      </c>
      <c r="U156" s="157">
        <f t="array" ref="U156">IF(ROWS($3:156)&lt;=COUNTA($R$3:$R$902),INDEX($R$3:$R$902,SMALL(IF($R$3:$R$902&lt;&gt;"",ROW($R$3:$R$902)-MIN(ROW($R$3:$R$902))+1),ROWS($3:156))),"")</f>
        <v>0</v>
      </c>
      <c r="W156" s="157" t="e">
        <f>IF(INDEX('Logical Group Generator'!W:W,MATCH(U156,'Logical Group Generator'!B:B,0))="REGISTER","REGISTER","BIT")</f>
        <v>#N/A</v>
      </c>
    </row>
    <row r="157" spans="2:23">
      <c r="B157" s="157" t="str">
        <f>IF(ISERROR(T158),"",CONCATENATE(IF(W158="BIT",$M$2,$M$1),U158,$M$3,BIN2HEX(IF(W158="BIT",INDEX('Logical Group Generator'!H:H,'Script Generator'!T158),INDEX('Logical Group Generator'!L:L,'Script Generator'!T158)),2),IF(ISERROR(T159),$M$5,$M$4)))</f>
        <v/>
      </c>
      <c r="D157" s="215"/>
      <c r="R157" s="215" t="str">
        <f>IF('Logical Group Generator'!W157="FALSE","",IF('Logical Group Generator'!B157="OTP_RSVD_38_03","",'Logical Group Generator'!B157))</f>
        <v/>
      </c>
      <c r="T157" s="157" t="e">
        <f>MATCH(U157,'Logical Group Generator'!B:B,0)</f>
        <v>#N/A</v>
      </c>
      <c r="U157" s="157">
        <f t="array" ref="U157">IF(ROWS($3:157)&lt;=COUNTA($R$3:$R$902),INDEX($R$3:$R$902,SMALL(IF($R$3:$R$902&lt;&gt;"",ROW($R$3:$R$902)-MIN(ROW($R$3:$R$902))+1),ROWS($3:157))),"")</f>
        <v>0</v>
      </c>
      <c r="W157" s="157" t="e">
        <f>IF(INDEX('Logical Group Generator'!W:W,MATCH(U157,'Logical Group Generator'!B:B,0))="REGISTER","REGISTER","BIT")</f>
        <v>#N/A</v>
      </c>
    </row>
    <row r="158" spans="2:23">
      <c r="B158" s="157" t="str">
        <f>IF(ISERROR(T159),"",CONCATENATE(IF(W159="BIT",$M$2,$M$1),U159,$M$3,BIN2HEX(IF(W159="BIT",INDEX('Logical Group Generator'!H:H,'Script Generator'!T159),INDEX('Logical Group Generator'!L:L,'Script Generator'!T159)),2),IF(ISERROR(T160),$M$5,$M$4)))</f>
        <v/>
      </c>
      <c r="D158" s="215"/>
      <c r="R158" s="215" t="str">
        <f>IF('Logical Group Generator'!W158="FALSE","",IF('Logical Group Generator'!B158="OTP_RSVD_38_03","",'Logical Group Generator'!B158))</f>
        <v/>
      </c>
      <c r="T158" s="157" t="e">
        <f>MATCH(U158,'Logical Group Generator'!B:B,0)</f>
        <v>#N/A</v>
      </c>
      <c r="U158" s="157">
        <f t="array" ref="U158">IF(ROWS($3:158)&lt;=COUNTA($R$3:$R$902),INDEX($R$3:$R$902,SMALL(IF($R$3:$R$902&lt;&gt;"",ROW($R$3:$R$902)-MIN(ROW($R$3:$R$902))+1),ROWS($3:158))),"")</f>
        <v>0</v>
      </c>
      <c r="W158" s="157" t="e">
        <f>IF(INDEX('Logical Group Generator'!W:W,MATCH(U158,'Logical Group Generator'!B:B,0))="REGISTER","REGISTER","BIT")</f>
        <v>#N/A</v>
      </c>
    </row>
    <row r="159" spans="2:23">
      <c r="B159" s="157" t="str">
        <f>IF(ISERROR(T160),"",CONCATENATE(IF(W160="BIT",$M$2,$M$1),U160,$M$3,BIN2HEX(IF(W160="BIT",INDEX('Logical Group Generator'!H:H,'Script Generator'!T160),INDEX('Logical Group Generator'!L:L,'Script Generator'!T160)),2),IF(ISERROR(T161),$M$5,$M$4)))</f>
        <v/>
      </c>
      <c r="D159" s="215"/>
      <c r="R159" s="215" t="str">
        <f>IF('Logical Group Generator'!W159="FALSE","",IF('Logical Group Generator'!B159="OTP_RSVD_38_03","",'Logical Group Generator'!B159))</f>
        <v/>
      </c>
      <c r="T159" s="157" t="e">
        <f>MATCH(U159,'Logical Group Generator'!B:B,0)</f>
        <v>#N/A</v>
      </c>
      <c r="U159" s="157">
        <f t="array" ref="U159">IF(ROWS($3:159)&lt;=COUNTA($R$3:$R$902),INDEX($R$3:$R$902,SMALL(IF($R$3:$R$902&lt;&gt;"",ROW($R$3:$R$902)-MIN(ROW($R$3:$R$902))+1),ROWS($3:159))),"")</f>
        <v>0</v>
      </c>
      <c r="W159" s="157" t="e">
        <f>IF(INDEX('Logical Group Generator'!W:W,MATCH(U159,'Logical Group Generator'!B:B,0))="REGISTER","REGISTER","BIT")</f>
        <v>#N/A</v>
      </c>
    </row>
    <row r="160" spans="2:23">
      <c r="B160" s="157" t="str">
        <f>IF(ISERROR(T161),"",CONCATENATE(IF(W161="BIT",$M$2,$M$1),U161,$M$3,BIN2HEX(IF(W161="BIT",INDEX('Logical Group Generator'!H:H,'Script Generator'!T161),INDEX('Logical Group Generator'!L:L,'Script Generator'!T161)),2),IF(ISERROR(T162),$M$5,$M$4)))</f>
        <v/>
      </c>
      <c r="D160" s="215"/>
      <c r="R160" s="215" t="str">
        <f>IF('Logical Group Generator'!W160="FALSE","",IF('Logical Group Generator'!B160="OTP_RSVD_38_03","",'Logical Group Generator'!B160))</f>
        <v/>
      </c>
      <c r="T160" s="157" t="e">
        <f>MATCH(U160,'Logical Group Generator'!B:B,0)</f>
        <v>#N/A</v>
      </c>
      <c r="U160" s="157">
        <f t="array" ref="U160">IF(ROWS($3:160)&lt;=COUNTA($R$3:$R$902),INDEX($R$3:$R$902,SMALL(IF($R$3:$R$902&lt;&gt;"",ROW($R$3:$R$902)-MIN(ROW($R$3:$R$902))+1),ROWS($3:160))),"")</f>
        <v>0</v>
      </c>
      <c r="W160" s="157" t="e">
        <f>IF(INDEX('Logical Group Generator'!W:W,MATCH(U160,'Logical Group Generator'!B:B,0))="REGISTER","REGISTER","BIT")</f>
        <v>#N/A</v>
      </c>
    </row>
    <row r="161" spans="2:23">
      <c r="B161" s="157" t="str">
        <f>IF(ISERROR(T162),"",CONCATENATE(IF(W162="BIT",$M$2,$M$1),U162,$M$3,BIN2HEX(IF(W162="BIT",INDEX('Logical Group Generator'!H:H,'Script Generator'!T162),INDEX('Logical Group Generator'!L:L,'Script Generator'!T162)),2),IF(ISERROR(T163),$M$5,$M$4)))</f>
        <v/>
      </c>
      <c r="D161" s="215"/>
      <c r="R161" s="215" t="str">
        <f>IF('Logical Group Generator'!W161="FALSE","",IF('Logical Group Generator'!B161="OTP_RSVD_38_03","",'Logical Group Generator'!B161))</f>
        <v/>
      </c>
      <c r="T161" s="157" t="e">
        <f>MATCH(U161,'Logical Group Generator'!B:B,0)</f>
        <v>#N/A</v>
      </c>
      <c r="U161" s="157">
        <f t="array" ref="U161">IF(ROWS($3:161)&lt;=COUNTA($R$3:$R$902),INDEX($R$3:$R$902,SMALL(IF($R$3:$R$902&lt;&gt;"",ROW($R$3:$R$902)-MIN(ROW($R$3:$R$902))+1),ROWS($3:161))),"")</f>
        <v>0</v>
      </c>
      <c r="W161" s="157" t="e">
        <f>IF(INDEX('Logical Group Generator'!W:W,MATCH(U161,'Logical Group Generator'!B:B,0))="REGISTER","REGISTER","BIT")</f>
        <v>#N/A</v>
      </c>
    </row>
    <row r="162" spans="2:23">
      <c r="B162" s="157" t="str">
        <f>IF(ISERROR(T163),"",CONCATENATE(IF(W163="BIT",$M$2,$M$1),U163,$M$3,BIN2HEX(IF(W163="BIT",INDEX('Logical Group Generator'!H:H,'Script Generator'!T163),INDEX('Logical Group Generator'!L:L,'Script Generator'!T163)),2),IF(ISERROR(T164),$M$5,$M$4)))</f>
        <v/>
      </c>
      <c r="D162" s="215"/>
      <c r="R162" s="215" t="str">
        <f>IF('Logical Group Generator'!W162="FALSE","",IF('Logical Group Generator'!B162="OTP_RSVD_38_03","",'Logical Group Generator'!B162))</f>
        <v/>
      </c>
      <c r="T162" s="157" t="e">
        <f>MATCH(U162,'Logical Group Generator'!B:B,0)</f>
        <v>#N/A</v>
      </c>
      <c r="U162" s="157">
        <f t="array" ref="U162">IF(ROWS($3:162)&lt;=COUNTA($R$3:$R$902),INDEX($R$3:$R$902,SMALL(IF($R$3:$R$902&lt;&gt;"",ROW($R$3:$R$902)-MIN(ROW($R$3:$R$902))+1),ROWS($3:162))),"")</f>
        <v>0</v>
      </c>
      <c r="W162" s="157" t="e">
        <f>IF(INDEX('Logical Group Generator'!W:W,MATCH(U162,'Logical Group Generator'!B:B,0))="REGISTER","REGISTER","BIT")</f>
        <v>#N/A</v>
      </c>
    </row>
    <row r="163" spans="2:23">
      <c r="B163" s="157" t="str">
        <f>IF(ISERROR(T164),"",CONCATENATE(IF(W164="BIT",$M$2,$M$1),U164,$M$3,BIN2HEX(IF(W164="BIT",INDEX('Logical Group Generator'!H:H,'Script Generator'!T164),INDEX('Logical Group Generator'!L:L,'Script Generator'!T164)),2),IF(ISERROR(T165),$M$5,$M$4)))</f>
        <v/>
      </c>
      <c r="D163" s="215"/>
      <c r="R163" s="215" t="str">
        <f>IF('Logical Group Generator'!W163="FALSE","",IF('Logical Group Generator'!B163="OTP_RSVD_38_03","",'Logical Group Generator'!B163))</f>
        <v/>
      </c>
      <c r="T163" s="157" t="e">
        <f>MATCH(U163,'Logical Group Generator'!B:B,0)</f>
        <v>#NUM!</v>
      </c>
      <c r="U163" s="157" t="e">
        <f t="array" ref="U163">IF(ROWS($3:163)&lt;=COUNTA($R$3:$R$902),INDEX($R$3:$R$902,SMALL(IF($R$3:$R$902&lt;&gt;"",ROW($R$3:$R$902)-MIN(ROW($R$3:$R$902))+1),ROWS($3:163))),"")</f>
        <v>#NUM!</v>
      </c>
      <c r="W163" s="157" t="e">
        <f>IF(INDEX('Logical Group Generator'!W:W,MATCH(U163,'Logical Group Generator'!B:B,0))="REGISTER","REGISTER","BIT")</f>
        <v>#NUM!</v>
      </c>
    </row>
    <row r="164" spans="2:23">
      <c r="B164" s="157" t="str">
        <f>IF(ISERROR(T165),"",CONCATENATE(IF(W165="BIT",$M$2,$M$1),U165,$M$3,BIN2HEX(IF(W165="BIT",INDEX('Logical Group Generator'!H:H,'Script Generator'!T165),INDEX('Logical Group Generator'!L:L,'Script Generator'!T165)),2),IF(ISERROR(T166),$M$5,$M$4)))</f>
        <v/>
      </c>
      <c r="D164" s="215"/>
      <c r="R164" s="215" t="str">
        <f>IF('Logical Group Generator'!W164="FALSE","",IF('Logical Group Generator'!B164="OTP_RSVD_38_03","",'Logical Group Generator'!B164))</f>
        <v/>
      </c>
      <c r="T164" s="157" t="e">
        <f>MATCH(U164,'Logical Group Generator'!B:B,0)</f>
        <v>#NUM!</v>
      </c>
      <c r="U164" s="157" t="e">
        <f t="array" ref="U164">IF(ROWS($3:164)&lt;=COUNTA($R$3:$R$902),INDEX($R$3:$R$902,SMALL(IF($R$3:$R$902&lt;&gt;"",ROW($R$3:$R$902)-MIN(ROW($R$3:$R$902))+1),ROWS($3:164))),"")</f>
        <v>#NUM!</v>
      </c>
      <c r="W164" s="157" t="e">
        <f>IF(INDEX('Logical Group Generator'!W:W,MATCH(U164,'Logical Group Generator'!B:B,0))="REGISTER","REGISTER","BIT")</f>
        <v>#NUM!</v>
      </c>
    </row>
    <row r="165" spans="2:23">
      <c r="B165" s="157" t="str">
        <f>IF(ISERROR(T166),"",CONCATENATE(IF(W166="BIT",$M$2,$M$1),U166,$M$3,BIN2HEX(IF(W166="BIT",INDEX('Logical Group Generator'!H:H,'Script Generator'!T166),INDEX('Logical Group Generator'!L:L,'Script Generator'!T166)),2),IF(ISERROR(T167),$M$5,$M$4)))</f>
        <v/>
      </c>
      <c r="D165" s="215"/>
      <c r="R165" s="215" t="str">
        <f>IF('Logical Group Generator'!W165="FALSE","",IF('Logical Group Generator'!B165="OTP_RSVD_38_03","",'Logical Group Generator'!B165))</f>
        <v>PWR_FAULT_MASK1</v>
      </c>
      <c r="T165" s="157" t="e">
        <f>MATCH(U165,'Logical Group Generator'!B:B,0)</f>
        <v>#NUM!</v>
      </c>
      <c r="U165" s="157" t="e">
        <f t="array" ref="U165">IF(ROWS($3:165)&lt;=COUNTA($R$3:$R$902),INDEX($R$3:$R$902,SMALL(IF($R$3:$R$902&lt;&gt;"",ROW($R$3:$R$902)-MIN(ROW($R$3:$R$902))+1),ROWS($3:165))),"")</f>
        <v>#NUM!</v>
      </c>
      <c r="W165" s="157" t="e">
        <f>IF(INDEX('Logical Group Generator'!W:W,MATCH(U165,'Logical Group Generator'!B:B,0))="REGISTER","REGISTER","BIT")</f>
        <v>#NUM!</v>
      </c>
    </row>
    <row r="166" spans="2:23">
      <c r="B166" s="157" t="str">
        <f>IF(ISERROR(T167),"",CONCATENATE(IF(W167="BIT",$M$2,$M$1),U167,$M$3,BIN2HEX(IF(W167="BIT",INDEX('Logical Group Generator'!H:H,'Script Generator'!T167),INDEX('Logical Group Generator'!L:L,'Script Generator'!T167)),2),IF(ISERROR(T168),$M$5,$M$4)))</f>
        <v/>
      </c>
      <c r="D166" s="215"/>
      <c r="R166" s="215" t="str">
        <f>IF('Logical Group Generator'!W166="FALSE","",IF('Logical Group Generator'!B166="OTP_RSVD_38_03","",'Logical Group Generator'!B166))</f>
        <v/>
      </c>
      <c r="T166" s="157" t="e">
        <f>MATCH(U166,'Logical Group Generator'!B:B,0)</f>
        <v>#NUM!</v>
      </c>
      <c r="U166" s="157" t="e">
        <f t="array" ref="U166">IF(ROWS($3:166)&lt;=COUNTA($R$3:$R$902),INDEX($R$3:$R$902,SMALL(IF($R$3:$R$902&lt;&gt;"",ROW($R$3:$R$902)-MIN(ROW($R$3:$R$902))+1),ROWS($3:166))),"")</f>
        <v>#NUM!</v>
      </c>
      <c r="W166" s="157" t="e">
        <f>IF(INDEX('Logical Group Generator'!W:W,MATCH(U166,'Logical Group Generator'!B:B,0))="REGISTER","REGISTER","BIT")</f>
        <v>#NUM!</v>
      </c>
    </row>
    <row r="167" spans="2:23">
      <c r="B167" s="157" t="str">
        <f>IF(ISERROR(T168),"",CONCATENATE(IF(W168="BIT",$M$2,$M$1),U168,$M$3,BIN2HEX(IF(W168="BIT",INDEX('Logical Group Generator'!H:H,'Script Generator'!T168),INDEX('Logical Group Generator'!L:L,'Script Generator'!T168)),2),IF(ISERROR(T169),$M$5,$M$4)))</f>
        <v/>
      </c>
      <c r="D167" s="215"/>
      <c r="R167" s="215" t="str">
        <f>IF('Logical Group Generator'!W167="FALSE","",IF('Logical Group Generator'!B167="OTP_RSVD_38_03","",'Logical Group Generator'!B167))</f>
        <v/>
      </c>
      <c r="T167" s="157" t="e">
        <f>MATCH(U167,'Logical Group Generator'!B:B,0)</f>
        <v>#NUM!</v>
      </c>
      <c r="U167" s="157" t="e">
        <f t="array" ref="U167">IF(ROWS($3:167)&lt;=COUNTA($R$3:$R$902),INDEX($R$3:$R$902,SMALL(IF($R$3:$R$902&lt;&gt;"",ROW($R$3:$R$902)-MIN(ROW($R$3:$R$902))+1),ROWS($3:167))),"")</f>
        <v>#NUM!</v>
      </c>
      <c r="W167" s="157" t="e">
        <f>IF(INDEX('Logical Group Generator'!W:W,MATCH(U167,'Logical Group Generator'!B:B,0))="REGISTER","REGISTER","BIT")</f>
        <v>#NUM!</v>
      </c>
    </row>
    <row r="168" spans="2:23">
      <c r="B168" s="157" t="str">
        <f>IF(ISERROR(T169),"",CONCATENATE(IF(W169="BIT",$M$2,$M$1),U169,$M$3,BIN2HEX(IF(W169="BIT",INDEX('Logical Group Generator'!H:H,'Script Generator'!T169),INDEX('Logical Group Generator'!L:L,'Script Generator'!T169)),2),IF(ISERROR(T170),$M$5,$M$4)))</f>
        <v/>
      </c>
      <c r="D168" s="215"/>
      <c r="R168" s="215" t="str">
        <f>IF('Logical Group Generator'!W168="FALSE","",IF('Logical Group Generator'!B168="OTP_RSVD_38_03","",'Logical Group Generator'!B168))</f>
        <v/>
      </c>
      <c r="T168" s="157" t="e">
        <f>MATCH(U168,'Logical Group Generator'!B:B,0)</f>
        <v>#NUM!</v>
      </c>
      <c r="U168" s="157" t="e">
        <f t="array" ref="U168">IF(ROWS($3:168)&lt;=COUNTA($R$3:$R$902),INDEX($R$3:$R$902,SMALL(IF($R$3:$R$902&lt;&gt;"",ROW($R$3:$R$902)-MIN(ROW($R$3:$R$902))+1),ROWS($3:168))),"")</f>
        <v>#NUM!</v>
      </c>
      <c r="W168" s="157" t="e">
        <f>IF(INDEX('Logical Group Generator'!W:W,MATCH(U168,'Logical Group Generator'!B:B,0))="REGISTER","REGISTER","BIT")</f>
        <v>#NUM!</v>
      </c>
    </row>
    <row r="169" spans="2:23">
      <c r="B169" s="157" t="str">
        <f>IF(ISERROR(T170),"",CONCATENATE(IF(W170="BIT",$M$2,$M$1),U170,$M$3,BIN2HEX(IF(W170="BIT",INDEX('Logical Group Generator'!H:H,'Script Generator'!T170),INDEX('Logical Group Generator'!L:L,'Script Generator'!T170)),2),IF(ISERROR(T171),$M$5,$M$4)))</f>
        <v/>
      </c>
      <c r="D169" s="215"/>
      <c r="R169" s="215" t="str">
        <f>IF('Logical Group Generator'!W169="FALSE","",IF('Logical Group Generator'!B169="OTP_RSVD_38_03","",'Logical Group Generator'!B169))</f>
        <v/>
      </c>
      <c r="T169" s="157" t="e">
        <f>MATCH(U169,'Logical Group Generator'!B:B,0)</f>
        <v>#NUM!</v>
      </c>
      <c r="U169" s="157" t="e">
        <f t="array" ref="U169">IF(ROWS($3:169)&lt;=COUNTA($R$3:$R$902),INDEX($R$3:$R$902,SMALL(IF($R$3:$R$902&lt;&gt;"",ROW($R$3:$R$902)-MIN(ROW($R$3:$R$902))+1),ROWS($3:169))),"")</f>
        <v>#NUM!</v>
      </c>
      <c r="W169" s="157" t="e">
        <f>IF(INDEX('Logical Group Generator'!W:W,MATCH(U169,'Logical Group Generator'!B:B,0))="REGISTER","REGISTER","BIT")</f>
        <v>#NUM!</v>
      </c>
    </row>
    <row r="170" spans="2:23">
      <c r="B170" s="157" t="str">
        <f>IF(ISERROR(T171),"",CONCATENATE(IF(W171="BIT",$M$2,$M$1),U171,$M$3,BIN2HEX(IF(W171="BIT",INDEX('Logical Group Generator'!H:H,'Script Generator'!T171),INDEX('Logical Group Generator'!L:L,'Script Generator'!T171)),2),IF(ISERROR(T172),$M$5,$M$4)))</f>
        <v/>
      </c>
      <c r="D170" s="215"/>
      <c r="R170" s="215" t="str">
        <f>IF('Logical Group Generator'!W170="FALSE","",IF('Logical Group Generator'!B170="OTP_RSVD_38_03","",'Logical Group Generator'!B170))</f>
        <v/>
      </c>
      <c r="T170" s="157" t="e">
        <f>MATCH(U170,'Logical Group Generator'!B:B,0)</f>
        <v>#NUM!</v>
      </c>
      <c r="U170" s="157" t="e">
        <f t="array" ref="U170">IF(ROWS($3:170)&lt;=COUNTA($R$3:$R$902),INDEX($R$3:$R$902,SMALL(IF($R$3:$R$902&lt;&gt;"",ROW($R$3:$R$902)-MIN(ROW($R$3:$R$902))+1),ROWS($3:170))),"")</f>
        <v>#NUM!</v>
      </c>
      <c r="W170" s="157" t="e">
        <f>IF(INDEX('Logical Group Generator'!W:W,MATCH(U170,'Logical Group Generator'!B:B,0))="REGISTER","REGISTER","BIT")</f>
        <v>#NUM!</v>
      </c>
    </row>
    <row r="171" spans="2:23">
      <c r="B171" s="157" t="str">
        <f>IF(ISERROR(T172),"",CONCATENATE(IF(W172="BIT",$M$2,$M$1),U172,$M$3,BIN2HEX(IF(W172="BIT",INDEX('Logical Group Generator'!H:H,'Script Generator'!T172),INDEX('Logical Group Generator'!L:L,'Script Generator'!T172)),2),IF(ISERROR(T173),$M$5,$M$4)))</f>
        <v/>
      </c>
      <c r="D171" s="215"/>
      <c r="R171" s="215" t="str">
        <f>IF('Logical Group Generator'!W171="FALSE","",IF('Logical Group Generator'!B171="OTP_RSVD_38_03","",'Logical Group Generator'!B171))</f>
        <v/>
      </c>
      <c r="T171" s="157" t="e">
        <f>MATCH(U171,'Logical Group Generator'!B:B,0)</f>
        <v>#NUM!</v>
      </c>
      <c r="U171" s="157" t="e">
        <f t="array" ref="U171">IF(ROWS($3:171)&lt;=COUNTA($R$3:$R$902),INDEX($R$3:$R$902,SMALL(IF($R$3:$R$902&lt;&gt;"",ROW($R$3:$R$902)-MIN(ROW($R$3:$R$902))+1),ROWS($3:171))),"")</f>
        <v>#NUM!</v>
      </c>
      <c r="W171" s="157" t="e">
        <f>IF(INDEX('Logical Group Generator'!W:W,MATCH(U171,'Logical Group Generator'!B:B,0))="REGISTER","REGISTER","BIT")</f>
        <v>#NUM!</v>
      </c>
    </row>
    <row r="172" spans="2:23">
      <c r="B172" s="157" t="str">
        <f>IF(ISERROR(T173),"",CONCATENATE(IF(W173="BIT",$M$2,$M$1),U173,$M$3,BIN2HEX(IF(W173="BIT",INDEX('Logical Group Generator'!H:H,'Script Generator'!T173),INDEX('Logical Group Generator'!L:L,'Script Generator'!T173)),2),IF(ISERROR(T174),$M$5,$M$4)))</f>
        <v/>
      </c>
      <c r="D172" s="215"/>
      <c r="R172" s="215" t="str">
        <f>IF('Logical Group Generator'!W172="FALSE","",IF('Logical Group Generator'!B172="OTP_RSVD_38_03","",'Logical Group Generator'!B172))</f>
        <v/>
      </c>
      <c r="T172" s="157" t="e">
        <f>MATCH(U172,'Logical Group Generator'!B:B,0)</f>
        <v>#NUM!</v>
      </c>
      <c r="U172" s="157" t="e">
        <f t="array" ref="U172">IF(ROWS($3:172)&lt;=COUNTA($R$3:$R$902),INDEX($R$3:$R$902,SMALL(IF($R$3:$R$902&lt;&gt;"",ROW($R$3:$R$902)-MIN(ROW($R$3:$R$902))+1),ROWS($3:172))),"")</f>
        <v>#NUM!</v>
      </c>
      <c r="W172" s="157" t="e">
        <f>IF(INDEX('Logical Group Generator'!W:W,MATCH(U172,'Logical Group Generator'!B:B,0))="REGISTER","REGISTER","BIT")</f>
        <v>#NUM!</v>
      </c>
    </row>
    <row r="173" spans="2:23">
      <c r="B173" s="157" t="str">
        <f>IF(ISERROR(T174),"",CONCATENATE(IF(W174="BIT",$M$2,$M$1),U174,$M$3,BIN2HEX(IF(W174="BIT",INDEX('Logical Group Generator'!H:H,'Script Generator'!T174),INDEX('Logical Group Generator'!L:L,'Script Generator'!T174)),2),IF(ISERROR(T175),$M$5,$M$4)))</f>
        <v/>
      </c>
      <c r="D173" s="215"/>
      <c r="R173" s="215" t="str">
        <f>IF('Logical Group Generator'!W173="FALSE","",IF('Logical Group Generator'!B173="OTP_RSVD_38_03","",'Logical Group Generator'!B173))</f>
        <v/>
      </c>
      <c r="T173" s="157" t="e">
        <f>MATCH(U173,'Logical Group Generator'!B:B,0)</f>
        <v>#NUM!</v>
      </c>
      <c r="U173" s="157" t="e">
        <f t="array" ref="U173">IF(ROWS($3:173)&lt;=COUNTA($R$3:$R$902),INDEX($R$3:$R$902,SMALL(IF($R$3:$R$902&lt;&gt;"",ROW($R$3:$R$902)-MIN(ROW($R$3:$R$902))+1),ROWS($3:173))),"")</f>
        <v>#NUM!</v>
      </c>
      <c r="W173" s="157" t="e">
        <f>IF(INDEX('Logical Group Generator'!W:W,MATCH(U173,'Logical Group Generator'!B:B,0))="REGISTER","REGISTER","BIT")</f>
        <v>#NUM!</v>
      </c>
    </row>
    <row r="174" spans="2:23">
      <c r="B174" s="157" t="str">
        <f>IF(ISERROR(T175),"",CONCATENATE(IF(W175="BIT",$M$2,$M$1),U175,$M$3,BIN2HEX(IF(W175="BIT",INDEX('Logical Group Generator'!H:H,'Script Generator'!T175),INDEX('Logical Group Generator'!L:L,'Script Generator'!T175)),2),IF(ISERROR(T176),$M$5,$M$4)))</f>
        <v/>
      </c>
      <c r="D174" s="215"/>
      <c r="R174" s="215" t="str">
        <f>IF('Logical Group Generator'!W174="FALSE","",IF('Logical Group Generator'!B174="OTP_RSVD_38_03","",'Logical Group Generator'!B174))</f>
        <v>PWR_FAULT_MASK2</v>
      </c>
      <c r="T174" s="157" t="e">
        <f>MATCH(U174,'Logical Group Generator'!B:B,0)</f>
        <v>#NUM!</v>
      </c>
      <c r="U174" s="157" t="e">
        <f t="array" ref="U174">IF(ROWS($3:174)&lt;=COUNTA($R$3:$R$902),INDEX($R$3:$R$902,SMALL(IF($R$3:$R$902&lt;&gt;"",ROW($R$3:$R$902)-MIN(ROW($R$3:$R$902))+1),ROWS($3:174))),"")</f>
        <v>#NUM!</v>
      </c>
      <c r="W174" s="157" t="e">
        <f>IF(INDEX('Logical Group Generator'!W:W,MATCH(U174,'Logical Group Generator'!B:B,0))="REGISTER","REGISTER","BIT")</f>
        <v>#NUM!</v>
      </c>
    </row>
    <row r="175" spans="2:23">
      <c r="B175" s="157" t="str">
        <f>IF(ISERROR(T176),"",CONCATENATE(IF(W176="BIT",$M$2,$M$1),U176,$M$3,BIN2HEX(IF(W176="BIT",INDEX('Logical Group Generator'!H:H,'Script Generator'!T176),INDEX('Logical Group Generator'!L:L,'Script Generator'!T176)),2),IF(ISERROR(T177),$M$5,$M$4)))</f>
        <v/>
      </c>
      <c r="D175" s="215"/>
      <c r="R175" s="215" t="str">
        <f>IF('Logical Group Generator'!W175="FALSE","",IF('Logical Group Generator'!B175="OTP_RSVD_38_03","",'Logical Group Generator'!B175))</f>
        <v/>
      </c>
      <c r="T175" s="157" t="e">
        <f>MATCH(U175,'Logical Group Generator'!B:B,0)</f>
        <v>#NUM!</v>
      </c>
      <c r="U175" s="157" t="e">
        <f t="array" ref="U175">IF(ROWS($3:175)&lt;=COUNTA($R$3:$R$902),INDEX($R$3:$R$902,SMALL(IF($R$3:$R$902&lt;&gt;"",ROW($R$3:$R$902)-MIN(ROW($R$3:$R$902))+1),ROWS($3:175))),"")</f>
        <v>#NUM!</v>
      </c>
      <c r="W175" s="157" t="e">
        <f>IF(INDEX('Logical Group Generator'!W:W,MATCH(U175,'Logical Group Generator'!B:B,0))="REGISTER","REGISTER","BIT")</f>
        <v>#NUM!</v>
      </c>
    </row>
    <row r="176" spans="2:23">
      <c r="B176" s="157" t="str">
        <f>IF(ISERROR(T177),"",CONCATENATE(IF(W177="BIT",$M$2,$M$1),U177,$M$3,BIN2HEX(IF(W177="BIT",INDEX('Logical Group Generator'!H:H,'Script Generator'!T177),INDEX('Logical Group Generator'!L:L,'Script Generator'!T177)),2),IF(ISERROR(T178),$M$5,$M$4)))</f>
        <v/>
      </c>
      <c r="D176" s="215"/>
      <c r="R176" s="215" t="str">
        <f>IF('Logical Group Generator'!W176="FALSE","",IF('Logical Group Generator'!B176="OTP_RSVD_38_03","",'Logical Group Generator'!B176))</f>
        <v/>
      </c>
      <c r="T176" s="157" t="e">
        <f>MATCH(U176,'Logical Group Generator'!B:B,0)</f>
        <v>#NUM!</v>
      </c>
      <c r="U176" s="157" t="e">
        <f t="array" ref="U176">IF(ROWS($3:176)&lt;=COUNTA($R$3:$R$902),INDEX($R$3:$R$902,SMALL(IF($R$3:$R$902&lt;&gt;"",ROW($R$3:$R$902)-MIN(ROW($R$3:$R$902))+1),ROWS($3:176))),"")</f>
        <v>#NUM!</v>
      </c>
      <c r="W176" s="157" t="e">
        <f>IF(INDEX('Logical Group Generator'!W:W,MATCH(U176,'Logical Group Generator'!B:B,0))="REGISTER","REGISTER","BIT")</f>
        <v>#NUM!</v>
      </c>
    </row>
    <row r="177" spans="2:23">
      <c r="B177" s="157" t="str">
        <f>IF(ISERROR(T178),"",CONCATENATE(IF(W178="BIT",$M$2,$M$1),U178,$M$3,BIN2HEX(IF(W178="BIT",INDEX('Logical Group Generator'!H:H,'Script Generator'!T178),INDEX('Logical Group Generator'!L:L,'Script Generator'!T178)),2),IF(ISERROR(T179),$M$5,$M$4)))</f>
        <v/>
      </c>
      <c r="D177" s="215"/>
      <c r="R177" s="215" t="str">
        <f>IF('Logical Group Generator'!W177="FALSE","",IF('Logical Group Generator'!B177="OTP_RSVD_38_03","",'Logical Group Generator'!B177))</f>
        <v/>
      </c>
      <c r="T177" s="157" t="e">
        <f>MATCH(U177,'Logical Group Generator'!B:B,0)</f>
        <v>#NUM!</v>
      </c>
      <c r="U177" s="157" t="e">
        <f t="array" ref="U177">IF(ROWS($3:177)&lt;=COUNTA($R$3:$R$902),INDEX($R$3:$R$902,SMALL(IF($R$3:$R$902&lt;&gt;"",ROW($R$3:$R$902)-MIN(ROW($R$3:$R$902))+1),ROWS($3:177))),"")</f>
        <v>#NUM!</v>
      </c>
      <c r="W177" s="157" t="e">
        <f>IF(INDEX('Logical Group Generator'!W:W,MATCH(U177,'Logical Group Generator'!B:B,0))="REGISTER","REGISTER","BIT")</f>
        <v>#NUM!</v>
      </c>
    </row>
    <row r="178" spans="2:23">
      <c r="B178" s="157" t="str">
        <f>IF(ISERROR(T179),"",CONCATENATE(IF(W179="BIT",$M$2,$M$1),U179,$M$3,BIN2HEX(IF(W179="BIT",INDEX('Logical Group Generator'!H:H,'Script Generator'!T179),INDEX('Logical Group Generator'!L:L,'Script Generator'!T179)),2),IF(ISERROR(T180),$M$5,$M$4)))</f>
        <v/>
      </c>
      <c r="D178" s="215"/>
      <c r="R178" s="215" t="str">
        <f>IF('Logical Group Generator'!W178="FALSE","",IF('Logical Group Generator'!B178="OTP_RSVD_38_03","",'Logical Group Generator'!B178))</f>
        <v/>
      </c>
      <c r="T178" s="157" t="e">
        <f>MATCH(U178,'Logical Group Generator'!B:B,0)</f>
        <v>#NUM!</v>
      </c>
      <c r="U178" s="157" t="e">
        <f t="array" ref="U178">IF(ROWS($3:178)&lt;=COUNTA($R$3:$R$902),INDEX($R$3:$R$902,SMALL(IF($R$3:$R$902&lt;&gt;"",ROW($R$3:$R$902)-MIN(ROW($R$3:$R$902))+1),ROWS($3:178))),"")</f>
        <v>#NUM!</v>
      </c>
      <c r="W178" s="157" t="e">
        <f>IF(INDEX('Logical Group Generator'!W:W,MATCH(U178,'Logical Group Generator'!B:B,0))="REGISTER","REGISTER","BIT")</f>
        <v>#NUM!</v>
      </c>
    </row>
    <row r="179" spans="2:23">
      <c r="B179" s="157" t="str">
        <f>IF(ISERROR(T180),"",CONCATENATE(IF(W180="BIT",$M$2,$M$1),U180,$M$3,BIN2HEX(IF(W180="BIT",INDEX('Logical Group Generator'!H:H,'Script Generator'!T180),INDEX('Logical Group Generator'!L:L,'Script Generator'!T180)),2),IF(ISERROR(T181),$M$5,$M$4)))</f>
        <v/>
      </c>
      <c r="D179" s="215"/>
      <c r="R179" s="215" t="str">
        <f>IF('Logical Group Generator'!W179="FALSE","",IF('Logical Group Generator'!B179="OTP_RSVD_38_03","",'Logical Group Generator'!B179))</f>
        <v/>
      </c>
      <c r="T179" s="157" t="e">
        <f>MATCH(U179,'Logical Group Generator'!B:B,0)</f>
        <v>#NUM!</v>
      </c>
      <c r="U179" s="157" t="e">
        <f t="array" ref="U179">IF(ROWS($3:179)&lt;=COUNTA($R$3:$R$902),INDEX($R$3:$R$902,SMALL(IF($R$3:$R$902&lt;&gt;"",ROW($R$3:$R$902)-MIN(ROW($R$3:$R$902))+1),ROWS($3:179))),"")</f>
        <v>#NUM!</v>
      </c>
      <c r="W179" s="157" t="e">
        <f>IF(INDEX('Logical Group Generator'!W:W,MATCH(U179,'Logical Group Generator'!B:B,0))="REGISTER","REGISTER","BIT")</f>
        <v>#NUM!</v>
      </c>
    </row>
    <row r="180" spans="2:23">
      <c r="B180" s="157" t="str">
        <f>IF(ISERROR(T181),"",CONCATENATE(IF(W181="BIT",$M$2,$M$1),U181,$M$3,BIN2HEX(IF(W181="BIT",INDEX('Logical Group Generator'!H:H,'Script Generator'!T181),INDEX('Logical Group Generator'!L:L,'Script Generator'!T181)),2),IF(ISERROR(T182),$M$5,$M$4)))</f>
        <v/>
      </c>
      <c r="D180" s="215"/>
      <c r="R180" s="215" t="str">
        <f>IF('Logical Group Generator'!W180="FALSE","",IF('Logical Group Generator'!B180="OTP_RSVD_38_03","",'Logical Group Generator'!B180))</f>
        <v/>
      </c>
      <c r="T180" s="157" t="e">
        <f>MATCH(U180,'Logical Group Generator'!B:B,0)</f>
        <v>#NUM!</v>
      </c>
      <c r="U180" s="157" t="e">
        <f t="array" ref="U180">IF(ROWS($3:180)&lt;=COUNTA($R$3:$R$902),INDEX($R$3:$R$902,SMALL(IF($R$3:$R$902&lt;&gt;"",ROW($R$3:$R$902)-MIN(ROW($R$3:$R$902))+1),ROWS($3:180))),"")</f>
        <v>#NUM!</v>
      </c>
      <c r="W180" s="157" t="e">
        <f>IF(INDEX('Logical Group Generator'!W:W,MATCH(U180,'Logical Group Generator'!B:B,0))="REGISTER","REGISTER","BIT")</f>
        <v>#NUM!</v>
      </c>
    </row>
    <row r="181" spans="2:23">
      <c r="B181" s="157" t="str">
        <f>IF(ISERROR(T182),"",CONCATENATE(IF(W182="BIT",$M$2,$M$1),U182,$M$3,BIN2HEX(IF(W182="BIT",INDEX('Logical Group Generator'!H:H,'Script Generator'!T182),INDEX('Logical Group Generator'!L:L,'Script Generator'!T182)),2),IF(ISERROR(T183),$M$5,$M$4)))</f>
        <v/>
      </c>
      <c r="D181" s="215"/>
      <c r="R181" s="215" t="str">
        <f>IF('Logical Group Generator'!W181="FALSE","",IF('Logical Group Generator'!B181="OTP_RSVD_38_03","",'Logical Group Generator'!B181))</f>
        <v/>
      </c>
      <c r="T181" s="157" t="e">
        <f>MATCH(U181,'Logical Group Generator'!B:B,0)</f>
        <v>#NUM!</v>
      </c>
      <c r="U181" s="157" t="e">
        <f t="array" ref="U181">IF(ROWS($3:181)&lt;=COUNTA($R$3:$R$902),INDEX($R$3:$R$902,SMALL(IF($R$3:$R$902&lt;&gt;"",ROW($R$3:$R$902)-MIN(ROW($R$3:$R$902))+1),ROWS($3:181))),"")</f>
        <v>#NUM!</v>
      </c>
      <c r="W181" s="157" t="e">
        <f>IF(INDEX('Logical Group Generator'!W:W,MATCH(U181,'Logical Group Generator'!B:B,0))="REGISTER","REGISTER","BIT")</f>
        <v>#NUM!</v>
      </c>
    </row>
    <row r="182" spans="2:23">
      <c r="B182" s="157" t="str">
        <f>IF(ISERROR(T183),"",CONCATENATE(IF(W183="BIT",$M$2,$M$1),U183,$M$3,BIN2HEX(IF(W183="BIT",INDEX('Logical Group Generator'!H:H,'Script Generator'!T183),INDEX('Logical Group Generator'!L:L,'Script Generator'!T183)),2),IF(ISERROR(T184),$M$5,$M$4)))</f>
        <v/>
      </c>
      <c r="D182" s="215"/>
      <c r="R182" s="215" t="str">
        <f>IF('Logical Group Generator'!W182="FALSE","",IF('Logical Group Generator'!B182="OTP_RSVD_38_03","",'Logical Group Generator'!B182))</f>
        <v/>
      </c>
      <c r="T182" s="157" t="e">
        <f>MATCH(U182,'Logical Group Generator'!B:B,0)</f>
        <v>#NUM!</v>
      </c>
      <c r="U182" s="157" t="e">
        <f t="array" ref="U182">IF(ROWS($3:182)&lt;=COUNTA($R$3:$R$902),INDEX($R$3:$R$902,SMALL(IF($R$3:$R$902&lt;&gt;"",ROW($R$3:$R$902)-MIN(ROW($R$3:$R$902))+1),ROWS($3:182))),"")</f>
        <v>#NUM!</v>
      </c>
      <c r="W182" s="157" t="e">
        <f>IF(INDEX('Logical Group Generator'!W:W,MATCH(U182,'Logical Group Generator'!B:B,0))="REGISTER","REGISTER","BIT")</f>
        <v>#NUM!</v>
      </c>
    </row>
    <row r="183" spans="2:23">
      <c r="B183" s="157" t="str">
        <f>IF(ISERROR(T184),"",CONCATENATE(IF(W184="BIT",$M$2,$M$1),U184,$M$3,BIN2HEX(IF(W184="BIT",INDEX('Logical Group Generator'!H:H,'Script Generator'!T184),INDEX('Logical Group Generator'!L:L,'Script Generator'!T184)),2),IF(ISERROR(T185),$M$5,$M$4)))</f>
        <v/>
      </c>
      <c r="D183" s="215"/>
      <c r="R183" s="215" t="str">
        <f>IF('Logical Group Generator'!W183="FALSE","",IF('Logical Group Generator'!B183="OTP_RSVD_38_03","",'Logical Group Generator'!B183))</f>
        <v>GPO1PG_CTRL1</v>
      </c>
      <c r="T183" s="157" t="e">
        <f>MATCH(U183,'Logical Group Generator'!B:B,0)</f>
        <v>#NUM!</v>
      </c>
      <c r="U183" s="157" t="e">
        <f t="array" ref="U183">IF(ROWS($3:183)&lt;=COUNTA($R$3:$R$902),INDEX($R$3:$R$902,SMALL(IF($R$3:$R$902&lt;&gt;"",ROW($R$3:$R$902)-MIN(ROW($R$3:$R$902))+1),ROWS($3:183))),"")</f>
        <v>#NUM!</v>
      </c>
      <c r="W183" s="157" t="e">
        <f>IF(INDEX('Logical Group Generator'!W:W,MATCH(U183,'Logical Group Generator'!B:B,0))="REGISTER","REGISTER","BIT")</f>
        <v>#NUM!</v>
      </c>
    </row>
    <row r="184" spans="2:23">
      <c r="B184" s="157" t="str">
        <f>IF(ISERROR(T185),"",CONCATENATE(IF(W185="BIT",$M$2,$M$1),U185,$M$3,BIN2HEX(IF(W185="BIT",INDEX('Logical Group Generator'!H:H,'Script Generator'!T185),INDEX('Logical Group Generator'!L:L,'Script Generator'!T185)),2),IF(ISERROR(T186),$M$5,$M$4)))</f>
        <v/>
      </c>
      <c r="D184" s="215"/>
      <c r="R184" s="215" t="str">
        <f>IF('Logical Group Generator'!W184="FALSE","",IF('Logical Group Generator'!B184="OTP_RSVD_38_03","",'Logical Group Generator'!B184))</f>
        <v/>
      </c>
      <c r="T184" s="157" t="e">
        <f>MATCH(U184,'Logical Group Generator'!B:B,0)</f>
        <v>#NUM!</v>
      </c>
      <c r="U184" s="157" t="e">
        <f t="array" ref="U184">IF(ROWS($3:184)&lt;=COUNTA($R$3:$R$902),INDEX($R$3:$R$902,SMALL(IF($R$3:$R$902&lt;&gt;"",ROW($R$3:$R$902)-MIN(ROW($R$3:$R$902))+1),ROWS($3:184))),"")</f>
        <v>#NUM!</v>
      </c>
      <c r="W184" s="157" t="e">
        <f>IF(INDEX('Logical Group Generator'!W:W,MATCH(U184,'Logical Group Generator'!B:B,0))="REGISTER","REGISTER","BIT")</f>
        <v>#NUM!</v>
      </c>
    </row>
    <row r="185" spans="2:23">
      <c r="B185" s="157" t="str">
        <f>IF(ISERROR(T186),"",CONCATENATE(IF(W186="BIT",$M$2,$M$1),U186,$M$3,BIN2HEX(IF(W186="BIT",INDEX('Logical Group Generator'!H:H,'Script Generator'!T186),INDEX('Logical Group Generator'!L:L,'Script Generator'!T186)),2),IF(ISERROR(T187),$M$5,$M$4)))</f>
        <v/>
      </c>
      <c r="D185" s="215"/>
      <c r="R185" s="215" t="str">
        <f>IF('Logical Group Generator'!W185="FALSE","",IF('Logical Group Generator'!B185="OTP_RSVD_38_03","",'Logical Group Generator'!B185))</f>
        <v/>
      </c>
      <c r="T185" s="157" t="e">
        <f>MATCH(U185,'Logical Group Generator'!B:B,0)</f>
        <v>#NUM!</v>
      </c>
      <c r="U185" s="157" t="e">
        <f t="array" ref="U185">IF(ROWS($3:185)&lt;=COUNTA($R$3:$R$902),INDEX($R$3:$R$902,SMALL(IF($R$3:$R$902&lt;&gt;"",ROW($R$3:$R$902)-MIN(ROW($R$3:$R$902))+1),ROWS($3:185))),"")</f>
        <v>#NUM!</v>
      </c>
      <c r="W185" s="157" t="e">
        <f>IF(INDEX('Logical Group Generator'!W:W,MATCH(U185,'Logical Group Generator'!B:B,0))="REGISTER","REGISTER","BIT")</f>
        <v>#NUM!</v>
      </c>
    </row>
    <row r="186" spans="2:23">
      <c r="B186" s="157" t="str">
        <f>IF(ISERROR(T187),"",CONCATENATE(IF(W187="BIT",$M$2,$M$1),U187,$M$3,BIN2HEX(IF(W187="BIT",INDEX('Logical Group Generator'!H:H,'Script Generator'!T187),INDEX('Logical Group Generator'!L:L,'Script Generator'!T187)),2),IF(ISERROR(T188),$M$5,$M$4)))</f>
        <v/>
      </c>
      <c r="D186" s="215"/>
      <c r="R186" s="215" t="str">
        <f>IF('Logical Group Generator'!W186="FALSE","",IF('Logical Group Generator'!B186="OTP_RSVD_38_03","",'Logical Group Generator'!B186))</f>
        <v/>
      </c>
      <c r="T186" s="157" t="e">
        <f>MATCH(U186,'Logical Group Generator'!B:B,0)</f>
        <v>#NUM!</v>
      </c>
      <c r="U186" s="157" t="e">
        <f t="array" ref="U186">IF(ROWS($3:186)&lt;=COUNTA($R$3:$R$902),INDEX($R$3:$R$902,SMALL(IF($R$3:$R$902&lt;&gt;"",ROW($R$3:$R$902)-MIN(ROW($R$3:$R$902))+1),ROWS($3:186))),"")</f>
        <v>#NUM!</v>
      </c>
      <c r="W186" s="157" t="e">
        <f>IF(INDEX('Logical Group Generator'!W:W,MATCH(U186,'Logical Group Generator'!B:B,0))="REGISTER","REGISTER","BIT")</f>
        <v>#NUM!</v>
      </c>
    </row>
    <row r="187" spans="2:23">
      <c r="B187" s="157" t="str">
        <f>IF(ISERROR(T188),"",CONCATENATE(IF(W188="BIT",$M$2,$M$1),U188,$M$3,BIN2HEX(IF(W188="BIT",INDEX('Logical Group Generator'!H:H,'Script Generator'!T188),INDEX('Logical Group Generator'!L:L,'Script Generator'!T188)),2),IF(ISERROR(T189),$M$5,$M$4)))</f>
        <v/>
      </c>
      <c r="D187" s="215"/>
      <c r="R187" s="215" t="str">
        <f>IF('Logical Group Generator'!W187="FALSE","",IF('Logical Group Generator'!B187="OTP_RSVD_38_03","",'Logical Group Generator'!B187))</f>
        <v/>
      </c>
      <c r="T187" s="157" t="e">
        <f>MATCH(U187,'Logical Group Generator'!B:B,0)</f>
        <v>#NUM!</v>
      </c>
      <c r="U187" s="157" t="e">
        <f t="array" ref="U187">IF(ROWS($3:187)&lt;=COUNTA($R$3:$R$902),INDEX($R$3:$R$902,SMALL(IF($R$3:$R$902&lt;&gt;"",ROW($R$3:$R$902)-MIN(ROW($R$3:$R$902))+1),ROWS($3:187))),"")</f>
        <v>#NUM!</v>
      </c>
      <c r="W187" s="157" t="e">
        <f>IF(INDEX('Logical Group Generator'!W:W,MATCH(U187,'Logical Group Generator'!B:B,0))="REGISTER","REGISTER","BIT")</f>
        <v>#NUM!</v>
      </c>
    </row>
    <row r="188" spans="2:23">
      <c r="B188" s="157" t="str">
        <f>IF(ISERROR(T189),"",CONCATENATE(IF(W189="BIT",$M$2,$M$1),U189,$M$3,BIN2HEX(IF(W189="BIT",INDEX('Logical Group Generator'!H:H,'Script Generator'!T189),INDEX('Logical Group Generator'!L:L,'Script Generator'!T189)),2),IF(ISERROR(T190),$M$5,$M$4)))</f>
        <v/>
      </c>
      <c r="D188" s="215"/>
      <c r="R188" s="215" t="str">
        <f>IF('Logical Group Generator'!W188="FALSE","",IF('Logical Group Generator'!B188="OTP_RSVD_38_03","",'Logical Group Generator'!B188))</f>
        <v/>
      </c>
      <c r="T188" s="157" t="e">
        <f>MATCH(U188,'Logical Group Generator'!B:B,0)</f>
        <v>#NUM!</v>
      </c>
      <c r="U188" s="157" t="e">
        <f t="array" ref="U188">IF(ROWS($3:188)&lt;=COUNTA($R$3:$R$902),INDEX($R$3:$R$902,SMALL(IF($R$3:$R$902&lt;&gt;"",ROW($R$3:$R$902)-MIN(ROW($R$3:$R$902))+1),ROWS($3:188))),"")</f>
        <v>#NUM!</v>
      </c>
      <c r="W188" s="157" t="e">
        <f>IF(INDEX('Logical Group Generator'!W:W,MATCH(U188,'Logical Group Generator'!B:B,0))="REGISTER","REGISTER","BIT")</f>
        <v>#NUM!</v>
      </c>
    </row>
    <row r="189" spans="2:23">
      <c r="B189" s="157" t="str">
        <f>IF(ISERROR(T190),"",CONCATENATE(IF(W190="BIT",$M$2,$M$1),U190,$M$3,BIN2HEX(IF(W190="BIT",INDEX('Logical Group Generator'!H:H,'Script Generator'!T190),INDEX('Logical Group Generator'!L:L,'Script Generator'!T190)),2),IF(ISERROR(T191),$M$5,$M$4)))</f>
        <v/>
      </c>
      <c r="D189" s="215"/>
      <c r="R189" s="215" t="str">
        <f>IF('Logical Group Generator'!W189="FALSE","",IF('Logical Group Generator'!B189="OTP_RSVD_38_03","",'Logical Group Generator'!B189))</f>
        <v/>
      </c>
      <c r="T189" s="157" t="e">
        <f>MATCH(U189,'Logical Group Generator'!B:B,0)</f>
        <v>#NUM!</v>
      </c>
      <c r="U189" s="157" t="e">
        <f t="array" ref="U189">IF(ROWS($3:189)&lt;=COUNTA($R$3:$R$902),INDEX($R$3:$R$902,SMALL(IF($R$3:$R$902&lt;&gt;"",ROW($R$3:$R$902)-MIN(ROW($R$3:$R$902))+1),ROWS($3:189))),"")</f>
        <v>#NUM!</v>
      </c>
      <c r="W189" s="157" t="e">
        <f>IF(INDEX('Logical Group Generator'!W:W,MATCH(U189,'Logical Group Generator'!B:B,0))="REGISTER","REGISTER","BIT")</f>
        <v>#NUM!</v>
      </c>
    </row>
    <row r="190" spans="2:23">
      <c r="B190" s="157" t="str">
        <f>IF(ISERROR(T191),"",CONCATENATE(IF(W191="BIT",$M$2,$M$1),U191,$M$3,BIN2HEX(IF(W191="BIT",INDEX('Logical Group Generator'!H:H,'Script Generator'!T191),INDEX('Logical Group Generator'!L:L,'Script Generator'!T191)),2),IF(ISERROR(T192),$M$5,$M$4)))</f>
        <v/>
      </c>
      <c r="D190" s="215"/>
      <c r="R190" s="215" t="str">
        <f>IF('Logical Group Generator'!W190="FALSE","",IF('Logical Group Generator'!B190="OTP_RSVD_38_03","",'Logical Group Generator'!B190))</f>
        <v/>
      </c>
      <c r="T190" s="157" t="e">
        <f>MATCH(U190,'Logical Group Generator'!B:B,0)</f>
        <v>#NUM!</v>
      </c>
      <c r="U190" s="157" t="e">
        <f t="array" ref="U190">IF(ROWS($3:190)&lt;=COUNTA($R$3:$R$902),INDEX($R$3:$R$902,SMALL(IF($R$3:$R$902&lt;&gt;"",ROW($R$3:$R$902)-MIN(ROW($R$3:$R$902))+1),ROWS($3:190))),"")</f>
        <v>#NUM!</v>
      </c>
      <c r="W190" s="157" t="e">
        <f>IF(INDEX('Logical Group Generator'!W:W,MATCH(U190,'Logical Group Generator'!B:B,0))="REGISTER","REGISTER","BIT")</f>
        <v>#NUM!</v>
      </c>
    </row>
    <row r="191" spans="2:23">
      <c r="B191" s="157" t="str">
        <f>IF(ISERROR(T192),"",CONCATENATE(IF(W192="BIT",$M$2,$M$1),U192,$M$3,BIN2HEX(IF(W192="BIT",INDEX('Logical Group Generator'!H:H,'Script Generator'!T192),INDEX('Logical Group Generator'!L:L,'Script Generator'!T192)),2),IF(ISERROR(T193),$M$5,$M$4)))</f>
        <v/>
      </c>
      <c r="D191" s="215"/>
      <c r="R191" s="215" t="str">
        <f>IF('Logical Group Generator'!W191="FALSE","",IF('Logical Group Generator'!B191="OTP_RSVD_38_03","",'Logical Group Generator'!B191))</f>
        <v/>
      </c>
      <c r="T191" s="157" t="e">
        <f>MATCH(U191,'Logical Group Generator'!B:B,0)</f>
        <v>#NUM!</v>
      </c>
      <c r="U191" s="157" t="e">
        <f t="array" ref="U191">IF(ROWS($3:191)&lt;=COUNTA($R$3:$R$902),INDEX($R$3:$R$902,SMALL(IF($R$3:$R$902&lt;&gt;"",ROW($R$3:$R$902)-MIN(ROW($R$3:$R$902))+1),ROWS($3:191))),"")</f>
        <v>#NUM!</v>
      </c>
      <c r="W191" s="157" t="e">
        <f>IF(INDEX('Logical Group Generator'!W:W,MATCH(U191,'Logical Group Generator'!B:B,0))="REGISTER","REGISTER","BIT")</f>
        <v>#NUM!</v>
      </c>
    </row>
    <row r="192" spans="2:23">
      <c r="B192" s="157" t="str">
        <f>IF(ISERROR(T193),"",CONCATENATE(IF(W193="BIT",$M$2,$M$1),U193,$M$3,BIN2HEX(IF(W193="BIT",INDEX('Logical Group Generator'!H:H,'Script Generator'!T193),INDEX('Logical Group Generator'!L:L,'Script Generator'!T193)),2),IF(ISERROR(T194),$M$5,$M$4)))</f>
        <v/>
      </c>
      <c r="D192" s="215"/>
      <c r="R192" s="215" t="str">
        <f>IF('Logical Group Generator'!W192="FALSE","",IF('Logical Group Generator'!B192="OTP_RSVD_38_03","",'Logical Group Generator'!B192))</f>
        <v>GPO1PG_CTRL2</v>
      </c>
      <c r="T192" s="157" t="e">
        <f>MATCH(U192,'Logical Group Generator'!B:B,0)</f>
        <v>#NUM!</v>
      </c>
      <c r="U192" s="157" t="e">
        <f t="array" ref="U192">IF(ROWS($3:192)&lt;=COUNTA($R$3:$R$902),INDEX($R$3:$R$902,SMALL(IF($R$3:$R$902&lt;&gt;"",ROW($R$3:$R$902)-MIN(ROW($R$3:$R$902))+1),ROWS($3:192))),"")</f>
        <v>#NUM!</v>
      </c>
      <c r="W192" s="157" t="e">
        <f>IF(INDEX('Logical Group Generator'!W:W,MATCH(U192,'Logical Group Generator'!B:B,0))="REGISTER","REGISTER","BIT")</f>
        <v>#NUM!</v>
      </c>
    </row>
    <row r="193" spans="2:23">
      <c r="B193" s="157" t="str">
        <f>IF(ISERROR(T194),"",CONCATENATE(IF(W194="BIT",$M$2,$M$1),U194,$M$3,BIN2HEX(IF(W194="BIT",INDEX('Logical Group Generator'!H:H,'Script Generator'!T194),INDEX('Logical Group Generator'!L:L,'Script Generator'!T194)),2),IF(ISERROR(T195),$M$5,$M$4)))</f>
        <v/>
      </c>
      <c r="D193" s="215"/>
      <c r="R193" s="215" t="str">
        <f>IF('Logical Group Generator'!W193="FALSE","",IF('Logical Group Generator'!B193="OTP_RSVD_38_03","",'Logical Group Generator'!B193))</f>
        <v/>
      </c>
      <c r="T193" s="157" t="e">
        <f>MATCH(U193,'Logical Group Generator'!B:B,0)</f>
        <v>#NUM!</v>
      </c>
      <c r="U193" s="157" t="e">
        <f t="array" ref="U193">IF(ROWS($3:193)&lt;=COUNTA($R$3:$R$902),INDEX($R$3:$R$902,SMALL(IF($R$3:$R$902&lt;&gt;"",ROW($R$3:$R$902)-MIN(ROW($R$3:$R$902))+1),ROWS($3:193))),"")</f>
        <v>#NUM!</v>
      </c>
      <c r="W193" s="157" t="e">
        <f>IF(INDEX('Logical Group Generator'!W:W,MATCH(U193,'Logical Group Generator'!B:B,0))="REGISTER","REGISTER","BIT")</f>
        <v>#NUM!</v>
      </c>
    </row>
    <row r="194" spans="2:23">
      <c r="B194" s="157" t="str">
        <f>IF(ISERROR(T195),"",CONCATENATE(IF(W195="BIT",$M$2,$M$1),U195,$M$3,BIN2HEX(IF(W195="BIT",INDEX('Logical Group Generator'!H:H,'Script Generator'!T195),INDEX('Logical Group Generator'!L:L,'Script Generator'!T195)),2),IF(ISERROR(T196),$M$5,$M$4)))</f>
        <v/>
      </c>
      <c r="D194" s="215"/>
      <c r="R194" s="215" t="str">
        <f>IF('Logical Group Generator'!W194="FALSE","",IF('Logical Group Generator'!B194="OTP_RSVD_38_03","",'Logical Group Generator'!B194))</f>
        <v/>
      </c>
      <c r="T194" s="157" t="e">
        <f>MATCH(U194,'Logical Group Generator'!B:B,0)</f>
        <v>#NUM!</v>
      </c>
      <c r="U194" s="157" t="e">
        <f t="array" ref="U194">IF(ROWS($3:194)&lt;=COUNTA($R$3:$R$902),INDEX($R$3:$R$902,SMALL(IF($R$3:$R$902&lt;&gt;"",ROW($R$3:$R$902)-MIN(ROW($R$3:$R$902))+1),ROWS($3:194))),"")</f>
        <v>#NUM!</v>
      </c>
      <c r="W194" s="157" t="e">
        <f>IF(INDEX('Logical Group Generator'!W:W,MATCH(U194,'Logical Group Generator'!B:B,0))="REGISTER","REGISTER","BIT")</f>
        <v>#NUM!</v>
      </c>
    </row>
    <row r="195" spans="2:23">
      <c r="B195" s="157" t="str">
        <f>IF(ISERROR(T196),"",CONCATENATE(IF(W196="BIT",$M$2,$M$1),U196,$M$3,BIN2HEX(IF(W196="BIT",INDEX('Logical Group Generator'!H:H,'Script Generator'!T196),INDEX('Logical Group Generator'!L:L,'Script Generator'!T196)),2),IF(ISERROR(T197),$M$5,$M$4)))</f>
        <v/>
      </c>
      <c r="D195" s="215"/>
      <c r="R195" s="215" t="str">
        <f>IF('Logical Group Generator'!W195="FALSE","",IF('Logical Group Generator'!B195="OTP_RSVD_38_03","",'Logical Group Generator'!B195))</f>
        <v/>
      </c>
      <c r="T195" s="157" t="e">
        <f>MATCH(U195,'Logical Group Generator'!B:B,0)</f>
        <v>#NUM!</v>
      </c>
      <c r="U195" s="157" t="e">
        <f t="array" ref="U195">IF(ROWS($3:195)&lt;=COUNTA($R$3:$R$902),INDEX($R$3:$R$902,SMALL(IF($R$3:$R$902&lt;&gt;"",ROW($R$3:$R$902)-MIN(ROW($R$3:$R$902))+1),ROWS($3:195))),"")</f>
        <v>#NUM!</v>
      </c>
      <c r="W195" s="157" t="e">
        <f>IF(INDEX('Logical Group Generator'!W:W,MATCH(U195,'Logical Group Generator'!B:B,0))="REGISTER","REGISTER","BIT")</f>
        <v>#NUM!</v>
      </c>
    </row>
    <row r="196" spans="2:23">
      <c r="B196" s="157" t="str">
        <f>IF(ISERROR(T197),"",CONCATENATE(IF(W197="BIT",$M$2,$M$1),U197,$M$3,BIN2HEX(IF(W197="BIT",INDEX('Logical Group Generator'!H:H,'Script Generator'!T197),INDEX('Logical Group Generator'!L:L,'Script Generator'!T197)),2),IF(ISERROR(T198),$M$5,$M$4)))</f>
        <v/>
      </c>
      <c r="D196" s="215"/>
      <c r="R196" s="215" t="str">
        <f>IF('Logical Group Generator'!W196="FALSE","",IF('Logical Group Generator'!B196="OTP_RSVD_38_03","",'Logical Group Generator'!B196))</f>
        <v/>
      </c>
      <c r="T196" s="157" t="e">
        <f>MATCH(U196,'Logical Group Generator'!B:B,0)</f>
        <v>#NUM!</v>
      </c>
      <c r="U196" s="157" t="e">
        <f t="array" ref="U196">IF(ROWS($3:196)&lt;=COUNTA($R$3:$R$902),INDEX($R$3:$R$902,SMALL(IF($R$3:$R$902&lt;&gt;"",ROW($R$3:$R$902)-MIN(ROW($R$3:$R$902))+1),ROWS($3:196))),"")</f>
        <v>#NUM!</v>
      </c>
      <c r="W196" s="157" t="e">
        <f>IF(INDEX('Logical Group Generator'!W:W,MATCH(U196,'Logical Group Generator'!B:B,0))="REGISTER","REGISTER","BIT")</f>
        <v>#NUM!</v>
      </c>
    </row>
    <row r="197" spans="2:23">
      <c r="B197" s="157" t="str">
        <f>IF(ISERROR(T198),"",CONCATENATE(IF(W198="BIT",$M$2,$M$1),U198,$M$3,BIN2HEX(IF(W198="BIT",INDEX('Logical Group Generator'!H:H,'Script Generator'!T198),INDEX('Logical Group Generator'!L:L,'Script Generator'!T198)),2),IF(ISERROR(T199),$M$5,$M$4)))</f>
        <v/>
      </c>
      <c r="D197" s="215"/>
      <c r="R197" s="215" t="str">
        <f>IF('Logical Group Generator'!W197="FALSE","",IF('Logical Group Generator'!B197="OTP_RSVD_38_03","",'Logical Group Generator'!B197))</f>
        <v/>
      </c>
      <c r="T197" s="157" t="e">
        <f>MATCH(U197,'Logical Group Generator'!B:B,0)</f>
        <v>#NUM!</v>
      </c>
      <c r="U197" s="157" t="e">
        <f t="array" ref="U197">IF(ROWS($3:197)&lt;=COUNTA($R$3:$R$902),INDEX($R$3:$R$902,SMALL(IF($R$3:$R$902&lt;&gt;"",ROW($R$3:$R$902)-MIN(ROW($R$3:$R$902))+1),ROWS($3:197))),"")</f>
        <v>#NUM!</v>
      </c>
      <c r="W197" s="157" t="e">
        <f>IF(INDEX('Logical Group Generator'!W:W,MATCH(U197,'Logical Group Generator'!B:B,0))="REGISTER","REGISTER","BIT")</f>
        <v>#NUM!</v>
      </c>
    </row>
    <row r="198" spans="2:23">
      <c r="B198" s="157" t="str">
        <f>IF(ISERROR(T199),"",CONCATENATE(IF(W199="BIT",$M$2,$M$1),U199,$M$3,BIN2HEX(IF(W199="BIT",INDEX('Logical Group Generator'!H:H,'Script Generator'!T199),INDEX('Logical Group Generator'!L:L,'Script Generator'!T199)),2),IF(ISERROR(T200),$M$5,$M$4)))</f>
        <v/>
      </c>
      <c r="D198" s="215"/>
      <c r="R198" s="215" t="str">
        <f>IF('Logical Group Generator'!W198="FALSE","",IF('Logical Group Generator'!B198="OTP_RSVD_38_03","",'Logical Group Generator'!B198))</f>
        <v/>
      </c>
      <c r="T198" s="157" t="e">
        <f>MATCH(U198,'Logical Group Generator'!B:B,0)</f>
        <v>#NUM!</v>
      </c>
      <c r="U198" s="157" t="e">
        <f t="array" ref="U198">IF(ROWS($3:198)&lt;=COUNTA($R$3:$R$902),INDEX($R$3:$R$902,SMALL(IF($R$3:$R$902&lt;&gt;"",ROW($R$3:$R$902)-MIN(ROW($R$3:$R$902))+1),ROWS($3:198))),"")</f>
        <v>#NUM!</v>
      </c>
      <c r="W198" s="157" t="e">
        <f>IF(INDEX('Logical Group Generator'!W:W,MATCH(U198,'Logical Group Generator'!B:B,0))="REGISTER","REGISTER","BIT")</f>
        <v>#NUM!</v>
      </c>
    </row>
    <row r="199" spans="2:23">
      <c r="B199" s="157" t="str">
        <f>IF(ISERROR(T200),"",CONCATENATE(IF(W200="BIT",$M$2,$M$1),U200,$M$3,BIN2HEX(IF(W200="BIT",INDEX('Logical Group Generator'!H:H,'Script Generator'!T200),INDEX('Logical Group Generator'!L:L,'Script Generator'!T200)),2),IF(ISERROR(T201),$M$5,$M$4)))</f>
        <v/>
      </c>
      <c r="D199" s="215"/>
      <c r="R199" s="215" t="str">
        <f>IF('Logical Group Generator'!W199="FALSE","",IF('Logical Group Generator'!B199="OTP_RSVD_38_03","",'Logical Group Generator'!B199))</f>
        <v/>
      </c>
      <c r="T199" s="157" t="e">
        <f>MATCH(U199,'Logical Group Generator'!B:B,0)</f>
        <v>#NUM!</v>
      </c>
      <c r="U199" s="157" t="e">
        <f t="array" ref="U199">IF(ROWS($3:199)&lt;=COUNTA($R$3:$R$902),INDEX($R$3:$R$902,SMALL(IF($R$3:$R$902&lt;&gt;"",ROW($R$3:$R$902)-MIN(ROW($R$3:$R$902))+1),ROWS($3:199))),"")</f>
        <v>#NUM!</v>
      </c>
      <c r="W199" s="157" t="e">
        <f>IF(INDEX('Logical Group Generator'!W:W,MATCH(U199,'Logical Group Generator'!B:B,0))="REGISTER","REGISTER","BIT")</f>
        <v>#NUM!</v>
      </c>
    </row>
    <row r="200" spans="2:23">
      <c r="B200" s="157" t="str">
        <f>IF(ISERROR(T201),"",CONCATENATE(IF(W201="BIT",$M$2,$M$1),U201,$M$3,BIN2HEX(IF(W201="BIT",INDEX('Logical Group Generator'!H:H,'Script Generator'!T201),INDEX('Logical Group Generator'!L:L,'Script Generator'!T201)),2),IF(ISERROR(T202),$M$5,$M$4)))</f>
        <v/>
      </c>
      <c r="D200" s="215"/>
      <c r="R200" s="215" t="str">
        <f>IF('Logical Group Generator'!W200="FALSE","",IF('Logical Group Generator'!B200="OTP_RSVD_38_03","",'Logical Group Generator'!B200))</f>
        <v/>
      </c>
      <c r="T200" s="157" t="e">
        <f>MATCH(U200,'Logical Group Generator'!B:B,0)</f>
        <v>#NUM!</v>
      </c>
      <c r="U200" s="157" t="e">
        <f t="array" ref="U200">IF(ROWS($3:200)&lt;=COUNTA($R$3:$R$902),INDEX($R$3:$R$902,SMALL(IF($R$3:$R$902&lt;&gt;"",ROW($R$3:$R$902)-MIN(ROW($R$3:$R$902))+1),ROWS($3:200))),"")</f>
        <v>#NUM!</v>
      </c>
      <c r="W200" s="157" t="e">
        <f>IF(INDEX('Logical Group Generator'!W:W,MATCH(U200,'Logical Group Generator'!B:B,0))="REGISTER","REGISTER","BIT")</f>
        <v>#NUM!</v>
      </c>
    </row>
    <row r="201" spans="2:23">
      <c r="B201" s="157" t="str">
        <f>IF(ISERROR(T202),"",CONCATENATE(IF(W202="BIT",$M$2,$M$1),U202,$M$3,BIN2HEX(IF(W202="BIT",INDEX('Logical Group Generator'!H:H,'Script Generator'!T202),INDEX('Logical Group Generator'!L:L,'Script Generator'!T202)),2),IF(ISERROR(T203),$M$5,$M$4)))</f>
        <v/>
      </c>
      <c r="D201" s="215"/>
      <c r="R201" s="215" t="str">
        <f>IF('Logical Group Generator'!W201="FALSE","",IF('Logical Group Generator'!B201="OTP_RSVD_38_03","",'Logical Group Generator'!B201))</f>
        <v>GPO4PG_CTRL1</v>
      </c>
      <c r="T201" s="157" t="e">
        <f>MATCH(U201,'Logical Group Generator'!B:B,0)</f>
        <v>#NUM!</v>
      </c>
      <c r="U201" s="157" t="e">
        <f t="array" ref="U201">IF(ROWS($3:201)&lt;=COUNTA($R$3:$R$902),INDEX($R$3:$R$902,SMALL(IF($R$3:$R$902&lt;&gt;"",ROW($R$3:$R$902)-MIN(ROW($R$3:$R$902))+1),ROWS($3:201))),"")</f>
        <v>#NUM!</v>
      </c>
      <c r="W201" s="157" t="e">
        <f>IF(INDEX('Logical Group Generator'!W:W,MATCH(U201,'Logical Group Generator'!B:B,0))="REGISTER","REGISTER","BIT")</f>
        <v>#NUM!</v>
      </c>
    </row>
    <row r="202" spans="2:23">
      <c r="B202" s="157" t="str">
        <f>IF(ISERROR(T203),"",CONCATENATE(IF(W203="BIT",$M$2,$M$1),U203,$M$3,BIN2HEX(IF(W203="BIT",INDEX('Logical Group Generator'!H:H,'Script Generator'!T203),INDEX('Logical Group Generator'!L:L,'Script Generator'!T203)),2),IF(ISERROR(T204),$M$5,$M$4)))</f>
        <v/>
      </c>
      <c r="D202" s="215"/>
      <c r="R202" s="215" t="str">
        <f>IF('Logical Group Generator'!W202="FALSE","",IF('Logical Group Generator'!B202="OTP_RSVD_38_03","",'Logical Group Generator'!B202))</f>
        <v/>
      </c>
      <c r="T202" s="157" t="e">
        <f>MATCH(U202,'Logical Group Generator'!B:B,0)</f>
        <v>#NUM!</v>
      </c>
      <c r="U202" s="157" t="e">
        <f t="array" ref="U202">IF(ROWS($3:202)&lt;=COUNTA($R$3:$R$902),INDEX($R$3:$R$902,SMALL(IF($R$3:$R$902&lt;&gt;"",ROW($R$3:$R$902)-MIN(ROW($R$3:$R$902))+1),ROWS($3:202))),"")</f>
        <v>#NUM!</v>
      </c>
      <c r="W202" s="157" t="e">
        <f>IF(INDEX('Logical Group Generator'!W:W,MATCH(U202,'Logical Group Generator'!B:B,0))="REGISTER","REGISTER","BIT")</f>
        <v>#NUM!</v>
      </c>
    </row>
    <row r="203" spans="2:23">
      <c r="B203" s="157" t="str">
        <f>IF(ISERROR(T204),"",CONCATENATE(IF(W204="BIT",$M$2,$M$1),U204,$M$3,BIN2HEX(IF(W204="BIT",INDEX('Logical Group Generator'!H:H,'Script Generator'!T204),INDEX('Logical Group Generator'!L:L,'Script Generator'!T204)),2),IF(ISERROR(T205),$M$5,$M$4)))</f>
        <v/>
      </c>
      <c r="D203" s="215"/>
      <c r="R203" s="215" t="str">
        <f>IF('Logical Group Generator'!W203="FALSE","",IF('Logical Group Generator'!B203="OTP_RSVD_38_03","",'Logical Group Generator'!B203))</f>
        <v/>
      </c>
      <c r="T203" s="157" t="e">
        <f>MATCH(U203,'Logical Group Generator'!B:B,0)</f>
        <v>#NUM!</v>
      </c>
      <c r="U203" s="157" t="e">
        <f t="array" ref="U203">IF(ROWS($3:203)&lt;=COUNTA($R$3:$R$902),INDEX($R$3:$R$902,SMALL(IF($R$3:$R$902&lt;&gt;"",ROW($R$3:$R$902)-MIN(ROW($R$3:$R$902))+1),ROWS($3:203))),"")</f>
        <v>#NUM!</v>
      </c>
      <c r="W203" s="157" t="e">
        <f>IF(INDEX('Logical Group Generator'!W:W,MATCH(U203,'Logical Group Generator'!B:B,0))="REGISTER","REGISTER","BIT")</f>
        <v>#NUM!</v>
      </c>
    </row>
    <row r="204" spans="2:23">
      <c r="B204" s="157" t="str">
        <f>IF(ISERROR(T205),"",CONCATENATE(IF(W205="BIT",$M$2,$M$1),U205,$M$3,BIN2HEX(IF(W205="BIT",INDEX('Logical Group Generator'!H:H,'Script Generator'!T205),INDEX('Logical Group Generator'!L:L,'Script Generator'!T205)),2),IF(ISERROR(T206),$M$5,$M$4)))</f>
        <v/>
      </c>
      <c r="D204" s="215"/>
      <c r="R204" s="215" t="str">
        <f>IF('Logical Group Generator'!W204="FALSE","",IF('Logical Group Generator'!B204="OTP_RSVD_38_03","",'Logical Group Generator'!B204))</f>
        <v/>
      </c>
      <c r="T204" s="157" t="e">
        <f>MATCH(U204,'Logical Group Generator'!B:B,0)</f>
        <v>#NUM!</v>
      </c>
      <c r="U204" s="157" t="e">
        <f t="array" ref="U204">IF(ROWS($3:204)&lt;=COUNTA($R$3:$R$902),INDEX($R$3:$R$902,SMALL(IF($R$3:$R$902&lt;&gt;"",ROW($R$3:$R$902)-MIN(ROW($R$3:$R$902))+1),ROWS($3:204))),"")</f>
        <v>#NUM!</v>
      </c>
      <c r="W204" s="157" t="e">
        <f>IF(INDEX('Logical Group Generator'!W:W,MATCH(U204,'Logical Group Generator'!B:B,0))="REGISTER","REGISTER","BIT")</f>
        <v>#NUM!</v>
      </c>
    </row>
    <row r="205" spans="2:23">
      <c r="B205" s="157" t="str">
        <f>IF(ISERROR(T206),"",CONCATENATE(IF(W206="BIT",$M$2,$M$1),U206,$M$3,BIN2HEX(IF(W206="BIT",INDEX('Logical Group Generator'!H:H,'Script Generator'!T206),INDEX('Logical Group Generator'!L:L,'Script Generator'!T206)),2),IF(ISERROR(T207),$M$5,$M$4)))</f>
        <v/>
      </c>
      <c r="D205" s="215"/>
      <c r="R205" s="215" t="str">
        <f>IF('Logical Group Generator'!W205="FALSE","",IF('Logical Group Generator'!B205="OTP_RSVD_38_03","",'Logical Group Generator'!B205))</f>
        <v/>
      </c>
      <c r="T205" s="157" t="e">
        <f>MATCH(U205,'Logical Group Generator'!B:B,0)</f>
        <v>#NUM!</v>
      </c>
      <c r="U205" s="157" t="e">
        <f t="array" ref="U205">IF(ROWS($3:205)&lt;=COUNTA($R$3:$R$902),INDEX($R$3:$R$902,SMALL(IF($R$3:$R$902&lt;&gt;"",ROW($R$3:$R$902)-MIN(ROW($R$3:$R$902))+1),ROWS($3:205))),"")</f>
        <v>#NUM!</v>
      </c>
      <c r="W205" s="157" t="e">
        <f>IF(INDEX('Logical Group Generator'!W:W,MATCH(U205,'Logical Group Generator'!B:B,0))="REGISTER","REGISTER","BIT")</f>
        <v>#NUM!</v>
      </c>
    </row>
    <row r="206" spans="2:23">
      <c r="B206" s="157" t="str">
        <f>IF(ISERROR(T207),"",CONCATENATE(IF(W207="BIT",$M$2,$M$1),U207,$M$3,BIN2HEX(IF(W207="BIT",INDEX('Logical Group Generator'!H:H,'Script Generator'!T207),INDEX('Logical Group Generator'!L:L,'Script Generator'!T207)),2),IF(ISERROR(T208),$M$5,$M$4)))</f>
        <v/>
      </c>
      <c r="D206" s="215"/>
      <c r="R206" s="215" t="str">
        <f>IF('Logical Group Generator'!W206="FALSE","",IF('Logical Group Generator'!B206="OTP_RSVD_38_03","",'Logical Group Generator'!B206))</f>
        <v/>
      </c>
      <c r="T206" s="157" t="e">
        <f>MATCH(U206,'Logical Group Generator'!B:B,0)</f>
        <v>#NUM!</v>
      </c>
      <c r="U206" s="157" t="e">
        <f t="array" ref="U206">IF(ROWS($3:206)&lt;=COUNTA($R$3:$R$902),INDEX($R$3:$R$902,SMALL(IF($R$3:$R$902&lt;&gt;"",ROW($R$3:$R$902)-MIN(ROW($R$3:$R$902))+1),ROWS($3:206))),"")</f>
        <v>#NUM!</v>
      </c>
      <c r="W206" s="157" t="e">
        <f>IF(INDEX('Logical Group Generator'!W:W,MATCH(U206,'Logical Group Generator'!B:B,0))="REGISTER","REGISTER","BIT")</f>
        <v>#NUM!</v>
      </c>
    </row>
    <row r="207" spans="2:23">
      <c r="B207" s="157" t="str">
        <f>IF(ISERROR(T208),"",CONCATENATE(IF(W208="BIT",$M$2,$M$1),U208,$M$3,BIN2HEX(IF(W208="BIT",INDEX('Logical Group Generator'!H:H,'Script Generator'!T208),INDEX('Logical Group Generator'!L:L,'Script Generator'!T208)),2),IF(ISERROR(T209),$M$5,$M$4)))</f>
        <v/>
      </c>
      <c r="D207" s="215"/>
      <c r="R207" s="215" t="str">
        <f>IF('Logical Group Generator'!W207="FALSE","",IF('Logical Group Generator'!B207="OTP_RSVD_38_03","",'Logical Group Generator'!B207))</f>
        <v/>
      </c>
      <c r="T207" s="157" t="e">
        <f>MATCH(U207,'Logical Group Generator'!B:B,0)</f>
        <v>#NUM!</v>
      </c>
      <c r="U207" s="157" t="e">
        <f t="array" ref="U207">IF(ROWS($3:207)&lt;=COUNTA($R$3:$R$902),INDEX($R$3:$R$902,SMALL(IF($R$3:$R$902&lt;&gt;"",ROW($R$3:$R$902)-MIN(ROW($R$3:$R$902))+1),ROWS($3:207))),"")</f>
        <v>#NUM!</v>
      </c>
      <c r="W207" s="157" t="e">
        <f>IF(INDEX('Logical Group Generator'!W:W,MATCH(U207,'Logical Group Generator'!B:B,0))="REGISTER","REGISTER","BIT")</f>
        <v>#NUM!</v>
      </c>
    </row>
    <row r="208" spans="2:23">
      <c r="B208" s="157" t="str">
        <f>IF(ISERROR(T209),"",CONCATENATE(IF(W209="BIT",$M$2,$M$1),U209,$M$3,BIN2HEX(IF(W209="BIT",INDEX('Logical Group Generator'!H:H,'Script Generator'!T209),INDEX('Logical Group Generator'!L:L,'Script Generator'!T209)),2),IF(ISERROR(T210),$M$5,$M$4)))</f>
        <v/>
      </c>
      <c r="D208" s="215"/>
      <c r="R208" s="215" t="str">
        <f>IF('Logical Group Generator'!W208="FALSE","",IF('Logical Group Generator'!B208="OTP_RSVD_38_03","",'Logical Group Generator'!B208))</f>
        <v/>
      </c>
      <c r="T208" s="157" t="e">
        <f>MATCH(U208,'Logical Group Generator'!B:B,0)</f>
        <v>#NUM!</v>
      </c>
      <c r="U208" s="157" t="e">
        <f t="array" ref="U208">IF(ROWS($3:208)&lt;=COUNTA($R$3:$R$902),INDEX($R$3:$R$902,SMALL(IF($R$3:$R$902&lt;&gt;"",ROW($R$3:$R$902)-MIN(ROW($R$3:$R$902))+1),ROWS($3:208))),"")</f>
        <v>#NUM!</v>
      </c>
      <c r="W208" s="157" t="e">
        <f>IF(INDEX('Logical Group Generator'!W:W,MATCH(U208,'Logical Group Generator'!B:B,0))="REGISTER","REGISTER","BIT")</f>
        <v>#NUM!</v>
      </c>
    </row>
    <row r="209" spans="2:23">
      <c r="B209" s="157" t="str">
        <f>IF(ISERROR(T210),"",CONCATENATE(IF(W210="BIT",$M$2,$M$1),U210,$M$3,BIN2HEX(IF(W210="BIT",INDEX('Logical Group Generator'!H:H,'Script Generator'!T210),INDEX('Logical Group Generator'!L:L,'Script Generator'!T210)),2),IF(ISERROR(T211),$M$5,$M$4)))</f>
        <v/>
      </c>
      <c r="D209" s="215"/>
      <c r="R209" s="215" t="str">
        <f>IF('Logical Group Generator'!W209="FALSE","",IF('Logical Group Generator'!B209="OTP_RSVD_38_03","",'Logical Group Generator'!B209))</f>
        <v/>
      </c>
      <c r="T209" s="157" t="e">
        <f>MATCH(U209,'Logical Group Generator'!B:B,0)</f>
        <v>#NUM!</v>
      </c>
      <c r="U209" s="157" t="e">
        <f t="array" ref="U209">IF(ROWS($3:209)&lt;=COUNTA($R$3:$R$902),INDEX($R$3:$R$902,SMALL(IF($R$3:$R$902&lt;&gt;"",ROW($R$3:$R$902)-MIN(ROW($R$3:$R$902))+1),ROWS($3:209))),"")</f>
        <v>#NUM!</v>
      </c>
      <c r="W209" s="157" t="e">
        <f>IF(INDEX('Logical Group Generator'!W:W,MATCH(U209,'Logical Group Generator'!B:B,0))="REGISTER","REGISTER","BIT")</f>
        <v>#NUM!</v>
      </c>
    </row>
    <row r="210" spans="2:23">
      <c r="B210" s="157" t="str">
        <f>IF(ISERROR(T211),"",CONCATENATE(IF(W211="BIT",$M$2,$M$1),U211,$M$3,BIN2HEX(IF(W211="BIT",INDEX('Logical Group Generator'!H:H,'Script Generator'!T211),INDEX('Logical Group Generator'!L:L,'Script Generator'!T211)),2),IF(ISERROR(T212),$M$5,$M$4)))</f>
        <v/>
      </c>
      <c r="D210" s="215"/>
      <c r="R210" s="215" t="str">
        <f>IF('Logical Group Generator'!W210="FALSE","",IF('Logical Group Generator'!B210="OTP_RSVD_38_03","",'Logical Group Generator'!B210))</f>
        <v>GPO4PG_CTRL2</v>
      </c>
      <c r="T210" s="157" t="e">
        <f>MATCH(U210,'Logical Group Generator'!B:B,0)</f>
        <v>#NUM!</v>
      </c>
      <c r="U210" s="157" t="e">
        <f t="array" ref="U210">IF(ROWS($3:210)&lt;=COUNTA($R$3:$R$902),INDEX($R$3:$R$902,SMALL(IF($R$3:$R$902&lt;&gt;"",ROW($R$3:$R$902)-MIN(ROW($R$3:$R$902))+1),ROWS($3:210))),"")</f>
        <v>#NUM!</v>
      </c>
      <c r="W210" s="157" t="e">
        <f>IF(INDEX('Logical Group Generator'!W:W,MATCH(U210,'Logical Group Generator'!B:B,0))="REGISTER","REGISTER","BIT")</f>
        <v>#NUM!</v>
      </c>
    </row>
    <row r="211" spans="2:23">
      <c r="B211" s="157" t="str">
        <f>IF(ISERROR(T212),"",CONCATENATE(IF(W212="BIT",$M$2,$M$1),U212,$M$3,BIN2HEX(IF(W212="BIT",INDEX('Logical Group Generator'!H:H,'Script Generator'!T212),INDEX('Logical Group Generator'!L:L,'Script Generator'!T212)),2),IF(ISERROR(T213),$M$5,$M$4)))</f>
        <v/>
      </c>
      <c r="D211" s="215"/>
      <c r="R211" s="215" t="str">
        <f>IF('Logical Group Generator'!W211="FALSE","",IF('Logical Group Generator'!B211="OTP_RSVD_38_03","",'Logical Group Generator'!B211))</f>
        <v/>
      </c>
      <c r="T211" s="157" t="e">
        <f>MATCH(U211,'Logical Group Generator'!B:B,0)</f>
        <v>#NUM!</v>
      </c>
      <c r="U211" s="157" t="e">
        <f t="array" ref="U211">IF(ROWS($3:211)&lt;=COUNTA($R$3:$R$902),INDEX($R$3:$R$902,SMALL(IF($R$3:$R$902&lt;&gt;"",ROW($R$3:$R$902)-MIN(ROW($R$3:$R$902))+1),ROWS($3:211))),"")</f>
        <v>#NUM!</v>
      </c>
      <c r="W211" s="157" t="e">
        <f>IF(INDEX('Logical Group Generator'!W:W,MATCH(U211,'Logical Group Generator'!B:B,0))="REGISTER","REGISTER","BIT")</f>
        <v>#NUM!</v>
      </c>
    </row>
    <row r="212" spans="2:23">
      <c r="B212" s="157" t="str">
        <f>IF(ISERROR(T213),"",CONCATENATE(IF(W213="BIT",$M$2,$M$1),U213,$M$3,BIN2HEX(IF(W213="BIT",INDEX('Logical Group Generator'!H:H,'Script Generator'!T213),INDEX('Logical Group Generator'!L:L,'Script Generator'!T213)),2),IF(ISERROR(T214),$M$5,$M$4)))</f>
        <v/>
      </c>
      <c r="D212" s="215"/>
      <c r="R212" s="215" t="str">
        <f>IF('Logical Group Generator'!W212="FALSE","",IF('Logical Group Generator'!B212="OTP_RSVD_38_03","",'Logical Group Generator'!B212))</f>
        <v/>
      </c>
      <c r="T212" s="157" t="e">
        <f>MATCH(U212,'Logical Group Generator'!B:B,0)</f>
        <v>#NUM!</v>
      </c>
      <c r="U212" s="157" t="e">
        <f t="array" ref="U212">IF(ROWS($3:212)&lt;=COUNTA($R$3:$R$902),INDEX($R$3:$R$902,SMALL(IF($R$3:$R$902&lt;&gt;"",ROW($R$3:$R$902)-MIN(ROW($R$3:$R$902))+1),ROWS($3:212))),"")</f>
        <v>#NUM!</v>
      </c>
      <c r="W212" s="157" t="e">
        <f>IF(INDEX('Logical Group Generator'!W:W,MATCH(U212,'Logical Group Generator'!B:B,0))="REGISTER","REGISTER","BIT")</f>
        <v>#NUM!</v>
      </c>
    </row>
    <row r="213" spans="2:23">
      <c r="B213" s="157" t="str">
        <f>IF(ISERROR(T214),"",CONCATENATE(IF(W214="BIT",$M$2,$M$1),U214,$M$3,BIN2HEX(IF(W214="BIT",INDEX('Logical Group Generator'!H:H,'Script Generator'!T214),INDEX('Logical Group Generator'!L:L,'Script Generator'!T214)),2),IF(ISERROR(T215),$M$5,$M$4)))</f>
        <v/>
      </c>
      <c r="D213" s="215"/>
      <c r="R213" s="215" t="str">
        <f>IF('Logical Group Generator'!W213="FALSE","",IF('Logical Group Generator'!B213="OTP_RSVD_38_03","",'Logical Group Generator'!B213))</f>
        <v/>
      </c>
      <c r="T213" s="157" t="e">
        <f>MATCH(U213,'Logical Group Generator'!B:B,0)</f>
        <v>#NUM!</v>
      </c>
      <c r="U213" s="157" t="e">
        <f t="array" ref="U213">IF(ROWS($3:213)&lt;=COUNTA($R$3:$R$902),INDEX($R$3:$R$902,SMALL(IF($R$3:$R$902&lt;&gt;"",ROW($R$3:$R$902)-MIN(ROW($R$3:$R$902))+1),ROWS($3:213))),"")</f>
        <v>#NUM!</v>
      </c>
      <c r="W213" s="157" t="e">
        <f>IF(INDEX('Logical Group Generator'!W:W,MATCH(U213,'Logical Group Generator'!B:B,0))="REGISTER","REGISTER","BIT")</f>
        <v>#NUM!</v>
      </c>
    </row>
    <row r="214" spans="2:23">
      <c r="B214" s="157" t="str">
        <f>IF(ISERROR(T215),"",CONCATENATE(IF(W215="BIT",$M$2,$M$1),U215,$M$3,BIN2HEX(IF(W215="BIT",INDEX('Logical Group Generator'!H:H,'Script Generator'!T215),INDEX('Logical Group Generator'!L:L,'Script Generator'!T215)),2),IF(ISERROR(T216),$M$5,$M$4)))</f>
        <v/>
      </c>
      <c r="D214" s="215"/>
      <c r="R214" s="215" t="str">
        <f>IF('Logical Group Generator'!W214="FALSE","",IF('Logical Group Generator'!B214="OTP_RSVD_38_03","",'Logical Group Generator'!B214))</f>
        <v/>
      </c>
      <c r="T214" s="157" t="e">
        <f>MATCH(U214,'Logical Group Generator'!B:B,0)</f>
        <v>#NUM!</v>
      </c>
      <c r="U214" s="157" t="e">
        <f t="array" ref="U214">IF(ROWS($3:214)&lt;=COUNTA($R$3:$R$902),INDEX($R$3:$R$902,SMALL(IF($R$3:$R$902&lt;&gt;"",ROW($R$3:$R$902)-MIN(ROW($R$3:$R$902))+1),ROWS($3:214))),"")</f>
        <v>#NUM!</v>
      </c>
      <c r="W214" s="157" t="e">
        <f>IF(INDEX('Logical Group Generator'!W:W,MATCH(U214,'Logical Group Generator'!B:B,0))="REGISTER","REGISTER","BIT")</f>
        <v>#NUM!</v>
      </c>
    </row>
    <row r="215" spans="2:23">
      <c r="B215" s="157" t="str">
        <f>IF(ISERROR(T216),"",CONCATENATE(IF(W216="BIT",$M$2,$M$1),U216,$M$3,BIN2HEX(IF(W216="BIT",INDEX('Logical Group Generator'!H:H,'Script Generator'!T216),INDEX('Logical Group Generator'!L:L,'Script Generator'!T216)),2),IF(ISERROR(T217),$M$5,$M$4)))</f>
        <v/>
      </c>
      <c r="D215" s="215"/>
      <c r="R215" s="215" t="str">
        <f>IF('Logical Group Generator'!W215="FALSE","",IF('Logical Group Generator'!B215="OTP_RSVD_38_03","",'Logical Group Generator'!B215))</f>
        <v/>
      </c>
      <c r="T215" s="157" t="e">
        <f>MATCH(U215,'Logical Group Generator'!B:B,0)</f>
        <v>#NUM!</v>
      </c>
      <c r="U215" s="157" t="e">
        <f t="array" ref="U215">IF(ROWS($3:215)&lt;=COUNTA($R$3:$R$902),INDEX($R$3:$R$902,SMALL(IF($R$3:$R$902&lt;&gt;"",ROW($R$3:$R$902)-MIN(ROW($R$3:$R$902))+1),ROWS($3:215))),"")</f>
        <v>#NUM!</v>
      </c>
      <c r="W215" s="157" t="e">
        <f>IF(INDEX('Logical Group Generator'!W:W,MATCH(U215,'Logical Group Generator'!B:B,0))="REGISTER","REGISTER","BIT")</f>
        <v>#NUM!</v>
      </c>
    </row>
    <row r="216" spans="2:23">
      <c r="B216" s="157" t="str">
        <f>IF(ISERROR(T217),"",CONCATENATE(IF(W217="BIT",$M$2,$M$1),U217,$M$3,BIN2HEX(IF(W217="BIT",INDEX('Logical Group Generator'!H:H,'Script Generator'!T217),INDEX('Logical Group Generator'!L:L,'Script Generator'!T217)),2),IF(ISERROR(T218),$M$5,$M$4)))</f>
        <v/>
      </c>
      <c r="D216" s="215"/>
      <c r="R216" s="215" t="str">
        <f>IF('Logical Group Generator'!W216="FALSE","",IF('Logical Group Generator'!B216="OTP_RSVD_38_03","",'Logical Group Generator'!B216))</f>
        <v/>
      </c>
      <c r="T216" s="157" t="e">
        <f>MATCH(U216,'Logical Group Generator'!B:B,0)</f>
        <v>#NUM!</v>
      </c>
      <c r="U216" s="157" t="e">
        <f t="array" ref="U216">IF(ROWS($3:216)&lt;=COUNTA($R$3:$R$902),INDEX($R$3:$R$902,SMALL(IF($R$3:$R$902&lt;&gt;"",ROW($R$3:$R$902)-MIN(ROW($R$3:$R$902))+1),ROWS($3:216))),"")</f>
        <v>#NUM!</v>
      </c>
      <c r="W216" s="157" t="e">
        <f>IF(INDEX('Logical Group Generator'!W:W,MATCH(U216,'Logical Group Generator'!B:B,0))="REGISTER","REGISTER","BIT")</f>
        <v>#NUM!</v>
      </c>
    </row>
    <row r="217" spans="2:23">
      <c r="B217" s="157" t="str">
        <f>IF(ISERROR(T218),"",CONCATENATE(IF(W218="BIT",$M$2,$M$1),U218,$M$3,BIN2HEX(IF(W218="BIT",INDEX('Logical Group Generator'!H:H,'Script Generator'!T218),INDEX('Logical Group Generator'!L:L,'Script Generator'!T218)),2),IF(ISERROR(T219),$M$5,$M$4)))</f>
        <v/>
      </c>
      <c r="D217" s="215"/>
      <c r="R217" s="215" t="str">
        <f>IF('Logical Group Generator'!W217="FALSE","",IF('Logical Group Generator'!B217="OTP_RSVD_38_03","",'Logical Group Generator'!B217))</f>
        <v/>
      </c>
      <c r="T217" s="157" t="e">
        <f>MATCH(U217,'Logical Group Generator'!B:B,0)</f>
        <v>#NUM!</v>
      </c>
      <c r="U217" s="157" t="e">
        <f t="array" ref="U217">IF(ROWS($3:217)&lt;=COUNTA($R$3:$R$902),INDEX($R$3:$R$902,SMALL(IF($R$3:$R$902&lt;&gt;"",ROW($R$3:$R$902)-MIN(ROW($R$3:$R$902))+1),ROWS($3:217))),"")</f>
        <v>#NUM!</v>
      </c>
      <c r="W217" s="157" t="e">
        <f>IF(INDEX('Logical Group Generator'!W:W,MATCH(U217,'Logical Group Generator'!B:B,0))="REGISTER","REGISTER","BIT")</f>
        <v>#NUM!</v>
      </c>
    </row>
    <row r="218" spans="2:23">
      <c r="B218" s="157" t="str">
        <f>IF(ISERROR(T219),"",CONCATENATE(IF(W219="BIT",$M$2,$M$1),U219,$M$3,BIN2HEX(IF(W219="BIT",INDEX('Logical Group Generator'!H:H,'Script Generator'!T219),INDEX('Logical Group Generator'!L:L,'Script Generator'!T219)),2),IF(ISERROR(T220),$M$5,$M$4)))</f>
        <v/>
      </c>
      <c r="D218" s="215"/>
      <c r="R218" s="215" t="str">
        <f>IF('Logical Group Generator'!W218="FALSE","",IF('Logical Group Generator'!B218="OTP_RSVD_38_03","",'Logical Group Generator'!B218))</f>
        <v/>
      </c>
      <c r="T218" s="157" t="e">
        <f>MATCH(U218,'Logical Group Generator'!B:B,0)</f>
        <v>#NUM!</v>
      </c>
      <c r="U218" s="157" t="e">
        <f t="array" ref="U218">IF(ROWS($3:218)&lt;=COUNTA($R$3:$R$902),INDEX($R$3:$R$902,SMALL(IF($R$3:$R$902&lt;&gt;"",ROW($R$3:$R$902)-MIN(ROW($R$3:$R$902))+1),ROWS($3:218))),"")</f>
        <v>#NUM!</v>
      </c>
      <c r="W218" s="157" t="e">
        <f>IF(INDEX('Logical Group Generator'!W:W,MATCH(U218,'Logical Group Generator'!B:B,0))="REGISTER","REGISTER","BIT")</f>
        <v>#NUM!</v>
      </c>
    </row>
    <row r="219" spans="2:23">
      <c r="B219" s="157" t="str">
        <f>IF(ISERROR(T220),"",CONCATENATE(IF(W220="BIT",$M$2,$M$1),U220,$M$3,BIN2HEX(IF(W220="BIT",INDEX('Logical Group Generator'!H:H,'Script Generator'!T220),INDEX('Logical Group Generator'!L:L,'Script Generator'!T220)),2),IF(ISERROR(T221),$M$5,$M$4)))</f>
        <v/>
      </c>
      <c r="D219" s="215"/>
      <c r="R219" s="215" t="str">
        <f>IF('Logical Group Generator'!W219="FALSE","",IF('Logical Group Generator'!B219="OTP_RSVD_38_03","",'Logical Group Generator'!B219))</f>
        <v>GPO2PG_CTRL1</v>
      </c>
      <c r="T219" s="157" t="e">
        <f>MATCH(U219,'Logical Group Generator'!B:B,0)</f>
        <v>#NUM!</v>
      </c>
      <c r="U219" s="157" t="e">
        <f t="array" ref="U219">IF(ROWS($3:219)&lt;=COUNTA($R$3:$R$902),INDEX($R$3:$R$902,SMALL(IF($R$3:$R$902&lt;&gt;"",ROW($R$3:$R$902)-MIN(ROW($R$3:$R$902))+1),ROWS($3:219))),"")</f>
        <v>#NUM!</v>
      </c>
      <c r="W219" s="157" t="e">
        <f>IF(INDEX('Logical Group Generator'!W:W,MATCH(U219,'Logical Group Generator'!B:B,0))="REGISTER","REGISTER","BIT")</f>
        <v>#NUM!</v>
      </c>
    </row>
    <row r="220" spans="2:23">
      <c r="B220" s="157" t="str">
        <f>IF(ISERROR(T221),"",CONCATENATE(IF(W221="BIT",$M$2,$M$1),U221,$M$3,BIN2HEX(IF(W221="BIT",INDEX('Logical Group Generator'!H:H,'Script Generator'!T221),INDEX('Logical Group Generator'!L:L,'Script Generator'!T221)),2),IF(ISERROR(T222),$M$5,$M$4)))</f>
        <v/>
      </c>
      <c r="D220" s="215"/>
      <c r="R220" s="215" t="str">
        <f>IF('Logical Group Generator'!W220="FALSE","",IF('Logical Group Generator'!B220="OTP_RSVD_38_03","",'Logical Group Generator'!B220))</f>
        <v/>
      </c>
      <c r="T220" s="157" t="e">
        <f>MATCH(U220,'Logical Group Generator'!B:B,0)</f>
        <v>#NUM!</v>
      </c>
      <c r="U220" s="157" t="e">
        <f t="array" ref="U220">IF(ROWS($3:220)&lt;=COUNTA($R$3:$R$902),INDEX($R$3:$R$902,SMALL(IF($R$3:$R$902&lt;&gt;"",ROW($R$3:$R$902)-MIN(ROW($R$3:$R$902))+1),ROWS($3:220))),"")</f>
        <v>#NUM!</v>
      </c>
      <c r="W220" s="157" t="e">
        <f>IF(INDEX('Logical Group Generator'!W:W,MATCH(U220,'Logical Group Generator'!B:B,0))="REGISTER","REGISTER","BIT")</f>
        <v>#NUM!</v>
      </c>
    </row>
    <row r="221" spans="2:23">
      <c r="B221" s="157" t="str">
        <f>IF(ISERROR(T222),"",CONCATENATE(IF(W222="BIT",$M$2,$M$1),U222,$M$3,BIN2HEX(IF(W222="BIT",INDEX('Logical Group Generator'!H:H,'Script Generator'!T222),INDEX('Logical Group Generator'!L:L,'Script Generator'!T222)),2),IF(ISERROR(T223),$M$5,$M$4)))</f>
        <v/>
      </c>
      <c r="D221" s="215"/>
      <c r="R221" s="215" t="str">
        <f>IF('Logical Group Generator'!W221="FALSE","",IF('Logical Group Generator'!B221="OTP_RSVD_38_03","",'Logical Group Generator'!B221))</f>
        <v/>
      </c>
      <c r="T221" s="157" t="e">
        <f>MATCH(U221,'Logical Group Generator'!B:B,0)</f>
        <v>#NUM!</v>
      </c>
      <c r="U221" s="157" t="e">
        <f t="array" ref="U221">IF(ROWS($3:221)&lt;=COUNTA($R$3:$R$902),INDEX($R$3:$R$902,SMALL(IF($R$3:$R$902&lt;&gt;"",ROW($R$3:$R$902)-MIN(ROW($R$3:$R$902))+1),ROWS($3:221))),"")</f>
        <v>#NUM!</v>
      </c>
      <c r="W221" s="157" t="e">
        <f>IF(INDEX('Logical Group Generator'!W:W,MATCH(U221,'Logical Group Generator'!B:B,0))="REGISTER","REGISTER","BIT")</f>
        <v>#NUM!</v>
      </c>
    </row>
    <row r="222" spans="2:23">
      <c r="B222" s="157" t="str">
        <f>IF(ISERROR(T223),"",CONCATENATE(IF(W223="BIT",$M$2,$M$1),U223,$M$3,BIN2HEX(IF(W223="BIT",INDEX('Logical Group Generator'!H:H,'Script Generator'!T223),INDEX('Logical Group Generator'!L:L,'Script Generator'!T223)),2),IF(ISERROR(T224),$M$5,$M$4)))</f>
        <v/>
      </c>
      <c r="D222" s="215"/>
      <c r="R222" s="215" t="str">
        <f>IF('Logical Group Generator'!W222="FALSE","",IF('Logical Group Generator'!B222="OTP_RSVD_38_03","",'Logical Group Generator'!B222))</f>
        <v/>
      </c>
      <c r="T222" s="157" t="e">
        <f>MATCH(U222,'Logical Group Generator'!B:B,0)</f>
        <v>#NUM!</v>
      </c>
      <c r="U222" s="157" t="e">
        <f t="array" ref="U222">IF(ROWS($3:222)&lt;=COUNTA($R$3:$R$902),INDEX($R$3:$R$902,SMALL(IF($R$3:$R$902&lt;&gt;"",ROW($R$3:$R$902)-MIN(ROW($R$3:$R$902))+1),ROWS($3:222))),"")</f>
        <v>#NUM!</v>
      </c>
      <c r="W222" s="157" t="e">
        <f>IF(INDEX('Logical Group Generator'!W:W,MATCH(U222,'Logical Group Generator'!B:B,0))="REGISTER","REGISTER","BIT")</f>
        <v>#NUM!</v>
      </c>
    </row>
    <row r="223" spans="2:23">
      <c r="B223" s="157" t="str">
        <f>IF(ISERROR(T224),"",CONCATENATE(IF(W224="BIT",$M$2,$M$1),U224,$M$3,BIN2HEX(IF(W224="BIT",INDEX('Logical Group Generator'!H:H,'Script Generator'!T224),INDEX('Logical Group Generator'!L:L,'Script Generator'!T224)),2),IF(ISERROR(T225),$M$5,$M$4)))</f>
        <v/>
      </c>
      <c r="D223" s="215"/>
      <c r="R223" s="215" t="str">
        <f>IF('Logical Group Generator'!W223="FALSE","",IF('Logical Group Generator'!B223="OTP_RSVD_38_03","",'Logical Group Generator'!B223))</f>
        <v/>
      </c>
      <c r="T223" s="157" t="e">
        <f>MATCH(U223,'Logical Group Generator'!B:B,0)</f>
        <v>#NUM!</v>
      </c>
      <c r="U223" s="157" t="e">
        <f t="array" ref="U223">IF(ROWS($3:223)&lt;=COUNTA($R$3:$R$902),INDEX($R$3:$R$902,SMALL(IF($R$3:$R$902&lt;&gt;"",ROW($R$3:$R$902)-MIN(ROW($R$3:$R$902))+1),ROWS($3:223))),"")</f>
        <v>#NUM!</v>
      </c>
      <c r="W223" s="157" t="e">
        <f>IF(INDEX('Logical Group Generator'!W:W,MATCH(U223,'Logical Group Generator'!B:B,0))="REGISTER","REGISTER","BIT")</f>
        <v>#NUM!</v>
      </c>
    </row>
    <row r="224" spans="2:23">
      <c r="B224" s="157" t="str">
        <f>IF(ISERROR(T225),"",CONCATENATE(IF(W225="BIT",$M$2,$M$1),U225,$M$3,BIN2HEX(IF(W225="BIT",INDEX('Logical Group Generator'!H:H,'Script Generator'!T225),INDEX('Logical Group Generator'!L:L,'Script Generator'!T225)),2),IF(ISERROR(T226),$M$5,$M$4)))</f>
        <v/>
      </c>
      <c r="D224" s="215"/>
      <c r="R224" s="215" t="str">
        <f>IF('Logical Group Generator'!W224="FALSE","",IF('Logical Group Generator'!B224="OTP_RSVD_38_03","",'Logical Group Generator'!B224))</f>
        <v/>
      </c>
      <c r="T224" s="157" t="e">
        <f>MATCH(U224,'Logical Group Generator'!B:B,0)</f>
        <v>#NUM!</v>
      </c>
      <c r="U224" s="157" t="e">
        <f t="array" ref="U224">IF(ROWS($3:224)&lt;=COUNTA($R$3:$R$902),INDEX($R$3:$R$902,SMALL(IF($R$3:$R$902&lt;&gt;"",ROW($R$3:$R$902)-MIN(ROW($R$3:$R$902))+1),ROWS($3:224))),"")</f>
        <v>#NUM!</v>
      </c>
      <c r="W224" s="157" t="e">
        <f>IF(INDEX('Logical Group Generator'!W:W,MATCH(U224,'Logical Group Generator'!B:B,0))="REGISTER","REGISTER","BIT")</f>
        <v>#NUM!</v>
      </c>
    </row>
    <row r="225" spans="2:23">
      <c r="B225" s="157" t="str">
        <f>IF(ISERROR(T226),"",CONCATENATE(IF(W226="BIT",$M$2,$M$1),U226,$M$3,BIN2HEX(IF(W226="BIT",INDEX('Logical Group Generator'!H:H,'Script Generator'!T226),INDEX('Logical Group Generator'!L:L,'Script Generator'!T226)),2),IF(ISERROR(T227),$M$5,$M$4)))</f>
        <v/>
      </c>
      <c r="D225" s="215"/>
      <c r="R225" s="215" t="str">
        <f>IF('Logical Group Generator'!W225="FALSE","",IF('Logical Group Generator'!B225="OTP_RSVD_38_03","",'Logical Group Generator'!B225))</f>
        <v/>
      </c>
      <c r="T225" s="157" t="e">
        <f>MATCH(U225,'Logical Group Generator'!B:B,0)</f>
        <v>#NUM!</v>
      </c>
      <c r="U225" s="157" t="e">
        <f t="array" ref="U225">IF(ROWS($3:225)&lt;=COUNTA($R$3:$R$902),INDEX($R$3:$R$902,SMALL(IF($R$3:$R$902&lt;&gt;"",ROW($R$3:$R$902)-MIN(ROW($R$3:$R$902))+1),ROWS($3:225))),"")</f>
        <v>#NUM!</v>
      </c>
      <c r="W225" s="157" t="e">
        <f>IF(INDEX('Logical Group Generator'!W:W,MATCH(U225,'Logical Group Generator'!B:B,0))="REGISTER","REGISTER","BIT")</f>
        <v>#NUM!</v>
      </c>
    </row>
    <row r="226" spans="2:23">
      <c r="B226" s="157" t="str">
        <f>IF(ISERROR(T227),"",CONCATENATE(IF(W227="BIT",$M$2,$M$1),U227,$M$3,BIN2HEX(IF(W227="BIT",INDEX('Logical Group Generator'!H:H,'Script Generator'!T227),INDEX('Logical Group Generator'!L:L,'Script Generator'!T227)),2),IF(ISERROR(T228),$M$5,$M$4)))</f>
        <v/>
      </c>
      <c r="D226" s="215"/>
      <c r="R226" s="215" t="str">
        <f>IF('Logical Group Generator'!W226="FALSE","",IF('Logical Group Generator'!B226="OTP_RSVD_38_03","",'Logical Group Generator'!B226))</f>
        <v/>
      </c>
      <c r="T226" s="157" t="e">
        <f>MATCH(U226,'Logical Group Generator'!B:B,0)</f>
        <v>#NUM!</v>
      </c>
      <c r="U226" s="157" t="e">
        <f t="array" ref="U226">IF(ROWS($3:226)&lt;=COUNTA($R$3:$R$902),INDEX($R$3:$R$902,SMALL(IF($R$3:$R$902&lt;&gt;"",ROW($R$3:$R$902)-MIN(ROW($R$3:$R$902))+1),ROWS($3:226))),"")</f>
        <v>#NUM!</v>
      </c>
      <c r="W226" s="157" t="e">
        <f>IF(INDEX('Logical Group Generator'!W:W,MATCH(U226,'Logical Group Generator'!B:B,0))="REGISTER","REGISTER","BIT")</f>
        <v>#NUM!</v>
      </c>
    </row>
    <row r="227" spans="2:23">
      <c r="B227" s="157" t="str">
        <f>IF(ISERROR(T228),"",CONCATENATE(IF(W228="BIT",$M$2,$M$1),U228,$M$3,BIN2HEX(IF(W228="BIT",INDEX('Logical Group Generator'!H:H,'Script Generator'!T228),INDEX('Logical Group Generator'!L:L,'Script Generator'!T228)),2),IF(ISERROR(T229),$M$5,$M$4)))</f>
        <v/>
      </c>
      <c r="D227" s="215"/>
      <c r="R227" s="215" t="str">
        <f>IF('Logical Group Generator'!W227="FALSE","",IF('Logical Group Generator'!B227="OTP_RSVD_38_03","",'Logical Group Generator'!B227))</f>
        <v/>
      </c>
      <c r="T227" s="157" t="e">
        <f>MATCH(U227,'Logical Group Generator'!B:B,0)</f>
        <v>#NUM!</v>
      </c>
      <c r="U227" s="157" t="e">
        <f t="array" ref="U227">IF(ROWS($3:227)&lt;=COUNTA($R$3:$R$902),INDEX($R$3:$R$902,SMALL(IF($R$3:$R$902&lt;&gt;"",ROW($R$3:$R$902)-MIN(ROW($R$3:$R$902))+1),ROWS($3:227))),"")</f>
        <v>#NUM!</v>
      </c>
      <c r="W227" s="157" t="e">
        <f>IF(INDEX('Logical Group Generator'!W:W,MATCH(U227,'Logical Group Generator'!B:B,0))="REGISTER","REGISTER","BIT")</f>
        <v>#NUM!</v>
      </c>
    </row>
    <row r="228" spans="2:23">
      <c r="B228" s="157" t="str">
        <f>IF(ISERROR(T229),"",CONCATENATE(IF(W229="BIT",$M$2,$M$1),U229,$M$3,BIN2HEX(IF(W229="BIT",INDEX('Logical Group Generator'!H:H,'Script Generator'!T229),INDEX('Logical Group Generator'!L:L,'Script Generator'!T229)),2),IF(ISERROR(T230),$M$5,$M$4)))</f>
        <v/>
      </c>
      <c r="D228" s="215"/>
      <c r="R228" s="215" t="str">
        <f>IF('Logical Group Generator'!W228="FALSE","",IF('Logical Group Generator'!B228="OTP_RSVD_38_03","",'Logical Group Generator'!B228))</f>
        <v>GPO2PG_CTRL2</v>
      </c>
      <c r="T228" s="157" t="e">
        <f>MATCH(U228,'Logical Group Generator'!B:B,0)</f>
        <v>#NUM!</v>
      </c>
      <c r="U228" s="157" t="e">
        <f t="array" ref="U228">IF(ROWS($3:228)&lt;=COUNTA($R$3:$R$902),INDEX($R$3:$R$902,SMALL(IF($R$3:$R$902&lt;&gt;"",ROW($R$3:$R$902)-MIN(ROW($R$3:$R$902))+1),ROWS($3:228))),"")</f>
        <v>#NUM!</v>
      </c>
      <c r="W228" s="157" t="e">
        <f>IF(INDEX('Logical Group Generator'!W:W,MATCH(U228,'Logical Group Generator'!B:B,0))="REGISTER","REGISTER","BIT")</f>
        <v>#NUM!</v>
      </c>
    </row>
    <row r="229" spans="2:23">
      <c r="B229" s="157" t="str">
        <f>IF(ISERROR(T230),"",CONCATENATE(IF(W230="BIT",$M$2,$M$1),U230,$M$3,BIN2HEX(IF(W230="BIT",INDEX('Logical Group Generator'!H:H,'Script Generator'!T230),INDEX('Logical Group Generator'!L:L,'Script Generator'!T230)),2),IF(ISERROR(T231),$M$5,$M$4)))</f>
        <v/>
      </c>
      <c r="D229" s="215"/>
      <c r="R229" s="215" t="str">
        <f>IF('Logical Group Generator'!W229="FALSE","",IF('Logical Group Generator'!B229="OTP_RSVD_38_03","",'Logical Group Generator'!B229))</f>
        <v/>
      </c>
      <c r="T229" s="157" t="e">
        <f>MATCH(U229,'Logical Group Generator'!B:B,0)</f>
        <v>#NUM!</v>
      </c>
      <c r="U229" s="157" t="e">
        <f t="array" ref="U229">IF(ROWS($3:229)&lt;=COUNTA($R$3:$R$902),INDEX($R$3:$R$902,SMALL(IF($R$3:$R$902&lt;&gt;"",ROW($R$3:$R$902)-MIN(ROW($R$3:$R$902))+1),ROWS($3:229))),"")</f>
        <v>#NUM!</v>
      </c>
      <c r="W229" s="157" t="e">
        <f>IF(INDEX('Logical Group Generator'!W:W,MATCH(U229,'Logical Group Generator'!B:B,0))="REGISTER","REGISTER","BIT")</f>
        <v>#NUM!</v>
      </c>
    </row>
    <row r="230" spans="2:23">
      <c r="B230" s="157" t="str">
        <f>IF(ISERROR(T231),"",CONCATENATE(IF(W231="BIT",$M$2,$M$1),U231,$M$3,BIN2HEX(IF(W231="BIT",INDEX('Logical Group Generator'!H:H,'Script Generator'!T231),INDEX('Logical Group Generator'!L:L,'Script Generator'!T231)),2),IF(ISERROR(T232),$M$5,$M$4)))</f>
        <v/>
      </c>
      <c r="D230" s="215"/>
      <c r="R230" s="215" t="str">
        <f>IF('Logical Group Generator'!W230="FALSE","",IF('Logical Group Generator'!B230="OTP_RSVD_38_03","",'Logical Group Generator'!B230))</f>
        <v/>
      </c>
      <c r="T230" s="157" t="e">
        <f>MATCH(U230,'Logical Group Generator'!B:B,0)</f>
        <v>#NUM!</v>
      </c>
      <c r="U230" s="157" t="e">
        <f t="array" ref="U230">IF(ROWS($3:230)&lt;=COUNTA($R$3:$R$902),INDEX($R$3:$R$902,SMALL(IF($R$3:$R$902&lt;&gt;"",ROW($R$3:$R$902)-MIN(ROW($R$3:$R$902))+1),ROWS($3:230))),"")</f>
        <v>#NUM!</v>
      </c>
      <c r="W230" s="157" t="e">
        <f>IF(INDEX('Logical Group Generator'!W:W,MATCH(U230,'Logical Group Generator'!B:B,0))="REGISTER","REGISTER","BIT")</f>
        <v>#NUM!</v>
      </c>
    </row>
    <row r="231" spans="2:23">
      <c r="B231" s="157" t="str">
        <f>IF(ISERROR(T232),"",CONCATENATE(IF(W232="BIT",$M$2,$M$1),U232,$M$3,BIN2HEX(IF(W232="BIT",INDEX('Logical Group Generator'!H:H,'Script Generator'!T232),INDEX('Logical Group Generator'!L:L,'Script Generator'!T232)),2),IF(ISERROR(T233),$M$5,$M$4)))</f>
        <v/>
      </c>
      <c r="D231" s="215"/>
      <c r="R231" s="215" t="str">
        <f>IF('Logical Group Generator'!W231="FALSE","",IF('Logical Group Generator'!B231="OTP_RSVD_38_03","",'Logical Group Generator'!B231))</f>
        <v/>
      </c>
      <c r="T231" s="157" t="e">
        <f>MATCH(U231,'Logical Group Generator'!B:B,0)</f>
        <v>#NUM!</v>
      </c>
      <c r="U231" s="157" t="e">
        <f t="array" ref="U231">IF(ROWS($3:231)&lt;=COUNTA($R$3:$R$902),INDEX($R$3:$R$902,SMALL(IF($R$3:$R$902&lt;&gt;"",ROW($R$3:$R$902)-MIN(ROW($R$3:$R$902))+1),ROWS($3:231))),"")</f>
        <v>#NUM!</v>
      </c>
      <c r="W231" s="157" t="e">
        <f>IF(INDEX('Logical Group Generator'!W:W,MATCH(U231,'Logical Group Generator'!B:B,0))="REGISTER","REGISTER","BIT")</f>
        <v>#NUM!</v>
      </c>
    </row>
    <row r="232" spans="2:23">
      <c r="B232" s="157" t="str">
        <f>IF(ISERROR(T233),"",CONCATENATE(IF(W233="BIT",$M$2,$M$1),U233,$M$3,BIN2HEX(IF(W233="BIT",INDEX('Logical Group Generator'!H:H,'Script Generator'!T233),INDEX('Logical Group Generator'!L:L,'Script Generator'!T233)),2),IF(ISERROR(T234),$M$5,$M$4)))</f>
        <v/>
      </c>
      <c r="D232" s="215"/>
      <c r="R232" s="215" t="str">
        <f>IF('Logical Group Generator'!W232="FALSE","",IF('Logical Group Generator'!B232="OTP_RSVD_38_03","",'Logical Group Generator'!B232))</f>
        <v/>
      </c>
      <c r="T232" s="157" t="e">
        <f>MATCH(U232,'Logical Group Generator'!B:B,0)</f>
        <v>#NUM!</v>
      </c>
      <c r="U232" s="157" t="e">
        <f t="array" ref="U232">IF(ROWS($3:232)&lt;=COUNTA($R$3:$R$902),INDEX($R$3:$R$902,SMALL(IF($R$3:$R$902&lt;&gt;"",ROW($R$3:$R$902)-MIN(ROW($R$3:$R$902))+1),ROWS($3:232))),"")</f>
        <v>#NUM!</v>
      </c>
      <c r="W232" s="157" t="e">
        <f>IF(INDEX('Logical Group Generator'!W:W,MATCH(U232,'Logical Group Generator'!B:B,0))="REGISTER","REGISTER","BIT")</f>
        <v>#NUM!</v>
      </c>
    </row>
    <row r="233" spans="2:23">
      <c r="B233" s="157" t="str">
        <f>IF(ISERROR(T234),"",CONCATENATE(IF(W234="BIT",$M$2,$M$1),U234,$M$3,BIN2HEX(IF(W234="BIT",INDEX('Logical Group Generator'!H:H,'Script Generator'!T234),INDEX('Logical Group Generator'!L:L,'Script Generator'!T234)),2),IF(ISERROR(T235),$M$5,$M$4)))</f>
        <v/>
      </c>
      <c r="D233" s="215"/>
      <c r="R233" s="215" t="str">
        <f>IF('Logical Group Generator'!W233="FALSE","",IF('Logical Group Generator'!B233="OTP_RSVD_38_03","",'Logical Group Generator'!B233))</f>
        <v/>
      </c>
      <c r="T233" s="157" t="e">
        <f>MATCH(U233,'Logical Group Generator'!B:B,0)</f>
        <v>#NUM!</v>
      </c>
      <c r="U233" s="157" t="e">
        <f t="array" ref="U233">IF(ROWS($3:233)&lt;=COUNTA($R$3:$R$902),INDEX($R$3:$R$902,SMALL(IF($R$3:$R$902&lt;&gt;"",ROW($R$3:$R$902)-MIN(ROW($R$3:$R$902))+1),ROWS($3:233))),"")</f>
        <v>#NUM!</v>
      </c>
      <c r="W233" s="157" t="e">
        <f>IF(INDEX('Logical Group Generator'!W:W,MATCH(U233,'Logical Group Generator'!B:B,0))="REGISTER","REGISTER","BIT")</f>
        <v>#NUM!</v>
      </c>
    </row>
    <row r="234" spans="2:23">
      <c r="B234" s="157" t="str">
        <f>IF(ISERROR(T235),"",CONCATENATE(IF(W235="BIT",$M$2,$M$1),U235,$M$3,BIN2HEX(IF(W235="BIT",INDEX('Logical Group Generator'!H:H,'Script Generator'!T235),INDEX('Logical Group Generator'!L:L,'Script Generator'!T235)),2),IF(ISERROR(T236),$M$5,$M$4)))</f>
        <v/>
      </c>
      <c r="D234" s="215"/>
      <c r="R234" s="215" t="str">
        <f>IF('Logical Group Generator'!W234="FALSE","",IF('Logical Group Generator'!B234="OTP_RSVD_38_03","",'Logical Group Generator'!B234))</f>
        <v/>
      </c>
      <c r="T234" s="157" t="e">
        <f>MATCH(U234,'Logical Group Generator'!B:B,0)</f>
        <v>#NUM!</v>
      </c>
      <c r="U234" s="157" t="e">
        <f t="array" ref="U234">IF(ROWS($3:234)&lt;=COUNTA($R$3:$R$902),INDEX($R$3:$R$902,SMALL(IF($R$3:$R$902&lt;&gt;"",ROW($R$3:$R$902)-MIN(ROW($R$3:$R$902))+1),ROWS($3:234))),"")</f>
        <v>#NUM!</v>
      </c>
      <c r="W234" s="157" t="e">
        <f>IF(INDEX('Logical Group Generator'!W:W,MATCH(U234,'Logical Group Generator'!B:B,0))="REGISTER","REGISTER","BIT")</f>
        <v>#NUM!</v>
      </c>
    </row>
    <row r="235" spans="2:23">
      <c r="B235" s="157" t="str">
        <f>IF(ISERROR(T236),"",CONCATENATE(IF(W236="BIT",$M$2,$M$1),U236,$M$3,BIN2HEX(IF(W236="BIT",INDEX('Logical Group Generator'!H:H,'Script Generator'!T236),INDEX('Logical Group Generator'!L:L,'Script Generator'!T236)),2),IF(ISERROR(T237),$M$5,$M$4)))</f>
        <v/>
      </c>
      <c r="D235" s="215"/>
      <c r="R235" s="215" t="str">
        <f>IF('Logical Group Generator'!W235="FALSE","",IF('Logical Group Generator'!B235="OTP_RSVD_38_03","",'Logical Group Generator'!B235))</f>
        <v/>
      </c>
      <c r="T235" s="157" t="e">
        <f>MATCH(U235,'Logical Group Generator'!B:B,0)</f>
        <v>#NUM!</v>
      </c>
      <c r="U235" s="157" t="e">
        <f t="array" ref="U235">IF(ROWS($3:235)&lt;=COUNTA($R$3:$R$902),INDEX($R$3:$R$902,SMALL(IF($R$3:$R$902&lt;&gt;"",ROW($R$3:$R$902)-MIN(ROW($R$3:$R$902))+1),ROWS($3:235))),"")</f>
        <v>#NUM!</v>
      </c>
      <c r="W235" s="157" t="e">
        <f>IF(INDEX('Logical Group Generator'!W:W,MATCH(U235,'Logical Group Generator'!B:B,0))="REGISTER","REGISTER","BIT")</f>
        <v>#NUM!</v>
      </c>
    </row>
    <row r="236" spans="2:23">
      <c r="B236" s="157" t="str">
        <f>IF(ISERROR(T237),"",CONCATENATE(IF(W237="BIT",$M$2,$M$1),U237,$M$3,BIN2HEX(IF(W237="BIT",INDEX('Logical Group Generator'!H:H,'Script Generator'!T237),INDEX('Logical Group Generator'!L:L,'Script Generator'!T237)),2),IF(ISERROR(T238),$M$5,$M$4)))</f>
        <v/>
      </c>
      <c r="D236" s="215"/>
      <c r="R236" s="215" t="str">
        <f>IF('Logical Group Generator'!W236="FALSE","",IF('Logical Group Generator'!B236="OTP_RSVD_38_03","",'Logical Group Generator'!B236))</f>
        <v/>
      </c>
      <c r="T236" s="157" t="e">
        <f>MATCH(U236,'Logical Group Generator'!B:B,0)</f>
        <v>#NUM!</v>
      </c>
      <c r="U236" s="157" t="e">
        <f t="array" ref="U236">IF(ROWS($3:236)&lt;=COUNTA($R$3:$R$902),INDEX($R$3:$R$902,SMALL(IF($R$3:$R$902&lt;&gt;"",ROW($R$3:$R$902)-MIN(ROW($R$3:$R$902))+1),ROWS($3:236))),"")</f>
        <v>#NUM!</v>
      </c>
      <c r="W236" s="157" t="e">
        <f>IF(INDEX('Logical Group Generator'!W:W,MATCH(U236,'Logical Group Generator'!B:B,0))="REGISTER","REGISTER","BIT")</f>
        <v>#NUM!</v>
      </c>
    </row>
    <row r="237" spans="2:23">
      <c r="B237" s="157" t="str">
        <f>IF(ISERROR(T238),"",CONCATENATE(IF(W238="BIT",$M$2,$M$1),U238,$M$3,BIN2HEX(IF(W238="BIT",INDEX('Logical Group Generator'!H:H,'Script Generator'!T238),INDEX('Logical Group Generator'!L:L,'Script Generator'!T238)),2),IF(ISERROR(T239),$M$5,$M$4)))</f>
        <v/>
      </c>
      <c r="D237" s="215"/>
      <c r="R237" s="215" t="str">
        <f>IF('Logical Group Generator'!W237="FALSE","",IF('Logical Group Generator'!B237="OTP_RSVD_38_03","",'Logical Group Generator'!B237))</f>
        <v>GPO3PG_CTRL1</v>
      </c>
      <c r="T237" s="157" t="e">
        <f>MATCH(U237,'Logical Group Generator'!B:B,0)</f>
        <v>#NUM!</v>
      </c>
      <c r="U237" s="157" t="e">
        <f t="array" ref="U237">IF(ROWS($3:237)&lt;=COUNTA($R$3:$R$902),INDEX($R$3:$R$902,SMALL(IF($R$3:$R$902&lt;&gt;"",ROW($R$3:$R$902)-MIN(ROW($R$3:$R$902))+1),ROWS($3:237))),"")</f>
        <v>#NUM!</v>
      </c>
      <c r="W237" s="157" t="e">
        <f>IF(INDEX('Logical Group Generator'!W:W,MATCH(U237,'Logical Group Generator'!B:B,0))="REGISTER","REGISTER","BIT")</f>
        <v>#NUM!</v>
      </c>
    </row>
    <row r="238" spans="2:23">
      <c r="B238" s="157" t="str">
        <f>IF(ISERROR(T239),"",CONCATENATE(IF(W239="BIT",$M$2,$M$1),U239,$M$3,BIN2HEX(IF(W239="BIT",INDEX('Logical Group Generator'!H:H,'Script Generator'!T239),INDEX('Logical Group Generator'!L:L,'Script Generator'!T239)),2),IF(ISERROR(T240),$M$5,$M$4)))</f>
        <v/>
      </c>
      <c r="D238" s="215"/>
      <c r="R238" s="215" t="str">
        <f>IF('Logical Group Generator'!W238="FALSE","",IF('Logical Group Generator'!B238="OTP_RSVD_38_03","",'Logical Group Generator'!B238))</f>
        <v/>
      </c>
      <c r="T238" s="157" t="e">
        <f>MATCH(U238,'Logical Group Generator'!B:B,0)</f>
        <v>#NUM!</v>
      </c>
      <c r="U238" s="157" t="e">
        <f t="array" ref="U238">IF(ROWS($3:238)&lt;=COUNTA($R$3:$R$902),INDEX($R$3:$R$902,SMALL(IF($R$3:$R$902&lt;&gt;"",ROW($R$3:$R$902)-MIN(ROW($R$3:$R$902))+1),ROWS($3:238))),"")</f>
        <v>#NUM!</v>
      </c>
      <c r="W238" s="157" t="e">
        <f>IF(INDEX('Logical Group Generator'!W:W,MATCH(U238,'Logical Group Generator'!B:B,0))="REGISTER","REGISTER","BIT")</f>
        <v>#NUM!</v>
      </c>
    </row>
    <row r="239" spans="2:23">
      <c r="B239" s="157" t="str">
        <f>IF(ISERROR(T240),"",CONCATENATE(IF(W240="BIT",$M$2,$M$1),U240,$M$3,BIN2HEX(IF(W240="BIT",INDEX('Logical Group Generator'!H:H,'Script Generator'!T240),INDEX('Logical Group Generator'!L:L,'Script Generator'!T240)),2),IF(ISERROR(T241),$M$5,$M$4)))</f>
        <v/>
      </c>
      <c r="D239" s="215"/>
      <c r="R239" s="215" t="str">
        <f>IF('Logical Group Generator'!W239="FALSE","",IF('Logical Group Generator'!B239="OTP_RSVD_38_03","",'Logical Group Generator'!B239))</f>
        <v/>
      </c>
      <c r="T239" s="157" t="e">
        <f>MATCH(U239,'Logical Group Generator'!B:B,0)</f>
        <v>#NUM!</v>
      </c>
      <c r="U239" s="157" t="e">
        <f t="array" ref="U239">IF(ROWS($3:239)&lt;=COUNTA($R$3:$R$902),INDEX($R$3:$R$902,SMALL(IF($R$3:$R$902&lt;&gt;"",ROW($R$3:$R$902)-MIN(ROW($R$3:$R$902))+1),ROWS($3:239))),"")</f>
        <v>#NUM!</v>
      </c>
      <c r="W239" s="157" t="e">
        <f>IF(INDEX('Logical Group Generator'!W:W,MATCH(U239,'Logical Group Generator'!B:B,0))="REGISTER","REGISTER","BIT")</f>
        <v>#NUM!</v>
      </c>
    </row>
    <row r="240" spans="2:23">
      <c r="B240" s="157" t="str">
        <f>IF(ISERROR(T241),"",CONCATENATE(IF(W241="BIT",$M$2,$M$1),U241,$M$3,BIN2HEX(IF(W241="BIT",INDEX('Logical Group Generator'!H:H,'Script Generator'!T241),INDEX('Logical Group Generator'!L:L,'Script Generator'!T241)),2),IF(ISERROR(T242),$M$5,$M$4)))</f>
        <v/>
      </c>
      <c r="D240" s="215"/>
      <c r="R240" s="215" t="str">
        <f>IF('Logical Group Generator'!W240="FALSE","",IF('Logical Group Generator'!B240="OTP_RSVD_38_03","",'Logical Group Generator'!B240))</f>
        <v/>
      </c>
      <c r="T240" s="157" t="e">
        <f>MATCH(U240,'Logical Group Generator'!B:B,0)</f>
        <v>#NUM!</v>
      </c>
      <c r="U240" s="157" t="e">
        <f t="array" ref="U240">IF(ROWS($3:240)&lt;=COUNTA($R$3:$R$902),INDEX($R$3:$R$902,SMALL(IF($R$3:$R$902&lt;&gt;"",ROW($R$3:$R$902)-MIN(ROW($R$3:$R$902))+1),ROWS($3:240))),"")</f>
        <v>#NUM!</v>
      </c>
      <c r="W240" s="157" t="e">
        <f>IF(INDEX('Logical Group Generator'!W:W,MATCH(U240,'Logical Group Generator'!B:B,0))="REGISTER","REGISTER","BIT")</f>
        <v>#NUM!</v>
      </c>
    </row>
    <row r="241" spans="2:23">
      <c r="B241" s="157" t="str">
        <f>IF(ISERROR(T242),"",CONCATENATE(IF(W242="BIT",$M$2,$M$1),U242,$M$3,BIN2HEX(IF(W242="BIT",INDEX('Logical Group Generator'!H:H,'Script Generator'!T242),INDEX('Logical Group Generator'!L:L,'Script Generator'!T242)),2),IF(ISERROR(T243),$M$5,$M$4)))</f>
        <v/>
      </c>
      <c r="D241" s="215"/>
      <c r="R241" s="215" t="str">
        <f>IF('Logical Group Generator'!W241="FALSE","",IF('Logical Group Generator'!B241="OTP_RSVD_38_03","",'Logical Group Generator'!B241))</f>
        <v/>
      </c>
      <c r="T241" s="157" t="e">
        <f>MATCH(U241,'Logical Group Generator'!B:B,0)</f>
        <v>#NUM!</v>
      </c>
      <c r="U241" s="157" t="e">
        <f t="array" ref="U241">IF(ROWS($3:241)&lt;=COUNTA($R$3:$R$902),INDEX($R$3:$R$902,SMALL(IF($R$3:$R$902&lt;&gt;"",ROW($R$3:$R$902)-MIN(ROW($R$3:$R$902))+1),ROWS($3:241))),"")</f>
        <v>#NUM!</v>
      </c>
      <c r="W241" s="157" t="e">
        <f>IF(INDEX('Logical Group Generator'!W:W,MATCH(U241,'Logical Group Generator'!B:B,0))="REGISTER","REGISTER","BIT")</f>
        <v>#NUM!</v>
      </c>
    </row>
    <row r="242" spans="2:23">
      <c r="B242" s="157" t="str">
        <f>IF(ISERROR(T243),"",CONCATENATE(IF(W243="BIT",$M$2,$M$1),U243,$M$3,BIN2HEX(IF(W243="BIT",INDEX('Logical Group Generator'!H:H,'Script Generator'!T243),INDEX('Logical Group Generator'!L:L,'Script Generator'!T243)),2),IF(ISERROR(T244),$M$5,$M$4)))</f>
        <v/>
      </c>
      <c r="D242" s="215"/>
      <c r="R242" s="215" t="str">
        <f>IF('Logical Group Generator'!W242="FALSE","",IF('Logical Group Generator'!B242="OTP_RSVD_38_03","",'Logical Group Generator'!B242))</f>
        <v/>
      </c>
      <c r="T242" s="157" t="e">
        <f>MATCH(U242,'Logical Group Generator'!B:B,0)</f>
        <v>#NUM!</v>
      </c>
      <c r="U242" s="157" t="e">
        <f t="array" ref="U242">IF(ROWS($3:242)&lt;=COUNTA($R$3:$R$902),INDEX($R$3:$R$902,SMALL(IF($R$3:$R$902&lt;&gt;"",ROW($R$3:$R$902)-MIN(ROW($R$3:$R$902))+1),ROWS($3:242))),"")</f>
        <v>#NUM!</v>
      </c>
      <c r="W242" s="157" t="e">
        <f>IF(INDEX('Logical Group Generator'!W:W,MATCH(U242,'Logical Group Generator'!B:B,0))="REGISTER","REGISTER","BIT")</f>
        <v>#NUM!</v>
      </c>
    </row>
    <row r="243" spans="2:23">
      <c r="B243" s="157" t="str">
        <f>IF(ISERROR(T244),"",CONCATENATE(IF(W244="BIT",$M$2,$M$1),U244,$M$3,BIN2HEX(IF(W244="BIT",INDEX('Logical Group Generator'!H:H,'Script Generator'!T244),INDEX('Logical Group Generator'!L:L,'Script Generator'!T244)),2),IF(ISERROR(T245),$M$5,$M$4)))</f>
        <v/>
      </c>
      <c r="D243" s="215"/>
      <c r="R243" s="215" t="str">
        <f>IF('Logical Group Generator'!W243="FALSE","",IF('Logical Group Generator'!B243="OTP_RSVD_38_03","",'Logical Group Generator'!B243))</f>
        <v/>
      </c>
      <c r="T243" s="157" t="e">
        <f>MATCH(U243,'Logical Group Generator'!B:B,0)</f>
        <v>#NUM!</v>
      </c>
      <c r="U243" s="157" t="e">
        <f t="array" ref="U243">IF(ROWS($3:243)&lt;=COUNTA($R$3:$R$902),INDEX($R$3:$R$902,SMALL(IF($R$3:$R$902&lt;&gt;"",ROW($R$3:$R$902)-MIN(ROW($R$3:$R$902))+1),ROWS($3:243))),"")</f>
        <v>#NUM!</v>
      </c>
      <c r="W243" s="157" t="e">
        <f>IF(INDEX('Logical Group Generator'!W:W,MATCH(U243,'Logical Group Generator'!B:B,0))="REGISTER","REGISTER","BIT")</f>
        <v>#NUM!</v>
      </c>
    </row>
    <row r="244" spans="2:23">
      <c r="B244" s="157" t="str">
        <f>IF(ISERROR(T245),"",CONCATENATE(IF(W245="BIT",$M$2,$M$1),U245,$M$3,BIN2HEX(IF(W245="BIT",INDEX('Logical Group Generator'!H:H,'Script Generator'!T245),INDEX('Logical Group Generator'!L:L,'Script Generator'!T245)),2),IF(ISERROR(T246),$M$5,$M$4)))</f>
        <v/>
      </c>
      <c r="D244" s="215"/>
      <c r="R244" s="215" t="str">
        <f>IF('Logical Group Generator'!W244="FALSE","",IF('Logical Group Generator'!B244="OTP_RSVD_38_03","",'Logical Group Generator'!B244))</f>
        <v/>
      </c>
      <c r="T244" s="157" t="e">
        <f>MATCH(U244,'Logical Group Generator'!B:B,0)</f>
        <v>#NUM!</v>
      </c>
      <c r="U244" s="157" t="e">
        <f t="array" ref="U244">IF(ROWS($3:244)&lt;=COUNTA($R$3:$R$902),INDEX($R$3:$R$902,SMALL(IF($R$3:$R$902&lt;&gt;"",ROW($R$3:$R$902)-MIN(ROW($R$3:$R$902))+1),ROWS($3:244))),"")</f>
        <v>#NUM!</v>
      </c>
      <c r="W244" s="157" t="e">
        <f>IF(INDEX('Logical Group Generator'!W:W,MATCH(U244,'Logical Group Generator'!B:B,0))="REGISTER","REGISTER","BIT")</f>
        <v>#NUM!</v>
      </c>
    </row>
    <row r="245" spans="2:23">
      <c r="B245" s="157" t="str">
        <f>IF(ISERROR(T246),"",CONCATENATE(IF(W246="BIT",$M$2,$M$1),U246,$M$3,BIN2HEX(IF(W246="BIT",INDEX('Logical Group Generator'!H:H,'Script Generator'!T246),INDEX('Logical Group Generator'!L:L,'Script Generator'!T246)),2),IF(ISERROR(T247),$M$5,$M$4)))</f>
        <v/>
      </c>
      <c r="D245" s="215"/>
      <c r="R245" s="215" t="str">
        <f>IF('Logical Group Generator'!W245="FALSE","",IF('Logical Group Generator'!B245="OTP_RSVD_38_03","",'Logical Group Generator'!B245))</f>
        <v/>
      </c>
      <c r="T245" s="157" t="e">
        <f>MATCH(U245,'Logical Group Generator'!B:B,0)</f>
        <v>#NUM!</v>
      </c>
      <c r="U245" s="157" t="e">
        <f t="array" ref="U245">IF(ROWS($3:245)&lt;=COUNTA($R$3:$R$902),INDEX($R$3:$R$902,SMALL(IF($R$3:$R$902&lt;&gt;"",ROW($R$3:$R$902)-MIN(ROW($R$3:$R$902))+1),ROWS($3:245))),"")</f>
        <v>#NUM!</v>
      </c>
      <c r="W245" s="157" t="e">
        <f>IF(INDEX('Logical Group Generator'!W:W,MATCH(U245,'Logical Group Generator'!B:B,0))="REGISTER","REGISTER","BIT")</f>
        <v>#NUM!</v>
      </c>
    </row>
    <row r="246" spans="2:23">
      <c r="B246" s="157" t="str">
        <f>IF(ISERROR(T247),"",CONCATENATE(IF(W247="BIT",$M$2,$M$1),U247,$M$3,BIN2HEX(IF(W247="BIT",INDEX('Logical Group Generator'!H:H,'Script Generator'!T247),INDEX('Logical Group Generator'!L:L,'Script Generator'!T247)),2),IF(ISERROR(T248),$M$5,$M$4)))</f>
        <v/>
      </c>
      <c r="D246" s="215"/>
      <c r="R246" s="215" t="str">
        <f>IF('Logical Group Generator'!W246="FALSE","",IF('Logical Group Generator'!B246="OTP_RSVD_38_03","",'Logical Group Generator'!B246))</f>
        <v>GPO3PG_CTRL2</v>
      </c>
      <c r="T246" s="157" t="e">
        <f>MATCH(U246,'Logical Group Generator'!B:B,0)</f>
        <v>#NUM!</v>
      </c>
      <c r="U246" s="157" t="e">
        <f t="array" ref="U246">IF(ROWS($3:246)&lt;=COUNTA($R$3:$R$902),INDEX($R$3:$R$902,SMALL(IF($R$3:$R$902&lt;&gt;"",ROW($R$3:$R$902)-MIN(ROW($R$3:$R$902))+1),ROWS($3:246))),"")</f>
        <v>#NUM!</v>
      </c>
      <c r="W246" s="157" t="e">
        <f>IF(INDEX('Logical Group Generator'!W:W,MATCH(U246,'Logical Group Generator'!B:B,0))="REGISTER","REGISTER","BIT")</f>
        <v>#NUM!</v>
      </c>
    </row>
    <row r="247" spans="2:23">
      <c r="B247" s="157" t="str">
        <f>IF(ISERROR(T248),"",CONCATENATE(IF(W248="BIT",$M$2,$M$1),U248,$M$3,BIN2HEX(IF(W248="BIT",INDEX('Logical Group Generator'!H:H,'Script Generator'!T248),INDEX('Logical Group Generator'!L:L,'Script Generator'!T248)),2),IF(ISERROR(T249),$M$5,$M$4)))</f>
        <v/>
      </c>
      <c r="D247" s="215"/>
      <c r="R247" s="215" t="str">
        <f>IF('Logical Group Generator'!W247="FALSE","",IF('Logical Group Generator'!B247="OTP_RSVD_38_03","",'Logical Group Generator'!B247))</f>
        <v/>
      </c>
      <c r="T247" s="157" t="e">
        <f>MATCH(U247,'Logical Group Generator'!B:B,0)</f>
        <v>#NUM!</v>
      </c>
      <c r="U247" s="157" t="e">
        <f t="array" ref="U247">IF(ROWS($3:247)&lt;=COUNTA($R$3:$R$902),INDEX($R$3:$R$902,SMALL(IF($R$3:$R$902&lt;&gt;"",ROW($R$3:$R$902)-MIN(ROW($R$3:$R$902))+1),ROWS($3:247))),"")</f>
        <v>#NUM!</v>
      </c>
      <c r="W247" s="157" t="e">
        <f>IF(INDEX('Logical Group Generator'!W:W,MATCH(U247,'Logical Group Generator'!B:B,0))="REGISTER","REGISTER","BIT")</f>
        <v>#NUM!</v>
      </c>
    </row>
    <row r="248" spans="2:23">
      <c r="B248" s="157" t="str">
        <f>IF(ISERROR(T249),"",CONCATENATE(IF(W249="BIT",$M$2,$M$1),U249,$M$3,BIN2HEX(IF(W249="BIT",INDEX('Logical Group Generator'!H:H,'Script Generator'!T249),INDEX('Logical Group Generator'!L:L,'Script Generator'!T249)),2),IF(ISERROR(T250),$M$5,$M$4)))</f>
        <v/>
      </c>
      <c r="D248" s="215"/>
      <c r="R248" s="215" t="str">
        <f>IF('Logical Group Generator'!W248="FALSE","",IF('Logical Group Generator'!B248="OTP_RSVD_38_03","",'Logical Group Generator'!B248))</f>
        <v/>
      </c>
      <c r="T248" s="157" t="e">
        <f>MATCH(U248,'Logical Group Generator'!B:B,0)</f>
        <v>#NUM!</v>
      </c>
      <c r="U248" s="157" t="e">
        <f t="array" ref="U248">IF(ROWS($3:248)&lt;=COUNTA($R$3:$R$902),INDEX($R$3:$R$902,SMALL(IF($R$3:$R$902&lt;&gt;"",ROW($R$3:$R$902)-MIN(ROW($R$3:$R$902))+1),ROWS($3:248))),"")</f>
        <v>#NUM!</v>
      </c>
      <c r="W248" s="157" t="e">
        <f>IF(INDEX('Logical Group Generator'!W:W,MATCH(U248,'Logical Group Generator'!B:B,0))="REGISTER","REGISTER","BIT")</f>
        <v>#NUM!</v>
      </c>
    </row>
    <row r="249" spans="2:23">
      <c r="B249" s="157" t="str">
        <f>IF(ISERROR(T250),"",CONCATENATE(IF(W250="BIT",$M$2,$M$1),U250,$M$3,BIN2HEX(IF(W250="BIT",INDEX('Logical Group Generator'!H:H,'Script Generator'!T250),INDEX('Logical Group Generator'!L:L,'Script Generator'!T250)),2),IF(ISERROR(T251),$M$5,$M$4)))</f>
        <v/>
      </c>
      <c r="D249" s="215"/>
      <c r="R249" s="215" t="str">
        <f>IF('Logical Group Generator'!W249="FALSE","",IF('Logical Group Generator'!B249="OTP_RSVD_38_03","",'Logical Group Generator'!B249))</f>
        <v/>
      </c>
      <c r="T249" s="157" t="e">
        <f>MATCH(U249,'Logical Group Generator'!B:B,0)</f>
        <v>#NUM!</v>
      </c>
      <c r="U249" s="157" t="e">
        <f t="array" ref="U249">IF(ROWS($3:249)&lt;=COUNTA($R$3:$R$902),INDEX($R$3:$R$902,SMALL(IF($R$3:$R$902&lt;&gt;"",ROW($R$3:$R$902)-MIN(ROW($R$3:$R$902))+1),ROWS($3:249))),"")</f>
        <v>#NUM!</v>
      </c>
      <c r="W249" s="157" t="e">
        <f>IF(INDEX('Logical Group Generator'!W:W,MATCH(U249,'Logical Group Generator'!B:B,0))="REGISTER","REGISTER","BIT")</f>
        <v>#NUM!</v>
      </c>
    </row>
    <row r="250" spans="2:23">
      <c r="B250" s="157" t="str">
        <f>IF(ISERROR(T251),"",CONCATENATE(IF(W251="BIT",$M$2,$M$1),U251,$M$3,BIN2HEX(IF(W251="BIT",INDEX('Logical Group Generator'!H:H,'Script Generator'!T251),INDEX('Logical Group Generator'!L:L,'Script Generator'!T251)),2),IF(ISERROR(T252),$M$5,$M$4)))</f>
        <v/>
      </c>
      <c r="D250" s="215"/>
      <c r="R250" s="215" t="str">
        <f>IF('Logical Group Generator'!W250="FALSE","",IF('Logical Group Generator'!B250="OTP_RSVD_38_03","",'Logical Group Generator'!B250))</f>
        <v/>
      </c>
      <c r="T250" s="157" t="e">
        <f>MATCH(U250,'Logical Group Generator'!B:B,0)</f>
        <v>#NUM!</v>
      </c>
      <c r="U250" s="157" t="e">
        <f t="array" ref="U250">IF(ROWS($3:250)&lt;=COUNTA($R$3:$R$902),INDEX($R$3:$R$902,SMALL(IF($R$3:$R$902&lt;&gt;"",ROW($R$3:$R$902)-MIN(ROW($R$3:$R$902))+1),ROWS($3:250))),"")</f>
        <v>#NUM!</v>
      </c>
      <c r="W250" s="157" t="e">
        <f>IF(INDEX('Logical Group Generator'!W:W,MATCH(U250,'Logical Group Generator'!B:B,0))="REGISTER","REGISTER","BIT")</f>
        <v>#NUM!</v>
      </c>
    </row>
    <row r="251" spans="2:23">
      <c r="B251" s="157" t="str">
        <f>IF(ISERROR(T252),"",CONCATENATE(IF(W252="BIT",$M$2,$M$1),U252,$M$3,BIN2HEX(IF(W252="BIT",INDEX('Logical Group Generator'!H:H,'Script Generator'!T252),INDEX('Logical Group Generator'!L:L,'Script Generator'!T252)),2),IF(ISERROR(T253),$M$5,$M$4)))</f>
        <v/>
      </c>
      <c r="D251" s="215"/>
      <c r="R251" s="215" t="str">
        <f>IF('Logical Group Generator'!W251="FALSE","",IF('Logical Group Generator'!B251="OTP_RSVD_38_03","",'Logical Group Generator'!B251))</f>
        <v/>
      </c>
      <c r="T251" s="157" t="e">
        <f>MATCH(U251,'Logical Group Generator'!B:B,0)</f>
        <v>#NUM!</v>
      </c>
      <c r="U251" s="157" t="e">
        <f t="array" ref="U251">IF(ROWS($3:251)&lt;=COUNTA($R$3:$R$902),INDEX($R$3:$R$902,SMALL(IF($R$3:$R$902&lt;&gt;"",ROW($R$3:$R$902)-MIN(ROW($R$3:$R$902))+1),ROWS($3:251))),"")</f>
        <v>#NUM!</v>
      </c>
      <c r="W251" s="157" t="e">
        <f>IF(INDEX('Logical Group Generator'!W:W,MATCH(U251,'Logical Group Generator'!B:B,0))="REGISTER","REGISTER","BIT")</f>
        <v>#NUM!</v>
      </c>
    </row>
    <row r="252" spans="2:23">
      <c r="B252" s="157" t="str">
        <f>IF(ISERROR(T253),"",CONCATENATE(IF(W253="BIT",$M$2,$M$1),U253,$M$3,BIN2HEX(IF(W253="BIT",INDEX('Logical Group Generator'!H:H,'Script Generator'!T253),INDEX('Logical Group Generator'!L:L,'Script Generator'!T253)),2),IF(ISERROR(T254),$M$5,$M$4)))</f>
        <v/>
      </c>
      <c r="D252" s="215"/>
      <c r="R252" s="215" t="str">
        <f>IF('Logical Group Generator'!W252="FALSE","",IF('Logical Group Generator'!B252="OTP_RSVD_38_03","",'Logical Group Generator'!B252))</f>
        <v/>
      </c>
      <c r="T252" s="157" t="e">
        <f>MATCH(U252,'Logical Group Generator'!B:B,0)</f>
        <v>#NUM!</v>
      </c>
      <c r="U252" s="157" t="e">
        <f t="array" ref="U252">IF(ROWS($3:252)&lt;=COUNTA($R$3:$R$902),INDEX($R$3:$R$902,SMALL(IF($R$3:$R$902&lt;&gt;"",ROW($R$3:$R$902)-MIN(ROW($R$3:$R$902))+1),ROWS($3:252))),"")</f>
        <v>#NUM!</v>
      </c>
      <c r="W252" s="157" t="e">
        <f>IF(INDEX('Logical Group Generator'!W:W,MATCH(U252,'Logical Group Generator'!B:B,0))="REGISTER","REGISTER","BIT")</f>
        <v>#NUM!</v>
      </c>
    </row>
    <row r="253" spans="2:23">
      <c r="B253" s="157" t="str">
        <f>IF(ISERROR(T254),"",CONCATENATE(IF(W254="BIT",$M$2,$M$1),U254,$M$3,BIN2HEX(IF(W254="BIT",INDEX('Logical Group Generator'!H:H,'Script Generator'!T254),INDEX('Logical Group Generator'!L:L,'Script Generator'!T254)),2),IF(ISERROR(T255),$M$5,$M$4)))</f>
        <v/>
      </c>
      <c r="D253" s="215"/>
      <c r="R253" s="215" t="str">
        <f>IF('Logical Group Generator'!W253="FALSE","",IF('Logical Group Generator'!B253="OTP_RSVD_38_03","",'Logical Group Generator'!B253))</f>
        <v/>
      </c>
      <c r="T253" s="157" t="e">
        <f>MATCH(U253,'Logical Group Generator'!B:B,0)</f>
        <v>#NUM!</v>
      </c>
      <c r="U253" s="157" t="e">
        <f t="array" ref="U253">IF(ROWS($3:253)&lt;=COUNTA($R$3:$R$902),INDEX($R$3:$R$902,SMALL(IF($R$3:$R$902&lt;&gt;"",ROW($R$3:$R$902)-MIN(ROW($R$3:$R$902))+1),ROWS($3:253))),"")</f>
        <v>#NUM!</v>
      </c>
      <c r="W253" s="157" t="e">
        <f>IF(INDEX('Logical Group Generator'!W:W,MATCH(U253,'Logical Group Generator'!B:B,0))="REGISTER","REGISTER","BIT")</f>
        <v>#NUM!</v>
      </c>
    </row>
    <row r="254" spans="2:23">
      <c r="B254" s="157" t="str">
        <f>IF(ISERROR(T255),"",CONCATENATE(IF(W255="BIT",$M$2,$M$1),U255,$M$3,BIN2HEX(IF(W255="BIT",INDEX('Logical Group Generator'!H:H,'Script Generator'!T255),INDEX('Logical Group Generator'!L:L,'Script Generator'!T255)),2),IF(ISERROR(T256),$M$5,$M$4)))</f>
        <v/>
      </c>
      <c r="D254" s="215"/>
      <c r="R254" s="215" t="str">
        <f>IF('Logical Group Generator'!W254="FALSE","",IF('Logical Group Generator'!B254="OTP_RSVD_38_03","",'Logical Group Generator'!B254))</f>
        <v/>
      </c>
      <c r="T254" s="157" t="e">
        <f>MATCH(U254,'Logical Group Generator'!B:B,0)</f>
        <v>#NUM!</v>
      </c>
      <c r="U254" s="157" t="e">
        <f t="array" ref="U254">IF(ROWS($3:254)&lt;=COUNTA($R$3:$R$902),INDEX($R$3:$R$902,SMALL(IF($R$3:$R$902&lt;&gt;"",ROW($R$3:$R$902)-MIN(ROW($R$3:$R$902))+1),ROWS($3:254))),"")</f>
        <v>#NUM!</v>
      </c>
      <c r="W254" s="157" t="e">
        <f>IF(INDEX('Logical Group Generator'!W:W,MATCH(U254,'Logical Group Generator'!B:B,0))="REGISTER","REGISTER","BIT")</f>
        <v>#NUM!</v>
      </c>
    </row>
    <row r="255" spans="2:23">
      <c r="B255" s="157" t="str">
        <f>IF(ISERROR(T256),"",CONCATENATE(IF(W256="BIT",$M$2,$M$1),U256,$M$3,BIN2HEX(IF(W256="BIT",INDEX('Logical Group Generator'!H:H,'Script Generator'!T256),INDEX('Logical Group Generator'!L:L,'Script Generator'!T256)),2),IF(ISERROR(T257),$M$5,$M$4)))</f>
        <v/>
      </c>
      <c r="D255" s="215"/>
      <c r="R255" s="215" t="str">
        <f>IF('Logical Group Generator'!W255="FALSE","",IF('Logical Group Generator'!B255="OTP_RSVD_38_03","",'Logical Group Generator'!B255))</f>
        <v>MISCSYSPG</v>
      </c>
      <c r="T255" s="157" t="e">
        <f>MATCH(U255,'Logical Group Generator'!B:B,0)</f>
        <v>#NUM!</v>
      </c>
      <c r="U255" s="157" t="e">
        <f t="array" ref="U255">IF(ROWS($3:255)&lt;=COUNTA($R$3:$R$902),INDEX($R$3:$R$902,SMALL(IF($R$3:$R$902&lt;&gt;"",ROW($R$3:$R$902)-MIN(ROW($R$3:$R$902))+1),ROWS($3:255))),"")</f>
        <v>#NUM!</v>
      </c>
      <c r="W255" s="157" t="e">
        <f>IF(INDEX('Logical Group Generator'!W:W,MATCH(U255,'Logical Group Generator'!B:B,0))="REGISTER","REGISTER","BIT")</f>
        <v>#NUM!</v>
      </c>
    </row>
    <row r="256" spans="2:23">
      <c r="B256" s="157" t="str">
        <f>IF(ISERROR(T257),"",CONCATENATE(IF(W257="BIT",$M$2,$M$1),U257,$M$3,BIN2HEX(IF(W257="BIT",INDEX('Logical Group Generator'!H:H,'Script Generator'!T257),INDEX('Logical Group Generator'!L:L,'Script Generator'!T257)),2),IF(ISERROR(T258),$M$5,$M$4)))</f>
        <v/>
      </c>
      <c r="D256" s="215"/>
      <c r="R256" s="215" t="str">
        <f>IF('Logical Group Generator'!W256="FALSE","",IF('Logical Group Generator'!B256="OTP_RSVD_38_03","",'Logical Group Generator'!B256))</f>
        <v/>
      </c>
      <c r="T256" s="157" t="e">
        <f>MATCH(U256,'Logical Group Generator'!B:B,0)</f>
        <v>#NUM!</v>
      </c>
      <c r="U256" s="157" t="e">
        <f t="array" ref="U256">IF(ROWS($3:256)&lt;=COUNTA($R$3:$R$902),INDEX($R$3:$R$902,SMALL(IF($R$3:$R$902&lt;&gt;"",ROW($R$3:$R$902)-MIN(ROW($R$3:$R$902))+1),ROWS($3:256))),"")</f>
        <v>#NUM!</v>
      </c>
      <c r="W256" s="157" t="e">
        <f>IF(INDEX('Logical Group Generator'!W:W,MATCH(U256,'Logical Group Generator'!B:B,0))="REGISTER","REGISTER","BIT")</f>
        <v>#NUM!</v>
      </c>
    </row>
    <row r="257" spans="2:23">
      <c r="B257" s="157" t="str">
        <f>IF(ISERROR(T258),"",CONCATENATE(IF(W258="BIT",$M$2,$M$1),U258,$M$3,BIN2HEX(IF(W258="BIT",INDEX('Logical Group Generator'!H:H,'Script Generator'!T258),INDEX('Logical Group Generator'!L:L,'Script Generator'!T258)),2),IF(ISERROR(T259),$M$5,$M$4)))</f>
        <v/>
      </c>
      <c r="D257" s="215"/>
      <c r="R257" s="215" t="str">
        <f>IF('Logical Group Generator'!W257="FALSE","",IF('Logical Group Generator'!B257="OTP_RSVD_38_03","",'Logical Group Generator'!B257))</f>
        <v/>
      </c>
      <c r="T257" s="157" t="e">
        <f>MATCH(U257,'Logical Group Generator'!B:B,0)</f>
        <v>#NUM!</v>
      </c>
      <c r="U257" s="157" t="e">
        <f t="array" ref="U257">IF(ROWS($3:257)&lt;=COUNTA($R$3:$R$902),INDEX($R$3:$R$902,SMALL(IF($R$3:$R$902&lt;&gt;"",ROW($R$3:$R$902)-MIN(ROW($R$3:$R$902))+1),ROWS($3:257))),"")</f>
        <v>#NUM!</v>
      </c>
      <c r="W257" s="157" t="e">
        <f>IF(INDEX('Logical Group Generator'!W:W,MATCH(U257,'Logical Group Generator'!B:B,0))="REGISTER","REGISTER","BIT")</f>
        <v>#NUM!</v>
      </c>
    </row>
    <row r="258" spans="2:23">
      <c r="B258" s="157" t="str">
        <f>IF(ISERROR(T259),"",CONCATENATE(IF(W259="BIT",$M$2,$M$1),U259,$M$3,BIN2HEX(IF(W259="BIT",INDEX('Logical Group Generator'!H:H,'Script Generator'!T259),INDEX('Logical Group Generator'!L:L,'Script Generator'!T259)),2),IF(ISERROR(T260),$M$5,$M$4)))</f>
        <v/>
      </c>
      <c r="D258" s="215"/>
      <c r="R258" s="215" t="str">
        <f>IF('Logical Group Generator'!W258="FALSE","",IF('Logical Group Generator'!B258="OTP_RSVD_38_03","",'Logical Group Generator'!B258))</f>
        <v/>
      </c>
      <c r="T258" s="157" t="e">
        <f>MATCH(U258,'Logical Group Generator'!B:B,0)</f>
        <v>#NUM!</v>
      </c>
      <c r="U258" s="157" t="e">
        <f t="array" ref="U258">IF(ROWS($3:258)&lt;=COUNTA($R$3:$R$902),INDEX($R$3:$R$902,SMALL(IF($R$3:$R$902&lt;&gt;"",ROW($R$3:$R$902)-MIN(ROW($R$3:$R$902))+1),ROWS($3:258))),"")</f>
        <v>#NUM!</v>
      </c>
      <c r="W258" s="157" t="e">
        <f>IF(INDEX('Logical Group Generator'!W:W,MATCH(U258,'Logical Group Generator'!B:B,0))="REGISTER","REGISTER","BIT")</f>
        <v>#NUM!</v>
      </c>
    </row>
    <row r="259" spans="2:23">
      <c r="B259" s="157" t="str">
        <f>IF(ISERROR(T260),"",CONCATENATE(IF(W260="BIT",$M$2,$M$1),U260,$M$3,BIN2HEX(IF(W260="BIT",INDEX('Logical Group Generator'!H:H,'Script Generator'!T260),INDEX('Logical Group Generator'!L:L,'Script Generator'!T260)),2),IF(ISERROR(T261),$M$5,$M$4)))</f>
        <v/>
      </c>
      <c r="D259" s="215"/>
      <c r="R259" s="215" t="str">
        <f>IF('Logical Group Generator'!W259="FALSE","",IF('Logical Group Generator'!B259="OTP_RSVD_38_03","",'Logical Group Generator'!B259))</f>
        <v/>
      </c>
      <c r="T259" s="157" t="e">
        <f>MATCH(U259,'Logical Group Generator'!B:B,0)</f>
        <v>#NUM!</v>
      </c>
      <c r="U259" s="157" t="e">
        <f t="array" ref="U259">IF(ROWS($3:259)&lt;=COUNTA($R$3:$R$902),INDEX($R$3:$R$902,SMALL(IF($R$3:$R$902&lt;&gt;"",ROW($R$3:$R$902)-MIN(ROW($R$3:$R$902))+1),ROWS($3:259))),"")</f>
        <v>#NUM!</v>
      </c>
      <c r="W259" s="157" t="e">
        <f>IF(INDEX('Logical Group Generator'!W:W,MATCH(U259,'Logical Group Generator'!B:B,0))="REGISTER","REGISTER","BIT")</f>
        <v>#NUM!</v>
      </c>
    </row>
    <row r="260" spans="2:23">
      <c r="B260" s="157" t="str">
        <f>IF(ISERROR(T261),"",CONCATENATE(IF(W261="BIT",$M$2,$M$1),U261,$M$3,BIN2HEX(IF(W261="BIT",INDEX('Logical Group Generator'!H:H,'Script Generator'!T261),INDEX('Logical Group Generator'!L:L,'Script Generator'!T261)),2),IF(ISERROR(T262),$M$5,$M$4)))</f>
        <v/>
      </c>
      <c r="D260" s="215"/>
      <c r="R260" s="215" t="str">
        <f>IF('Logical Group Generator'!W260="FALSE","",IF('Logical Group Generator'!B260="OTP_RSVD_38_03","",'Logical Group Generator'!B260))</f>
        <v/>
      </c>
      <c r="T260" s="157" t="e">
        <f>MATCH(U260,'Logical Group Generator'!B:B,0)</f>
        <v>#NUM!</v>
      </c>
      <c r="U260" s="157" t="e">
        <f t="array" ref="U260">IF(ROWS($3:260)&lt;=COUNTA($R$3:$R$902),INDEX($R$3:$R$902,SMALL(IF($R$3:$R$902&lt;&gt;"",ROW($R$3:$R$902)-MIN(ROW($R$3:$R$902))+1),ROWS($3:260))),"")</f>
        <v>#NUM!</v>
      </c>
      <c r="W260" s="157" t="e">
        <f>IF(INDEX('Logical Group Generator'!W:W,MATCH(U260,'Logical Group Generator'!B:B,0))="REGISTER","REGISTER","BIT")</f>
        <v>#NUM!</v>
      </c>
    </row>
    <row r="261" spans="2:23">
      <c r="B261" s="157" t="str">
        <f>IF(ISERROR(T262),"",CONCATENATE(IF(W262="BIT",$M$2,$M$1),U262,$M$3,BIN2HEX(IF(W262="BIT",INDEX('Logical Group Generator'!H:H,'Script Generator'!T262),INDEX('Logical Group Generator'!L:L,'Script Generator'!T262)),2),IF(ISERROR(T263),$M$5,$M$4)))</f>
        <v/>
      </c>
      <c r="D261" s="215"/>
      <c r="R261" s="215" t="str">
        <f>IF('Logical Group Generator'!W261="FALSE","",IF('Logical Group Generator'!B261="OTP_RSVD_38_03","",'Logical Group Generator'!B261))</f>
        <v/>
      </c>
      <c r="T261" s="157" t="e">
        <f>MATCH(U261,'Logical Group Generator'!B:B,0)</f>
        <v>#NUM!</v>
      </c>
      <c r="U261" s="157" t="e">
        <f t="array" ref="U261">IF(ROWS($3:261)&lt;=COUNTA($R$3:$R$902),INDEX($R$3:$R$902,SMALL(IF($R$3:$R$902&lt;&gt;"",ROW($R$3:$R$902)-MIN(ROW($R$3:$R$902))+1),ROWS($3:261))),"")</f>
        <v>#NUM!</v>
      </c>
      <c r="W261" s="157" t="e">
        <f>IF(INDEX('Logical Group Generator'!W:W,MATCH(U261,'Logical Group Generator'!B:B,0))="REGISTER","REGISTER","BIT")</f>
        <v>#NUM!</v>
      </c>
    </row>
    <row r="262" spans="2:23">
      <c r="B262" s="157" t="str">
        <f>IF(ISERROR(T263),"",CONCATENATE(IF(W263="BIT",$M$2,$M$1),U263,$M$3,BIN2HEX(IF(W263="BIT",INDEX('Logical Group Generator'!H:H,'Script Generator'!T263),INDEX('Logical Group Generator'!L:L,'Script Generator'!T263)),2),IF(ISERROR(T264),$M$5,$M$4)))</f>
        <v/>
      </c>
      <c r="D262" s="215"/>
      <c r="R262" s="215" t="str">
        <f>IF('Logical Group Generator'!W262="FALSE","",IF('Logical Group Generator'!B262="OTP_RSVD_38_03","",'Logical Group Generator'!B262))</f>
        <v/>
      </c>
      <c r="T262" s="157" t="e">
        <f>MATCH(U262,'Logical Group Generator'!B:B,0)</f>
        <v>#NUM!</v>
      </c>
      <c r="U262" s="157" t="e">
        <f t="array" ref="U262">IF(ROWS($3:262)&lt;=COUNTA($R$3:$R$902),INDEX($R$3:$R$902,SMALL(IF($R$3:$R$902&lt;&gt;"",ROW($R$3:$R$902)-MIN(ROW($R$3:$R$902))+1),ROWS($3:262))),"")</f>
        <v>#NUM!</v>
      </c>
      <c r="W262" s="157" t="e">
        <f>IF(INDEX('Logical Group Generator'!W:W,MATCH(U262,'Logical Group Generator'!B:B,0))="REGISTER","REGISTER","BIT")</f>
        <v>#NUM!</v>
      </c>
    </row>
    <row r="263" spans="2:23">
      <c r="B263" s="157" t="str">
        <f>IF(ISERROR(T264),"",CONCATENATE(IF(W264="BIT",$M$2,$M$1),U264,$M$3,BIN2HEX(IF(W264="BIT",INDEX('Logical Group Generator'!H:H,'Script Generator'!T264),INDEX('Logical Group Generator'!L:L,'Script Generator'!T264)),2),IF(ISERROR(T265),$M$5,$M$4)))</f>
        <v/>
      </c>
      <c r="D263" s="215"/>
      <c r="R263" s="215" t="str">
        <f>IF('Logical Group Generator'!W263="FALSE","",IF('Logical Group Generator'!B263="OTP_RSVD_38_03","",'Logical Group Generator'!B263))</f>
        <v/>
      </c>
      <c r="T263" s="157" t="e">
        <f>MATCH(U263,'Logical Group Generator'!B:B,0)</f>
        <v>#NUM!</v>
      </c>
      <c r="U263" s="157" t="e">
        <f t="array" ref="U263">IF(ROWS($3:263)&lt;=COUNTA($R$3:$R$902),INDEX($R$3:$R$902,SMALL(IF($R$3:$R$902&lt;&gt;"",ROW($R$3:$R$902)-MIN(ROW($R$3:$R$902))+1),ROWS($3:263))),"")</f>
        <v>#NUM!</v>
      </c>
      <c r="W263" s="157" t="e">
        <f>IF(INDEX('Logical Group Generator'!W:W,MATCH(U263,'Logical Group Generator'!B:B,0))="REGISTER","REGISTER","BIT")</f>
        <v>#NUM!</v>
      </c>
    </row>
    <row r="264" spans="2:23">
      <c r="B264" s="157" t="str">
        <f>IF(ISERROR(T265),"",CONCATENATE(IF(W265="BIT",$M$2,$M$1),U265,$M$3,BIN2HEX(IF(W265="BIT",INDEX('Logical Group Generator'!H:H,'Script Generator'!T265),INDEX('Logical Group Generator'!L:L,'Script Generator'!T265)),2),IF(ISERROR(T266),$M$5,$M$4)))</f>
        <v/>
      </c>
      <c r="D264" s="215"/>
      <c r="R264" s="215" t="str">
        <f>IF('Logical Group Generator'!W264="FALSE","",IF('Logical Group Generator'!B264="OTP_RSVD_38_03","",'Logical Group Generator'!B264))</f>
        <v>VTT_DISCH_CTRL</v>
      </c>
      <c r="T264" s="157" t="e">
        <f>MATCH(U264,'Logical Group Generator'!B:B,0)</f>
        <v>#NUM!</v>
      </c>
      <c r="U264" s="157" t="e">
        <f t="array" ref="U264">IF(ROWS($3:264)&lt;=COUNTA($R$3:$R$902),INDEX($R$3:$R$902,SMALL(IF($R$3:$R$902&lt;&gt;"",ROW($R$3:$R$902)-MIN(ROW($R$3:$R$902))+1),ROWS($3:264))),"")</f>
        <v>#NUM!</v>
      </c>
      <c r="W264" s="157" t="e">
        <f>IF(INDEX('Logical Group Generator'!W:W,MATCH(U264,'Logical Group Generator'!B:B,0))="REGISTER","REGISTER","BIT")</f>
        <v>#NUM!</v>
      </c>
    </row>
    <row r="265" spans="2:23">
      <c r="B265" s="157" t="str">
        <f>IF(ISERROR(T266),"",CONCATENATE(IF(W266="BIT",$M$2,$M$1),U266,$M$3,BIN2HEX(IF(W266="BIT",INDEX('Logical Group Generator'!H:H,'Script Generator'!T266),INDEX('Logical Group Generator'!L:L,'Script Generator'!T266)),2),IF(ISERROR(T267),$M$5,$M$4)))</f>
        <v/>
      </c>
      <c r="D265" s="215"/>
      <c r="R265" s="215" t="str">
        <f>IF('Logical Group Generator'!W265="FALSE","",IF('Logical Group Generator'!B265="OTP_RSVD_38_03","",'Logical Group Generator'!B265))</f>
        <v/>
      </c>
      <c r="T265" s="157" t="e">
        <f>MATCH(U265,'Logical Group Generator'!B:B,0)</f>
        <v>#NUM!</v>
      </c>
      <c r="U265" s="157" t="e">
        <f t="array" ref="U265">IF(ROWS($3:265)&lt;=COUNTA($R$3:$R$902),INDEX($R$3:$R$902,SMALL(IF($R$3:$R$902&lt;&gt;"",ROW($R$3:$R$902)-MIN(ROW($R$3:$R$902))+1),ROWS($3:265))),"")</f>
        <v>#NUM!</v>
      </c>
      <c r="W265" s="157" t="e">
        <f>IF(INDEX('Logical Group Generator'!W:W,MATCH(U265,'Logical Group Generator'!B:B,0))="REGISTER","REGISTER","BIT")</f>
        <v>#NUM!</v>
      </c>
    </row>
    <row r="266" spans="2:23">
      <c r="B266" s="157" t="str">
        <f>IF(ISERROR(T267),"",CONCATENATE(IF(W267="BIT",$M$2,$M$1),U267,$M$3,BIN2HEX(IF(W267="BIT",INDEX('Logical Group Generator'!H:H,'Script Generator'!T267),INDEX('Logical Group Generator'!L:L,'Script Generator'!T267)),2),IF(ISERROR(T268),$M$5,$M$4)))</f>
        <v/>
      </c>
      <c r="D266" s="215"/>
      <c r="R266" s="215" t="str">
        <f>IF('Logical Group Generator'!W266="FALSE","",IF('Logical Group Generator'!B266="OTP_RSVD_38_03","",'Logical Group Generator'!B266))</f>
        <v/>
      </c>
      <c r="T266" s="157" t="e">
        <f>MATCH(U266,'Logical Group Generator'!B:B,0)</f>
        <v>#NUM!</v>
      </c>
      <c r="U266" s="157" t="e">
        <f t="array" ref="U266">IF(ROWS($3:266)&lt;=COUNTA($R$3:$R$902),INDEX($R$3:$R$902,SMALL(IF($R$3:$R$902&lt;&gt;"",ROW($R$3:$R$902)-MIN(ROW($R$3:$R$902))+1),ROWS($3:266))),"")</f>
        <v>#NUM!</v>
      </c>
      <c r="W266" s="157" t="e">
        <f>IF(INDEX('Logical Group Generator'!W:W,MATCH(U266,'Logical Group Generator'!B:B,0))="REGISTER","REGISTER","BIT")</f>
        <v>#NUM!</v>
      </c>
    </row>
    <row r="267" spans="2:23">
      <c r="B267" s="157" t="str">
        <f>IF(ISERROR(T268),"",CONCATENATE(IF(W268="BIT",$M$2,$M$1),U268,$M$3,BIN2HEX(IF(W268="BIT",INDEX('Logical Group Generator'!H:H,'Script Generator'!T268),INDEX('Logical Group Generator'!L:L,'Script Generator'!T268)),2),IF(ISERROR(T269),$M$5,$M$4)))</f>
        <v/>
      </c>
      <c r="D267" s="215"/>
      <c r="R267" s="215" t="str">
        <f>IF('Logical Group Generator'!W267="FALSE","",IF('Logical Group Generator'!B267="OTP_RSVD_38_03","",'Logical Group Generator'!B267))</f>
        <v/>
      </c>
      <c r="T267" s="157" t="e">
        <f>MATCH(U267,'Logical Group Generator'!B:B,0)</f>
        <v>#NUM!</v>
      </c>
      <c r="U267" s="157" t="e">
        <f t="array" ref="U267">IF(ROWS($3:267)&lt;=COUNTA($R$3:$R$902),INDEX($R$3:$R$902,SMALL(IF($R$3:$R$902&lt;&gt;"",ROW($R$3:$R$902)-MIN(ROW($R$3:$R$902))+1),ROWS($3:267))),"")</f>
        <v>#NUM!</v>
      </c>
      <c r="W267" s="157" t="e">
        <f>IF(INDEX('Logical Group Generator'!W:W,MATCH(U267,'Logical Group Generator'!B:B,0))="REGISTER","REGISTER","BIT")</f>
        <v>#NUM!</v>
      </c>
    </row>
    <row r="268" spans="2:23">
      <c r="B268" s="157" t="str">
        <f>IF(ISERROR(T269),"",CONCATENATE(IF(W269="BIT",$M$2,$M$1),U269,$M$3,BIN2HEX(IF(W269="BIT",INDEX('Logical Group Generator'!H:H,'Script Generator'!T269),INDEX('Logical Group Generator'!L:L,'Script Generator'!T269)),2),IF(ISERROR(T270),$M$5,$M$4)))</f>
        <v/>
      </c>
      <c r="D268" s="215"/>
      <c r="R268" s="215" t="str">
        <f>IF('Logical Group Generator'!W268="FALSE","",IF('Logical Group Generator'!B268="OTP_RSVD_38_03","",'Logical Group Generator'!B268))</f>
        <v/>
      </c>
      <c r="T268" s="157" t="e">
        <f>MATCH(U268,'Logical Group Generator'!B:B,0)</f>
        <v>#NUM!</v>
      </c>
      <c r="U268" s="157" t="e">
        <f t="array" ref="U268">IF(ROWS($3:268)&lt;=COUNTA($R$3:$R$902),INDEX($R$3:$R$902,SMALL(IF($R$3:$R$902&lt;&gt;"",ROW($R$3:$R$902)-MIN(ROW($R$3:$R$902))+1),ROWS($3:268))),"")</f>
        <v>#NUM!</v>
      </c>
      <c r="W268" s="157" t="e">
        <f>IF(INDEX('Logical Group Generator'!W:W,MATCH(U268,'Logical Group Generator'!B:B,0))="REGISTER","REGISTER","BIT")</f>
        <v>#NUM!</v>
      </c>
    </row>
    <row r="269" spans="2:23">
      <c r="B269" s="157" t="str">
        <f>IF(ISERROR(T270),"",CONCATENATE(IF(W270="BIT",$M$2,$M$1),U270,$M$3,BIN2HEX(IF(W270="BIT",INDEX('Logical Group Generator'!H:H,'Script Generator'!T270),INDEX('Logical Group Generator'!L:L,'Script Generator'!T270)),2),IF(ISERROR(T271),$M$5,$M$4)))</f>
        <v/>
      </c>
      <c r="D269" s="215"/>
      <c r="R269" s="215" t="str">
        <f>IF('Logical Group Generator'!W269="FALSE","",IF('Logical Group Generator'!B269="OTP_RSVD_38_03","",'Logical Group Generator'!B269))</f>
        <v/>
      </c>
      <c r="T269" s="157" t="e">
        <f>MATCH(U269,'Logical Group Generator'!B:B,0)</f>
        <v>#NUM!</v>
      </c>
      <c r="U269" s="157" t="e">
        <f t="array" ref="U269">IF(ROWS($3:269)&lt;=COUNTA($R$3:$R$902),INDEX($R$3:$R$902,SMALL(IF($R$3:$R$902&lt;&gt;"",ROW($R$3:$R$902)-MIN(ROW($R$3:$R$902))+1),ROWS($3:269))),"")</f>
        <v>#NUM!</v>
      </c>
      <c r="W269" s="157" t="e">
        <f>IF(INDEX('Logical Group Generator'!W:W,MATCH(U269,'Logical Group Generator'!B:B,0))="REGISTER","REGISTER","BIT")</f>
        <v>#NUM!</v>
      </c>
    </row>
    <row r="270" spans="2:23">
      <c r="B270" s="157" t="str">
        <f>IF(ISERROR(T271),"",CONCATENATE(IF(W271="BIT",$M$2,$M$1),U271,$M$3,BIN2HEX(IF(W271="BIT",INDEX('Logical Group Generator'!H:H,'Script Generator'!T271),INDEX('Logical Group Generator'!L:L,'Script Generator'!T271)),2),IF(ISERROR(T272),$M$5,$M$4)))</f>
        <v/>
      </c>
      <c r="D270" s="215"/>
      <c r="R270" s="215" t="str">
        <f>IF('Logical Group Generator'!W270="FALSE","",IF('Logical Group Generator'!B270="OTP_RSVD_38_03","",'Logical Group Generator'!B270))</f>
        <v/>
      </c>
      <c r="T270" s="157" t="e">
        <f>MATCH(U270,'Logical Group Generator'!B:B,0)</f>
        <v>#NUM!</v>
      </c>
      <c r="U270" s="157" t="e">
        <f t="array" ref="U270">IF(ROWS($3:270)&lt;=COUNTA($R$3:$R$902),INDEX($R$3:$R$902,SMALL(IF($R$3:$R$902&lt;&gt;"",ROW($R$3:$R$902)-MIN(ROW($R$3:$R$902))+1),ROWS($3:270))),"")</f>
        <v>#NUM!</v>
      </c>
      <c r="W270" s="157" t="e">
        <f>IF(INDEX('Logical Group Generator'!W:W,MATCH(U270,'Logical Group Generator'!B:B,0))="REGISTER","REGISTER","BIT")</f>
        <v>#NUM!</v>
      </c>
    </row>
    <row r="271" spans="2:23">
      <c r="B271" s="157" t="str">
        <f>IF(ISERROR(T272),"",CONCATENATE(IF(W272="BIT",$M$2,$M$1),U272,$M$3,BIN2HEX(IF(W272="BIT",INDEX('Logical Group Generator'!H:H,'Script Generator'!T272),INDEX('Logical Group Generator'!L:L,'Script Generator'!T272)),2),IF(ISERROR(T273),$M$5,$M$4)))</f>
        <v/>
      </c>
      <c r="D271" s="215"/>
      <c r="R271" s="215" t="str">
        <f>IF('Logical Group Generator'!W271="FALSE","",IF('Logical Group Generator'!B271="OTP_RSVD_38_03","",'Logical Group Generator'!B271))</f>
        <v>LDOA1_SWB2_CTRL</v>
      </c>
      <c r="T271" s="157" t="e">
        <f>MATCH(U271,'Logical Group Generator'!B:B,0)</f>
        <v>#NUM!</v>
      </c>
      <c r="U271" s="157" t="e">
        <f t="array" ref="U271">IF(ROWS($3:271)&lt;=COUNTA($R$3:$R$902),INDEX($R$3:$R$902,SMALL(IF($R$3:$R$902&lt;&gt;"",ROW($R$3:$R$902)-MIN(ROW($R$3:$R$902))+1),ROWS($3:271))),"")</f>
        <v>#NUM!</v>
      </c>
      <c r="W271" s="157" t="e">
        <f>IF(INDEX('Logical Group Generator'!W:W,MATCH(U271,'Logical Group Generator'!B:B,0))="REGISTER","REGISTER","BIT")</f>
        <v>#NUM!</v>
      </c>
    </row>
    <row r="272" spans="2:23">
      <c r="B272" s="157" t="str">
        <f>IF(ISERROR(T273),"",CONCATENATE(IF(W273="BIT",$M$2,$M$1),U273,$M$3,BIN2HEX(IF(W273="BIT",INDEX('Logical Group Generator'!H:H,'Script Generator'!T273),INDEX('Logical Group Generator'!L:L,'Script Generator'!T273)),2),IF(ISERROR(T274),$M$5,$M$4)))</f>
        <v/>
      </c>
      <c r="D272" s="215"/>
      <c r="R272" s="215" t="str">
        <f>IF('Logical Group Generator'!W272="FALSE","",IF('Logical Group Generator'!B272="OTP_RSVD_38_03","",'Logical Group Generator'!B272))</f>
        <v/>
      </c>
      <c r="T272" s="157" t="e">
        <f>MATCH(U272,'Logical Group Generator'!B:B,0)</f>
        <v>#NUM!</v>
      </c>
      <c r="U272" s="157" t="e">
        <f t="array" ref="U272">IF(ROWS($3:272)&lt;=COUNTA($R$3:$R$902),INDEX($R$3:$R$902,SMALL(IF($R$3:$R$902&lt;&gt;"",ROW($R$3:$R$902)-MIN(ROW($R$3:$R$902))+1),ROWS($3:272))),"")</f>
        <v>#NUM!</v>
      </c>
      <c r="W272" s="157" t="e">
        <f>IF(INDEX('Logical Group Generator'!W:W,MATCH(U272,'Logical Group Generator'!B:B,0))="REGISTER","REGISTER","BIT")</f>
        <v>#NUM!</v>
      </c>
    </row>
    <row r="273" spans="2:23">
      <c r="B273" s="157" t="str">
        <f>IF(ISERROR(T274),"",CONCATENATE(IF(W274="BIT",$M$2,$M$1),U274,$M$3,BIN2HEX(IF(W274="BIT",INDEX('Logical Group Generator'!H:H,'Script Generator'!T274),INDEX('Logical Group Generator'!L:L,'Script Generator'!T274)),2),IF(ISERROR(T275),$M$5,$M$4)))</f>
        <v/>
      </c>
      <c r="D273" s="215"/>
      <c r="R273" s="215" t="str">
        <f>IF('Logical Group Generator'!W273="FALSE","",IF('Logical Group Generator'!B273="OTP_RSVD_38_03","",'Logical Group Generator'!B273))</f>
        <v/>
      </c>
      <c r="T273" s="157" t="e">
        <f>MATCH(U273,'Logical Group Generator'!B:B,0)</f>
        <v>#NUM!</v>
      </c>
      <c r="U273" s="157" t="e">
        <f t="array" ref="U273">IF(ROWS($3:273)&lt;=COUNTA($R$3:$R$902),INDEX($R$3:$R$902,SMALL(IF($R$3:$R$902&lt;&gt;"",ROW($R$3:$R$902)-MIN(ROW($R$3:$R$902))+1),ROWS($3:273))),"")</f>
        <v>#NUM!</v>
      </c>
      <c r="W273" s="157" t="e">
        <f>IF(INDEX('Logical Group Generator'!W:W,MATCH(U273,'Logical Group Generator'!B:B,0))="REGISTER","REGISTER","BIT")</f>
        <v>#NUM!</v>
      </c>
    </row>
    <row r="274" spans="2:23">
      <c r="B274" s="157" t="str">
        <f>IF(ISERROR(T275),"",CONCATENATE(IF(W275="BIT",$M$2,$M$1),U275,$M$3,BIN2HEX(IF(W275="BIT",INDEX('Logical Group Generator'!H:H,'Script Generator'!T275),INDEX('Logical Group Generator'!L:L,'Script Generator'!T275)),2),IF(ISERROR(T276),$M$5,$M$4)))</f>
        <v/>
      </c>
      <c r="D274" s="215"/>
      <c r="R274" s="215" t="str">
        <f>IF('Logical Group Generator'!W274="FALSE","",IF('Logical Group Generator'!B274="OTP_RSVD_38_03","",'Logical Group Generator'!B274))</f>
        <v/>
      </c>
      <c r="T274" s="157" t="e">
        <f>MATCH(U274,'Logical Group Generator'!B:B,0)</f>
        <v>#NUM!</v>
      </c>
      <c r="U274" s="157" t="e">
        <f t="array" ref="U274">IF(ROWS($3:274)&lt;=COUNTA($R$3:$R$902),INDEX($R$3:$R$902,SMALL(IF($R$3:$R$902&lt;&gt;"",ROW($R$3:$R$902)-MIN(ROW($R$3:$R$902))+1),ROWS($3:274))),"")</f>
        <v>#NUM!</v>
      </c>
      <c r="W274" s="157" t="e">
        <f>IF(INDEX('Logical Group Generator'!W:W,MATCH(U274,'Logical Group Generator'!B:B,0))="REGISTER","REGISTER","BIT")</f>
        <v>#NUM!</v>
      </c>
    </row>
    <row r="275" spans="2:23">
      <c r="B275" s="157" t="str">
        <f>IF(ISERROR(T276),"",CONCATENATE(IF(W276="BIT",$M$2,$M$1),U276,$M$3,BIN2HEX(IF(W276="BIT",INDEX('Logical Group Generator'!H:H,'Script Generator'!T276),INDEX('Logical Group Generator'!L:L,'Script Generator'!T276)),2),IF(ISERROR(T277),$M$5,$M$4)))</f>
        <v/>
      </c>
      <c r="D275" s="215"/>
      <c r="R275" s="215" t="str">
        <f>IF('Logical Group Generator'!W275="FALSE","",IF('Logical Group Generator'!B275="OTP_RSVD_38_03","",'Logical Group Generator'!B275))</f>
        <v/>
      </c>
      <c r="T275" s="157" t="e">
        <f>MATCH(U275,'Logical Group Generator'!B:B,0)</f>
        <v>#NUM!</v>
      </c>
      <c r="U275" s="157" t="e">
        <f t="array" ref="U275">IF(ROWS($3:275)&lt;=COUNTA($R$3:$R$902),INDEX($R$3:$R$902,SMALL(IF($R$3:$R$902&lt;&gt;"",ROW($R$3:$R$902)-MIN(ROW($R$3:$R$902))+1),ROWS($3:275))),"")</f>
        <v>#NUM!</v>
      </c>
      <c r="W275" s="157" t="e">
        <f>IF(INDEX('Logical Group Generator'!W:W,MATCH(U275,'Logical Group Generator'!B:B,0))="REGISTER","REGISTER","BIT")</f>
        <v>#NUM!</v>
      </c>
    </row>
    <row r="276" spans="2:23">
      <c r="B276" s="157" t="str">
        <f>IF(ISERROR(T277),"",CONCATENATE(IF(W277="BIT",$M$2,$M$1),U277,$M$3,BIN2HEX(IF(W277="BIT",INDEX('Logical Group Generator'!H:H,'Script Generator'!T277),INDEX('Logical Group Generator'!L:L,'Script Generator'!T277)),2),IF(ISERROR(T278),$M$5,$M$4)))</f>
        <v/>
      </c>
      <c r="D276" s="215"/>
      <c r="R276" s="215" t="str">
        <f>IF('Logical Group Generator'!W276="FALSE","",IF('Logical Group Generator'!B276="OTP_RSVD_38_03","",'Logical Group Generator'!B276))</f>
        <v>OTP_RSVD_5E_AF</v>
      </c>
      <c r="T276" s="157" t="e">
        <f>MATCH(U276,'Logical Group Generator'!B:B,0)</f>
        <v>#NUM!</v>
      </c>
      <c r="U276" s="157" t="e">
        <f t="array" ref="U276">IF(ROWS($3:276)&lt;=COUNTA($R$3:$R$902),INDEX($R$3:$R$902,SMALL(IF($R$3:$R$902&lt;&gt;"",ROW($R$3:$R$902)-MIN(ROW($R$3:$R$902))+1),ROWS($3:276))),"")</f>
        <v>#NUM!</v>
      </c>
      <c r="W276" s="157" t="e">
        <f>IF(INDEX('Logical Group Generator'!W:W,MATCH(U276,'Logical Group Generator'!B:B,0))="REGISTER","REGISTER","BIT")</f>
        <v>#NUM!</v>
      </c>
    </row>
    <row r="277" spans="2:23">
      <c r="B277" s="157" t="str">
        <f>IF(ISERROR(T278),"",CONCATENATE(IF(W278="BIT",$M$2,$M$1),U278,$M$3,BIN2HEX(IF(W278="BIT",INDEX('Logical Group Generator'!H:H,'Script Generator'!T278),INDEX('Logical Group Generator'!L:L,'Script Generator'!T278)),2),IF(ISERROR(T279),$M$5,$M$4)))</f>
        <v/>
      </c>
      <c r="D277" s="215"/>
      <c r="R277" s="215" t="str">
        <f>IF('Logical Group Generator'!W277="FALSE","",IF('Logical Group Generator'!B277="OTP_RSVD_38_03","",'Logical Group Generator'!B277))</f>
        <v/>
      </c>
      <c r="T277" s="157" t="e">
        <f>MATCH(U277,'Logical Group Generator'!B:B,0)</f>
        <v>#NUM!</v>
      </c>
      <c r="U277" s="157" t="e">
        <f t="array" ref="U277">IF(ROWS($3:277)&lt;=COUNTA($R$3:$R$902),INDEX($R$3:$R$902,SMALL(IF($R$3:$R$902&lt;&gt;"",ROW($R$3:$R$902)-MIN(ROW($R$3:$R$902))+1),ROWS($3:277))),"")</f>
        <v>#NUM!</v>
      </c>
      <c r="W277" s="157" t="e">
        <f>IF(INDEX('Logical Group Generator'!W:W,MATCH(U277,'Logical Group Generator'!B:B,0))="REGISTER","REGISTER","BIT")</f>
        <v>#NUM!</v>
      </c>
    </row>
    <row r="278" spans="2:23">
      <c r="B278" s="157" t="str">
        <f>IF(ISERROR(T279),"",CONCATENATE(IF(W279="BIT",$M$2,$M$1),U279,$M$3,BIN2HEX(IF(W279="BIT",INDEX('Logical Group Generator'!H:H,'Script Generator'!T279),INDEX('Logical Group Generator'!L:L,'Script Generator'!T279)),2),IF(ISERROR(T280),$M$5,$M$4)))</f>
        <v/>
      </c>
      <c r="D278" s="215"/>
      <c r="R278" s="215" t="str">
        <f>IF('Logical Group Generator'!W278="FALSE","",IF('Logical Group Generator'!B278="OTP_RSVD_38_03","",'Logical Group Generator'!B278))</f>
        <v/>
      </c>
      <c r="T278" s="157" t="e">
        <f>MATCH(U278,'Logical Group Generator'!B:B,0)</f>
        <v>#NUM!</v>
      </c>
      <c r="U278" s="157" t="e">
        <f t="array" ref="U278">IF(ROWS($3:278)&lt;=COUNTA($R$3:$R$902),INDEX($R$3:$R$902,SMALL(IF($R$3:$R$902&lt;&gt;"",ROW($R$3:$R$902)-MIN(ROW($R$3:$R$902))+1),ROWS($3:278))),"")</f>
        <v>#NUM!</v>
      </c>
      <c r="W278" s="157" t="e">
        <f>IF(INDEX('Logical Group Generator'!W:W,MATCH(U278,'Logical Group Generator'!B:B,0))="REGISTER","REGISTER","BIT")</f>
        <v>#NUM!</v>
      </c>
    </row>
    <row r="279" spans="2:23">
      <c r="B279" s="157" t="str">
        <f>IF(ISERROR(T280),"",CONCATENATE(IF(W280="BIT",$M$2,$M$1),U280,$M$3,BIN2HEX(IF(W280="BIT",INDEX('Logical Group Generator'!H:H,'Script Generator'!T280),INDEX('Logical Group Generator'!L:L,'Script Generator'!T280)),2),IF(ISERROR(T281),$M$5,$M$4)))</f>
        <v/>
      </c>
      <c r="D279" s="215"/>
      <c r="R279" s="215" t="str">
        <f>IF('Logical Group Generator'!W279="FALSE","",IF('Logical Group Generator'!B279="OTP_RSVD_38_03","",'Logical Group Generator'!B279))</f>
        <v/>
      </c>
      <c r="T279" s="157" t="e">
        <f>MATCH(U279,'Logical Group Generator'!B:B,0)</f>
        <v>#NUM!</v>
      </c>
      <c r="U279" s="157" t="e">
        <f t="array" ref="U279">IF(ROWS($3:279)&lt;=COUNTA($R$3:$R$902),INDEX($R$3:$R$902,SMALL(IF($R$3:$R$902&lt;&gt;"",ROW($R$3:$R$902)-MIN(ROW($R$3:$R$902))+1),ROWS($3:279))),"")</f>
        <v>#NUM!</v>
      </c>
      <c r="W279" s="157" t="e">
        <f>IF(INDEX('Logical Group Generator'!W:W,MATCH(U279,'Logical Group Generator'!B:B,0))="REGISTER","REGISTER","BIT")</f>
        <v>#NUM!</v>
      </c>
    </row>
    <row r="280" spans="2:23">
      <c r="B280" s="157" t="str">
        <f>IF(ISERROR(T281),"",CONCATENATE(IF(W281="BIT",$M$2,$M$1),U281,$M$3,BIN2HEX(IF(W281="BIT",INDEX('Logical Group Generator'!H:H,'Script Generator'!T281),INDEX('Logical Group Generator'!L:L,'Script Generator'!T281)),2),IF(ISERROR(T282),$M$5,$M$4)))</f>
        <v/>
      </c>
      <c r="D280" s="215"/>
      <c r="R280" s="215" t="str">
        <f>IF('Logical Group Generator'!W280="FALSE","",IF('Logical Group Generator'!B280="OTP_RSVD_38_03","",'Logical Group Generator'!B280))</f>
        <v/>
      </c>
      <c r="T280" s="157" t="e">
        <f>MATCH(U280,'Logical Group Generator'!B:B,0)</f>
        <v>#NUM!</v>
      </c>
      <c r="U280" s="157" t="e">
        <f t="array" ref="U280">IF(ROWS($3:280)&lt;=COUNTA($R$3:$R$902),INDEX($R$3:$R$902,SMALL(IF($R$3:$R$902&lt;&gt;"",ROW($R$3:$R$902)-MIN(ROW($R$3:$R$902))+1),ROWS($3:280))),"")</f>
        <v>#NUM!</v>
      </c>
      <c r="W280" s="157" t="e">
        <f>IF(INDEX('Logical Group Generator'!W:W,MATCH(U280,'Logical Group Generator'!B:B,0))="REGISTER","REGISTER","BIT")</f>
        <v>#NUM!</v>
      </c>
    </row>
    <row r="281" spans="2:23">
      <c r="B281" s="157" t="str">
        <f>IF(ISERROR(T282),"",CONCATENATE(IF(W282="BIT",$M$2,$M$1),U282,$M$3,BIN2HEX(IF(W282="BIT",INDEX('Logical Group Generator'!H:H,'Script Generator'!T282),INDEX('Logical Group Generator'!L:L,'Script Generator'!T282)),2),IF(ISERROR(T283),$M$5,$M$4)))</f>
        <v/>
      </c>
      <c r="D281" s="215"/>
      <c r="R281" s="215" t="str">
        <f>IF('Logical Group Generator'!W281="FALSE","",IF('Logical Group Generator'!B281="OTP_RSVD_38_03","",'Logical Group Generator'!B281))</f>
        <v/>
      </c>
      <c r="T281" s="157" t="e">
        <f>MATCH(U281,'Logical Group Generator'!B:B,0)</f>
        <v>#NUM!</v>
      </c>
      <c r="U281" s="157" t="e">
        <f t="array" ref="U281">IF(ROWS($3:281)&lt;=COUNTA($R$3:$R$902),INDEX($R$3:$R$902,SMALL(IF($R$3:$R$902&lt;&gt;"",ROW($R$3:$R$902)-MIN(ROW($R$3:$R$902))+1),ROWS($3:281))),"")</f>
        <v>#NUM!</v>
      </c>
      <c r="W281" s="157" t="e">
        <f>IF(INDEX('Logical Group Generator'!W:W,MATCH(U281,'Logical Group Generator'!B:B,0))="REGISTER","REGISTER","BIT")</f>
        <v>#NUM!</v>
      </c>
    </row>
    <row r="282" spans="2:23">
      <c r="B282" s="157" t="str">
        <f>IF(ISERROR(T283),"",CONCATENATE(IF(W283="BIT",$M$2,$M$1),U283,$M$3,BIN2HEX(IF(W283="BIT",INDEX('Logical Group Generator'!H:H,'Script Generator'!T283),INDEX('Logical Group Generator'!L:L,'Script Generator'!T283)),2),IF(ISERROR(T284),$M$5,$M$4)))</f>
        <v/>
      </c>
      <c r="D282" s="215"/>
      <c r="R282" s="215" t="str">
        <f>IF('Logical Group Generator'!W282="FALSE","",IF('Logical Group Generator'!B282="OTP_RSVD_38_03","",'Logical Group Generator'!B282))</f>
        <v/>
      </c>
      <c r="T282" s="157" t="e">
        <f>MATCH(U282,'Logical Group Generator'!B:B,0)</f>
        <v>#NUM!</v>
      </c>
      <c r="U282" s="157" t="e">
        <f t="array" ref="U282">IF(ROWS($3:282)&lt;=COUNTA($R$3:$R$902),INDEX($R$3:$R$902,SMALL(IF($R$3:$R$902&lt;&gt;"",ROW($R$3:$R$902)-MIN(ROW($R$3:$R$902))+1),ROWS($3:282))),"")</f>
        <v>#NUM!</v>
      </c>
      <c r="W282" s="157" t="e">
        <f>IF(INDEX('Logical Group Generator'!W:W,MATCH(U282,'Logical Group Generator'!B:B,0))="REGISTER","REGISTER","BIT")</f>
        <v>#NUM!</v>
      </c>
    </row>
    <row r="283" spans="2:23">
      <c r="B283" s="157" t="str">
        <f>IF(ISERROR(T284),"",CONCATENATE(IF(W284="BIT",$M$2,$M$1),U284,$M$3,BIN2HEX(IF(W284="BIT",INDEX('Logical Group Generator'!H:H,'Script Generator'!T284),INDEX('Logical Group Generator'!L:L,'Script Generator'!T284)),2),IF(ISERROR(T285),$M$5,$M$4)))</f>
        <v/>
      </c>
      <c r="D283" s="215"/>
      <c r="R283" s="215" t="str">
        <f>IF('Logical Group Generator'!W283="FALSE","",IF('Logical Group Generator'!B283="OTP_RSVD_38_03","",'Logical Group Generator'!B283))</f>
        <v/>
      </c>
      <c r="T283" s="157" t="e">
        <f>MATCH(U283,'Logical Group Generator'!B:B,0)</f>
        <v>#NUM!</v>
      </c>
      <c r="U283" s="157" t="e">
        <f t="array" ref="U283">IF(ROWS($3:283)&lt;=COUNTA($R$3:$R$902),INDEX($R$3:$R$902,SMALL(IF($R$3:$R$902&lt;&gt;"",ROW($R$3:$R$902)-MIN(ROW($R$3:$R$902))+1),ROWS($3:283))),"")</f>
        <v>#NUM!</v>
      </c>
      <c r="W283" s="157" t="e">
        <f>IF(INDEX('Logical Group Generator'!W:W,MATCH(U283,'Logical Group Generator'!B:B,0))="REGISTER","REGISTER","BIT")</f>
        <v>#NUM!</v>
      </c>
    </row>
    <row r="284" spans="2:23">
      <c r="B284" s="157" t="str">
        <f>IF(ISERROR(T285),"",CONCATENATE(IF(W285="BIT",$M$2,$M$1),U285,$M$3,BIN2HEX(IF(W285="BIT",INDEX('Logical Group Generator'!H:H,'Script Generator'!T285),INDEX('Logical Group Generator'!L:L,'Script Generator'!T285)),2),IF(ISERROR(T286),$M$5,$M$4)))</f>
        <v/>
      </c>
      <c r="D284" s="215"/>
      <c r="R284" s="215" t="str">
        <f>IF('Logical Group Generator'!W284="FALSE","",IF('Logical Group Generator'!B284="OTP_RSVD_38_03","",'Logical Group Generator'!B284))</f>
        <v/>
      </c>
      <c r="T284" s="157" t="e">
        <f>MATCH(U284,'Logical Group Generator'!B:B,0)</f>
        <v>#NUM!</v>
      </c>
      <c r="U284" s="157" t="e">
        <f t="array" ref="U284">IF(ROWS($3:284)&lt;=COUNTA($R$3:$R$902),INDEX($R$3:$R$902,SMALL(IF($R$3:$R$902&lt;&gt;"",ROW($R$3:$R$902)-MIN(ROW($R$3:$R$902))+1),ROWS($3:284))),"")</f>
        <v>#NUM!</v>
      </c>
      <c r="W284" s="157" t="e">
        <f>IF(INDEX('Logical Group Generator'!W:W,MATCH(U284,'Logical Group Generator'!B:B,0))="REGISTER","REGISTER","BIT")</f>
        <v>#NUM!</v>
      </c>
    </row>
    <row r="285" spans="2:23">
      <c r="B285" s="157" t="str">
        <f>IF(ISERROR(T286),"",CONCATENATE(IF(W286="BIT",$M$2,$M$1),U286,$M$3,BIN2HEX(IF(W286="BIT",INDEX('Logical Group Generator'!H:H,'Script Generator'!T286),INDEX('Logical Group Generator'!L:L,'Script Generator'!T286)),2),IF(ISERROR(T287),$M$5,$M$4)))</f>
        <v/>
      </c>
      <c r="D285" s="215"/>
      <c r="R285" s="215" t="str">
        <f>IF('Logical Group Generator'!W285="FALSE","",IF('Logical Group Generator'!B285="OTP_RSVD_38_03","",'Logical Group Generator'!B285))</f>
        <v/>
      </c>
      <c r="T285" s="157" t="e">
        <f>MATCH(U285,'Logical Group Generator'!B:B,0)</f>
        <v>#NUM!</v>
      </c>
      <c r="U285" s="157" t="e">
        <f t="array" ref="U285">IF(ROWS($3:285)&lt;=COUNTA($R$3:$R$902),INDEX($R$3:$R$902,SMALL(IF($R$3:$R$902&lt;&gt;"",ROW($R$3:$R$902)-MIN(ROW($R$3:$R$902))+1),ROWS($3:285))),"")</f>
        <v>#NUM!</v>
      </c>
      <c r="W285" s="157" t="e">
        <f>IF(INDEX('Logical Group Generator'!W:W,MATCH(U285,'Logical Group Generator'!B:B,0))="REGISTER","REGISTER","BIT")</f>
        <v>#NUM!</v>
      </c>
    </row>
    <row r="286" spans="2:23">
      <c r="B286" s="157" t="str">
        <f>IF(ISERROR(T287),"",CONCATENATE(IF(W287="BIT",$M$2,$M$1),U287,$M$3,BIN2HEX(IF(W287="BIT",INDEX('Logical Group Generator'!H:H,'Script Generator'!T287),INDEX('Logical Group Generator'!L:L,'Script Generator'!T287)),2),IF(ISERROR(T288),$M$5,$M$4)))</f>
        <v/>
      </c>
      <c r="D286" s="215"/>
      <c r="R286" s="215" t="str">
        <f>IF('Logical Group Generator'!W286="FALSE","",IF('Logical Group Generator'!B286="OTP_RSVD_38_03","",'Logical Group Generator'!B286))</f>
        <v/>
      </c>
      <c r="T286" s="157" t="e">
        <f>MATCH(U286,'Logical Group Generator'!B:B,0)</f>
        <v>#NUM!</v>
      </c>
      <c r="U286" s="157" t="e">
        <f t="array" ref="U286">IF(ROWS($3:286)&lt;=COUNTA($R$3:$R$902),INDEX($R$3:$R$902,SMALL(IF($R$3:$R$902&lt;&gt;"",ROW($R$3:$R$902)-MIN(ROW($R$3:$R$902))+1),ROWS($3:286))),"")</f>
        <v>#NUM!</v>
      </c>
      <c r="W286" s="157" t="e">
        <f>IF(INDEX('Logical Group Generator'!W:W,MATCH(U286,'Logical Group Generator'!B:B,0))="REGISTER","REGISTER","BIT")</f>
        <v>#NUM!</v>
      </c>
    </row>
    <row r="287" spans="2:23">
      <c r="B287" s="157" t="str">
        <f>IF(ISERROR(T288),"",CONCATENATE(IF(W288="BIT",$M$2,$M$1),U288,$M$3,BIN2HEX(IF(W288="BIT",INDEX('Logical Group Generator'!H:H,'Script Generator'!T288),INDEX('Logical Group Generator'!L:L,'Script Generator'!T288)),2),IF(ISERROR(T289),$M$5,$M$4)))</f>
        <v/>
      </c>
      <c r="D287" s="215"/>
      <c r="R287" s="215" t="str">
        <f>IF('Logical Group Generator'!W287="FALSE","",IF('Logical Group Generator'!B287="OTP_RSVD_38_03","",'Logical Group Generator'!B287))</f>
        <v>OTP_CTRL_2</v>
      </c>
      <c r="T287" s="157" t="e">
        <f>MATCH(U287,'Logical Group Generator'!B:B,0)</f>
        <v>#NUM!</v>
      </c>
      <c r="U287" s="157" t="e">
        <f t="array" ref="U287">IF(ROWS($3:287)&lt;=COUNTA($R$3:$R$902),INDEX($R$3:$R$902,SMALL(IF($R$3:$R$902&lt;&gt;"",ROW($R$3:$R$902)-MIN(ROW($R$3:$R$902))+1),ROWS($3:287))),"")</f>
        <v>#NUM!</v>
      </c>
      <c r="W287" s="157" t="e">
        <f>IF(INDEX('Logical Group Generator'!W:W,MATCH(U287,'Logical Group Generator'!B:B,0))="REGISTER","REGISTER","BIT")</f>
        <v>#NUM!</v>
      </c>
    </row>
    <row r="288" spans="2:23">
      <c r="B288" s="157" t="str">
        <f>IF(ISERROR(T289),"",CONCATENATE(IF(W289="BIT",$M$2,$M$1),U289,$M$3,BIN2HEX(IF(W289="BIT",INDEX('Logical Group Generator'!H:H,'Script Generator'!T289),INDEX('Logical Group Generator'!L:L,'Script Generator'!T289)),2),IF(ISERROR(T290),$M$5,$M$4)))</f>
        <v/>
      </c>
      <c r="D288" s="215"/>
      <c r="R288" s="215" t="str">
        <f>IF('Logical Group Generator'!W288="FALSE","",IF('Logical Group Generator'!B288="OTP_RSVD_38_03","",'Logical Group Generator'!B288))</f>
        <v/>
      </c>
      <c r="T288" s="157" t="e">
        <f>MATCH(U288,'Logical Group Generator'!B:B,0)</f>
        <v>#NUM!</v>
      </c>
      <c r="U288" s="157" t="e">
        <f t="array" ref="U288">IF(ROWS($3:288)&lt;=COUNTA($R$3:$R$902),INDEX($R$3:$R$902,SMALL(IF($R$3:$R$902&lt;&gt;"",ROW($R$3:$R$902)-MIN(ROW($R$3:$R$902))+1),ROWS($3:288))),"")</f>
        <v>#NUM!</v>
      </c>
      <c r="W288" s="157" t="e">
        <f>IF(INDEX('Logical Group Generator'!W:W,MATCH(U288,'Logical Group Generator'!B:B,0))="REGISTER","REGISTER","BIT")</f>
        <v>#NUM!</v>
      </c>
    </row>
    <row r="289" spans="2:23">
      <c r="B289" s="157" t="str">
        <f>IF(ISERROR(T290),"",CONCATENATE(IF(W290="BIT",$M$2,$M$1),U290,$M$3,BIN2HEX(IF(W290="BIT",INDEX('Logical Group Generator'!H:H,'Script Generator'!T290),INDEX('Logical Group Generator'!L:L,'Script Generator'!T290)),2),IF(ISERROR(T291),$M$5,$M$4)))</f>
        <v/>
      </c>
      <c r="D289" s="215"/>
      <c r="R289" s="215" t="str">
        <f>IF('Logical Group Generator'!W289="FALSE","",IF('Logical Group Generator'!B289="OTP_RSVD_38_03","",'Logical Group Generator'!B289))</f>
        <v/>
      </c>
      <c r="T289" s="157" t="e">
        <f>MATCH(U289,'Logical Group Generator'!B:B,0)</f>
        <v>#NUM!</v>
      </c>
      <c r="U289" s="157" t="e">
        <f t="array" ref="U289">IF(ROWS($3:289)&lt;=COUNTA($R$3:$R$902),INDEX($R$3:$R$902,SMALL(IF($R$3:$R$902&lt;&gt;"",ROW($R$3:$R$902)-MIN(ROW($R$3:$R$902))+1),ROWS($3:289))),"")</f>
        <v>#NUM!</v>
      </c>
      <c r="W289" s="157" t="e">
        <f>IF(INDEX('Logical Group Generator'!W:W,MATCH(U289,'Logical Group Generator'!B:B,0))="REGISTER","REGISTER","BIT")</f>
        <v>#NUM!</v>
      </c>
    </row>
    <row r="290" spans="2:23">
      <c r="B290" s="157" t="str">
        <f>IF(ISERROR(T291),"",CONCATENATE(IF(W291="BIT",$M$2,$M$1),U291,$M$3,BIN2HEX(IF(W291="BIT",INDEX('Logical Group Generator'!H:H,'Script Generator'!T291),INDEX('Logical Group Generator'!L:L,'Script Generator'!T291)),2),IF(ISERROR(T292),$M$5,$M$4)))</f>
        <v/>
      </c>
      <c r="D290" s="215"/>
      <c r="R290" s="215" t="str">
        <f>IF('Logical Group Generator'!W290="FALSE","",IF('Logical Group Generator'!B290="OTP_RSVD_38_03","",'Logical Group Generator'!B290))</f>
        <v>BUCK1_CTRL_EN1</v>
      </c>
      <c r="T290" s="157" t="e">
        <f>MATCH(U290,'Logical Group Generator'!B:B,0)</f>
        <v>#NUM!</v>
      </c>
      <c r="U290" s="157" t="e">
        <f t="array" ref="U290">IF(ROWS($3:290)&lt;=COUNTA($R$3:$R$902),INDEX($R$3:$R$902,SMALL(IF($R$3:$R$902&lt;&gt;"",ROW($R$3:$R$902)-MIN(ROW($R$3:$R$902))+1),ROWS($3:290))),"")</f>
        <v>#NUM!</v>
      </c>
      <c r="W290" s="157" t="e">
        <f>IF(INDEX('Logical Group Generator'!W:W,MATCH(U290,'Logical Group Generator'!B:B,0))="REGISTER","REGISTER","BIT")</f>
        <v>#NUM!</v>
      </c>
    </row>
    <row r="291" spans="2:23">
      <c r="B291" s="157" t="str">
        <f>IF(ISERROR(T292),"",CONCATENATE(IF(W292="BIT",$M$2,$M$1),U292,$M$3,BIN2HEX(IF(W292="BIT",INDEX('Logical Group Generator'!H:H,'Script Generator'!T292),INDEX('Logical Group Generator'!L:L,'Script Generator'!T292)),2),IF(ISERROR(T293),$M$5,$M$4)))</f>
        <v/>
      </c>
      <c r="D291" s="215"/>
      <c r="R291" s="215" t="str">
        <f>IF('Logical Group Generator'!W291="FALSE","",IF('Logical Group Generator'!B291="OTP_RSVD_38_03","",'Logical Group Generator'!B291))</f>
        <v/>
      </c>
      <c r="T291" s="157" t="e">
        <f>MATCH(U291,'Logical Group Generator'!B:B,0)</f>
        <v>#NUM!</v>
      </c>
      <c r="U291" s="157" t="e">
        <f t="array" ref="U291">IF(ROWS($3:291)&lt;=COUNTA($R$3:$R$902),INDEX($R$3:$R$902,SMALL(IF($R$3:$R$902&lt;&gt;"",ROW($R$3:$R$902)-MIN(ROW($R$3:$R$902))+1),ROWS($3:291))),"")</f>
        <v>#NUM!</v>
      </c>
      <c r="W291" s="157" t="e">
        <f>IF(INDEX('Logical Group Generator'!W:W,MATCH(U291,'Logical Group Generator'!B:B,0))="REGISTER","REGISTER","BIT")</f>
        <v>#NUM!</v>
      </c>
    </row>
    <row r="292" spans="2:23">
      <c r="B292" s="157" t="str">
        <f>IF(ISERROR(T293),"",CONCATENATE(IF(W293="BIT",$M$2,$M$1),U293,$M$3,BIN2HEX(IF(W293="BIT",INDEX('Logical Group Generator'!H:H,'Script Generator'!T293),INDEX('Logical Group Generator'!L:L,'Script Generator'!T293)),2),IF(ISERROR(T294),$M$5,$M$4)))</f>
        <v/>
      </c>
      <c r="D292" s="215"/>
      <c r="R292" s="215" t="str">
        <f>IF('Logical Group Generator'!W292="FALSE","",IF('Logical Group Generator'!B292="OTP_RSVD_38_03","",'Logical Group Generator'!B292))</f>
        <v/>
      </c>
      <c r="T292" s="157" t="e">
        <f>MATCH(U292,'Logical Group Generator'!B:B,0)</f>
        <v>#NUM!</v>
      </c>
      <c r="U292" s="157" t="e">
        <f t="array" ref="U292">IF(ROWS($3:292)&lt;=COUNTA($R$3:$R$902),INDEX($R$3:$R$902,SMALL(IF($R$3:$R$902&lt;&gt;"",ROW($R$3:$R$902)-MIN(ROW($R$3:$R$902))+1),ROWS($3:292))),"")</f>
        <v>#NUM!</v>
      </c>
      <c r="W292" s="157" t="e">
        <f>IF(INDEX('Logical Group Generator'!W:W,MATCH(U292,'Logical Group Generator'!B:B,0))="REGISTER","REGISTER","BIT")</f>
        <v>#NUM!</v>
      </c>
    </row>
    <row r="293" spans="2:23">
      <c r="B293" s="157" t="str">
        <f>IF(ISERROR(T294),"",CONCATENATE(IF(W294="BIT",$M$2,$M$1),U294,$M$3,BIN2HEX(IF(W294="BIT",INDEX('Logical Group Generator'!H:H,'Script Generator'!T294),INDEX('Logical Group Generator'!L:L,'Script Generator'!T294)),2),IF(ISERROR(T295),$M$5,$M$4)))</f>
        <v/>
      </c>
      <c r="D293" s="215"/>
      <c r="R293" s="215" t="str">
        <f>IF('Logical Group Generator'!W293="FALSE","",IF('Logical Group Generator'!B293="OTP_RSVD_38_03","",'Logical Group Generator'!B293))</f>
        <v/>
      </c>
      <c r="T293" s="157" t="e">
        <f>MATCH(U293,'Logical Group Generator'!B:B,0)</f>
        <v>#NUM!</v>
      </c>
      <c r="U293" s="157" t="e">
        <f t="array" ref="U293">IF(ROWS($3:293)&lt;=COUNTA($R$3:$R$902),INDEX($R$3:$R$902,SMALL(IF($R$3:$R$902&lt;&gt;"",ROW($R$3:$R$902)-MIN(ROW($R$3:$R$902))+1),ROWS($3:293))),"")</f>
        <v>#NUM!</v>
      </c>
      <c r="W293" s="157" t="e">
        <f>IF(INDEX('Logical Group Generator'!W:W,MATCH(U293,'Logical Group Generator'!B:B,0))="REGISTER","REGISTER","BIT")</f>
        <v>#NUM!</v>
      </c>
    </row>
    <row r="294" spans="2:23">
      <c r="B294" s="157" t="str">
        <f>IF(ISERROR(T295),"",CONCATENATE(IF(W295="BIT",$M$2,$M$1),U295,$M$3,BIN2HEX(IF(W295="BIT",INDEX('Logical Group Generator'!H:H,'Script Generator'!T295),INDEX('Logical Group Generator'!L:L,'Script Generator'!T295)),2),IF(ISERROR(T296),$M$5,$M$4)))</f>
        <v/>
      </c>
      <c r="D294" s="215"/>
      <c r="R294" s="215" t="str">
        <f>IF('Logical Group Generator'!W294="FALSE","",IF('Logical Group Generator'!B294="OTP_RSVD_38_03","",'Logical Group Generator'!B294))</f>
        <v/>
      </c>
      <c r="T294" s="157" t="e">
        <f>MATCH(U294,'Logical Group Generator'!B:B,0)</f>
        <v>#NUM!</v>
      </c>
      <c r="U294" s="157" t="e">
        <f t="array" ref="U294">IF(ROWS($3:294)&lt;=COUNTA($R$3:$R$902),INDEX($R$3:$R$902,SMALL(IF($R$3:$R$902&lt;&gt;"",ROW($R$3:$R$902)-MIN(ROW($R$3:$R$902))+1),ROWS($3:294))),"")</f>
        <v>#NUM!</v>
      </c>
      <c r="W294" s="157" t="e">
        <f>IF(INDEX('Logical Group Generator'!W:W,MATCH(U294,'Logical Group Generator'!B:B,0))="REGISTER","REGISTER","BIT")</f>
        <v>#NUM!</v>
      </c>
    </row>
    <row r="295" spans="2:23">
      <c r="B295" s="157" t="str">
        <f>IF(ISERROR(T296),"",CONCATENATE(IF(W296="BIT",$M$2,$M$1),U296,$M$3,BIN2HEX(IF(W296="BIT",INDEX('Logical Group Generator'!H:H,'Script Generator'!T296),INDEX('Logical Group Generator'!L:L,'Script Generator'!T296)),2),IF(ISERROR(T297),$M$5,$M$4)))</f>
        <v/>
      </c>
      <c r="D295" s="215"/>
      <c r="R295" s="215" t="str">
        <f>IF('Logical Group Generator'!W295="FALSE","",IF('Logical Group Generator'!B295="OTP_RSVD_38_03","",'Logical Group Generator'!B295))</f>
        <v/>
      </c>
      <c r="T295" s="157" t="e">
        <f>MATCH(U295,'Logical Group Generator'!B:B,0)</f>
        <v>#NUM!</v>
      </c>
      <c r="U295" s="157" t="e">
        <f t="array" ref="U295">IF(ROWS($3:295)&lt;=COUNTA($R$3:$R$902),INDEX($R$3:$R$902,SMALL(IF($R$3:$R$902&lt;&gt;"",ROW($R$3:$R$902)-MIN(ROW($R$3:$R$902))+1),ROWS($3:295))),"")</f>
        <v>#NUM!</v>
      </c>
      <c r="W295" s="157" t="e">
        <f>IF(INDEX('Logical Group Generator'!W:W,MATCH(U295,'Logical Group Generator'!B:B,0))="REGISTER","REGISTER","BIT")</f>
        <v>#NUM!</v>
      </c>
    </row>
    <row r="296" spans="2:23">
      <c r="B296" s="157" t="str">
        <f>IF(ISERROR(T297),"",CONCATENATE(IF(W297="BIT",$M$2,$M$1),U297,$M$3,BIN2HEX(IF(W297="BIT",INDEX('Logical Group Generator'!H:H,'Script Generator'!T297),INDEX('Logical Group Generator'!L:L,'Script Generator'!T297)),2),IF(ISERROR(T298),$M$5,$M$4)))</f>
        <v/>
      </c>
      <c r="D296" s="215"/>
      <c r="R296" s="215" t="str">
        <f>IF('Logical Group Generator'!W296="FALSE","",IF('Logical Group Generator'!B296="OTP_RSVD_38_03","",'Logical Group Generator'!B296))</f>
        <v/>
      </c>
      <c r="T296" s="157" t="e">
        <f>MATCH(U296,'Logical Group Generator'!B:B,0)</f>
        <v>#NUM!</v>
      </c>
      <c r="U296" s="157" t="e">
        <f t="array" ref="U296">IF(ROWS($3:296)&lt;=COUNTA($R$3:$R$902),INDEX($R$3:$R$902,SMALL(IF($R$3:$R$902&lt;&gt;"",ROW($R$3:$R$902)-MIN(ROW($R$3:$R$902))+1),ROWS($3:296))),"")</f>
        <v>#NUM!</v>
      </c>
      <c r="W296" s="157" t="e">
        <f>IF(INDEX('Logical Group Generator'!W:W,MATCH(U296,'Logical Group Generator'!B:B,0))="REGISTER","REGISTER","BIT")</f>
        <v>#NUM!</v>
      </c>
    </row>
    <row r="297" spans="2:23">
      <c r="B297" s="157" t="str">
        <f>IF(ISERROR(T298),"",CONCATENATE(IF(W298="BIT",$M$2,$M$1),U298,$M$3,BIN2HEX(IF(W298="BIT",INDEX('Logical Group Generator'!H:H,'Script Generator'!T298),INDEX('Logical Group Generator'!L:L,'Script Generator'!T298)),2),IF(ISERROR(T299),$M$5,$M$4)))</f>
        <v/>
      </c>
      <c r="D297" s="215"/>
      <c r="R297" s="215" t="str">
        <f>IF('Logical Group Generator'!W297="FALSE","",IF('Logical Group Generator'!B297="OTP_RSVD_38_03","",'Logical Group Generator'!B297))</f>
        <v/>
      </c>
      <c r="T297" s="157" t="e">
        <f>MATCH(U297,'Logical Group Generator'!B:B,0)</f>
        <v>#NUM!</v>
      </c>
      <c r="U297" s="157" t="e">
        <f t="array" ref="U297">IF(ROWS($3:297)&lt;=COUNTA($R$3:$R$902),INDEX($R$3:$R$902,SMALL(IF($R$3:$R$902&lt;&gt;"",ROW($R$3:$R$902)-MIN(ROW($R$3:$R$902))+1),ROWS($3:297))),"")</f>
        <v>#NUM!</v>
      </c>
      <c r="W297" s="157" t="e">
        <f>IF(INDEX('Logical Group Generator'!W:W,MATCH(U297,'Logical Group Generator'!B:B,0))="REGISTER","REGISTER","BIT")</f>
        <v>#NUM!</v>
      </c>
    </row>
    <row r="298" spans="2:23">
      <c r="B298" s="157" t="str">
        <f>IF(ISERROR(T299),"",CONCATENATE(IF(W299="BIT",$M$2,$M$1),U299,$M$3,BIN2HEX(IF(W299="BIT",INDEX('Logical Group Generator'!H:H,'Script Generator'!T299),INDEX('Logical Group Generator'!L:L,'Script Generator'!T299)),2),IF(ISERROR(T300),$M$5,$M$4)))</f>
        <v/>
      </c>
      <c r="D298" s="215"/>
      <c r="R298" s="215" t="str">
        <f>IF('Logical Group Generator'!W298="FALSE","",IF('Logical Group Generator'!B298="OTP_RSVD_38_03","",'Logical Group Generator'!B298))</f>
        <v/>
      </c>
      <c r="T298" s="157" t="e">
        <f>MATCH(U298,'Logical Group Generator'!B:B,0)</f>
        <v>#NUM!</v>
      </c>
      <c r="U298" s="157" t="e">
        <f t="array" ref="U298">IF(ROWS($3:298)&lt;=COUNTA($R$3:$R$902),INDEX($R$3:$R$902,SMALL(IF($R$3:$R$902&lt;&gt;"",ROW($R$3:$R$902)-MIN(ROW($R$3:$R$902))+1),ROWS($3:298))),"")</f>
        <v>#NUM!</v>
      </c>
      <c r="W298" s="157" t="e">
        <f>IF(INDEX('Logical Group Generator'!W:W,MATCH(U298,'Logical Group Generator'!B:B,0))="REGISTER","REGISTER","BIT")</f>
        <v>#NUM!</v>
      </c>
    </row>
    <row r="299" spans="2:23">
      <c r="B299" s="157" t="str">
        <f>IF(ISERROR(T300),"",CONCATENATE(IF(W300="BIT",$M$2,$M$1),U300,$M$3,BIN2HEX(IF(W300="BIT",INDEX('Logical Group Generator'!H:H,'Script Generator'!T300),INDEX('Logical Group Generator'!L:L,'Script Generator'!T300)),2),IF(ISERROR(T301),$M$5,$M$4)))</f>
        <v/>
      </c>
      <c r="D299" s="215"/>
      <c r="R299" s="215" t="str">
        <f>IF('Logical Group Generator'!W299="FALSE","",IF('Logical Group Generator'!B299="OTP_RSVD_38_03","",'Logical Group Generator'!B299))</f>
        <v>BUCK1_CTRL_EN2</v>
      </c>
      <c r="T299" s="157" t="e">
        <f>MATCH(U299,'Logical Group Generator'!B:B,0)</f>
        <v>#NUM!</v>
      </c>
      <c r="U299" s="157" t="e">
        <f t="array" ref="U299">IF(ROWS($3:299)&lt;=COUNTA($R$3:$R$902),INDEX($R$3:$R$902,SMALL(IF($R$3:$R$902&lt;&gt;"",ROW($R$3:$R$902)-MIN(ROW($R$3:$R$902))+1),ROWS($3:299))),"")</f>
        <v>#NUM!</v>
      </c>
      <c r="W299" s="157" t="e">
        <f>IF(INDEX('Logical Group Generator'!W:W,MATCH(U299,'Logical Group Generator'!B:B,0))="REGISTER","REGISTER","BIT")</f>
        <v>#NUM!</v>
      </c>
    </row>
    <row r="300" spans="2:23">
      <c r="B300" s="157" t="str">
        <f>IF(ISERROR(T301),"",CONCATENATE(IF(W301="BIT",$M$2,$M$1),U301,$M$3,BIN2HEX(IF(W301="BIT",INDEX('Logical Group Generator'!H:H,'Script Generator'!T301),INDEX('Logical Group Generator'!L:L,'Script Generator'!T301)),2),IF(ISERROR(T302),$M$5,$M$4)))</f>
        <v/>
      </c>
      <c r="D300" s="215"/>
      <c r="R300" s="215" t="str">
        <f>IF('Logical Group Generator'!W300="FALSE","",IF('Logical Group Generator'!B300="OTP_RSVD_38_03","",'Logical Group Generator'!B300))</f>
        <v/>
      </c>
      <c r="T300" s="157" t="e">
        <f>MATCH(U300,'Logical Group Generator'!B:B,0)</f>
        <v>#NUM!</v>
      </c>
      <c r="U300" s="157" t="e">
        <f t="array" ref="U300">IF(ROWS($3:300)&lt;=COUNTA($R$3:$R$902),INDEX($R$3:$R$902,SMALL(IF($R$3:$R$902&lt;&gt;"",ROW($R$3:$R$902)-MIN(ROW($R$3:$R$902))+1),ROWS($3:300))),"")</f>
        <v>#NUM!</v>
      </c>
      <c r="W300" s="157" t="e">
        <f>IF(INDEX('Logical Group Generator'!W:W,MATCH(U300,'Logical Group Generator'!B:B,0))="REGISTER","REGISTER","BIT")</f>
        <v>#NUM!</v>
      </c>
    </row>
    <row r="301" spans="2:23">
      <c r="B301" s="157" t="str">
        <f>IF(ISERROR(T302),"",CONCATENATE(IF(W302="BIT",$M$2,$M$1),U302,$M$3,BIN2HEX(IF(W302="BIT",INDEX('Logical Group Generator'!H:H,'Script Generator'!T302),INDEX('Logical Group Generator'!L:L,'Script Generator'!T302)),2),IF(ISERROR(T303),$M$5,$M$4)))</f>
        <v/>
      </c>
      <c r="D301" s="215"/>
      <c r="R301" s="215" t="str">
        <f>IF('Logical Group Generator'!W301="FALSE","",IF('Logical Group Generator'!B301="OTP_RSVD_38_03","",'Logical Group Generator'!B301))</f>
        <v/>
      </c>
      <c r="T301" s="157" t="e">
        <f>MATCH(U301,'Logical Group Generator'!B:B,0)</f>
        <v>#NUM!</v>
      </c>
      <c r="U301" s="157" t="e">
        <f t="array" ref="U301">IF(ROWS($3:301)&lt;=COUNTA($R$3:$R$902),INDEX($R$3:$R$902,SMALL(IF($R$3:$R$902&lt;&gt;"",ROW($R$3:$R$902)-MIN(ROW($R$3:$R$902))+1),ROWS($3:301))),"")</f>
        <v>#NUM!</v>
      </c>
      <c r="W301" s="157" t="e">
        <f>IF(INDEX('Logical Group Generator'!W:W,MATCH(U301,'Logical Group Generator'!B:B,0))="REGISTER","REGISTER","BIT")</f>
        <v>#NUM!</v>
      </c>
    </row>
    <row r="302" spans="2:23">
      <c r="B302" s="157" t="str">
        <f>IF(ISERROR(T303),"",CONCATENATE(IF(W303="BIT",$M$2,$M$1),U303,$M$3,BIN2HEX(IF(W303="BIT",INDEX('Logical Group Generator'!H:H,'Script Generator'!T303),INDEX('Logical Group Generator'!L:L,'Script Generator'!T303)),2),IF(ISERROR(T304),$M$5,$M$4)))</f>
        <v/>
      </c>
      <c r="D302" s="215"/>
      <c r="R302" s="215" t="str">
        <f>IF('Logical Group Generator'!W302="FALSE","",IF('Logical Group Generator'!B302="OTP_RSVD_38_03","",'Logical Group Generator'!B302))</f>
        <v/>
      </c>
      <c r="T302" s="157" t="e">
        <f>MATCH(U302,'Logical Group Generator'!B:B,0)</f>
        <v>#NUM!</v>
      </c>
      <c r="U302" s="157" t="e">
        <f t="array" ref="U302">IF(ROWS($3:302)&lt;=COUNTA($R$3:$R$902),INDEX($R$3:$R$902,SMALL(IF($R$3:$R$902&lt;&gt;"",ROW($R$3:$R$902)-MIN(ROW($R$3:$R$902))+1),ROWS($3:302))),"")</f>
        <v>#NUM!</v>
      </c>
      <c r="W302" s="157" t="e">
        <f>IF(INDEX('Logical Group Generator'!W:W,MATCH(U302,'Logical Group Generator'!B:B,0))="REGISTER","REGISTER","BIT")</f>
        <v>#NUM!</v>
      </c>
    </row>
    <row r="303" spans="2:23">
      <c r="B303" s="157" t="str">
        <f>IF(ISERROR(T304),"",CONCATENATE(IF(W304="BIT",$M$2,$M$1),U304,$M$3,BIN2HEX(IF(W304="BIT",INDEX('Logical Group Generator'!H:H,'Script Generator'!T304),INDEX('Logical Group Generator'!L:L,'Script Generator'!T304)),2),IF(ISERROR(T305),$M$5,$M$4)))</f>
        <v/>
      </c>
      <c r="D303" s="215"/>
      <c r="R303" s="215" t="str">
        <f>IF('Logical Group Generator'!W303="FALSE","",IF('Logical Group Generator'!B303="OTP_RSVD_38_03","",'Logical Group Generator'!B303))</f>
        <v/>
      </c>
      <c r="T303" s="157" t="e">
        <f>MATCH(U303,'Logical Group Generator'!B:B,0)</f>
        <v>#NUM!</v>
      </c>
      <c r="U303" s="157" t="e">
        <f t="array" ref="U303">IF(ROWS($3:303)&lt;=COUNTA($R$3:$R$902),INDEX($R$3:$R$902,SMALL(IF($R$3:$R$902&lt;&gt;"",ROW($R$3:$R$902)-MIN(ROW($R$3:$R$902))+1),ROWS($3:303))),"")</f>
        <v>#NUM!</v>
      </c>
      <c r="W303" s="157" t="e">
        <f>IF(INDEX('Logical Group Generator'!W:W,MATCH(U303,'Logical Group Generator'!B:B,0))="REGISTER","REGISTER","BIT")</f>
        <v>#NUM!</v>
      </c>
    </row>
    <row r="304" spans="2:23">
      <c r="B304" s="157" t="str">
        <f>IF(ISERROR(T305),"",CONCATENATE(IF(W305="BIT",$M$2,$M$1),U305,$M$3,BIN2HEX(IF(W305="BIT",INDEX('Logical Group Generator'!H:H,'Script Generator'!T305),INDEX('Logical Group Generator'!L:L,'Script Generator'!T305)),2),IF(ISERROR(T306),$M$5,$M$4)))</f>
        <v/>
      </c>
      <c r="D304" s="215"/>
      <c r="R304" s="215" t="str">
        <f>IF('Logical Group Generator'!W304="FALSE","",IF('Logical Group Generator'!B304="OTP_RSVD_38_03","",'Logical Group Generator'!B304))</f>
        <v/>
      </c>
      <c r="T304" s="157" t="e">
        <f>MATCH(U304,'Logical Group Generator'!B:B,0)</f>
        <v>#NUM!</v>
      </c>
      <c r="U304" s="157" t="e">
        <f t="array" ref="U304">IF(ROWS($3:304)&lt;=COUNTA($R$3:$R$902),INDEX($R$3:$R$902,SMALL(IF($R$3:$R$902&lt;&gt;"",ROW($R$3:$R$902)-MIN(ROW($R$3:$R$902))+1),ROWS($3:304))),"")</f>
        <v>#NUM!</v>
      </c>
      <c r="W304" s="157" t="e">
        <f>IF(INDEX('Logical Group Generator'!W:W,MATCH(U304,'Logical Group Generator'!B:B,0))="REGISTER","REGISTER","BIT")</f>
        <v>#NUM!</v>
      </c>
    </row>
    <row r="305" spans="2:23">
      <c r="B305" s="157" t="str">
        <f>IF(ISERROR(T306),"",CONCATENATE(IF(W306="BIT",$M$2,$M$1),U306,$M$3,BIN2HEX(IF(W306="BIT",INDEX('Logical Group Generator'!H:H,'Script Generator'!T306),INDEX('Logical Group Generator'!L:L,'Script Generator'!T306)),2),IF(ISERROR(T307),$M$5,$M$4)))</f>
        <v/>
      </c>
      <c r="D305" s="215"/>
      <c r="R305" s="215" t="str">
        <f>IF('Logical Group Generator'!W305="FALSE","",IF('Logical Group Generator'!B305="OTP_RSVD_38_03","",'Logical Group Generator'!B305))</f>
        <v>BUCK1_CTRL_EN3</v>
      </c>
      <c r="T305" s="157" t="e">
        <f>MATCH(U305,'Logical Group Generator'!B:B,0)</f>
        <v>#NUM!</v>
      </c>
      <c r="U305" s="157" t="e">
        <f t="array" ref="U305">IF(ROWS($3:305)&lt;=COUNTA($R$3:$R$902),INDEX($R$3:$R$902,SMALL(IF($R$3:$R$902&lt;&gt;"",ROW($R$3:$R$902)-MIN(ROW($R$3:$R$902))+1),ROWS($3:305))),"")</f>
        <v>#NUM!</v>
      </c>
      <c r="W305" s="157" t="e">
        <f>IF(INDEX('Logical Group Generator'!W:W,MATCH(U305,'Logical Group Generator'!B:B,0))="REGISTER","REGISTER","BIT")</f>
        <v>#NUM!</v>
      </c>
    </row>
    <row r="306" spans="2:23">
      <c r="B306" s="157" t="str">
        <f>IF(ISERROR(T307),"",CONCATENATE(IF(W307="BIT",$M$2,$M$1),U307,$M$3,BIN2HEX(IF(W307="BIT",INDEX('Logical Group Generator'!H:H,'Script Generator'!T307),INDEX('Logical Group Generator'!L:L,'Script Generator'!T307)),2),IF(ISERROR(T308),$M$5,$M$4)))</f>
        <v/>
      </c>
      <c r="D306" s="215"/>
      <c r="R306" s="215" t="str">
        <f>IF('Logical Group Generator'!W306="FALSE","",IF('Logical Group Generator'!B306="OTP_RSVD_38_03","",'Logical Group Generator'!B306))</f>
        <v/>
      </c>
      <c r="T306" s="157" t="e">
        <f>MATCH(U306,'Logical Group Generator'!B:B,0)</f>
        <v>#NUM!</v>
      </c>
      <c r="U306" s="157" t="e">
        <f t="array" ref="U306">IF(ROWS($3:306)&lt;=COUNTA($R$3:$R$902),INDEX($R$3:$R$902,SMALL(IF($R$3:$R$902&lt;&gt;"",ROW($R$3:$R$902)-MIN(ROW($R$3:$R$902))+1),ROWS($3:306))),"")</f>
        <v>#NUM!</v>
      </c>
      <c r="W306" s="157" t="e">
        <f>IF(INDEX('Logical Group Generator'!W:W,MATCH(U306,'Logical Group Generator'!B:B,0))="REGISTER","REGISTER","BIT")</f>
        <v>#NUM!</v>
      </c>
    </row>
    <row r="307" spans="2:23">
      <c r="B307" s="157" t="str">
        <f>IF(ISERROR(T308),"",CONCATENATE(IF(W308="BIT",$M$2,$M$1),U308,$M$3,BIN2HEX(IF(W308="BIT",INDEX('Logical Group Generator'!H:H,'Script Generator'!T308),INDEX('Logical Group Generator'!L:L,'Script Generator'!T308)),2),IF(ISERROR(T309),$M$5,$M$4)))</f>
        <v/>
      </c>
      <c r="D307" s="215"/>
      <c r="R307" s="215" t="str">
        <f>IF('Logical Group Generator'!W307="FALSE","",IF('Logical Group Generator'!B307="OTP_RSVD_38_03","",'Logical Group Generator'!B307))</f>
        <v/>
      </c>
      <c r="T307" s="157" t="e">
        <f>MATCH(U307,'Logical Group Generator'!B:B,0)</f>
        <v>#NUM!</v>
      </c>
      <c r="U307" s="157" t="e">
        <f t="array" ref="U307">IF(ROWS($3:307)&lt;=COUNTA($R$3:$R$902),INDEX($R$3:$R$902,SMALL(IF($R$3:$R$902&lt;&gt;"",ROW($R$3:$R$902)-MIN(ROW($R$3:$R$902))+1),ROWS($3:307))),"")</f>
        <v>#NUM!</v>
      </c>
      <c r="W307" s="157" t="e">
        <f>IF(INDEX('Logical Group Generator'!W:W,MATCH(U307,'Logical Group Generator'!B:B,0))="REGISTER","REGISTER","BIT")</f>
        <v>#NUM!</v>
      </c>
    </row>
    <row r="308" spans="2:23">
      <c r="B308" s="157" t="str">
        <f>IF(ISERROR(T309),"",CONCATENATE(IF(W309="BIT",$M$2,$M$1),U309,$M$3,BIN2HEX(IF(W309="BIT",INDEX('Logical Group Generator'!H:H,'Script Generator'!T309),INDEX('Logical Group Generator'!L:L,'Script Generator'!T309)),2),IF(ISERROR(T310),$M$5,$M$4)))</f>
        <v/>
      </c>
      <c r="D308" s="215"/>
      <c r="R308" s="215" t="str">
        <f>IF('Logical Group Generator'!W308="FALSE","",IF('Logical Group Generator'!B308="OTP_RSVD_38_03","",'Logical Group Generator'!B308))</f>
        <v/>
      </c>
      <c r="T308" s="157" t="e">
        <f>MATCH(U308,'Logical Group Generator'!B:B,0)</f>
        <v>#NUM!</v>
      </c>
      <c r="U308" s="157" t="e">
        <f t="array" ref="U308">IF(ROWS($3:308)&lt;=COUNTA($R$3:$R$902),INDEX($R$3:$R$902,SMALL(IF($R$3:$R$902&lt;&gt;"",ROW($R$3:$R$902)-MIN(ROW($R$3:$R$902))+1),ROWS($3:308))),"")</f>
        <v>#NUM!</v>
      </c>
      <c r="W308" s="157" t="e">
        <f>IF(INDEX('Logical Group Generator'!W:W,MATCH(U308,'Logical Group Generator'!B:B,0))="REGISTER","REGISTER","BIT")</f>
        <v>#NUM!</v>
      </c>
    </row>
    <row r="309" spans="2:23">
      <c r="B309" s="157" t="str">
        <f>IF(ISERROR(T310),"",CONCATENATE(IF(W310="BIT",$M$2,$M$1),U310,$M$3,BIN2HEX(IF(W310="BIT",INDEX('Logical Group Generator'!H:H,'Script Generator'!T310),INDEX('Logical Group Generator'!L:L,'Script Generator'!T310)),2),IF(ISERROR(T311),$M$5,$M$4)))</f>
        <v/>
      </c>
      <c r="D309" s="215"/>
      <c r="R309" s="215" t="str">
        <f>IF('Logical Group Generator'!W309="FALSE","",IF('Logical Group Generator'!B309="OTP_RSVD_38_03","",'Logical Group Generator'!B309))</f>
        <v>BUCK2_CTRL_EN1</v>
      </c>
      <c r="T309" s="157" t="e">
        <f>MATCH(U309,'Logical Group Generator'!B:B,0)</f>
        <v>#NUM!</v>
      </c>
      <c r="U309" s="157" t="e">
        <f t="array" ref="U309">IF(ROWS($3:309)&lt;=COUNTA($R$3:$R$902),INDEX($R$3:$R$902,SMALL(IF($R$3:$R$902&lt;&gt;"",ROW($R$3:$R$902)-MIN(ROW($R$3:$R$902))+1),ROWS($3:309))),"")</f>
        <v>#NUM!</v>
      </c>
      <c r="W309" s="157" t="e">
        <f>IF(INDEX('Logical Group Generator'!W:W,MATCH(U309,'Logical Group Generator'!B:B,0))="REGISTER","REGISTER","BIT")</f>
        <v>#NUM!</v>
      </c>
    </row>
    <row r="310" spans="2:23">
      <c r="B310" s="157" t="str">
        <f>IF(ISERROR(T311),"",CONCATENATE(IF(W311="BIT",$M$2,$M$1),U311,$M$3,BIN2HEX(IF(W311="BIT",INDEX('Logical Group Generator'!H:H,'Script Generator'!T311),INDEX('Logical Group Generator'!L:L,'Script Generator'!T311)),2),IF(ISERROR(T312),$M$5,$M$4)))</f>
        <v/>
      </c>
      <c r="D310" s="215"/>
      <c r="R310" s="215" t="str">
        <f>IF('Logical Group Generator'!W310="FALSE","",IF('Logical Group Generator'!B310="OTP_RSVD_38_03","",'Logical Group Generator'!B310))</f>
        <v/>
      </c>
      <c r="T310" s="157" t="e">
        <f>MATCH(U310,'Logical Group Generator'!B:B,0)</f>
        <v>#NUM!</v>
      </c>
      <c r="U310" s="157" t="e">
        <f t="array" ref="U310">IF(ROWS($3:310)&lt;=COUNTA($R$3:$R$902),INDEX($R$3:$R$902,SMALL(IF($R$3:$R$902&lt;&gt;"",ROW($R$3:$R$902)-MIN(ROW($R$3:$R$902))+1),ROWS($3:310))),"")</f>
        <v>#NUM!</v>
      </c>
      <c r="W310" s="157" t="e">
        <f>IF(INDEX('Logical Group Generator'!W:W,MATCH(U310,'Logical Group Generator'!B:B,0))="REGISTER","REGISTER","BIT")</f>
        <v>#NUM!</v>
      </c>
    </row>
    <row r="311" spans="2:23">
      <c r="B311" s="157" t="str">
        <f>IF(ISERROR(T312),"",CONCATENATE(IF(W312="BIT",$M$2,$M$1),U312,$M$3,BIN2HEX(IF(W312="BIT",INDEX('Logical Group Generator'!H:H,'Script Generator'!T312),INDEX('Logical Group Generator'!L:L,'Script Generator'!T312)),2),IF(ISERROR(T313),$M$5,$M$4)))</f>
        <v/>
      </c>
      <c r="D311" s="215"/>
      <c r="R311" s="215" t="str">
        <f>IF('Logical Group Generator'!W311="FALSE","",IF('Logical Group Generator'!B311="OTP_RSVD_38_03","",'Logical Group Generator'!B311))</f>
        <v/>
      </c>
      <c r="T311" s="157" t="e">
        <f>MATCH(U311,'Logical Group Generator'!B:B,0)</f>
        <v>#NUM!</v>
      </c>
      <c r="U311" s="157" t="e">
        <f t="array" ref="U311">IF(ROWS($3:311)&lt;=COUNTA($R$3:$R$902),INDEX($R$3:$R$902,SMALL(IF($R$3:$R$902&lt;&gt;"",ROW($R$3:$R$902)-MIN(ROW($R$3:$R$902))+1),ROWS($3:311))),"")</f>
        <v>#NUM!</v>
      </c>
      <c r="W311" s="157" t="e">
        <f>IF(INDEX('Logical Group Generator'!W:W,MATCH(U311,'Logical Group Generator'!B:B,0))="REGISTER","REGISTER","BIT")</f>
        <v>#NUM!</v>
      </c>
    </row>
    <row r="312" spans="2:23">
      <c r="B312" s="157" t="str">
        <f>IF(ISERROR(T313),"",CONCATENATE(IF(W313="BIT",$M$2,$M$1),U313,$M$3,BIN2HEX(IF(W313="BIT",INDEX('Logical Group Generator'!H:H,'Script Generator'!T313),INDEX('Logical Group Generator'!L:L,'Script Generator'!T313)),2),IF(ISERROR(T314),$M$5,$M$4)))</f>
        <v/>
      </c>
      <c r="D312" s="215"/>
      <c r="R312" s="215" t="str">
        <f>IF('Logical Group Generator'!W312="FALSE","",IF('Logical Group Generator'!B312="OTP_RSVD_38_03","",'Logical Group Generator'!B312))</f>
        <v/>
      </c>
      <c r="T312" s="157" t="e">
        <f>MATCH(U312,'Logical Group Generator'!B:B,0)</f>
        <v>#NUM!</v>
      </c>
      <c r="U312" s="157" t="e">
        <f t="array" ref="U312">IF(ROWS($3:312)&lt;=COUNTA($R$3:$R$902),INDEX($R$3:$R$902,SMALL(IF($R$3:$R$902&lt;&gt;"",ROW($R$3:$R$902)-MIN(ROW($R$3:$R$902))+1),ROWS($3:312))),"")</f>
        <v>#NUM!</v>
      </c>
      <c r="W312" s="157" t="e">
        <f>IF(INDEX('Logical Group Generator'!W:W,MATCH(U312,'Logical Group Generator'!B:B,0))="REGISTER","REGISTER","BIT")</f>
        <v>#NUM!</v>
      </c>
    </row>
    <row r="313" spans="2:23">
      <c r="B313" s="157" t="str">
        <f>IF(ISERROR(T314),"",CONCATENATE(IF(W314="BIT",$M$2,$M$1),U314,$M$3,BIN2HEX(IF(W314="BIT",INDEX('Logical Group Generator'!H:H,'Script Generator'!T314),INDEX('Logical Group Generator'!L:L,'Script Generator'!T314)),2),IF(ISERROR(T315),$M$5,$M$4)))</f>
        <v/>
      </c>
      <c r="D313" s="215"/>
      <c r="R313" s="215" t="str">
        <f>IF('Logical Group Generator'!W313="FALSE","",IF('Logical Group Generator'!B313="OTP_RSVD_38_03","",'Logical Group Generator'!B313))</f>
        <v/>
      </c>
      <c r="T313" s="157" t="e">
        <f>MATCH(U313,'Logical Group Generator'!B:B,0)</f>
        <v>#NUM!</v>
      </c>
      <c r="U313" s="157" t="e">
        <f t="array" ref="U313">IF(ROWS($3:313)&lt;=COUNTA($R$3:$R$902),INDEX($R$3:$R$902,SMALL(IF($R$3:$R$902&lt;&gt;"",ROW($R$3:$R$902)-MIN(ROW($R$3:$R$902))+1),ROWS($3:313))),"")</f>
        <v>#NUM!</v>
      </c>
      <c r="W313" s="157" t="e">
        <f>IF(INDEX('Logical Group Generator'!W:W,MATCH(U313,'Logical Group Generator'!B:B,0))="REGISTER","REGISTER","BIT")</f>
        <v>#NUM!</v>
      </c>
    </row>
    <row r="314" spans="2:23">
      <c r="B314" s="157" t="str">
        <f>IF(ISERROR(T315),"",CONCATENATE(IF(W315="BIT",$M$2,$M$1),U315,$M$3,BIN2HEX(IF(W315="BIT",INDEX('Logical Group Generator'!H:H,'Script Generator'!T315),INDEX('Logical Group Generator'!L:L,'Script Generator'!T315)),2),IF(ISERROR(T316),$M$5,$M$4)))</f>
        <v/>
      </c>
      <c r="D314" s="215"/>
      <c r="R314" s="215" t="str">
        <f>IF('Logical Group Generator'!W314="FALSE","",IF('Logical Group Generator'!B314="OTP_RSVD_38_03","",'Logical Group Generator'!B314))</f>
        <v/>
      </c>
      <c r="T314" s="157" t="e">
        <f>MATCH(U314,'Logical Group Generator'!B:B,0)</f>
        <v>#NUM!</v>
      </c>
      <c r="U314" s="157" t="e">
        <f t="array" ref="U314">IF(ROWS($3:314)&lt;=COUNTA($R$3:$R$902),INDEX($R$3:$R$902,SMALL(IF($R$3:$R$902&lt;&gt;"",ROW($R$3:$R$902)-MIN(ROW($R$3:$R$902))+1),ROWS($3:314))),"")</f>
        <v>#NUM!</v>
      </c>
      <c r="W314" s="157" t="e">
        <f>IF(INDEX('Logical Group Generator'!W:W,MATCH(U314,'Logical Group Generator'!B:B,0))="REGISTER","REGISTER","BIT")</f>
        <v>#NUM!</v>
      </c>
    </row>
    <row r="315" spans="2:23">
      <c r="B315" s="157" t="str">
        <f>IF(ISERROR(T316),"",CONCATENATE(IF(W316="BIT",$M$2,$M$1),U316,$M$3,BIN2HEX(IF(W316="BIT",INDEX('Logical Group Generator'!H:H,'Script Generator'!T316),INDEX('Logical Group Generator'!L:L,'Script Generator'!T316)),2),IF(ISERROR(T317),$M$5,$M$4)))</f>
        <v/>
      </c>
      <c r="D315" s="215"/>
      <c r="R315" s="215" t="str">
        <f>IF('Logical Group Generator'!W315="FALSE","",IF('Logical Group Generator'!B315="OTP_RSVD_38_03","",'Logical Group Generator'!B315))</f>
        <v/>
      </c>
      <c r="T315" s="157" t="e">
        <f>MATCH(U315,'Logical Group Generator'!B:B,0)</f>
        <v>#NUM!</v>
      </c>
      <c r="U315" s="157" t="e">
        <f t="array" ref="U315">IF(ROWS($3:315)&lt;=COUNTA($R$3:$R$902),INDEX($R$3:$R$902,SMALL(IF($R$3:$R$902&lt;&gt;"",ROW($R$3:$R$902)-MIN(ROW($R$3:$R$902))+1),ROWS($3:315))),"")</f>
        <v>#NUM!</v>
      </c>
      <c r="W315" s="157" t="e">
        <f>IF(INDEX('Logical Group Generator'!W:W,MATCH(U315,'Logical Group Generator'!B:B,0))="REGISTER","REGISTER","BIT")</f>
        <v>#NUM!</v>
      </c>
    </row>
    <row r="316" spans="2:23">
      <c r="B316" s="157" t="str">
        <f>IF(ISERROR(T317),"",CONCATENATE(IF(W317="BIT",$M$2,$M$1),U317,$M$3,BIN2HEX(IF(W317="BIT",INDEX('Logical Group Generator'!H:H,'Script Generator'!T317),INDEX('Logical Group Generator'!L:L,'Script Generator'!T317)),2),IF(ISERROR(T318),$M$5,$M$4)))</f>
        <v/>
      </c>
      <c r="D316" s="215"/>
      <c r="R316" s="215" t="str">
        <f>IF('Logical Group Generator'!W316="FALSE","",IF('Logical Group Generator'!B316="OTP_RSVD_38_03","",'Logical Group Generator'!B316))</f>
        <v/>
      </c>
      <c r="T316" s="157" t="e">
        <f>MATCH(U316,'Logical Group Generator'!B:B,0)</f>
        <v>#NUM!</v>
      </c>
      <c r="U316" s="157" t="e">
        <f t="array" ref="U316">IF(ROWS($3:316)&lt;=COUNTA($R$3:$R$902),INDEX($R$3:$R$902,SMALL(IF($R$3:$R$902&lt;&gt;"",ROW($R$3:$R$902)-MIN(ROW($R$3:$R$902))+1),ROWS($3:316))),"")</f>
        <v>#NUM!</v>
      </c>
      <c r="W316" s="157" t="e">
        <f>IF(INDEX('Logical Group Generator'!W:W,MATCH(U316,'Logical Group Generator'!B:B,0))="REGISTER","REGISTER","BIT")</f>
        <v>#NUM!</v>
      </c>
    </row>
    <row r="317" spans="2:23">
      <c r="B317" s="157" t="str">
        <f>IF(ISERROR(T318),"",CONCATENATE(IF(W318="BIT",$M$2,$M$1),U318,$M$3,BIN2HEX(IF(W318="BIT",INDEX('Logical Group Generator'!H:H,'Script Generator'!T318),INDEX('Logical Group Generator'!L:L,'Script Generator'!T318)),2),IF(ISERROR(T319),$M$5,$M$4)))</f>
        <v/>
      </c>
      <c r="D317" s="215"/>
      <c r="R317" s="215" t="str">
        <f>IF('Logical Group Generator'!W317="FALSE","",IF('Logical Group Generator'!B317="OTP_RSVD_38_03","",'Logical Group Generator'!B317))</f>
        <v/>
      </c>
      <c r="T317" s="157" t="e">
        <f>MATCH(U317,'Logical Group Generator'!B:B,0)</f>
        <v>#NUM!</v>
      </c>
      <c r="U317" s="157" t="e">
        <f t="array" ref="U317">IF(ROWS($3:317)&lt;=COUNTA($R$3:$R$902),INDEX($R$3:$R$902,SMALL(IF($R$3:$R$902&lt;&gt;"",ROW($R$3:$R$902)-MIN(ROW($R$3:$R$902))+1),ROWS($3:317))),"")</f>
        <v>#NUM!</v>
      </c>
      <c r="W317" s="157" t="e">
        <f>IF(INDEX('Logical Group Generator'!W:W,MATCH(U317,'Logical Group Generator'!B:B,0))="REGISTER","REGISTER","BIT")</f>
        <v>#NUM!</v>
      </c>
    </row>
    <row r="318" spans="2:23">
      <c r="B318" s="157" t="str">
        <f>IF(ISERROR(T319),"",CONCATENATE(IF(W319="BIT",$M$2,$M$1),U319,$M$3,BIN2HEX(IF(W319="BIT",INDEX('Logical Group Generator'!H:H,'Script Generator'!T319),INDEX('Logical Group Generator'!L:L,'Script Generator'!T319)),2),IF(ISERROR(T320),$M$5,$M$4)))</f>
        <v/>
      </c>
      <c r="D318" s="215"/>
      <c r="R318" s="215" t="str">
        <f>IF('Logical Group Generator'!W318="FALSE","",IF('Logical Group Generator'!B318="OTP_RSVD_38_03","",'Logical Group Generator'!B318))</f>
        <v>BUCK2_CTRL_EN2</v>
      </c>
      <c r="T318" s="157" t="e">
        <f>MATCH(U318,'Logical Group Generator'!B:B,0)</f>
        <v>#NUM!</v>
      </c>
      <c r="U318" s="157" t="e">
        <f t="array" ref="U318">IF(ROWS($3:318)&lt;=COUNTA($R$3:$R$902),INDEX($R$3:$R$902,SMALL(IF($R$3:$R$902&lt;&gt;"",ROW($R$3:$R$902)-MIN(ROW($R$3:$R$902))+1),ROWS($3:318))),"")</f>
        <v>#NUM!</v>
      </c>
      <c r="W318" s="157" t="e">
        <f>IF(INDEX('Logical Group Generator'!W:W,MATCH(U318,'Logical Group Generator'!B:B,0))="REGISTER","REGISTER","BIT")</f>
        <v>#NUM!</v>
      </c>
    </row>
    <row r="319" spans="2:23">
      <c r="B319" s="157" t="str">
        <f>IF(ISERROR(T320),"",CONCATENATE(IF(W320="BIT",$M$2,$M$1),U320,$M$3,BIN2HEX(IF(W320="BIT",INDEX('Logical Group Generator'!H:H,'Script Generator'!T320),INDEX('Logical Group Generator'!L:L,'Script Generator'!T320)),2),IF(ISERROR(T321),$M$5,$M$4)))</f>
        <v/>
      </c>
      <c r="D319" s="215"/>
      <c r="R319" s="215" t="str">
        <f>IF('Logical Group Generator'!W319="FALSE","",IF('Logical Group Generator'!B319="OTP_RSVD_38_03","",'Logical Group Generator'!B319))</f>
        <v/>
      </c>
      <c r="T319" s="157" t="e">
        <f>MATCH(U319,'Logical Group Generator'!B:B,0)</f>
        <v>#NUM!</v>
      </c>
      <c r="U319" s="157" t="e">
        <f t="array" ref="U319">IF(ROWS($3:319)&lt;=COUNTA($R$3:$R$902),INDEX($R$3:$R$902,SMALL(IF($R$3:$R$902&lt;&gt;"",ROW($R$3:$R$902)-MIN(ROW($R$3:$R$902))+1),ROWS($3:319))),"")</f>
        <v>#NUM!</v>
      </c>
      <c r="W319" s="157" t="e">
        <f>IF(INDEX('Logical Group Generator'!W:W,MATCH(U319,'Logical Group Generator'!B:B,0))="REGISTER","REGISTER","BIT")</f>
        <v>#NUM!</v>
      </c>
    </row>
    <row r="320" spans="2:23">
      <c r="B320" s="157" t="str">
        <f>IF(ISERROR(T321),"",CONCATENATE(IF(W321="BIT",$M$2,$M$1),U321,$M$3,BIN2HEX(IF(W321="BIT",INDEX('Logical Group Generator'!H:H,'Script Generator'!T321),INDEX('Logical Group Generator'!L:L,'Script Generator'!T321)),2),IF(ISERROR(T322),$M$5,$M$4)))</f>
        <v/>
      </c>
      <c r="D320" s="215"/>
      <c r="R320" s="215" t="str">
        <f>IF('Logical Group Generator'!W320="FALSE","",IF('Logical Group Generator'!B320="OTP_RSVD_38_03","",'Logical Group Generator'!B320))</f>
        <v/>
      </c>
      <c r="T320" s="157" t="e">
        <f>MATCH(U320,'Logical Group Generator'!B:B,0)</f>
        <v>#NUM!</v>
      </c>
      <c r="U320" s="157" t="e">
        <f t="array" ref="U320">IF(ROWS($3:320)&lt;=COUNTA($R$3:$R$902),INDEX($R$3:$R$902,SMALL(IF($R$3:$R$902&lt;&gt;"",ROW($R$3:$R$902)-MIN(ROW($R$3:$R$902))+1),ROWS($3:320))),"")</f>
        <v>#NUM!</v>
      </c>
      <c r="W320" s="157" t="e">
        <f>IF(INDEX('Logical Group Generator'!W:W,MATCH(U320,'Logical Group Generator'!B:B,0))="REGISTER","REGISTER","BIT")</f>
        <v>#NUM!</v>
      </c>
    </row>
    <row r="321" spans="2:23">
      <c r="B321" s="157" t="str">
        <f>IF(ISERROR(T322),"",CONCATENATE(IF(W322="BIT",$M$2,$M$1),U322,$M$3,BIN2HEX(IF(W322="BIT",INDEX('Logical Group Generator'!H:H,'Script Generator'!T322),INDEX('Logical Group Generator'!L:L,'Script Generator'!T322)),2),IF(ISERROR(T323),$M$5,$M$4)))</f>
        <v/>
      </c>
      <c r="D321" s="215"/>
      <c r="R321" s="215" t="str">
        <f>IF('Logical Group Generator'!W321="FALSE","",IF('Logical Group Generator'!B321="OTP_RSVD_38_03","",'Logical Group Generator'!B321))</f>
        <v/>
      </c>
      <c r="T321" s="157" t="e">
        <f>MATCH(U321,'Logical Group Generator'!B:B,0)</f>
        <v>#NUM!</v>
      </c>
      <c r="U321" s="157" t="e">
        <f t="array" ref="U321">IF(ROWS($3:321)&lt;=COUNTA($R$3:$R$902),INDEX($R$3:$R$902,SMALL(IF($R$3:$R$902&lt;&gt;"",ROW($R$3:$R$902)-MIN(ROW($R$3:$R$902))+1),ROWS($3:321))),"")</f>
        <v>#NUM!</v>
      </c>
      <c r="W321" s="157" t="e">
        <f>IF(INDEX('Logical Group Generator'!W:W,MATCH(U321,'Logical Group Generator'!B:B,0))="REGISTER","REGISTER","BIT")</f>
        <v>#NUM!</v>
      </c>
    </row>
    <row r="322" spans="2:23">
      <c r="B322" s="157" t="str">
        <f>IF(ISERROR(T323),"",CONCATENATE(IF(W323="BIT",$M$2,$M$1),U323,$M$3,BIN2HEX(IF(W323="BIT",INDEX('Logical Group Generator'!H:H,'Script Generator'!T323),INDEX('Logical Group Generator'!L:L,'Script Generator'!T323)),2),IF(ISERROR(T324),$M$5,$M$4)))</f>
        <v/>
      </c>
      <c r="D322" s="215"/>
      <c r="R322" s="215" t="str">
        <f>IF('Logical Group Generator'!W322="FALSE","",IF('Logical Group Generator'!B322="OTP_RSVD_38_03","",'Logical Group Generator'!B322))</f>
        <v/>
      </c>
      <c r="T322" s="157" t="e">
        <f>MATCH(U322,'Logical Group Generator'!B:B,0)</f>
        <v>#NUM!</v>
      </c>
      <c r="U322" s="157" t="e">
        <f t="array" ref="U322">IF(ROWS($3:322)&lt;=COUNTA($R$3:$R$902),INDEX($R$3:$R$902,SMALL(IF($R$3:$R$902&lt;&gt;"",ROW($R$3:$R$902)-MIN(ROW($R$3:$R$902))+1),ROWS($3:322))),"")</f>
        <v>#NUM!</v>
      </c>
      <c r="W322" s="157" t="e">
        <f>IF(INDEX('Logical Group Generator'!W:W,MATCH(U322,'Logical Group Generator'!B:B,0))="REGISTER","REGISTER","BIT")</f>
        <v>#NUM!</v>
      </c>
    </row>
    <row r="323" spans="2:23">
      <c r="B323" s="157" t="str">
        <f>IF(ISERROR(T324),"",CONCATENATE(IF(W324="BIT",$M$2,$M$1),U324,$M$3,BIN2HEX(IF(W324="BIT",INDEX('Logical Group Generator'!H:H,'Script Generator'!T324),INDEX('Logical Group Generator'!L:L,'Script Generator'!T324)),2),IF(ISERROR(T325),$M$5,$M$4)))</f>
        <v/>
      </c>
      <c r="D323" s="215"/>
      <c r="R323" s="215" t="str">
        <f>IF('Logical Group Generator'!W323="FALSE","",IF('Logical Group Generator'!B323="OTP_RSVD_38_03","",'Logical Group Generator'!B323))</f>
        <v/>
      </c>
      <c r="T323" s="157" t="e">
        <f>MATCH(U323,'Logical Group Generator'!B:B,0)</f>
        <v>#NUM!</v>
      </c>
      <c r="U323" s="157" t="e">
        <f t="array" ref="U323">IF(ROWS($3:323)&lt;=COUNTA($R$3:$R$902),INDEX($R$3:$R$902,SMALL(IF($R$3:$R$902&lt;&gt;"",ROW($R$3:$R$902)-MIN(ROW($R$3:$R$902))+1),ROWS($3:323))),"")</f>
        <v>#NUM!</v>
      </c>
      <c r="W323" s="157" t="e">
        <f>IF(INDEX('Logical Group Generator'!W:W,MATCH(U323,'Logical Group Generator'!B:B,0))="REGISTER","REGISTER","BIT")</f>
        <v>#NUM!</v>
      </c>
    </row>
    <row r="324" spans="2:23">
      <c r="B324" s="157" t="str">
        <f>IF(ISERROR(T325),"",CONCATENATE(IF(W325="BIT",$M$2,$M$1),U325,$M$3,BIN2HEX(IF(W325="BIT",INDEX('Logical Group Generator'!H:H,'Script Generator'!T325),INDEX('Logical Group Generator'!L:L,'Script Generator'!T325)),2),IF(ISERROR(T326),$M$5,$M$4)))</f>
        <v/>
      </c>
      <c r="D324" s="215"/>
      <c r="R324" s="215" t="str">
        <f>IF('Logical Group Generator'!W324="FALSE","",IF('Logical Group Generator'!B324="OTP_RSVD_38_03","",'Logical Group Generator'!B324))</f>
        <v>BUCK2_CTRL_EN3</v>
      </c>
      <c r="T324" s="157" t="e">
        <f>MATCH(U324,'Logical Group Generator'!B:B,0)</f>
        <v>#NUM!</v>
      </c>
      <c r="U324" s="157" t="e">
        <f t="array" ref="U324">IF(ROWS($3:324)&lt;=COUNTA($R$3:$R$902),INDEX($R$3:$R$902,SMALL(IF($R$3:$R$902&lt;&gt;"",ROW($R$3:$R$902)-MIN(ROW($R$3:$R$902))+1),ROWS($3:324))),"")</f>
        <v>#NUM!</v>
      </c>
      <c r="W324" s="157" t="e">
        <f>IF(INDEX('Logical Group Generator'!W:W,MATCH(U324,'Logical Group Generator'!B:B,0))="REGISTER","REGISTER","BIT")</f>
        <v>#NUM!</v>
      </c>
    </row>
    <row r="325" spans="2:23">
      <c r="B325" s="157" t="str">
        <f>IF(ISERROR(T326),"",CONCATENATE(IF(W326="BIT",$M$2,$M$1),U326,$M$3,BIN2HEX(IF(W326="BIT",INDEX('Logical Group Generator'!H:H,'Script Generator'!T326),INDEX('Logical Group Generator'!L:L,'Script Generator'!T326)),2),IF(ISERROR(T327),$M$5,$M$4)))</f>
        <v/>
      </c>
      <c r="D325" s="215"/>
      <c r="R325" s="215" t="str">
        <f>IF('Logical Group Generator'!W325="FALSE","",IF('Logical Group Generator'!B325="OTP_RSVD_38_03","",'Logical Group Generator'!B325))</f>
        <v/>
      </c>
      <c r="T325" s="157" t="e">
        <f>MATCH(U325,'Logical Group Generator'!B:B,0)</f>
        <v>#NUM!</v>
      </c>
      <c r="U325" s="157" t="e">
        <f t="array" ref="U325">IF(ROWS($3:325)&lt;=COUNTA($R$3:$R$902),INDEX($R$3:$R$902,SMALL(IF($R$3:$R$902&lt;&gt;"",ROW($R$3:$R$902)-MIN(ROW($R$3:$R$902))+1),ROWS($3:325))),"")</f>
        <v>#NUM!</v>
      </c>
      <c r="W325" s="157" t="e">
        <f>IF(INDEX('Logical Group Generator'!W:W,MATCH(U325,'Logical Group Generator'!B:B,0))="REGISTER","REGISTER","BIT")</f>
        <v>#NUM!</v>
      </c>
    </row>
    <row r="326" spans="2:23">
      <c r="B326" s="157" t="str">
        <f>IF(ISERROR(T327),"",CONCATENATE(IF(W327="BIT",$M$2,$M$1),U327,$M$3,BIN2HEX(IF(W327="BIT",INDEX('Logical Group Generator'!H:H,'Script Generator'!T327),INDEX('Logical Group Generator'!L:L,'Script Generator'!T327)),2),IF(ISERROR(T328),$M$5,$M$4)))</f>
        <v/>
      </c>
      <c r="D326" s="215"/>
      <c r="R326" s="215" t="str">
        <f>IF('Logical Group Generator'!W326="FALSE","",IF('Logical Group Generator'!B326="OTP_RSVD_38_03","",'Logical Group Generator'!B326))</f>
        <v/>
      </c>
      <c r="T326" s="157" t="e">
        <f>MATCH(U326,'Logical Group Generator'!B:B,0)</f>
        <v>#NUM!</v>
      </c>
      <c r="U326" s="157" t="e">
        <f t="array" ref="U326">IF(ROWS($3:326)&lt;=COUNTA($R$3:$R$902),INDEX($R$3:$R$902,SMALL(IF($R$3:$R$902&lt;&gt;"",ROW($R$3:$R$902)-MIN(ROW($R$3:$R$902))+1),ROWS($3:326))),"")</f>
        <v>#NUM!</v>
      </c>
      <c r="W326" s="157" t="e">
        <f>IF(INDEX('Logical Group Generator'!W:W,MATCH(U326,'Logical Group Generator'!B:B,0))="REGISTER","REGISTER","BIT")</f>
        <v>#NUM!</v>
      </c>
    </row>
    <row r="327" spans="2:23">
      <c r="B327" s="157" t="str">
        <f>IF(ISERROR(T328),"",CONCATENATE(IF(W328="BIT",$M$2,$M$1),U328,$M$3,BIN2HEX(IF(W328="BIT",INDEX('Logical Group Generator'!H:H,'Script Generator'!T328),INDEX('Logical Group Generator'!L:L,'Script Generator'!T328)),2),IF(ISERROR(T329),$M$5,$M$4)))</f>
        <v/>
      </c>
      <c r="D327" s="215"/>
      <c r="R327" s="215" t="str">
        <f>IF('Logical Group Generator'!W327="FALSE","",IF('Logical Group Generator'!B327="OTP_RSVD_38_03","",'Logical Group Generator'!B327))</f>
        <v/>
      </c>
      <c r="T327" s="157" t="e">
        <f>MATCH(U327,'Logical Group Generator'!B:B,0)</f>
        <v>#NUM!</v>
      </c>
      <c r="U327" s="157" t="e">
        <f t="array" ref="U327">IF(ROWS($3:327)&lt;=COUNTA($R$3:$R$902),INDEX($R$3:$R$902,SMALL(IF($R$3:$R$902&lt;&gt;"",ROW($R$3:$R$902)-MIN(ROW($R$3:$R$902))+1),ROWS($3:327))),"")</f>
        <v>#NUM!</v>
      </c>
      <c r="W327" s="157" t="e">
        <f>IF(INDEX('Logical Group Generator'!W:W,MATCH(U327,'Logical Group Generator'!B:B,0))="REGISTER","REGISTER","BIT")</f>
        <v>#NUM!</v>
      </c>
    </row>
    <row r="328" spans="2:23">
      <c r="B328" s="157" t="str">
        <f>IF(ISERROR(T329),"",CONCATENATE(IF(W329="BIT",$M$2,$M$1),U329,$M$3,BIN2HEX(IF(W329="BIT",INDEX('Logical Group Generator'!H:H,'Script Generator'!T329),INDEX('Logical Group Generator'!L:L,'Script Generator'!T329)),2),IF(ISERROR(T330),$M$5,$M$4)))</f>
        <v/>
      </c>
      <c r="D328" s="215"/>
      <c r="R328" s="215" t="str">
        <f>IF('Logical Group Generator'!W328="FALSE","",IF('Logical Group Generator'!B328="OTP_RSVD_38_03","",'Logical Group Generator'!B328))</f>
        <v>BUCK3_CTRL_EN1</v>
      </c>
      <c r="T328" s="157" t="e">
        <f>MATCH(U328,'Logical Group Generator'!B:B,0)</f>
        <v>#NUM!</v>
      </c>
      <c r="U328" s="157" t="e">
        <f t="array" ref="U328">IF(ROWS($3:328)&lt;=COUNTA($R$3:$R$902),INDEX($R$3:$R$902,SMALL(IF($R$3:$R$902&lt;&gt;"",ROW($R$3:$R$902)-MIN(ROW($R$3:$R$902))+1),ROWS($3:328))),"")</f>
        <v>#NUM!</v>
      </c>
      <c r="W328" s="157" t="e">
        <f>IF(INDEX('Logical Group Generator'!W:W,MATCH(U328,'Logical Group Generator'!B:B,0))="REGISTER","REGISTER","BIT")</f>
        <v>#NUM!</v>
      </c>
    </row>
    <row r="329" spans="2:23">
      <c r="B329" s="157" t="str">
        <f>IF(ISERROR(T330),"",CONCATENATE(IF(W330="BIT",$M$2,$M$1),U330,$M$3,BIN2HEX(IF(W330="BIT",INDEX('Logical Group Generator'!H:H,'Script Generator'!T330),INDEX('Logical Group Generator'!L:L,'Script Generator'!T330)),2),IF(ISERROR(T331),$M$5,$M$4)))</f>
        <v/>
      </c>
      <c r="D329" s="215"/>
      <c r="R329" s="215" t="str">
        <f>IF('Logical Group Generator'!W329="FALSE","",IF('Logical Group Generator'!B329="OTP_RSVD_38_03","",'Logical Group Generator'!B329))</f>
        <v/>
      </c>
      <c r="T329" s="157" t="e">
        <f>MATCH(U329,'Logical Group Generator'!B:B,0)</f>
        <v>#NUM!</v>
      </c>
      <c r="U329" s="157" t="e">
        <f t="array" ref="U329">IF(ROWS($3:329)&lt;=COUNTA($R$3:$R$902),INDEX($R$3:$R$902,SMALL(IF($R$3:$R$902&lt;&gt;"",ROW($R$3:$R$902)-MIN(ROW($R$3:$R$902))+1),ROWS($3:329))),"")</f>
        <v>#NUM!</v>
      </c>
      <c r="W329" s="157" t="e">
        <f>IF(INDEX('Logical Group Generator'!W:W,MATCH(U329,'Logical Group Generator'!B:B,0))="REGISTER","REGISTER","BIT")</f>
        <v>#NUM!</v>
      </c>
    </row>
    <row r="330" spans="2:23">
      <c r="B330" s="157" t="str">
        <f>IF(ISERROR(T331),"",CONCATENATE(IF(W331="BIT",$M$2,$M$1),U331,$M$3,BIN2HEX(IF(W331="BIT",INDEX('Logical Group Generator'!H:H,'Script Generator'!T331),INDEX('Logical Group Generator'!L:L,'Script Generator'!T331)),2),IF(ISERROR(T332),$M$5,$M$4)))</f>
        <v/>
      </c>
      <c r="D330" s="215"/>
      <c r="R330" s="215" t="str">
        <f>IF('Logical Group Generator'!W330="FALSE","",IF('Logical Group Generator'!B330="OTP_RSVD_38_03","",'Logical Group Generator'!B330))</f>
        <v/>
      </c>
      <c r="T330" s="157" t="e">
        <f>MATCH(U330,'Logical Group Generator'!B:B,0)</f>
        <v>#NUM!</v>
      </c>
      <c r="U330" s="157" t="e">
        <f t="array" ref="U330">IF(ROWS($3:330)&lt;=COUNTA($R$3:$R$902),INDEX($R$3:$R$902,SMALL(IF($R$3:$R$902&lt;&gt;"",ROW($R$3:$R$902)-MIN(ROW($R$3:$R$902))+1),ROWS($3:330))),"")</f>
        <v>#NUM!</v>
      </c>
      <c r="W330" s="157" t="e">
        <f>IF(INDEX('Logical Group Generator'!W:W,MATCH(U330,'Logical Group Generator'!B:B,0))="REGISTER","REGISTER","BIT")</f>
        <v>#NUM!</v>
      </c>
    </row>
    <row r="331" spans="2:23">
      <c r="B331" s="157" t="str">
        <f>IF(ISERROR(T332),"",CONCATENATE(IF(W332="BIT",$M$2,$M$1),U332,$M$3,BIN2HEX(IF(W332="BIT",INDEX('Logical Group Generator'!H:H,'Script Generator'!T332),INDEX('Logical Group Generator'!L:L,'Script Generator'!T332)),2),IF(ISERROR(T333),$M$5,$M$4)))</f>
        <v/>
      </c>
      <c r="D331" s="215"/>
      <c r="R331" s="215" t="str">
        <f>IF('Logical Group Generator'!W331="FALSE","",IF('Logical Group Generator'!B331="OTP_RSVD_38_03","",'Logical Group Generator'!B331))</f>
        <v/>
      </c>
      <c r="T331" s="157" t="e">
        <f>MATCH(U331,'Logical Group Generator'!B:B,0)</f>
        <v>#NUM!</v>
      </c>
      <c r="U331" s="157" t="e">
        <f t="array" ref="U331">IF(ROWS($3:331)&lt;=COUNTA($R$3:$R$902),INDEX($R$3:$R$902,SMALL(IF($R$3:$R$902&lt;&gt;"",ROW($R$3:$R$902)-MIN(ROW($R$3:$R$902))+1),ROWS($3:331))),"")</f>
        <v>#NUM!</v>
      </c>
      <c r="W331" s="157" t="e">
        <f>IF(INDEX('Logical Group Generator'!W:W,MATCH(U331,'Logical Group Generator'!B:B,0))="REGISTER","REGISTER","BIT")</f>
        <v>#NUM!</v>
      </c>
    </row>
    <row r="332" spans="2:23">
      <c r="B332" s="157" t="str">
        <f>IF(ISERROR(T333),"",CONCATENATE(IF(W333="BIT",$M$2,$M$1),U333,$M$3,BIN2HEX(IF(W333="BIT",INDEX('Logical Group Generator'!H:H,'Script Generator'!T333),INDEX('Logical Group Generator'!L:L,'Script Generator'!T333)),2),IF(ISERROR(T334),$M$5,$M$4)))</f>
        <v/>
      </c>
      <c r="D332" s="215"/>
      <c r="R332" s="215" t="str">
        <f>IF('Logical Group Generator'!W332="FALSE","",IF('Logical Group Generator'!B332="OTP_RSVD_38_03","",'Logical Group Generator'!B332))</f>
        <v/>
      </c>
      <c r="T332" s="157" t="e">
        <f>MATCH(U332,'Logical Group Generator'!B:B,0)</f>
        <v>#NUM!</v>
      </c>
      <c r="U332" s="157" t="e">
        <f t="array" ref="U332">IF(ROWS($3:332)&lt;=COUNTA($R$3:$R$902),INDEX($R$3:$R$902,SMALL(IF($R$3:$R$902&lt;&gt;"",ROW($R$3:$R$902)-MIN(ROW($R$3:$R$902))+1),ROWS($3:332))),"")</f>
        <v>#NUM!</v>
      </c>
      <c r="W332" s="157" t="e">
        <f>IF(INDEX('Logical Group Generator'!W:W,MATCH(U332,'Logical Group Generator'!B:B,0))="REGISTER","REGISTER","BIT")</f>
        <v>#NUM!</v>
      </c>
    </row>
    <row r="333" spans="2:23">
      <c r="B333" s="157" t="str">
        <f>IF(ISERROR(T334),"",CONCATENATE(IF(W334="BIT",$M$2,$M$1),U334,$M$3,BIN2HEX(IF(W334="BIT",INDEX('Logical Group Generator'!H:H,'Script Generator'!T334),INDEX('Logical Group Generator'!L:L,'Script Generator'!T334)),2),IF(ISERROR(T335),$M$5,$M$4)))</f>
        <v/>
      </c>
      <c r="D333" s="215"/>
      <c r="R333" s="215" t="str">
        <f>IF('Logical Group Generator'!W333="FALSE","",IF('Logical Group Generator'!B333="OTP_RSVD_38_03","",'Logical Group Generator'!B333))</f>
        <v/>
      </c>
      <c r="T333" s="157" t="e">
        <f>MATCH(U333,'Logical Group Generator'!B:B,0)</f>
        <v>#NUM!</v>
      </c>
      <c r="U333" s="157" t="e">
        <f t="array" ref="U333">IF(ROWS($3:333)&lt;=COUNTA($R$3:$R$902),INDEX($R$3:$R$902,SMALL(IF($R$3:$R$902&lt;&gt;"",ROW($R$3:$R$902)-MIN(ROW($R$3:$R$902))+1),ROWS($3:333))),"")</f>
        <v>#NUM!</v>
      </c>
      <c r="W333" s="157" t="e">
        <f>IF(INDEX('Logical Group Generator'!W:W,MATCH(U333,'Logical Group Generator'!B:B,0))="REGISTER","REGISTER","BIT")</f>
        <v>#NUM!</v>
      </c>
    </row>
    <row r="334" spans="2:23">
      <c r="B334" s="157" t="str">
        <f>IF(ISERROR(T335),"",CONCATENATE(IF(W335="BIT",$M$2,$M$1),U335,$M$3,BIN2HEX(IF(W335="BIT",INDEX('Logical Group Generator'!H:H,'Script Generator'!T335),INDEX('Logical Group Generator'!L:L,'Script Generator'!T335)),2),IF(ISERROR(T336),$M$5,$M$4)))</f>
        <v/>
      </c>
      <c r="D334" s="215"/>
      <c r="R334" s="215" t="str">
        <f>IF('Logical Group Generator'!W334="FALSE","",IF('Logical Group Generator'!B334="OTP_RSVD_38_03","",'Logical Group Generator'!B334))</f>
        <v/>
      </c>
      <c r="T334" s="157" t="e">
        <f>MATCH(U334,'Logical Group Generator'!B:B,0)</f>
        <v>#NUM!</v>
      </c>
      <c r="U334" s="157" t="e">
        <f t="array" ref="U334">IF(ROWS($3:334)&lt;=COUNTA($R$3:$R$902),INDEX($R$3:$R$902,SMALL(IF($R$3:$R$902&lt;&gt;"",ROW($R$3:$R$902)-MIN(ROW($R$3:$R$902))+1),ROWS($3:334))),"")</f>
        <v>#NUM!</v>
      </c>
      <c r="W334" s="157" t="e">
        <f>IF(INDEX('Logical Group Generator'!W:W,MATCH(U334,'Logical Group Generator'!B:B,0))="REGISTER","REGISTER","BIT")</f>
        <v>#NUM!</v>
      </c>
    </row>
    <row r="335" spans="2:23">
      <c r="B335" s="157" t="str">
        <f>IF(ISERROR(T336),"",CONCATENATE(IF(W336="BIT",$M$2,$M$1),U336,$M$3,BIN2HEX(IF(W336="BIT",INDEX('Logical Group Generator'!H:H,'Script Generator'!T336),INDEX('Logical Group Generator'!L:L,'Script Generator'!T336)),2),IF(ISERROR(T337),$M$5,$M$4)))</f>
        <v/>
      </c>
      <c r="D335" s="215"/>
      <c r="R335" s="215" t="str">
        <f>IF('Logical Group Generator'!W335="FALSE","",IF('Logical Group Generator'!B335="OTP_RSVD_38_03","",'Logical Group Generator'!B335))</f>
        <v/>
      </c>
      <c r="T335" s="157" t="e">
        <f>MATCH(U335,'Logical Group Generator'!B:B,0)</f>
        <v>#NUM!</v>
      </c>
      <c r="U335" s="157" t="e">
        <f t="array" ref="U335">IF(ROWS($3:335)&lt;=COUNTA($R$3:$R$902),INDEX($R$3:$R$902,SMALL(IF($R$3:$R$902&lt;&gt;"",ROW($R$3:$R$902)-MIN(ROW($R$3:$R$902))+1),ROWS($3:335))),"")</f>
        <v>#NUM!</v>
      </c>
      <c r="W335" s="157" t="e">
        <f>IF(INDEX('Logical Group Generator'!W:W,MATCH(U335,'Logical Group Generator'!B:B,0))="REGISTER","REGISTER","BIT")</f>
        <v>#NUM!</v>
      </c>
    </row>
    <row r="336" spans="2:23">
      <c r="B336" s="157" t="str">
        <f>IF(ISERROR(T337),"",CONCATENATE(IF(W337="BIT",$M$2,$M$1),U337,$M$3,BIN2HEX(IF(W337="BIT",INDEX('Logical Group Generator'!H:H,'Script Generator'!T337),INDEX('Logical Group Generator'!L:L,'Script Generator'!T337)),2),IF(ISERROR(T338),$M$5,$M$4)))</f>
        <v/>
      </c>
      <c r="D336" s="215"/>
      <c r="R336" s="215" t="str">
        <f>IF('Logical Group Generator'!W336="FALSE","",IF('Logical Group Generator'!B336="OTP_RSVD_38_03","",'Logical Group Generator'!B336))</f>
        <v/>
      </c>
      <c r="T336" s="157" t="e">
        <f>MATCH(U336,'Logical Group Generator'!B:B,0)</f>
        <v>#NUM!</v>
      </c>
      <c r="U336" s="157" t="e">
        <f t="array" ref="U336">IF(ROWS($3:336)&lt;=COUNTA($R$3:$R$902),INDEX($R$3:$R$902,SMALL(IF($R$3:$R$902&lt;&gt;"",ROW($R$3:$R$902)-MIN(ROW($R$3:$R$902))+1),ROWS($3:336))),"")</f>
        <v>#NUM!</v>
      </c>
      <c r="W336" s="157" t="e">
        <f>IF(INDEX('Logical Group Generator'!W:W,MATCH(U336,'Logical Group Generator'!B:B,0))="REGISTER","REGISTER","BIT")</f>
        <v>#NUM!</v>
      </c>
    </row>
    <row r="337" spans="2:23">
      <c r="B337" s="157" t="str">
        <f>IF(ISERROR(T338),"",CONCATENATE(IF(W338="BIT",$M$2,$M$1),U338,$M$3,BIN2HEX(IF(W338="BIT",INDEX('Logical Group Generator'!H:H,'Script Generator'!T338),INDEX('Logical Group Generator'!L:L,'Script Generator'!T338)),2),IF(ISERROR(T339),$M$5,$M$4)))</f>
        <v/>
      </c>
      <c r="D337" s="215"/>
      <c r="R337" s="215" t="str">
        <f>IF('Logical Group Generator'!W337="FALSE","",IF('Logical Group Generator'!B337="OTP_RSVD_38_03","",'Logical Group Generator'!B337))</f>
        <v>BUCK3_CTRL_EN2</v>
      </c>
      <c r="T337" s="157" t="e">
        <f>MATCH(U337,'Logical Group Generator'!B:B,0)</f>
        <v>#NUM!</v>
      </c>
      <c r="U337" s="157" t="e">
        <f t="array" ref="U337">IF(ROWS($3:337)&lt;=COUNTA($R$3:$R$902),INDEX($R$3:$R$902,SMALL(IF($R$3:$R$902&lt;&gt;"",ROW($R$3:$R$902)-MIN(ROW($R$3:$R$902))+1),ROWS($3:337))),"")</f>
        <v>#NUM!</v>
      </c>
      <c r="W337" s="157" t="e">
        <f>IF(INDEX('Logical Group Generator'!W:W,MATCH(U337,'Logical Group Generator'!B:B,0))="REGISTER","REGISTER","BIT")</f>
        <v>#NUM!</v>
      </c>
    </row>
    <row r="338" spans="2:23">
      <c r="B338" s="157" t="str">
        <f>IF(ISERROR(T339),"",CONCATENATE(IF(W339="BIT",$M$2,$M$1),U339,$M$3,BIN2HEX(IF(W339="BIT",INDEX('Logical Group Generator'!H:H,'Script Generator'!T339),INDEX('Logical Group Generator'!L:L,'Script Generator'!T339)),2),IF(ISERROR(T340),$M$5,$M$4)))</f>
        <v/>
      </c>
      <c r="D338" s="215"/>
      <c r="R338" s="215" t="str">
        <f>IF('Logical Group Generator'!W338="FALSE","",IF('Logical Group Generator'!B338="OTP_RSVD_38_03","",'Logical Group Generator'!B338))</f>
        <v/>
      </c>
      <c r="T338" s="157" t="e">
        <f>MATCH(U338,'Logical Group Generator'!B:B,0)</f>
        <v>#NUM!</v>
      </c>
      <c r="U338" s="157" t="e">
        <f t="array" ref="U338">IF(ROWS($3:338)&lt;=COUNTA($R$3:$R$902),INDEX($R$3:$R$902,SMALL(IF($R$3:$R$902&lt;&gt;"",ROW($R$3:$R$902)-MIN(ROW($R$3:$R$902))+1),ROWS($3:338))),"")</f>
        <v>#NUM!</v>
      </c>
      <c r="W338" s="157" t="e">
        <f>IF(INDEX('Logical Group Generator'!W:W,MATCH(U338,'Logical Group Generator'!B:B,0))="REGISTER","REGISTER","BIT")</f>
        <v>#NUM!</v>
      </c>
    </row>
    <row r="339" spans="2:23">
      <c r="B339" s="157" t="str">
        <f>IF(ISERROR(T340),"",CONCATENATE(IF(W340="BIT",$M$2,$M$1),U340,$M$3,BIN2HEX(IF(W340="BIT",INDEX('Logical Group Generator'!H:H,'Script Generator'!T340),INDEX('Logical Group Generator'!L:L,'Script Generator'!T340)),2),IF(ISERROR(T341),$M$5,$M$4)))</f>
        <v/>
      </c>
      <c r="D339" s="215"/>
      <c r="R339" s="215" t="str">
        <f>IF('Logical Group Generator'!W339="FALSE","",IF('Logical Group Generator'!B339="OTP_RSVD_38_03","",'Logical Group Generator'!B339))</f>
        <v/>
      </c>
      <c r="T339" s="157" t="e">
        <f>MATCH(U339,'Logical Group Generator'!B:B,0)</f>
        <v>#NUM!</v>
      </c>
      <c r="U339" s="157" t="e">
        <f t="array" ref="U339">IF(ROWS($3:339)&lt;=COUNTA($R$3:$R$902),INDEX($R$3:$R$902,SMALL(IF($R$3:$R$902&lt;&gt;"",ROW($R$3:$R$902)-MIN(ROW($R$3:$R$902))+1),ROWS($3:339))),"")</f>
        <v>#NUM!</v>
      </c>
      <c r="W339" s="157" t="e">
        <f>IF(INDEX('Logical Group Generator'!W:W,MATCH(U339,'Logical Group Generator'!B:B,0))="REGISTER","REGISTER","BIT")</f>
        <v>#NUM!</v>
      </c>
    </row>
    <row r="340" spans="2:23">
      <c r="B340" s="157" t="str">
        <f>IF(ISERROR(T341),"",CONCATENATE(IF(W341="BIT",$M$2,$M$1),U341,$M$3,BIN2HEX(IF(W341="BIT",INDEX('Logical Group Generator'!H:H,'Script Generator'!T341),INDEX('Logical Group Generator'!L:L,'Script Generator'!T341)),2),IF(ISERROR(T342),$M$5,$M$4)))</f>
        <v/>
      </c>
      <c r="D340" s="215"/>
      <c r="R340" s="215" t="str">
        <f>IF('Logical Group Generator'!W340="FALSE","",IF('Logical Group Generator'!B340="OTP_RSVD_38_03","",'Logical Group Generator'!B340))</f>
        <v/>
      </c>
      <c r="T340" s="157" t="e">
        <f>MATCH(U340,'Logical Group Generator'!B:B,0)</f>
        <v>#NUM!</v>
      </c>
      <c r="U340" s="157" t="e">
        <f t="array" ref="U340">IF(ROWS($3:340)&lt;=COUNTA($R$3:$R$902),INDEX($R$3:$R$902,SMALL(IF($R$3:$R$902&lt;&gt;"",ROW($R$3:$R$902)-MIN(ROW($R$3:$R$902))+1),ROWS($3:340))),"")</f>
        <v>#NUM!</v>
      </c>
      <c r="W340" s="157" t="e">
        <f>IF(INDEX('Logical Group Generator'!W:W,MATCH(U340,'Logical Group Generator'!B:B,0))="REGISTER","REGISTER","BIT")</f>
        <v>#NUM!</v>
      </c>
    </row>
    <row r="341" spans="2:23">
      <c r="B341" s="157" t="str">
        <f>IF(ISERROR(T342),"",CONCATENATE(IF(W342="BIT",$M$2,$M$1),U342,$M$3,BIN2HEX(IF(W342="BIT",INDEX('Logical Group Generator'!H:H,'Script Generator'!T342),INDEX('Logical Group Generator'!L:L,'Script Generator'!T342)),2),IF(ISERROR(T343),$M$5,$M$4)))</f>
        <v/>
      </c>
      <c r="D341" s="215"/>
      <c r="R341" s="215" t="str">
        <f>IF('Logical Group Generator'!W341="FALSE","",IF('Logical Group Generator'!B341="OTP_RSVD_38_03","",'Logical Group Generator'!B341))</f>
        <v/>
      </c>
      <c r="T341" s="157" t="e">
        <f>MATCH(U341,'Logical Group Generator'!B:B,0)</f>
        <v>#NUM!</v>
      </c>
      <c r="U341" s="157" t="e">
        <f t="array" ref="U341">IF(ROWS($3:341)&lt;=COUNTA($R$3:$R$902),INDEX($R$3:$R$902,SMALL(IF($R$3:$R$902&lt;&gt;"",ROW($R$3:$R$902)-MIN(ROW($R$3:$R$902))+1),ROWS($3:341))),"")</f>
        <v>#NUM!</v>
      </c>
      <c r="W341" s="157" t="e">
        <f>IF(INDEX('Logical Group Generator'!W:W,MATCH(U341,'Logical Group Generator'!B:B,0))="REGISTER","REGISTER","BIT")</f>
        <v>#NUM!</v>
      </c>
    </row>
    <row r="342" spans="2:23">
      <c r="B342" s="157" t="str">
        <f>IF(ISERROR(T343),"",CONCATENATE(IF(W343="BIT",$M$2,$M$1),U343,$M$3,BIN2HEX(IF(W343="BIT",INDEX('Logical Group Generator'!H:H,'Script Generator'!T343),INDEX('Logical Group Generator'!L:L,'Script Generator'!T343)),2),IF(ISERROR(T344),$M$5,$M$4)))</f>
        <v/>
      </c>
      <c r="D342" s="215"/>
      <c r="R342" s="215" t="str">
        <f>IF('Logical Group Generator'!W342="FALSE","",IF('Logical Group Generator'!B342="OTP_RSVD_38_03","",'Logical Group Generator'!B342))</f>
        <v/>
      </c>
      <c r="T342" s="157" t="e">
        <f>MATCH(U342,'Logical Group Generator'!B:B,0)</f>
        <v>#NUM!</v>
      </c>
      <c r="U342" s="157" t="e">
        <f t="array" ref="U342">IF(ROWS($3:342)&lt;=COUNTA($R$3:$R$902),INDEX($R$3:$R$902,SMALL(IF($R$3:$R$902&lt;&gt;"",ROW($R$3:$R$902)-MIN(ROW($R$3:$R$902))+1),ROWS($3:342))),"")</f>
        <v>#NUM!</v>
      </c>
      <c r="W342" s="157" t="e">
        <f>IF(INDEX('Logical Group Generator'!W:W,MATCH(U342,'Logical Group Generator'!B:B,0))="REGISTER","REGISTER","BIT")</f>
        <v>#NUM!</v>
      </c>
    </row>
    <row r="343" spans="2:23">
      <c r="B343" s="157" t="str">
        <f>IF(ISERROR(T344),"",CONCATENATE(IF(W344="BIT",$M$2,$M$1),U344,$M$3,BIN2HEX(IF(W344="BIT",INDEX('Logical Group Generator'!H:H,'Script Generator'!T344),INDEX('Logical Group Generator'!L:L,'Script Generator'!T344)),2),IF(ISERROR(T345),$M$5,$M$4)))</f>
        <v/>
      </c>
      <c r="D343" s="215"/>
      <c r="R343" s="215" t="str">
        <f>IF('Logical Group Generator'!W343="FALSE","",IF('Logical Group Generator'!B343="OTP_RSVD_38_03","",'Logical Group Generator'!B343))</f>
        <v>BUCK3_CTRL_EN3</v>
      </c>
      <c r="T343" s="157" t="e">
        <f>MATCH(U343,'Logical Group Generator'!B:B,0)</f>
        <v>#NUM!</v>
      </c>
      <c r="U343" s="157" t="e">
        <f t="array" ref="U343">IF(ROWS($3:343)&lt;=COUNTA($R$3:$R$902),INDEX($R$3:$R$902,SMALL(IF($R$3:$R$902&lt;&gt;"",ROW($R$3:$R$902)-MIN(ROW($R$3:$R$902))+1),ROWS($3:343))),"")</f>
        <v>#NUM!</v>
      </c>
      <c r="W343" s="157" t="e">
        <f>IF(INDEX('Logical Group Generator'!W:W,MATCH(U343,'Logical Group Generator'!B:B,0))="REGISTER","REGISTER","BIT")</f>
        <v>#NUM!</v>
      </c>
    </row>
    <row r="344" spans="2:23">
      <c r="B344" s="157" t="str">
        <f>IF(ISERROR(T345),"",CONCATENATE(IF(W345="BIT",$M$2,$M$1),U345,$M$3,BIN2HEX(IF(W345="BIT",INDEX('Logical Group Generator'!H:H,'Script Generator'!T345),INDEX('Logical Group Generator'!L:L,'Script Generator'!T345)),2),IF(ISERROR(T346),$M$5,$M$4)))</f>
        <v/>
      </c>
      <c r="D344" s="215"/>
      <c r="R344" s="215" t="str">
        <f>IF('Logical Group Generator'!W344="FALSE","",IF('Logical Group Generator'!B344="OTP_RSVD_38_03","",'Logical Group Generator'!B344))</f>
        <v/>
      </c>
      <c r="T344" s="157" t="e">
        <f>MATCH(U344,'Logical Group Generator'!B:B,0)</f>
        <v>#NUM!</v>
      </c>
      <c r="U344" s="157" t="e">
        <f t="array" ref="U344">IF(ROWS($3:344)&lt;=COUNTA($R$3:$R$902),INDEX($R$3:$R$902,SMALL(IF($R$3:$R$902&lt;&gt;"",ROW($R$3:$R$902)-MIN(ROW($R$3:$R$902))+1),ROWS($3:344))),"")</f>
        <v>#NUM!</v>
      </c>
      <c r="W344" s="157" t="e">
        <f>IF(INDEX('Logical Group Generator'!W:W,MATCH(U344,'Logical Group Generator'!B:B,0))="REGISTER","REGISTER","BIT")</f>
        <v>#NUM!</v>
      </c>
    </row>
    <row r="345" spans="2:23">
      <c r="B345" s="157" t="str">
        <f>IF(ISERROR(T346),"",CONCATENATE(IF(W346="BIT",$M$2,$M$1),U346,$M$3,BIN2HEX(IF(W346="BIT",INDEX('Logical Group Generator'!H:H,'Script Generator'!T346),INDEX('Logical Group Generator'!L:L,'Script Generator'!T346)),2),IF(ISERROR(T347),$M$5,$M$4)))</f>
        <v/>
      </c>
      <c r="D345" s="215"/>
      <c r="R345" s="215" t="str">
        <f>IF('Logical Group Generator'!W345="FALSE","",IF('Logical Group Generator'!B345="OTP_RSVD_38_03","",'Logical Group Generator'!B345))</f>
        <v/>
      </c>
      <c r="T345" s="157" t="e">
        <f>MATCH(U345,'Logical Group Generator'!B:B,0)</f>
        <v>#NUM!</v>
      </c>
      <c r="U345" s="157" t="e">
        <f t="array" ref="U345">IF(ROWS($3:345)&lt;=COUNTA($R$3:$R$902),INDEX($R$3:$R$902,SMALL(IF($R$3:$R$902&lt;&gt;"",ROW($R$3:$R$902)-MIN(ROW($R$3:$R$902))+1),ROWS($3:345))),"")</f>
        <v>#NUM!</v>
      </c>
      <c r="W345" s="157" t="e">
        <f>IF(INDEX('Logical Group Generator'!W:W,MATCH(U345,'Logical Group Generator'!B:B,0))="REGISTER","REGISTER","BIT")</f>
        <v>#NUM!</v>
      </c>
    </row>
    <row r="346" spans="2:23">
      <c r="B346" s="157" t="str">
        <f>IF(ISERROR(T347),"",CONCATENATE(IF(W347="BIT",$M$2,$M$1),U347,$M$3,BIN2HEX(IF(W347="BIT",INDEX('Logical Group Generator'!H:H,'Script Generator'!T347),INDEX('Logical Group Generator'!L:L,'Script Generator'!T347)),2),IF(ISERROR(T348),$M$5,$M$4)))</f>
        <v/>
      </c>
      <c r="D346" s="215"/>
      <c r="R346" s="215" t="str">
        <f>IF('Logical Group Generator'!W346="FALSE","",IF('Logical Group Generator'!B346="OTP_RSVD_38_03","",'Logical Group Generator'!B346))</f>
        <v/>
      </c>
      <c r="T346" s="157" t="e">
        <f>MATCH(U346,'Logical Group Generator'!B:B,0)</f>
        <v>#NUM!</v>
      </c>
      <c r="U346" s="157" t="e">
        <f t="array" ref="U346">IF(ROWS($3:346)&lt;=COUNTA($R$3:$R$902),INDEX($R$3:$R$902,SMALL(IF($R$3:$R$902&lt;&gt;"",ROW($R$3:$R$902)-MIN(ROW($R$3:$R$902))+1),ROWS($3:346))),"")</f>
        <v>#NUM!</v>
      </c>
      <c r="W346" s="157" t="e">
        <f>IF(INDEX('Logical Group Generator'!W:W,MATCH(U346,'Logical Group Generator'!B:B,0))="REGISTER","REGISTER","BIT")</f>
        <v>#NUM!</v>
      </c>
    </row>
    <row r="347" spans="2:23">
      <c r="B347" s="157" t="str">
        <f>IF(ISERROR(T348),"",CONCATENATE(IF(W348="BIT",$M$2,$M$1),U348,$M$3,BIN2HEX(IF(W348="BIT",INDEX('Logical Group Generator'!H:H,'Script Generator'!T348),INDEX('Logical Group Generator'!L:L,'Script Generator'!T348)),2),IF(ISERROR(T349),$M$5,$M$4)))</f>
        <v/>
      </c>
      <c r="D347" s="215"/>
      <c r="R347" s="215" t="str">
        <f>IF('Logical Group Generator'!W347="FALSE","",IF('Logical Group Generator'!B347="OTP_RSVD_38_03","",'Logical Group Generator'!B347))</f>
        <v>BUCK4_CTRL_EN1</v>
      </c>
      <c r="T347" s="157" t="e">
        <f>MATCH(U347,'Logical Group Generator'!B:B,0)</f>
        <v>#NUM!</v>
      </c>
      <c r="U347" s="157" t="e">
        <f t="array" ref="U347">IF(ROWS($3:347)&lt;=COUNTA($R$3:$R$902),INDEX($R$3:$R$902,SMALL(IF($R$3:$R$902&lt;&gt;"",ROW($R$3:$R$902)-MIN(ROW($R$3:$R$902))+1),ROWS($3:347))),"")</f>
        <v>#NUM!</v>
      </c>
      <c r="W347" s="157" t="e">
        <f>IF(INDEX('Logical Group Generator'!W:W,MATCH(U347,'Logical Group Generator'!B:B,0))="REGISTER","REGISTER","BIT")</f>
        <v>#NUM!</v>
      </c>
    </row>
    <row r="348" spans="2:23">
      <c r="B348" s="157" t="str">
        <f>IF(ISERROR(T349),"",CONCATENATE(IF(W349="BIT",$M$2,$M$1),U349,$M$3,BIN2HEX(IF(W349="BIT",INDEX('Logical Group Generator'!H:H,'Script Generator'!T349),INDEX('Logical Group Generator'!L:L,'Script Generator'!T349)),2),IF(ISERROR(T350),$M$5,$M$4)))</f>
        <v/>
      </c>
      <c r="D348" s="215"/>
      <c r="R348" s="215" t="str">
        <f>IF('Logical Group Generator'!W348="FALSE","",IF('Logical Group Generator'!B348="OTP_RSVD_38_03","",'Logical Group Generator'!B348))</f>
        <v/>
      </c>
      <c r="T348" s="157" t="e">
        <f>MATCH(U348,'Logical Group Generator'!B:B,0)</f>
        <v>#NUM!</v>
      </c>
      <c r="U348" s="157" t="e">
        <f t="array" ref="U348">IF(ROWS($3:348)&lt;=COUNTA($R$3:$R$902),INDEX($R$3:$R$902,SMALL(IF($R$3:$R$902&lt;&gt;"",ROW($R$3:$R$902)-MIN(ROW($R$3:$R$902))+1),ROWS($3:348))),"")</f>
        <v>#NUM!</v>
      </c>
      <c r="W348" s="157" t="e">
        <f>IF(INDEX('Logical Group Generator'!W:W,MATCH(U348,'Logical Group Generator'!B:B,0))="REGISTER","REGISTER","BIT")</f>
        <v>#NUM!</v>
      </c>
    </row>
    <row r="349" spans="2:23">
      <c r="B349" s="157" t="str">
        <f>IF(ISERROR(T350),"",CONCATENATE(IF(W350="BIT",$M$2,$M$1),U350,$M$3,BIN2HEX(IF(W350="BIT",INDEX('Logical Group Generator'!H:H,'Script Generator'!T350),INDEX('Logical Group Generator'!L:L,'Script Generator'!T350)),2),IF(ISERROR(T351),$M$5,$M$4)))</f>
        <v/>
      </c>
      <c r="D349" s="215"/>
      <c r="R349" s="215" t="str">
        <f>IF('Logical Group Generator'!W349="FALSE","",IF('Logical Group Generator'!B349="OTP_RSVD_38_03","",'Logical Group Generator'!B349))</f>
        <v/>
      </c>
      <c r="T349" s="157" t="e">
        <f>MATCH(U349,'Logical Group Generator'!B:B,0)</f>
        <v>#NUM!</v>
      </c>
      <c r="U349" s="157" t="e">
        <f t="array" ref="U349">IF(ROWS($3:349)&lt;=COUNTA($R$3:$R$902),INDEX($R$3:$R$902,SMALL(IF($R$3:$R$902&lt;&gt;"",ROW($R$3:$R$902)-MIN(ROW($R$3:$R$902))+1),ROWS($3:349))),"")</f>
        <v>#NUM!</v>
      </c>
      <c r="W349" s="157" t="e">
        <f>IF(INDEX('Logical Group Generator'!W:W,MATCH(U349,'Logical Group Generator'!B:B,0))="REGISTER","REGISTER","BIT")</f>
        <v>#NUM!</v>
      </c>
    </row>
    <row r="350" spans="2:23">
      <c r="B350" s="157" t="str">
        <f>IF(ISERROR(T351),"",CONCATENATE(IF(W351="BIT",$M$2,$M$1),U351,$M$3,BIN2HEX(IF(W351="BIT",INDEX('Logical Group Generator'!H:H,'Script Generator'!T351),INDEX('Logical Group Generator'!L:L,'Script Generator'!T351)),2),IF(ISERROR(T352),$M$5,$M$4)))</f>
        <v/>
      </c>
      <c r="D350" s="215"/>
      <c r="R350" s="215" t="str">
        <f>IF('Logical Group Generator'!W350="FALSE","",IF('Logical Group Generator'!B350="OTP_RSVD_38_03","",'Logical Group Generator'!B350))</f>
        <v/>
      </c>
      <c r="T350" s="157" t="e">
        <f>MATCH(U350,'Logical Group Generator'!B:B,0)</f>
        <v>#NUM!</v>
      </c>
      <c r="U350" s="157" t="e">
        <f t="array" ref="U350">IF(ROWS($3:350)&lt;=COUNTA($R$3:$R$902),INDEX($R$3:$R$902,SMALL(IF($R$3:$R$902&lt;&gt;"",ROW($R$3:$R$902)-MIN(ROW($R$3:$R$902))+1),ROWS($3:350))),"")</f>
        <v>#NUM!</v>
      </c>
      <c r="W350" s="157" t="e">
        <f>IF(INDEX('Logical Group Generator'!W:W,MATCH(U350,'Logical Group Generator'!B:B,0))="REGISTER","REGISTER","BIT")</f>
        <v>#NUM!</v>
      </c>
    </row>
    <row r="351" spans="2:23">
      <c r="B351" s="157" t="str">
        <f>IF(ISERROR(T352),"",CONCATENATE(IF(W352="BIT",$M$2,$M$1),U352,$M$3,BIN2HEX(IF(W352="BIT",INDEX('Logical Group Generator'!H:H,'Script Generator'!T352),INDEX('Logical Group Generator'!L:L,'Script Generator'!T352)),2),IF(ISERROR(T353),$M$5,$M$4)))</f>
        <v/>
      </c>
      <c r="D351" s="215"/>
      <c r="R351" s="215" t="str">
        <f>IF('Logical Group Generator'!W351="FALSE","",IF('Logical Group Generator'!B351="OTP_RSVD_38_03","",'Logical Group Generator'!B351))</f>
        <v/>
      </c>
      <c r="T351" s="157" t="e">
        <f>MATCH(U351,'Logical Group Generator'!B:B,0)</f>
        <v>#NUM!</v>
      </c>
      <c r="U351" s="157" t="e">
        <f t="array" ref="U351">IF(ROWS($3:351)&lt;=COUNTA($R$3:$R$902),INDEX($R$3:$R$902,SMALL(IF($R$3:$R$902&lt;&gt;"",ROW($R$3:$R$902)-MIN(ROW($R$3:$R$902))+1),ROWS($3:351))),"")</f>
        <v>#NUM!</v>
      </c>
      <c r="W351" s="157" t="e">
        <f>IF(INDEX('Logical Group Generator'!W:W,MATCH(U351,'Logical Group Generator'!B:B,0))="REGISTER","REGISTER","BIT")</f>
        <v>#NUM!</v>
      </c>
    </row>
    <row r="352" spans="2:23">
      <c r="B352" s="157" t="str">
        <f>IF(ISERROR(T353),"",CONCATENATE(IF(W353="BIT",$M$2,$M$1),U353,$M$3,BIN2HEX(IF(W353="BIT",INDEX('Logical Group Generator'!H:H,'Script Generator'!T353),INDEX('Logical Group Generator'!L:L,'Script Generator'!T353)),2),IF(ISERROR(T354),$M$5,$M$4)))</f>
        <v/>
      </c>
      <c r="D352" s="215"/>
      <c r="R352" s="215" t="str">
        <f>IF('Logical Group Generator'!W352="FALSE","",IF('Logical Group Generator'!B352="OTP_RSVD_38_03","",'Logical Group Generator'!B352))</f>
        <v/>
      </c>
      <c r="T352" s="157" t="e">
        <f>MATCH(U352,'Logical Group Generator'!B:B,0)</f>
        <v>#NUM!</v>
      </c>
      <c r="U352" s="157" t="e">
        <f t="array" ref="U352">IF(ROWS($3:352)&lt;=COUNTA($R$3:$R$902),INDEX($R$3:$R$902,SMALL(IF($R$3:$R$902&lt;&gt;"",ROW($R$3:$R$902)-MIN(ROW($R$3:$R$902))+1),ROWS($3:352))),"")</f>
        <v>#NUM!</v>
      </c>
      <c r="W352" s="157" t="e">
        <f>IF(INDEX('Logical Group Generator'!W:W,MATCH(U352,'Logical Group Generator'!B:B,0))="REGISTER","REGISTER","BIT")</f>
        <v>#NUM!</v>
      </c>
    </row>
    <row r="353" spans="2:23">
      <c r="B353" s="157" t="str">
        <f>IF(ISERROR(T354),"",CONCATENATE(IF(W354="BIT",$M$2,$M$1),U354,$M$3,BIN2HEX(IF(W354="BIT",INDEX('Logical Group Generator'!H:H,'Script Generator'!T354),INDEX('Logical Group Generator'!L:L,'Script Generator'!T354)),2),IF(ISERROR(T355),$M$5,$M$4)))</f>
        <v/>
      </c>
      <c r="D353" s="215"/>
      <c r="R353" s="215" t="str">
        <f>IF('Logical Group Generator'!W353="FALSE","",IF('Logical Group Generator'!B353="OTP_RSVD_38_03","",'Logical Group Generator'!B353))</f>
        <v/>
      </c>
      <c r="T353" s="157" t="e">
        <f>MATCH(U353,'Logical Group Generator'!B:B,0)</f>
        <v>#NUM!</v>
      </c>
      <c r="U353" s="157" t="e">
        <f t="array" ref="U353">IF(ROWS($3:353)&lt;=COUNTA($R$3:$R$902),INDEX($R$3:$R$902,SMALL(IF($R$3:$R$902&lt;&gt;"",ROW($R$3:$R$902)-MIN(ROW($R$3:$R$902))+1),ROWS($3:353))),"")</f>
        <v>#NUM!</v>
      </c>
      <c r="W353" s="157" t="e">
        <f>IF(INDEX('Logical Group Generator'!W:W,MATCH(U353,'Logical Group Generator'!B:B,0))="REGISTER","REGISTER","BIT")</f>
        <v>#NUM!</v>
      </c>
    </row>
    <row r="354" spans="2:23">
      <c r="B354" s="157" t="str">
        <f>IF(ISERROR(T355),"",CONCATENATE(IF(W355="BIT",$M$2,$M$1),U355,$M$3,BIN2HEX(IF(W355="BIT",INDEX('Logical Group Generator'!H:H,'Script Generator'!T355),INDEX('Logical Group Generator'!L:L,'Script Generator'!T355)),2),IF(ISERROR(T356),$M$5,$M$4)))</f>
        <v/>
      </c>
      <c r="D354" s="215"/>
      <c r="R354" s="215" t="str">
        <f>IF('Logical Group Generator'!W354="FALSE","",IF('Logical Group Generator'!B354="OTP_RSVD_38_03","",'Logical Group Generator'!B354))</f>
        <v/>
      </c>
      <c r="T354" s="157" t="e">
        <f>MATCH(U354,'Logical Group Generator'!B:B,0)</f>
        <v>#NUM!</v>
      </c>
      <c r="U354" s="157" t="e">
        <f t="array" ref="U354">IF(ROWS($3:354)&lt;=COUNTA($R$3:$R$902),INDEX($R$3:$R$902,SMALL(IF($R$3:$R$902&lt;&gt;"",ROW($R$3:$R$902)-MIN(ROW($R$3:$R$902))+1),ROWS($3:354))),"")</f>
        <v>#NUM!</v>
      </c>
      <c r="W354" s="157" t="e">
        <f>IF(INDEX('Logical Group Generator'!W:W,MATCH(U354,'Logical Group Generator'!B:B,0))="REGISTER","REGISTER","BIT")</f>
        <v>#NUM!</v>
      </c>
    </row>
    <row r="355" spans="2:23">
      <c r="B355" s="157" t="str">
        <f>IF(ISERROR(T356),"",CONCATENATE(IF(W356="BIT",$M$2,$M$1),U356,$M$3,BIN2HEX(IF(W356="BIT",INDEX('Logical Group Generator'!H:H,'Script Generator'!T356),INDEX('Logical Group Generator'!L:L,'Script Generator'!T356)),2),IF(ISERROR(T357),$M$5,$M$4)))</f>
        <v/>
      </c>
      <c r="D355" s="215"/>
      <c r="R355" s="215" t="str">
        <f>IF('Logical Group Generator'!W355="FALSE","",IF('Logical Group Generator'!B355="OTP_RSVD_38_03","",'Logical Group Generator'!B355))</f>
        <v/>
      </c>
      <c r="T355" s="157" t="e">
        <f>MATCH(U355,'Logical Group Generator'!B:B,0)</f>
        <v>#NUM!</v>
      </c>
      <c r="U355" s="157" t="e">
        <f t="array" ref="U355">IF(ROWS($3:355)&lt;=COUNTA($R$3:$R$902),INDEX($R$3:$R$902,SMALL(IF($R$3:$R$902&lt;&gt;"",ROW($R$3:$R$902)-MIN(ROW($R$3:$R$902))+1),ROWS($3:355))),"")</f>
        <v>#NUM!</v>
      </c>
      <c r="W355" s="157" t="e">
        <f>IF(INDEX('Logical Group Generator'!W:W,MATCH(U355,'Logical Group Generator'!B:B,0))="REGISTER","REGISTER","BIT")</f>
        <v>#NUM!</v>
      </c>
    </row>
    <row r="356" spans="2:23">
      <c r="B356" s="157" t="str">
        <f>IF(ISERROR(T357),"",CONCATENATE(IF(W357="BIT",$M$2,$M$1),U357,$M$3,BIN2HEX(IF(W357="BIT",INDEX('Logical Group Generator'!H:H,'Script Generator'!T357),INDEX('Logical Group Generator'!L:L,'Script Generator'!T357)),2),IF(ISERROR(T358),$M$5,$M$4)))</f>
        <v/>
      </c>
      <c r="D356" s="215"/>
      <c r="R356" s="215" t="str">
        <f>IF('Logical Group Generator'!W356="FALSE","",IF('Logical Group Generator'!B356="OTP_RSVD_38_03","",'Logical Group Generator'!B356))</f>
        <v>BUCK4_CTRL_EN2</v>
      </c>
      <c r="T356" s="157" t="e">
        <f>MATCH(U356,'Logical Group Generator'!B:B,0)</f>
        <v>#NUM!</v>
      </c>
      <c r="U356" s="157" t="e">
        <f t="array" ref="U356">IF(ROWS($3:356)&lt;=COUNTA($R$3:$R$902),INDEX($R$3:$R$902,SMALL(IF($R$3:$R$902&lt;&gt;"",ROW($R$3:$R$902)-MIN(ROW($R$3:$R$902))+1),ROWS($3:356))),"")</f>
        <v>#NUM!</v>
      </c>
      <c r="W356" s="157" t="e">
        <f>IF(INDEX('Logical Group Generator'!W:W,MATCH(U356,'Logical Group Generator'!B:B,0))="REGISTER","REGISTER","BIT")</f>
        <v>#NUM!</v>
      </c>
    </row>
    <row r="357" spans="2:23">
      <c r="B357" s="157" t="str">
        <f>IF(ISERROR(T358),"",CONCATENATE(IF(W358="BIT",$M$2,$M$1),U358,$M$3,BIN2HEX(IF(W358="BIT",INDEX('Logical Group Generator'!H:H,'Script Generator'!T358),INDEX('Logical Group Generator'!L:L,'Script Generator'!T358)),2),IF(ISERROR(T359),$M$5,$M$4)))</f>
        <v/>
      </c>
      <c r="D357" s="215"/>
      <c r="R357" s="215" t="str">
        <f>IF('Logical Group Generator'!W357="FALSE","",IF('Logical Group Generator'!B357="OTP_RSVD_38_03","",'Logical Group Generator'!B357))</f>
        <v/>
      </c>
      <c r="T357" s="157" t="e">
        <f>MATCH(U357,'Logical Group Generator'!B:B,0)</f>
        <v>#NUM!</v>
      </c>
      <c r="U357" s="157" t="e">
        <f t="array" ref="U357">IF(ROWS($3:357)&lt;=COUNTA($R$3:$R$902),INDEX($R$3:$R$902,SMALL(IF($R$3:$R$902&lt;&gt;"",ROW($R$3:$R$902)-MIN(ROW($R$3:$R$902))+1),ROWS($3:357))),"")</f>
        <v>#NUM!</v>
      </c>
      <c r="W357" s="157" t="e">
        <f>IF(INDEX('Logical Group Generator'!W:W,MATCH(U357,'Logical Group Generator'!B:B,0))="REGISTER","REGISTER","BIT")</f>
        <v>#NUM!</v>
      </c>
    </row>
    <row r="358" spans="2:23">
      <c r="B358" s="157" t="str">
        <f>IF(ISERROR(T359),"",CONCATENATE(IF(W359="BIT",$M$2,$M$1),U359,$M$3,BIN2HEX(IF(W359="BIT",INDEX('Logical Group Generator'!H:H,'Script Generator'!T359),INDEX('Logical Group Generator'!L:L,'Script Generator'!T359)),2),IF(ISERROR(T360),$M$5,$M$4)))</f>
        <v/>
      </c>
      <c r="D358" s="215"/>
      <c r="R358" s="215" t="str">
        <f>IF('Logical Group Generator'!W358="FALSE","",IF('Logical Group Generator'!B358="OTP_RSVD_38_03","",'Logical Group Generator'!B358))</f>
        <v/>
      </c>
      <c r="T358" s="157" t="e">
        <f>MATCH(U358,'Logical Group Generator'!B:B,0)</f>
        <v>#NUM!</v>
      </c>
      <c r="U358" s="157" t="e">
        <f t="array" ref="U358">IF(ROWS($3:358)&lt;=COUNTA($R$3:$R$902),INDEX($R$3:$R$902,SMALL(IF($R$3:$R$902&lt;&gt;"",ROW($R$3:$R$902)-MIN(ROW($R$3:$R$902))+1),ROWS($3:358))),"")</f>
        <v>#NUM!</v>
      </c>
      <c r="W358" s="157" t="e">
        <f>IF(INDEX('Logical Group Generator'!W:W,MATCH(U358,'Logical Group Generator'!B:B,0))="REGISTER","REGISTER","BIT")</f>
        <v>#NUM!</v>
      </c>
    </row>
    <row r="359" spans="2:23">
      <c r="B359" s="157" t="str">
        <f>IF(ISERROR(T360),"",CONCATENATE(IF(W360="BIT",$M$2,$M$1),U360,$M$3,BIN2HEX(IF(W360="BIT",INDEX('Logical Group Generator'!H:H,'Script Generator'!T360),INDEX('Logical Group Generator'!L:L,'Script Generator'!T360)),2),IF(ISERROR(T361),$M$5,$M$4)))</f>
        <v/>
      </c>
      <c r="D359" s="215"/>
      <c r="R359" s="215" t="str">
        <f>IF('Logical Group Generator'!W359="FALSE","",IF('Logical Group Generator'!B359="OTP_RSVD_38_03","",'Logical Group Generator'!B359))</f>
        <v/>
      </c>
      <c r="T359" s="157" t="e">
        <f>MATCH(U359,'Logical Group Generator'!B:B,0)</f>
        <v>#NUM!</v>
      </c>
      <c r="U359" s="157" t="e">
        <f t="array" ref="U359">IF(ROWS($3:359)&lt;=COUNTA($R$3:$R$902),INDEX($R$3:$R$902,SMALL(IF($R$3:$R$902&lt;&gt;"",ROW($R$3:$R$902)-MIN(ROW($R$3:$R$902))+1),ROWS($3:359))),"")</f>
        <v>#NUM!</v>
      </c>
      <c r="W359" s="157" t="e">
        <f>IF(INDEX('Logical Group Generator'!W:W,MATCH(U359,'Logical Group Generator'!B:B,0))="REGISTER","REGISTER","BIT")</f>
        <v>#NUM!</v>
      </c>
    </row>
    <row r="360" spans="2:23">
      <c r="B360" s="157" t="str">
        <f>IF(ISERROR(T361),"",CONCATENATE(IF(W361="BIT",$M$2,$M$1),U361,$M$3,BIN2HEX(IF(W361="BIT",INDEX('Logical Group Generator'!H:H,'Script Generator'!T361),INDEX('Logical Group Generator'!L:L,'Script Generator'!T361)),2),IF(ISERROR(T362),$M$5,$M$4)))</f>
        <v/>
      </c>
      <c r="D360" s="215"/>
      <c r="R360" s="215" t="str">
        <f>IF('Logical Group Generator'!W360="FALSE","",IF('Logical Group Generator'!B360="OTP_RSVD_38_03","",'Logical Group Generator'!B360))</f>
        <v/>
      </c>
      <c r="T360" s="157" t="e">
        <f>MATCH(U360,'Logical Group Generator'!B:B,0)</f>
        <v>#NUM!</v>
      </c>
      <c r="U360" s="157" t="e">
        <f t="array" ref="U360">IF(ROWS($3:360)&lt;=COUNTA($R$3:$R$902),INDEX($R$3:$R$902,SMALL(IF($R$3:$R$902&lt;&gt;"",ROW($R$3:$R$902)-MIN(ROW($R$3:$R$902))+1),ROWS($3:360))),"")</f>
        <v>#NUM!</v>
      </c>
      <c r="W360" s="157" t="e">
        <f>IF(INDEX('Logical Group Generator'!W:W,MATCH(U360,'Logical Group Generator'!B:B,0))="REGISTER","REGISTER","BIT")</f>
        <v>#NUM!</v>
      </c>
    </row>
    <row r="361" spans="2:23">
      <c r="B361" s="157" t="str">
        <f>IF(ISERROR(T362),"",CONCATENATE(IF(W362="BIT",$M$2,$M$1),U362,$M$3,BIN2HEX(IF(W362="BIT",INDEX('Logical Group Generator'!H:H,'Script Generator'!T362),INDEX('Logical Group Generator'!L:L,'Script Generator'!T362)),2),IF(ISERROR(T363),$M$5,$M$4)))</f>
        <v/>
      </c>
      <c r="D361" s="215"/>
      <c r="R361" s="215" t="str">
        <f>IF('Logical Group Generator'!W361="FALSE","",IF('Logical Group Generator'!B361="OTP_RSVD_38_03","",'Logical Group Generator'!B361))</f>
        <v/>
      </c>
      <c r="T361" s="157" t="e">
        <f>MATCH(U361,'Logical Group Generator'!B:B,0)</f>
        <v>#NUM!</v>
      </c>
      <c r="U361" s="157" t="e">
        <f t="array" ref="U361">IF(ROWS($3:361)&lt;=COUNTA($R$3:$R$902),INDEX($R$3:$R$902,SMALL(IF($R$3:$R$902&lt;&gt;"",ROW($R$3:$R$902)-MIN(ROW($R$3:$R$902))+1),ROWS($3:361))),"")</f>
        <v>#NUM!</v>
      </c>
      <c r="W361" s="157" t="e">
        <f>IF(INDEX('Logical Group Generator'!W:W,MATCH(U361,'Logical Group Generator'!B:B,0))="REGISTER","REGISTER","BIT")</f>
        <v>#NUM!</v>
      </c>
    </row>
    <row r="362" spans="2:23">
      <c r="B362" s="157" t="str">
        <f>IF(ISERROR(T363),"",CONCATENATE(IF(W363="BIT",$M$2,$M$1),U363,$M$3,BIN2HEX(IF(W363="BIT",INDEX('Logical Group Generator'!H:H,'Script Generator'!T363),INDEX('Logical Group Generator'!L:L,'Script Generator'!T363)),2),IF(ISERROR(T364),$M$5,$M$4)))</f>
        <v/>
      </c>
      <c r="D362" s="215"/>
      <c r="R362" s="215" t="str">
        <f>IF('Logical Group Generator'!W362="FALSE","",IF('Logical Group Generator'!B362="OTP_RSVD_38_03","",'Logical Group Generator'!B362))</f>
        <v>BUCK4_CTRL_EN3</v>
      </c>
      <c r="T362" s="157" t="e">
        <f>MATCH(U362,'Logical Group Generator'!B:B,0)</f>
        <v>#NUM!</v>
      </c>
      <c r="U362" s="157" t="e">
        <f t="array" ref="U362">IF(ROWS($3:362)&lt;=COUNTA($R$3:$R$902),INDEX($R$3:$R$902,SMALL(IF($R$3:$R$902&lt;&gt;"",ROW($R$3:$R$902)-MIN(ROW($R$3:$R$902))+1),ROWS($3:362))),"")</f>
        <v>#NUM!</v>
      </c>
      <c r="W362" s="157" t="e">
        <f>IF(INDEX('Logical Group Generator'!W:W,MATCH(U362,'Logical Group Generator'!B:B,0))="REGISTER","REGISTER","BIT")</f>
        <v>#NUM!</v>
      </c>
    </row>
    <row r="363" spans="2:23">
      <c r="B363" s="157" t="str">
        <f>IF(ISERROR(T364),"",CONCATENATE(IF(W364="BIT",$M$2,$M$1),U364,$M$3,BIN2HEX(IF(W364="BIT",INDEX('Logical Group Generator'!H:H,'Script Generator'!T364),INDEX('Logical Group Generator'!L:L,'Script Generator'!T364)),2),IF(ISERROR(T365),$M$5,$M$4)))</f>
        <v/>
      </c>
      <c r="D363" s="215"/>
      <c r="R363" s="215" t="str">
        <f>IF('Logical Group Generator'!W363="FALSE","",IF('Logical Group Generator'!B363="OTP_RSVD_38_03","",'Logical Group Generator'!B363))</f>
        <v/>
      </c>
      <c r="T363" s="157" t="e">
        <f>MATCH(U363,'Logical Group Generator'!B:B,0)</f>
        <v>#NUM!</v>
      </c>
      <c r="U363" s="157" t="e">
        <f t="array" ref="U363">IF(ROWS($3:363)&lt;=COUNTA($R$3:$R$902),INDEX($R$3:$R$902,SMALL(IF($R$3:$R$902&lt;&gt;"",ROW($R$3:$R$902)-MIN(ROW($R$3:$R$902))+1),ROWS($3:363))),"")</f>
        <v>#NUM!</v>
      </c>
      <c r="W363" s="157" t="e">
        <f>IF(INDEX('Logical Group Generator'!W:W,MATCH(U363,'Logical Group Generator'!B:B,0))="REGISTER","REGISTER","BIT")</f>
        <v>#NUM!</v>
      </c>
    </row>
    <row r="364" spans="2:23">
      <c r="B364" s="157" t="str">
        <f>IF(ISERROR(T365),"",CONCATENATE(IF(W365="BIT",$M$2,$M$1),U365,$M$3,BIN2HEX(IF(W365="BIT",INDEX('Logical Group Generator'!H:H,'Script Generator'!T365),INDEX('Logical Group Generator'!L:L,'Script Generator'!T365)),2),IF(ISERROR(T366),$M$5,$M$4)))</f>
        <v/>
      </c>
      <c r="D364" s="215"/>
      <c r="R364" s="215" t="str">
        <f>IF('Logical Group Generator'!W364="FALSE","",IF('Logical Group Generator'!B364="OTP_RSVD_38_03","",'Logical Group Generator'!B364))</f>
        <v/>
      </c>
      <c r="T364" s="157" t="e">
        <f>MATCH(U364,'Logical Group Generator'!B:B,0)</f>
        <v>#NUM!</v>
      </c>
      <c r="U364" s="157" t="e">
        <f t="array" ref="U364">IF(ROWS($3:364)&lt;=COUNTA($R$3:$R$902),INDEX($R$3:$R$902,SMALL(IF($R$3:$R$902&lt;&gt;"",ROW($R$3:$R$902)-MIN(ROW($R$3:$R$902))+1),ROWS($3:364))),"")</f>
        <v>#NUM!</v>
      </c>
      <c r="W364" s="157" t="e">
        <f>IF(INDEX('Logical Group Generator'!W:W,MATCH(U364,'Logical Group Generator'!B:B,0))="REGISTER","REGISTER","BIT")</f>
        <v>#NUM!</v>
      </c>
    </row>
    <row r="365" spans="2:23">
      <c r="B365" s="157" t="str">
        <f>IF(ISERROR(T366),"",CONCATENATE(IF(W366="BIT",$M$2,$M$1),U366,$M$3,BIN2HEX(IF(W366="BIT",INDEX('Logical Group Generator'!H:H,'Script Generator'!T366),INDEX('Logical Group Generator'!L:L,'Script Generator'!T366)),2),IF(ISERROR(T367),$M$5,$M$4)))</f>
        <v/>
      </c>
      <c r="D365" s="215"/>
      <c r="R365" s="215" t="str">
        <f>IF('Logical Group Generator'!W365="FALSE","",IF('Logical Group Generator'!B365="OTP_RSVD_38_03","",'Logical Group Generator'!B365))</f>
        <v/>
      </c>
      <c r="T365" s="157" t="e">
        <f>MATCH(U365,'Logical Group Generator'!B:B,0)</f>
        <v>#NUM!</v>
      </c>
      <c r="U365" s="157" t="e">
        <f t="array" ref="U365">IF(ROWS($3:365)&lt;=COUNTA($R$3:$R$902),INDEX($R$3:$R$902,SMALL(IF($R$3:$R$902&lt;&gt;"",ROW($R$3:$R$902)-MIN(ROW($R$3:$R$902))+1),ROWS($3:365))),"")</f>
        <v>#NUM!</v>
      </c>
      <c r="W365" s="157" t="e">
        <f>IF(INDEX('Logical Group Generator'!W:W,MATCH(U365,'Logical Group Generator'!B:B,0))="REGISTER","REGISTER","BIT")</f>
        <v>#NUM!</v>
      </c>
    </row>
    <row r="366" spans="2:23">
      <c r="B366" s="157" t="str">
        <f>IF(ISERROR(T367),"",CONCATENATE(IF(W367="BIT",$M$2,$M$1),U367,$M$3,BIN2HEX(IF(W367="BIT",INDEX('Logical Group Generator'!H:H,'Script Generator'!T367),INDEX('Logical Group Generator'!L:L,'Script Generator'!T367)),2),IF(ISERROR(T368),$M$5,$M$4)))</f>
        <v/>
      </c>
      <c r="D366" s="215"/>
      <c r="R366" s="215" t="str">
        <f>IF('Logical Group Generator'!W366="FALSE","",IF('Logical Group Generator'!B366="OTP_RSVD_38_03","",'Logical Group Generator'!B366))</f>
        <v>BUCK5_CTRL_EN1</v>
      </c>
      <c r="T366" s="157" t="e">
        <f>MATCH(U366,'Logical Group Generator'!B:B,0)</f>
        <v>#NUM!</v>
      </c>
      <c r="U366" s="157" t="e">
        <f t="array" ref="U366">IF(ROWS($3:366)&lt;=COUNTA($R$3:$R$902),INDEX($R$3:$R$902,SMALL(IF($R$3:$R$902&lt;&gt;"",ROW($R$3:$R$902)-MIN(ROW($R$3:$R$902))+1),ROWS($3:366))),"")</f>
        <v>#NUM!</v>
      </c>
      <c r="W366" s="157" t="e">
        <f>IF(INDEX('Logical Group Generator'!W:W,MATCH(U366,'Logical Group Generator'!B:B,0))="REGISTER","REGISTER","BIT")</f>
        <v>#NUM!</v>
      </c>
    </row>
    <row r="367" spans="2:23">
      <c r="B367" s="157" t="str">
        <f>IF(ISERROR(T368),"",CONCATENATE(IF(W368="BIT",$M$2,$M$1),U368,$M$3,BIN2HEX(IF(W368="BIT",INDEX('Logical Group Generator'!H:H,'Script Generator'!T368),INDEX('Logical Group Generator'!L:L,'Script Generator'!T368)),2),IF(ISERROR(T369),$M$5,$M$4)))</f>
        <v/>
      </c>
      <c r="D367" s="215"/>
      <c r="R367" s="215" t="str">
        <f>IF('Logical Group Generator'!W367="FALSE","",IF('Logical Group Generator'!B367="OTP_RSVD_38_03","",'Logical Group Generator'!B367))</f>
        <v/>
      </c>
      <c r="T367" s="157" t="e">
        <f>MATCH(U367,'Logical Group Generator'!B:B,0)</f>
        <v>#NUM!</v>
      </c>
      <c r="U367" s="157" t="e">
        <f t="array" ref="U367">IF(ROWS($3:367)&lt;=COUNTA($R$3:$R$902),INDEX($R$3:$R$902,SMALL(IF($R$3:$R$902&lt;&gt;"",ROW($R$3:$R$902)-MIN(ROW($R$3:$R$902))+1),ROWS($3:367))),"")</f>
        <v>#NUM!</v>
      </c>
      <c r="W367" s="157" t="e">
        <f>IF(INDEX('Logical Group Generator'!W:W,MATCH(U367,'Logical Group Generator'!B:B,0))="REGISTER","REGISTER","BIT")</f>
        <v>#NUM!</v>
      </c>
    </row>
    <row r="368" spans="2:23">
      <c r="B368" s="157" t="str">
        <f>IF(ISERROR(T369),"",CONCATENATE(IF(W369="BIT",$M$2,$M$1),U369,$M$3,BIN2HEX(IF(W369="BIT",INDEX('Logical Group Generator'!H:H,'Script Generator'!T369),INDEX('Logical Group Generator'!L:L,'Script Generator'!T369)),2),IF(ISERROR(T370),$M$5,$M$4)))</f>
        <v/>
      </c>
      <c r="D368" s="215"/>
      <c r="R368" s="215" t="str">
        <f>IF('Logical Group Generator'!W368="FALSE","",IF('Logical Group Generator'!B368="OTP_RSVD_38_03","",'Logical Group Generator'!B368))</f>
        <v/>
      </c>
      <c r="T368" s="157" t="e">
        <f>MATCH(U368,'Logical Group Generator'!B:B,0)</f>
        <v>#NUM!</v>
      </c>
      <c r="U368" s="157" t="e">
        <f t="array" ref="U368">IF(ROWS($3:368)&lt;=COUNTA($R$3:$R$902),INDEX($R$3:$R$902,SMALL(IF($R$3:$R$902&lt;&gt;"",ROW($R$3:$R$902)-MIN(ROW($R$3:$R$902))+1),ROWS($3:368))),"")</f>
        <v>#NUM!</v>
      </c>
      <c r="W368" s="157" t="e">
        <f>IF(INDEX('Logical Group Generator'!W:W,MATCH(U368,'Logical Group Generator'!B:B,0))="REGISTER","REGISTER","BIT")</f>
        <v>#NUM!</v>
      </c>
    </row>
    <row r="369" spans="2:23">
      <c r="B369" s="157" t="str">
        <f>IF(ISERROR(T370),"",CONCATENATE(IF(W370="BIT",$M$2,$M$1),U370,$M$3,BIN2HEX(IF(W370="BIT",INDEX('Logical Group Generator'!H:H,'Script Generator'!T370),INDEX('Logical Group Generator'!L:L,'Script Generator'!T370)),2),IF(ISERROR(T371),$M$5,$M$4)))</f>
        <v/>
      </c>
      <c r="D369" s="215"/>
      <c r="R369" s="215" t="str">
        <f>IF('Logical Group Generator'!W369="FALSE","",IF('Logical Group Generator'!B369="OTP_RSVD_38_03","",'Logical Group Generator'!B369))</f>
        <v/>
      </c>
      <c r="T369" s="157" t="e">
        <f>MATCH(U369,'Logical Group Generator'!B:B,0)</f>
        <v>#NUM!</v>
      </c>
      <c r="U369" s="157" t="e">
        <f t="array" ref="U369">IF(ROWS($3:369)&lt;=COUNTA($R$3:$R$902),INDEX($R$3:$R$902,SMALL(IF($R$3:$R$902&lt;&gt;"",ROW($R$3:$R$902)-MIN(ROW($R$3:$R$902))+1),ROWS($3:369))),"")</f>
        <v>#NUM!</v>
      </c>
      <c r="W369" s="157" t="e">
        <f>IF(INDEX('Logical Group Generator'!W:W,MATCH(U369,'Logical Group Generator'!B:B,0))="REGISTER","REGISTER","BIT")</f>
        <v>#NUM!</v>
      </c>
    </row>
    <row r="370" spans="2:23">
      <c r="B370" s="157" t="str">
        <f>IF(ISERROR(T371),"",CONCATENATE(IF(W371="BIT",$M$2,$M$1),U371,$M$3,BIN2HEX(IF(W371="BIT",INDEX('Logical Group Generator'!H:H,'Script Generator'!T371),INDEX('Logical Group Generator'!L:L,'Script Generator'!T371)),2),IF(ISERROR(T372),$M$5,$M$4)))</f>
        <v/>
      </c>
      <c r="D370" s="215"/>
      <c r="R370" s="215" t="str">
        <f>IF('Logical Group Generator'!W370="FALSE","",IF('Logical Group Generator'!B370="OTP_RSVD_38_03","",'Logical Group Generator'!B370))</f>
        <v/>
      </c>
      <c r="T370" s="157" t="e">
        <f>MATCH(U370,'Logical Group Generator'!B:B,0)</f>
        <v>#NUM!</v>
      </c>
      <c r="U370" s="157" t="e">
        <f t="array" ref="U370">IF(ROWS($3:370)&lt;=COUNTA($R$3:$R$902),INDEX($R$3:$R$902,SMALL(IF($R$3:$R$902&lt;&gt;"",ROW($R$3:$R$902)-MIN(ROW($R$3:$R$902))+1),ROWS($3:370))),"")</f>
        <v>#NUM!</v>
      </c>
      <c r="W370" s="157" t="e">
        <f>IF(INDEX('Logical Group Generator'!W:W,MATCH(U370,'Logical Group Generator'!B:B,0))="REGISTER","REGISTER","BIT")</f>
        <v>#NUM!</v>
      </c>
    </row>
    <row r="371" spans="2:23">
      <c r="B371" s="157" t="str">
        <f>IF(ISERROR(T372),"",CONCATENATE(IF(W372="BIT",$M$2,$M$1),U372,$M$3,BIN2HEX(IF(W372="BIT",INDEX('Logical Group Generator'!H:H,'Script Generator'!T372),INDEX('Logical Group Generator'!L:L,'Script Generator'!T372)),2),IF(ISERROR(T373),$M$5,$M$4)))</f>
        <v/>
      </c>
      <c r="D371" s="215"/>
      <c r="R371" s="215" t="str">
        <f>IF('Logical Group Generator'!W371="FALSE","",IF('Logical Group Generator'!B371="OTP_RSVD_38_03","",'Logical Group Generator'!B371))</f>
        <v/>
      </c>
      <c r="T371" s="157" t="e">
        <f>MATCH(U371,'Logical Group Generator'!B:B,0)</f>
        <v>#NUM!</v>
      </c>
      <c r="U371" s="157" t="e">
        <f t="array" ref="U371">IF(ROWS($3:371)&lt;=COUNTA($R$3:$R$902),INDEX($R$3:$R$902,SMALL(IF($R$3:$R$902&lt;&gt;"",ROW($R$3:$R$902)-MIN(ROW($R$3:$R$902))+1),ROWS($3:371))),"")</f>
        <v>#NUM!</v>
      </c>
      <c r="W371" s="157" t="e">
        <f>IF(INDEX('Logical Group Generator'!W:W,MATCH(U371,'Logical Group Generator'!B:B,0))="REGISTER","REGISTER","BIT")</f>
        <v>#NUM!</v>
      </c>
    </row>
    <row r="372" spans="2:23">
      <c r="B372" s="157" t="str">
        <f>IF(ISERROR(T373),"",CONCATENATE(IF(W373="BIT",$M$2,$M$1),U373,$M$3,BIN2HEX(IF(W373="BIT",INDEX('Logical Group Generator'!H:H,'Script Generator'!T373),INDEX('Logical Group Generator'!L:L,'Script Generator'!T373)),2),IF(ISERROR(T374),$M$5,$M$4)))</f>
        <v/>
      </c>
      <c r="D372" s="215"/>
      <c r="R372" s="215" t="str">
        <f>IF('Logical Group Generator'!W372="FALSE","",IF('Logical Group Generator'!B372="OTP_RSVD_38_03","",'Logical Group Generator'!B372))</f>
        <v/>
      </c>
      <c r="T372" s="157" t="e">
        <f>MATCH(U372,'Logical Group Generator'!B:B,0)</f>
        <v>#NUM!</v>
      </c>
      <c r="U372" s="157" t="e">
        <f t="array" ref="U372">IF(ROWS($3:372)&lt;=COUNTA($R$3:$R$902),INDEX($R$3:$R$902,SMALL(IF($R$3:$R$902&lt;&gt;"",ROW($R$3:$R$902)-MIN(ROW($R$3:$R$902))+1),ROWS($3:372))),"")</f>
        <v>#NUM!</v>
      </c>
      <c r="W372" s="157" t="e">
        <f>IF(INDEX('Logical Group Generator'!W:W,MATCH(U372,'Logical Group Generator'!B:B,0))="REGISTER","REGISTER","BIT")</f>
        <v>#NUM!</v>
      </c>
    </row>
    <row r="373" spans="2:23">
      <c r="B373" s="157" t="str">
        <f>IF(ISERROR(T374),"",CONCATENATE(IF(W374="BIT",$M$2,$M$1),U374,$M$3,BIN2HEX(IF(W374="BIT",INDEX('Logical Group Generator'!H:H,'Script Generator'!T374),INDEX('Logical Group Generator'!L:L,'Script Generator'!T374)),2),IF(ISERROR(T375),$M$5,$M$4)))</f>
        <v/>
      </c>
      <c r="D373" s="215"/>
      <c r="R373" s="215" t="str">
        <f>IF('Logical Group Generator'!W373="FALSE","",IF('Logical Group Generator'!B373="OTP_RSVD_38_03","",'Logical Group Generator'!B373))</f>
        <v/>
      </c>
      <c r="T373" s="157" t="e">
        <f>MATCH(U373,'Logical Group Generator'!B:B,0)</f>
        <v>#NUM!</v>
      </c>
      <c r="U373" s="157" t="e">
        <f t="array" ref="U373">IF(ROWS($3:373)&lt;=COUNTA($R$3:$R$902),INDEX($R$3:$R$902,SMALL(IF($R$3:$R$902&lt;&gt;"",ROW($R$3:$R$902)-MIN(ROW($R$3:$R$902))+1),ROWS($3:373))),"")</f>
        <v>#NUM!</v>
      </c>
      <c r="W373" s="157" t="e">
        <f>IF(INDEX('Logical Group Generator'!W:W,MATCH(U373,'Logical Group Generator'!B:B,0))="REGISTER","REGISTER","BIT")</f>
        <v>#NUM!</v>
      </c>
    </row>
    <row r="374" spans="2:23">
      <c r="B374" s="157" t="str">
        <f>IF(ISERROR(T375),"",CONCATENATE(IF(W375="BIT",$M$2,$M$1),U375,$M$3,BIN2HEX(IF(W375="BIT",INDEX('Logical Group Generator'!H:H,'Script Generator'!T375),INDEX('Logical Group Generator'!L:L,'Script Generator'!T375)),2),IF(ISERROR(T376),$M$5,$M$4)))</f>
        <v/>
      </c>
      <c r="D374" s="215"/>
      <c r="R374" s="215" t="str">
        <f>IF('Logical Group Generator'!W374="FALSE","",IF('Logical Group Generator'!B374="OTP_RSVD_38_03","",'Logical Group Generator'!B374))</f>
        <v/>
      </c>
      <c r="T374" s="157" t="e">
        <f>MATCH(U374,'Logical Group Generator'!B:B,0)</f>
        <v>#NUM!</v>
      </c>
      <c r="U374" s="157" t="e">
        <f t="array" ref="U374">IF(ROWS($3:374)&lt;=COUNTA($R$3:$R$902),INDEX($R$3:$R$902,SMALL(IF($R$3:$R$902&lt;&gt;"",ROW($R$3:$R$902)-MIN(ROW($R$3:$R$902))+1),ROWS($3:374))),"")</f>
        <v>#NUM!</v>
      </c>
      <c r="W374" s="157" t="e">
        <f>IF(INDEX('Logical Group Generator'!W:W,MATCH(U374,'Logical Group Generator'!B:B,0))="REGISTER","REGISTER","BIT")</f>
        <v>#NUM!</v>
      </c>
    </row>
    <row r="375" spans="2:23">
      <c r="B375" s="157" t="str">
        <f>IF(ISERROR(T376),"",CONCATENATE(IF(W376="BIT",$M$2,$M$1),U376,$M$3,BIN2HEX(IF(W376="BIT",INDEX('Logical Group Generator'!H:H,'Script Generator'!T376),INDEX('Logical Group Generator'!L:L,'Script Generator'!T376)),2),IF(ISERROR(T377),$M$5,$M$4)))</f>
        <v/>
      </c>
      <c r="D375" s="215"/>
      <c r="R375" s="215" t="str">
        <f>IF('Logical Group Generator'!W375="FALSE","",IF('Logical Group Generator'!B375="OTP_RSVD_38_03","",'Logical Group Generator'!B375))</f>
        <v>BUCK5_CTRL_EN2</v>
      </c>
      <c r="T375" s="157" t="e">
        <f>MATCH(U375,'Logical Group Generator'!B:B,0)</f>
        <v>#NUM!</v>
      </c>
      <c r="U375" s="157" t="e">
        <f t="array" ref="U375">IF(ROWS($3:375)&lt;=COUNTA($R$3:$R$902),INDEX($R$3:$R$902,SMALL(IF($R$3:$R$902&lt;&gt;"",ROW($R$3:$R$902)-MIN(ROW($R$3:$R$902))+1),ROWS($3:375))),"")</f>
        <v>#NUM!</v>
      </c>
      <c r="W375" s="157" t="e">
        <f>IF(INDEX('Logical Group Generator'!W:W,MATCH(U375,'Logical Group Generator'!B:B,0))="REGISTER","REGISTER","BIT")</f>
        <v>#NUM!</v>
      </c>
    </row>
    <row r="376" spans="2:23">
      <c r="B376" s="157" t="str">
        <f>IF(ISERROR(T377),"",CONCATENATE(IF(W377="BIT",$M$2,$M$1),U377,$M$3,BIN2HEX(IF(W377="BIT",INDEX('Logical Group Generator'!H:H,'Script Generator'!T377),INDEX('Logical Group Generator'!L:L,'Script Generator'!T377)),2),IF(ISERROR(T378),$M$5,$M$4)))</f>
        <v/>
      </c>
      <c r="D376" s="215"/>
      <c r="R376" s="215" t="str">
        <f>IF('Logical Group Generator'!W376="FALSE","",IF('Logical Group Generator'!B376="OTP_RSVD_38_03","",'Logical Group Generator'!B376))</f>
        <v/>
      </c>
      <c r="T376" s="157" t="e">
        <f>MATCH(U376,'Logical Group Generator'!B:B,0)</f>
        <v>#NUM!</v>
      </c>
      <c r="U376" s="157" t="e">
        <f t="array" ref="U376">IF(ROWS($3:376)&lt;=COUNTA($R$3:$R$902),INDEX($R$3:$R$902,SMALL(IF($R$3:$R$902&lt;&gt;"",ROW($R$3:$R$902)-MIN(ROW($R$3:$R$902))+1),ROWS($3:376))),"")</f>
        <v>#NUM!</v>
      </c>
      <c r="W376" s="157" t="e">
        <f>IF(INDEX('Logical Group Generator'!W:W,MATCH(U376,'Logical Group Generator'!B:B,0))="REGISTER","REGISTER","BIT")</f>
        <v>#NUM!</v>
      </c>
    </row>
    <row r="377" spans="2:23">
      <c r="B377" s="157" t="str">
        <f>IF(ISERROR(T378),"",CONCATENATE(IF(W378="BIT",$M$2,$M$1),U378,$M$3,BIN2HEX(IF(W378="BIT",INDEX('Logical Group Generator'!H:H,'Script Generator'!T378),INDEX('Logical Group Generator'!L:L,'Script Generator'!T378)),2),IF(ISERROR(T379),$M$5,$M$4)))</f>
        <v/>
      </c>
      <c r="D377" s="215"/>
      <c r="R377" s="215" t="str">
        <f>IF('Logical Group Generator'!W377="FALSE","",IF('Logical Group Generator'!B377="OTP_RSVD_38_03","",'Logical Group Generator'!B377))</f>
        <v/>
      </c>
      <c r="T377" s="157" t="e">
        <f>MATCH(U377,'Logical Group Generator'!B:B,0)</f>
        <v>#NUM!</v>
      </c>
      <c r="U377" s="157" t="e">
        <f t="array" ref="U377">IF(ROWS($3:377)&lt;=COUNTA($R$3:$R$902),INDEX($R$3:$R$902,SMALL(IF($R$3:$R$902&lt;&gt;"",ROW($R$3:$R$902)-MIN(ROW($R$3:$R$902))+1),ROWS($3:377))),"")</f>
        <v>#NUM!</v>
      </c>
      <c r="W377" s="157" t="e">
        <f>IF(INDEX('Logical Group Generator'!W:W,MATCH(U377,'Logical Group Generator'!B:B,0))="REGISTER","REGISTER","BIT")</f>
        <v>#NUM!</v>
      </c>
    </row>
    <row r="378" spans="2:23">
      <c r="B378" s="157" t="str">
        <f>IF(ISERROR(T379),"",CONCATENATE(IF(W379="BIT",$M$2,$M$1),U379,$M$3,BIN2HEX(IF(W379="BIT",INDEX('Logical Group Generator'!H:H,'Script Generator'!T379),INDEX('Logical Group Generator'!L:L,'Script Generator'!T379)),2),IF(ISERROR(T380),$M$5,$M$4)))</f>
        <v/>
      </c>
      <c r="D378" s="215"/>
      <c r="R378" s="215" t="str">
        <f>IF('Logical Group Generator'!W378="FALSE","",IF('Logical Group Generator'!B378="OTP_RSVD_38_03","",'Logical Group Generator'!B378))</f>
        <v/>
      </c>
      <c r="T378" s="157" t="e">
        <f>MATCH(U378,'Logical Group Generator'!B:B,0)</f>
        <v>#NUM!</v>
      </c>
      <c r="U378" s="157" t="e">
        <f t="array" ref="U378">IF(ROWS($3:378)&lt;=COUNTA($R$3:$R$902),INDEX($R$3:$R$902,SMALL(IF($R$3:$R$902&lt;&gt;"",ROW($R$3:$R$902)-MIN(ROW($R$3:$R$902))+1),ROWS($3:378))),"")</f>
        <v>#NUM!</v>
      </c>
      <c r="W378" s="157" t="e">
        <f>IF(INDEX('Logical Group Generator'!W:W,MATCH(U378,'Logical Group Generator'!B:B,0))="REGISTER","REGISTER","BIT")</f>
        <v>#NUM!</v>
      </c>
    </row>
    <row r="379" spans="2:23">
      <c r="B379" s="157" t="str">
        <f>IF(ISERROR(T380),"",CONCATENATE(IF(W380="BIT",$M$2,$M$1),U380,$M$3,BIN2HEX(IF(W380="BIT",INDEX('Logical Group Generator'!H:H,'Script Generator'!T380),INDEX('Logical Group Generator'!L:L,'Script Generator'!T380)),2),IF(ISERROR(T381),$M$5,$M$4)))</f>
        <v/>
      </c>
      <c r="D379" s="215"/>
      <c r="R379" s="215" t="str">
        <f>IF('Logical Group Generator'!W379="FALSE","",IF('Logical Group Generator'!B379="OTP_RSVD_38_03","",'Logical Group Generator'!B379))</f>
        <v/>
      </c>
      <c r="T379" s="157" t="e">
        <f>MATCH(U379,'Logical Group Generator'!B:B,0)</f>
        <v>#NUM!</v>
      </c>
      <c r="U379" s="157" t="e">
        <f t="array" ref="U379">IF(ROWS($3:379)&lt;=COUNTA($R$3:$R$902),INDEX($R$3:$R$902,SMALL(IF($R$3:$R$902&lt;&gt;"",ROW($R$3:$R$902)-MIN(ROW($R$3:$R$902))+1),ROWS($3:379))),"")</f>
        <v>#NUM!</v>
      </c>
      <c r="W379" s="157" t="e">
        <f>IF(INDEX('Logical Group Generator'!W:W,MATCH(U379,'Logical Group Generator'!B:B,0))="REGISTER","REGISTER","BIT")</f>
        <v>#NUM!</v>
      </c>
    </row>
    <row r="380" spans="2:23">
      <c r="B380" s="157" t="str">
        <f>IF(ISERROR(T381),"",CONCATENATE(IF(W381="BIT",$M$2,$M$1),U381,$M$3,BIN2HEX(IF(W381="BIT",INDEX('Logical Group Generator'!H:H,'Script Generator'!T381),INDEX('Logical Group Generator'!L:L,'Script Generator'!T381)),2),IF(ISERROR(T382),$M$5,$M$4)))</f>
        <v/>
      </c>
      <c r="D380" s="215"/>
      <c r="R380" s="215" t="str">
        <f>IF('Logical Group Generator'!W380="FALSE","",IF('Logical Group Generator'!B380="OTP_RSVD_38_03","",'Logical Group Generator'!B380))</f>
        <v/>
      </c>
      <c r="T380" s="157" t="e">
        <f>MATCH(U380,'Logical Group Generator'!B:B,0)</f>
        <v>#NUM!</v>
      </c>
      <c r="U380" s="157" t="e">
        <f t="array" ref="U380">IF(ROWS($3:380)&lt;=COUNTA($R$3:$R$902),INDEX($R$3:$R$902,SMALL(IF($R$3:$R$902&lt;&gt;"",ROW($R$3:$R$902)-MIN(ROW($R$3:$R$902))+1),ROWS($3:380))),"")</f>
        <v>#NUM!</v>
      </c>
      <c r="W380" s="157" t="e">
        <f>IF(INDEX('Logical Group Generator'!W:W,MATCH(U380,'Logical Group Generator'!B:B,0))="REGISTER","REGISTER","BIT")</f>
        <v>#NUM!</v>
      </c>
    </row>
    <row r="381" spans="2:23">
      <c r="B381" s="157" t="str">
        <f>IF(ISERROR(T382),"",CONCATENATE(IF(W382="BIT",$M$2,$M$1),U382,$M$3,BIN2HEX(IF(W382="BIT",INDEX('Logical Group Generator'!H:H,'Script Generator'!T382),INDEX('Logical Group Generator'!L:L,'Script Generator'!T382)),2),IF(ISERROR(T383),$M$5,$M$4)))</f>
        <v/>
      </c>
      <c r="D381" s="215"/>
      <c r="R381" s="215" t="str">
        <f>IF('Logical Group Generator'!W381="FALSE","",IF('Logical Group Generator'!B381="OTP_RSVD_38_03","",'Logical Group Generator'!B381))</f>
        <v>BUCK5_CTRL_EN3</v>
      </c>
      <c r="T381" s="157" t="e">
        <f>MATCH(U381,'Logical Group Generator'!B:B,0)</f>
        <v>#NUM!</v>
      </c>
      <c r="U381" s="157" t="e">
        <f t="array" ref="U381">IF(ROWS($3:381)&lt;=COUNTA($R$3:$R$902),INDEX($R$3:$R$902,SMALL(IF($R$3:$R$902&lt;&gt;"",ROW($R$3:$R$902)-MIN(ROW($R$3:$R$902))+1),ROWS($3:381))),"")</f>
        <v>#NUM!</v>
      </c>
      <c r="W381" s="157" t="e">
        <f>IF(INDEX('Logical Group Generator'!W:W,MATCH(U381,'Logical Group Generator'!B:B,0))="REGISTER","REGISTER","BIT")</f>
        <v>#NUM!</v>
      </c>
    </row>
    <row r="382" spans="2:23">
      <c r="B382" s="157" t="str">
        <f>IF(ISERROR(T383),"",CONCATENATE(IF(W383="BIT",$M$2,$M$1),U383,$M$3,BIN2HEX(IF(W383="BIT",INDEX('Logical Group Generator'!H:H,'Script Generator'!T383),INDEX('Logical Group Generator'!L:L,'Script Generator'!T383)),2),IF(ISERROR(T384),$M$5,$M$4)))</f>
        <v/>
      </c>
      <c r="D382" s="215"/>
      <c r="R382" s="215" t="str">
        <f>IF('Logical Group Generator'!W382="FALSE","",IF('Logical Group Generator'!B382="OTP_RSVD_38_03","",'Logical Group Generator'!B382))</f>
        <v/>
      </c>
      <c r="T382" s="157" t="e">
        <f>MATCH(U382,'Logical Group Generator'!B:B,0)</f>
        <v>#NUM!</v>
      </c>
      <c r="U382" s="157" t="e">
        <f t="array" ref="U382">IF(ROWS($3:382)&lt;=COUNTA($R$3:$R$902),INDEX($R$3:$R$902,SMALL(IF($R$3:$R$902&lt;&gt;"",ROW($R$3:$R$902)-MIN(ROW($R$3:$R$902))+1),ROWS($3:382))),"")</f>
        <v>#NUM!</v>
      </c>
      <c r="W382" s="157" t="e">
        <f>IF(INDEX('Logical Group Generator'!W:W,MATCH(U382,'Logical Group Generator'!B:B,0))="REGISTER","REGISTER","BIT")</f>
        <v>#NUM!</v>
      </c>
    </row>
    <row r="383" spans="2:23">
      <c r="B383" s="157" t="str">
        <f>IF(ISERROR(T384),"",CONCATENATE(IF(W384="BIT",$M$2,$M$1),U384,$M$3,BIN2HEX(IF(W384="BIT",INDEX('Logical Group Generator'!H:H,'Script Generator'!T384),INDEX('Logical Group Generator'!L:L,'Script Generator'!T384)),2),IF(ISERROR(T385),$M$5,$M$4)))</f>
        <v/>
      </c>
      <c r="D383" s="215"/>
      <c r="R383" s="215" t="str">
        <f>IF('Logical Group Generator'!W383="FALSE","",IF('Logical Group Generator'!B383="OTP_RSVD_38_03","",'Logical Group Generator'!B383))</f>
        <v/>
      </c>
      <c r="T383" s="157" t="e">
        <f>MATCH(U383,'Logical Group Generator'!B:B,0)</f>
        <v>#NUM!</v>
      </c>
      <c r="U383" s="157" t="e">
        <f t="array" ref="U383">IF(ROWS($3:383)&lt;=COUNTA($R$3:$R$902),INDEX($R$3:$R$902,SMALL(IF($R$3:$R$902&lt;&gt;"",ROW($R$3:$R$902)-MIN(ROW($R$3:$R$902))+1),ROWS($3:383))),"")</f>
        <v>#NUM!</v>
      </c>
      <c r="W383" s="157" t="e">
        <f>IF(INDEX('Logical Group Generator'!W:W,MATCH(U383,'Logical Group Generator'!B:B,0))="REGISTER","REGISTER","BIT")</f>
        <v>#NUM!</v>
      </c>
    </row>
    <row r="384" spans="2:23">
      <c r="B384" s="157" t="str">
        <f>IF(ISERROR(T385),"",CONCATENATE(IF(W385="BIT",$M$2,$M$1),U385,$M$3,BIN2HEX(IF(W385="BIT",INDEX('Logical Group Generator'!H:H,'Script Generator'!T385),INDEX('Logical Group Generator'!L:L,'Script Generator'!T385)),2),IF(ISERROR(T386),$M$5,$M$4)))</f>
        <v/>
      </c>
      <c r="D384" s="215"/>
      <c r="R384" s="215" t="str">
        <f>IF('Logical Group Generator'!W384="FALSE","",IF('Logical Group Generator'!B384="OTP_RSVD_38_03","",'Logical Group Generator'!B384))</f>
        <v/>
      </c>
      <c r="T384" s="157" t="e">
        <f>MATCH(U384,'Logical Group Generator'!B:B,0)</f>
        <v>#NUM!</v>
      </c>
      <c r="U384" s="157" t="e">
        <f t="array" ref="U384">IF(ROWS($3:384)&lt;=COUNTA($R$3:$R$902),INDEX($R$3:$R$902,SMALL(IF($R$3:$R$902&lt;&gt;"",ROW($R$3:$R$902)-MIN(ROW($R$3:$R$902))+1),ROWS($3:384))),"")</f>
        <v>#NUM!</v>
      </c>
      <c r="W384" s="157" t="e">
        <f>IF(INDEX('Logical Group Generator'!W:W,MATCH(U384,'Logical Group Generator'!B:B,0))="REGISTER","REGISTER","BIT")</f>
        <v>#NUM!</v>
      </c>
    </row>
    <row r="385" spans="2:23">
      <c r="B385" s="157" t="str">
        <f>IF(ISERROR(T386),"",CONCATENATE(IF(W386="BIT",$M$2,$M$1),U386,$M$3,BIN2HEX(IF(W386="BIT",INDEX('Logical Group Generator'!H:H,'Script Generator'!T386),INDEX('Logical Group Generator'!L:L,'Script Generator'!T386)),2),IF(ISERROR(T387),$M$5,$M$4)))</f>
        <v/>
      </c>
      <c r="D385" s="215"/>
      <c r="R385" s="215" t="str">
        <f>IF('Logical Group Generator'!W385="FALSE","",IF('Logical Group Generator'!B385="OTP_RSVD_38_03","",'Logical Group Generator'!B385))</f>
        <v>BUCK6_CTRL_EN1</v>
      </c>
      <c r="T385" s="157" t="e">
        <f>MATCH(U385,'Logical Group Generator'!B:B,0)</f>
        <v>#NUM!</v>
      </c>
      <c r="U385" s="157" t="e">
        <f t="array" ref="U385">IF(ROWS($3:385)&lt;=COUNTA($R$3:$R$902),INDEX($R$3:$R$902,SMALL(IF($R$3:$R$902&lt;&gt;"",ROW($R$3:$R$902)-MIN(ROW($R$3:$R$902))+1),ROWS($3:385))),"")</f>
        <v>#NUM!</v>
      </c>
      <c r="W385" s="157" t="e">
        <f>IF(INDEX('Logical Group Generator'!W:W,MATCH(U385,'Logical Group Generator'!B:B,0))="REGISTER","REGISTER","BIT")</f>
        <v>#NUM!</v>
      </c>
    </row>
    <row r="386" spans="2:23">
      <c r="B386" s="157" t="str">
        <f>IF(ISERROR(T387),"",CONCATENATE(IF(W387="BIT",$M$2,$M$1),U387,$M$3,BIN2HEX(IF(W387="BIT",INDEX('Logical Group Generator'!H:H,'Script Generator'!T387),INDEX('Logical Group Generator'!L:L,'Script Generator'!T387)),2),IF(ISERROR(T388),$M$5,$M$4)))</f>
        <v/>
      </c>
      <c r="D386" s="215"/>
      <c r="R386" s="215" t="str">
        <f>IF('Logical Group Generator'!W386="FALSE","",IF('Logical Group Generator'!B386="OTP_RSVD_38_03","",'Logical Group Generator'!B386))</f>
        <v/>
      </c>
      <c r="T386" s="157" t="e">
        <f>MATCH(U386,'Logical Group Generator'!B:B,0)</f>
        <v>#NUM!</v>
      </c>
      <c r="U386" s="157" t="e">
        <f t="array" ref="U386">IF(ROWS($3:386)&lt;=COUNTA($R$3:$R$902),INDEX($R$3:$R$902,SMALL(IF($R$3:$R$902&lt;&gt;"",ROW($R$3:$R$902)-MIN(ROW($R$3:$R$902))+1),ROWS($3:386))),"")</f>
        <v>#NUM!</v>
      </c>
      <c r="W386" s="157" t="e">
        <f>IF(INDEX('Logical Group Generator'!W:W,MATCH(U386,'Logical Group Generator'!B:B,0))="REGISTER","REGISTER","BIT")</f>
        <v>#NUM!</v>
      </c>
    </row>
    <row r="387" spans="2:23">
      <c r="B387" s="157" t="str">
        <f>IF(ISERROR(T388),"",CONCATENATE(IF(W388="BIT",$M$2,$M$1),U388,$M$3,BIN2HEX(IF(W388="BIT",INDEX('Logical Group Generator'!H:H,'Script Generator'!T388),INDEX('Logical Group Generator'!L:L,'Script Generator'!T388)),2),IF(ISERROR(T389),$M$5,$M$4)))</f>
        <v/>
      </c>
      <c r="D387" s="215"/>
      <c r="R387" s="215" t="str">
        <f>IF('Logical Group Generator'!W387="FALSE","",IF('Logical Group Generator'!B387="OTP_RSVD_38_03","",'Logical Group Generator'!B387))</f>
        <v/>
      </c>
      <c r="T387" s="157" t="e">
        <f>MATCH(U387,'Logical Group Generator'!B:B,0)</f>
        <v>#NUM!</v>
      </c>
      <c r="U387" s="157" t="e">
        <f t="array" ref="U387">IF(ROWS($3:387)&lt;=COUNTA($R$3:$R$902),INDEX($R$3:$R$902,SMALL(IF($R$3:$R$902&lt;&gt;"",ROW($R$3:$R$902)-MIN(ROW($R$3:$R$902))+1),ROWS($3:387))),"")</f>
        <v>#NUM!</v>
      </c>
      <c r="W387" s="157" t="e">
        <f>IF(INDEX('Logical Group Generator'!W:W,MATCH(U387,'Logical Group Generator'!B:B,0))="REGISTER","REGISTER","BIT")</f>
        <v>#NUM!</v>
      </c>
    </row>
    <row r="388" spans="2:23">
      <c r="B388" s="157" t="str">
        <f>IF(ISERROR(T389),"",CONCATENATE(IF(W389="BIT",$M$2,$M$1),U389,$M$3,BIN2HEX(IF(W389="BIT",INDEX('Logical Group Generator'!H:H,'Script Generator'!T389),INDEX('Logical Group Generator'!L:L,'Script Generator'!T389)),2),IF(ISERROR(T390),$M$5,$M$4)))</f>
        <v/>
      </c>
      <c r="D388" s="215"/>
      <c r="R388" s="215" t="str">
        <f>IF('Logical Group Generator'!W388="FALSE","",IF('Logical Group Generator'!B388="OTP_RSVD_38_03","",'Logical Group Generator'!B388))</f>
        <v/>
      </c>
      <c r="T388" s="157" t="e">
        <f>MATCH(U388,'Logical Group Generator'!B:B,0)</f>
        <v>#NUM!</v>
      </c>
      <c r="U388" s="157" t="e">
        <f t="array" ref="U388">IF(ROWS($3:388)&lt;=COUNTA($R$3:$R$902),INDEX($R$3:$R$902,SMALL(IF($R$3:$R$902&lt;&gt;"",ROW($R$3:$R$902)-MIN(ROW($R$3:$R$902))+1),ROWS($3:388))),"")</f>
        <v>#NUM!</v>
      </c>
      <c r="W388" s="157" t="e">
        <f>IF(INDEX('Logical Group Generator'!W:W,MATCH(U388,'Logical Group Generator'!B:B,0))="REGISTER","REGISTER","BIT")</f>
        <v>#NUM!</v>
      </c>
    </row>
    <row r="389" spans="2:23">
      <c r="B389" s="157" t="str">
        <f>IF(ISERROR(T390),"",CONCATENATE(IF(W390="BIT",$M$2,$M$1),U390,$M$3,BIN2HEX(IF(W390="BIT",INDEX('Logical Group Generator'!H:H,'Script Generator'!T390),INDEX('Logical Group Generator'!L:L,'Script Generator'!T390)),2),IF(ISERROR(T391),$M$5,$M$4)))</f>
        <v/>
      </c>
      <c r="D389" s="215"/>
      <c r="R389" s="215" t="str">
        <f>IF('Logical Group Generator'!W389="FALSE","",IF('Logical Group Generator'!B389="OTP_RSVD_38_03","",'Logical Group Generator'!B389))</f>
        <v/>
      </c>
      <c r="T389" s="157" t="e">
        <f>MATCH(U389,'Logical Group Generator'!B:B,0)</f>
        <v>#NUM!</v>
      </c>
      <c r="U389" s="157" t="e">
        <f t="array" ref="U389">IF(ROWS($3:389)&lt;=COUNTA($R$3:$R$902),INDEX($R$3:$R$902,SMALL(IF($R$3:$R$902&lt;&gt;"",ROW($R$3:$R$902)-MIN(ROW($R$3:$R$902))+1),ROWS($3:389))),"")</f>
        <v>#NUM!</v>
      </c>
      <c r="W389" s="157" t="e">
        <f>IF(INDEX('Logical Group Generator'!W:W,MATCH(U389,'Logical Group Generator'!B:B,0))="REGISTER","REGISTER","BIT")</f>
        <v>#NUM!</v>
      </c>
    </row>
    <row r="390" spans="2:23">
      <c r="B390" s="157" t="str">
        <f>IF(ISERROR(T391),"",CONCATENATE(IF(W391="BIT",$M$2,$M$1),U391,$M$3,BIN2HEX(IF(W391="BIT",INDEX('Logical Group Generator'!H:H,'Script Generator'!T391),INDEX('Logical Group Generator'!L:L,'Script Generator'!T391)),2),IF(ISERROR(T392),$M$5,$M$4)))</f>
        <v/>
      </c>
      <c r="D390" s="215"/>
      <c r="R390" s="215" t="str">
        <f>IF('Logical Group Generator'!W390="FALSE","",IF('Logical Group Generator'!B390="OTP_RSVD_38_03","",'Logical Group Generator'!B390))</f>
        <v/>
      </c>
      <c r="T390" s="157" t="e">
        <f>MATCH(U390,'Logical Group Generator'!B:B,0)</f>
        <v>#NUM!</v>
      </c>
      <c r="U390" s="157" t="e">
        <f t="array" ref="U390">IF(ROWS($3:390)&lt;=COUNTA($R$3:$R$902),INDEX($R$3:$R$902,SMALL(IF($R$3:$R$902&lt;&gt;"",ROW($R$3:$R$902)-MIN(ROW($R$3:$R$902))+1),ROWS($3:390))),"")</f>
        <v>#NUM!</v>
      </c>
      <c r="W390" s="157" t="e">
        <f>IF(INDEX('Logical Group Generator'!W:W,MATCH(U390,'Logical Group Generator'!B:B,0))="REGISTER","REGISTER","BIT")</f>
        <v>#NUM!</v>
      </c>
    </row>
    <row r="391" spans="2:23">
      <c r="B391" s="157" t="str">
        <f>IF(ISERROR(T392),"",CONCATENATE(IF(W392="BIT",$M$2,$M$1),U392,$M$3,BIN2HEX(IF(W392="BIT",INDEX('Logical Group Generator'!H:H,'Script Generator'!T392),INDEX('Logical Group Generator'!L:L,'Script Generator'!T392)),2),IF(ISERROR(T393),$M$5,$M$4)))</f>
        <v/>
      </c>
      <c r="D391" s="215"/>
      <c r="R391" s="215" t="str">
        <f>IF('Logical Group Generator'!W391="FALSE","",IF('Logical Group Generator'!B391="OTP_RSVD_38_03","",'Logical Group Generator'!B391))</f>
        <v/>
      </c>
      <c r="T391" s="157" t="e">
        <f>MATCH(U391,'Logical Group Generator'!B:B,0)</f>
        <v>#NUM!</v>
      </c>
      <c r="U391" s="157" t="e">
        <f t="array" ref="U391">IF(ROWS($3:391)&lt;=COUNTA($R$3:$R$902),INDEX($R$3:$R$902,SMALL(IF($R$3:$R$902&lt;&gt;"",ROW($R$3:$R$902)-MIN(ROW($R$3:$R$902))+1),ROWS($3:391))),"")</f>
        <v>#NUM!</v>
      </c>
      <c r="W391" s="157" t="e">
        <f>IF(INDEX('Logical Group Generator'!W:W,MATCH(U391,'Logical Group Generator'!B:B,0))="REGISTER","REGISTER","BIT")</f>
        <v>#NUM!</v>
      </c>
    </row>
    <row r="392" spans="2:23">
      <c r="B392" s="157" t="str">
        <f>IF(ISERROR(T393),"",CONCATENATE(IF(W393="BIT",$M$2,$M$1),U393,$M$3,BIN2HEX(IF(W393="BIT",INDEX('Logical Group Generator'!H:H,'Script Generator'!T393),INDEX('Logical Group Generator'!L:L,'Script Generator'!T393)),2),IF(ISERROR(T394),$M$5,$M$4)))</f>
        <v/>
      </c>
      <c r="D392" s="215"/>
      <c r="R392" s="215" t="str">
        <f>IF('Logical Group Generator'!W392="FALSE","",IF('Logical Group Generator'!B392="OTP_RSVD_38_03","",'Logical Group Generator'!B392))</f>
        <v/>
      </c>
      <c r="T392" s="157" t="e">
        <f>MATCH(U392,'Logical Group Generator'!B:B,0)</f>
        <v>#NUM!</v>
      </c>
      <c r="U392" s="157" t="e">
        <f t="array" ref="U392">IF(ROWS($3:392)&lt;=COUNTA($R$3:$R$902),INDEX($R$3:$R$902,SMALL(IF($R$3:$R$902&lt;&gt;"",ROW($R$3:$R$902)-MIN(ROW($R$3:$R$902))+1),ROWS($3:392))),"")</f>
        <v>#NUM!</v>
      </c>
      <c r="W392" s="157" t="e">
        <f>IF(INDEX('Logical Group Generator'!W:W,MATCH(U392,'Logical Group Generator'!B:B,0))="REGISTER","REGISTER","BIT")</f>
        <v>#NUM!</v>
      </c>
    </row>
    <row r="393" spans="2:23">
      <c r="B393" s="157" t="str">
        <f>IF(ISERROR(T394),"",CONCATENATE(IF(W394="BIT",$M$2,$M$1),U394,$M$3,BIN2HEX(IF(W394="BIT",INDEX('Logical Group Generator'!H:H,'Script Generator'!T394),INDEX('Logical Group Generator'!L:L,'Script Generator'!T394)),2),IF(ISERROR(T395),$M$5,$M$4)))</f>
        <v/>
      </c>
      <c r="D393" s="215"/>
      <c r="R393" s="215" t="str">
        <f>IF('Logical Group Generator'!W393="FALSE","",IF('Logical Group Generator'!B393="OTP_RSVD_38_03","",'Logical Group Generator'!B393))</f>
        <v/>
      </c>
      <c r="T393" s="157" t="e">
        <f>MATCH(U393,'Logical Group Generator'!B:B,0)</f>
        <v>#NUM!</v>
      </c>
      <c r="U393" s="157" t="e">
        <f t="array" ref="U393">IF(ROWS($3:393)&lt;=COUNTA($R$3:$R$902),INDEX($R$3:$R$902,SMALL(IF($R$3:$R$902&lt;&gt;"",ROW($R$3:$R$902)-MIN(ROW($R$3:$R$902))+1),ROWS($3:393))),"")</f>
        <v>#NUM!</v>
      </c>
      <c r="W393" s="157" t="e">
        <f>IF(INDEX('Logical Group Generator'!W:W,MATCH(U393,'Logical Group Generator'!B:B,0))="REGISTER","REGISTER","BIT")</f>
        <v>#NUM!</v>
      </c>
    </row>
    <row r="394" spans="2:23">
      <c r="B394" s="157" t="str">
        <f>IF(ISERROR(T395),"",CONCATENATE(IF(W395="BIT",$M$2,$M$1),U395,$M$3,BIN2HEX(IF(W395="BIT",INDEX('Logical Group Generator'!H:H,'Script Generator'!T395),INDEX('Logical Group Generator'!L:L,'Script Generator'!T395)),2),IF(ISERROR(T396),$M$5,$M$4)))</f>
        <v/>
      </c>
      <c r="D394" s="215"/>
      <c r="R394" s="215" t="str">
        <f>IF('Logical Group Generator'!W394="FALSE","",IF('Logical Group Generator'!B394="OTP_RSVD_38_03","",'Logical Group Generator'!B394))</f>
        <v>BUCK6_CTRL_EN2</v>
      </c>
      <c r="T394" s="157" t="e">
        <f>MATCH(U394,'Logical Group Generator'!B:B,0)</f>
        <v>#NUM!</v>
      </c>
      <c r="U394" s="157" t="e">
        <f t="array" ref="U394">IF(ROWS($3:394)&lt;=COUNTA($R$3:$R$902),INDEX($R$3:$R$902,SMALL(IF($R$3:$R$902&lt;&gt;"",ROW($R$3:$R$902)-MIN(ROW($R$3:$R$902))+1),ROWS($3:394))),"")</f>
        <v>#NUM!</v>
      </c>
      <c r="W394" s="157" t="e">
        <f>IF(INDEX('Logical Group Generator'!W:W,MATCH(U394,'Logical Group Generator'!B:B,0))="REGISTER","REGISTER","BIT")</f>
        <v>#NUM!</v>
      </c>
    </row>
    <row r="395" spans="2:23">
      <c r="B395" s="157" t="str">
        <f>IF(ISERROR(T396),"",CONCATENATE(IF(W396="BIT",$M$2,$M$1),U396,$M$3,BIN2HEX(IF(W396="BIT",INDEX('Logical Group Generator'!H:H,'Script Generator'!T396),INDEX('Logical Group Generator'!L:L,'Script Generator'!T396)),2),IF(ISERROR(T397),$M$5,$M$4)))</f>
        <v/>
      </c>
      <c r="D395" s="215"/>
      <c r="R395" s="215" t="str">
        <f>IF('Logical Group Generator'!W395="FALSE","",IF('Logical Group Generator'!B395="OTP_RSVD_38_03","",'Logical Group Generator'!B395))</f>
        <v/>
      </c>
      <c r="T395" s="157" t="e">
        <f>MATCH(U395,'Logical Group Generator'!B:B,0)</f>
        <v>#NUM!</v>
      </c>
      <c r="U395" s="157" t="e">
        <f t="array" ref="U395">IF(ROWS($3:395)&lt;=COUNTA($R$3:$R$902),INDEX($R$3:$R$902,SMALL(IF($R$3:$R$902&lt;&gt;"",ROW($R$3:$R$902)-MIN(ROW($R$3:$R$902))+1),ROWS($3:395))),"")</f>
        <v>#NUM!</v>
      </c>
      <c r="W395" s="157" t="e">
        <f>IF(INDEX('Logical Group Generator'!W:W,MATCH(U395,'Logical Group Generator'!B:B,0))="REGISTER","REGISTER","BIT")</f>
        <v>#NUM!</v>
      </c>
    </row>
    <row r="396" spans="2:23">
      <c r="B396" s="157" t="str">
        <f>IF(ISERROR(T397),"",CONCATENATE(IF(W397="BIT",$M$2,$M$1),U397,$M$3,BIN2HEX(IF(W397="BIT",INDEX('Logical Group Generator'!H:H,'Script Generator'!T397),INDEX('Logical Group Generator'!L:L,'Script Generator'!T397)),2),IF(ISERROR(T398),$M$5,$M$4)))</f>
        <v/>
      </c>
      <c r="D396" s="215"/>
      <c r="R396" s="215" t="str">
        <f>IF('Logical Group Generator'!W396="FALSE","",IF('Logical Group Generator'!B396="OTP_RSVD_38_03","",'Logical Group Generator'!B396))</f>
        <v/>
      </c>
      <c r="T396" s="157" t="e">
        <f>MATCH(U396,'Logical Group Generator'!B:B,0)</f>
        <v>#NUM!</v>
      </c>
      <c r="U396" s="157" t="e">
        <f t="array" ref="U396">IF(ROWS($3:396)&lt;=COUNTA($R$3:$R$902),INDEX($R$3:$R$902,SMALL(IF($R$3:$R$902&lt;&gt;"",ROW($R$3:$R$902)-MIN(ROW($R$3:$R$902))+1),ROWS($3:396))),"")</f>
        <v>#NUM!</v>
      </c>
      <c r="W396" s="157" t="e">
        <f>IF(INDEX('Logical Group Generator'!W:W,MATCH(U396,'Logical Group Generator'!B:B,0))="REGISTER","REGISTER","BIT")</f>
        <v>#NUM!</v>
      </c>
    </row>
    <row r="397" spans="2:23">
      <c r="B397" s="157" t="str">
        <f>IF(ISERROR(T398),"",CONCATENATE(IF(W398="BIT",$M$2,$M$1),U398,$M$3,BIN2HEX(IF(W398="BIT",INDEX('Logical Group Generator'!H:H,'Script Generator'!T398),INDEX('Logical Group Generator'!L:L,'Script Generator'!T398)),2),IF(ISERROR(T399),$M$5,$M$4)))</f>
        <v/>
      </c>
      <c r="D397" s="215"/>
      <c r="R397" s="215" t="str">
        <f>IF('Logical Group Generator'!W397="FALSE","",IF('Logical Group Generator'!B397="OTP_RSVD_38_03","",'Logical Group Generator'!B397))</f>
        <v/>
      </c>
      <c r="T397" s="157" t="e">
        <f>MATCH(U397,'Logical Group Generator'!B:B,0)</f>
        <v>#NUM!</v>
      </c>
      <c r="U397" s="157" t="e">
        <f t="array" ref="U397">IF(ROWS($3:397)&lt;=COUNTA($R$3:$R$902),INDEX($R$3:$R$902,SMALL(IF($R$3:$R$902&lt;&gt;"",ROW($R$3:$R$902)-MIN(ROW($R$3:$R$902))+1),ROWS($3:397))),"")</f>
        <v>#NUM!</v>
      </c>
      <c r="W397" s="157" t="e">
        <f>IF(INDEX('Logical Group Generator'!W:W,MATCH(U397,'Logical Group Generator'!B:B,0))="REGISTER","REGISTER","BIT")</f>
        <v>#NUM!</v>
      </c>
    </row>
    <row r="398" spans="2:23">
      <c r="B398" s="157" t="str">
        <f>IF(ISERROR(T399),"",CONCATENATE(IF(W399="BIT",$M$2,$M$1),U399,$M$3,BIN2HEX(IF(W399="BIT",INDEX('Logical Group Generator'!H:H,'Script Generator'!T399),INDEX('Logical Group Generator'!L:L,'Script Generator'!T399)),2),IF(ISERROR(T400),$M$5,$M$4)))</f>
        <v/>
      </c>
      <c r="D398" s="215"/>
      <c r="R398" s="215" t="str">
        <f>IF('Logical Group Generator'!W398="FALSE","",IF('Logical Group Generator'!B398="OTP_RSVD_38_03","",'Logical Group Generator'!B398))</f>
        <v/>
      </c>
      <c r="T398" s="157" t="e">
        <f>MATCH(U398,'Logical Group Generator'!B:B,0)</f>
        <v>#NUM!</v>
      </c>
      <c r="U398" s="157" t="e">
        <f t="array" ref="U398">IF(ROWS($3:398)&lt;=COUNTA($R$3:$R$902),INDEX($R$3:$R$902,SMALL(IF($R$3:$R$902&lt;&gt;"",ROW($R$3:$R$902)-MIN(ROW($R$3:$R$902))+1),ROWS($3:398))),"")</f>
        <v>#NUM!</v>
      </c>
      <c r="W398" s="157" t="e">
        <f>IF(INDEX('Logical Group Generator'!W:W,MATCH(U398,'Logical Group Generator'!B:B,0))="REGISTER","REGISTER","BIT")</f>
        <v>#NUM!</v>
      </c>
    </row>
    <row r="399" spans="2:23">
      <c r="B399" s="157" t="str">
        <f>IF(ISERROR(T400),"",CONCATENATE(IF(W400="BIT",$M$2,$M$1),U400,$M$3,BIN2HEX(IF(W400="BIT",INDEX('Logical Group Generator'!H:H,'Script Generator'!T400),INDEX('Logical Group Generator'!L:L,'Script Generator'!T400)),2),IF(ISERROR(T401),$M$5,$M$4)))</f>
        <v/>
      </c>
      <c r="D399" s="215"/>
      <c r="R399" s="215" t="str">
        <f>IF('Logical Group Generator'!W399="FALSE","",IF('Logical Group Generator'!B399="OTP_RSVD_38_03","",'Logical Group Generator'!B399))</f>
        <v/>
      </c>
      <c r="T399" s="157" t="e">
        <f>MATCH(U399,'Logical Group Generator'!B:B,0)</f>
        <v>#NUM!</v>
      </c>
      <c r="U399" s="157" t="e">
        <f t="array" ref="U399">IF(ROWS($3:399)&lt;=COUNTA($R$3:$R$902),INDEX($R$3:$R$902,SMALL(IF($R$3:$R$902&lt;&gt;"",ROW($R$3:$R$902)-MIN(ROW($R$3:$R$902))+1),ROWS($3:399))),"")</f>
        <v>#NUM!</v>
      </c>
      <c r="W399" s="157" t="e">
        <f>IF(INDEX('Logical Group Generator'!W:W,MATCH(U399,'Logical Group Generator'!B:B,0))="REGISTER","REGISTER","BIT")</f>
        <v>#NUM!</v>
      </c>
    </row>
    <row r="400" spans="2:23">
      <c r="B400" s="157" t="str">
        <f>IF(ISERROR(T401),"",CONCATENATE(IF(W401="BIT",$M$2,$M$1),U401,$M$3,BIN2HEX(IF(W401="BIT",INDEX('Logical Group Generator'!H:H,'Script Generator'!T401),INDEX('Logical Group Generator'!L:L,'Script Generator'!T401)),2),IF(ISERROR(T402),$M$5,$M$4)))</f>
        <v/>
      </c>
      <c r="D400" s="215"/>
      <c r="R400" s="215" t="str">
        <f>IF('Logical Group Generator'!W400="FALSE","",IF('Logical Group Generator'!B400="OTP_RSVD_38_03","",'Logical Group Generator'!B400))</f>
        <v>BUCK6_CTRL_EN3</v>
      </c>
      <c r="T400" s="157" t="e">
        <f>MATCH(U400,'Logical Group Generator'!B:B,0)</f>
        <v>#NUM!</v>
      </c>
      <c r="U400" s="157" t="e">
        <f t="array" ref="U400">IF(ROWS($3:400)&lt;=COUNTA($R$3:$R$902),INDEX($R$3:$R$902,SMALL(IF($R$3:$R$902&lt;&gt;"",ROW($R$3:$R$902)-MIN(ROW($R$3:$R$902))+1),ROWS($3:400))),"")</f>
        <v>#NUM!</v>
      </c>
      <c r="W400" s="157" t="e">
        <f>IF(INDEX('Logical Group Generator'!W:W,MATCH(U400,'Logical Group Generator'!B:B,0))="REGISTER","REGISTER","BIT")</f>
        <v>#NUM!</v>
      </c>
    </row>
    <row r="401" spans="2:23">
      <c r="B401" s="157" t="str">
        <f>IF(ISERROR(T402),"",CONCATENATE(IF(W402="BIT",$M$2,$M$1),U402,$M$3,BIN2HEX(IF(W402="BIT",INDEX('Logical Group Generator'!H:H,'Script Generator'!T402),INDEX('Logical Group Generator'!L:L,'Script Generator'!T402)),2),IF(ISERROR(T403),$M$5,$M$4)))</f>
        <v/>
      </c>
      <c r="D401" s="215"/>
      <c r="R401" s="215" t="str">
        <f>IF('Logical Group Generator'!W401="FALSE","",IF('Logical Group Generator'!B401="OTP_RSVD_38_03","",'Logical Group Generator'!B401))</f>
        <v/>
      </c>
      <c r="T401" s="157" t="e">
        <f>MATCH(U401,'Logical Group Generator'!B:B,0)</f>
        <v>#NUM!</v>
      </c>
      <c r="U401" s="157" t="e">
        <f t="array" ref="U401">IF(ROWS($3:401)&lt;=COUNTA($R$3:$R$902),INDEX($R$3:$R$902,SMALL(IF($R$3:$R$902&lt;&gt;"",ROW($R$3:$R$902)-MIN(ROW($R$3:$R$902))+1),ROWS($3:401))),"")</f>
        <v>#NUM!</v>
      </c>
      <c r="W401" s="157" t="e">
        <f>IF(INDEX('Logical Group Generator'!W:W,MATCH(U401,'Logical Group Generator'!B:B,0))="REGISTER","REGISTER","BIT")</f>
        <v>#NUM!</v>
      </c>
    </row>
    <row r="402" spans="2:23">
      <c r="B402" s="157" t="str">
        <f>IF(ISERROR(T403),"",CONCATENATE(IF(W403="BIT",$M$2,$M$1),U403,$M$3,BIN2HEX(IF(W403="BIT",INDEX('Logical Group Generator'!H:H,'Script Generator'!T403),INDEX('Logical Group Generator'!L:L,'Script Generator'!T403)),2),IF(ISERROR(T404),$M$5,$M$4)))</f>
        <v/>
      </c>
      <c r="D402" s="215"/>
      <c r="R402" s="215" t="str">
        <f>IF('Logical Group Generator'!W402="FALSE","",IF('Logical Group Generator'!B402="OTP_RSVD_38_03","",'Logical Group Generator'!B402))</f>
        <v/>
      </c>
      <c r="T402" s="157" t="e">
        <f>MATCH(U402,'Logical Group Generator'!B:B,0)</f>
        <v>#NUM!</v>
      </c>
      <c r="U402" s="157" t="e">
        <f t="array" ref="U402">IF(ROWS($3:402)&lt;=COUNTA($R$3:$R$902),INDEX($R$3:$R$902,SMALL(IF($R$3:$R$902&lt;&gt;"",ROW($R$3:$R$902)-MIN(ROW($R$3:$R$902))+1),ROWS($3:402))),"")</f>
        <v>#NUM!</v>
      </c>
      <c r="W402" s="157" t="e">
        <f>IF(INDEX('Logical Group Generator'!W:W,MATCH(U402,'Logical Group Generator'!B:B,0))="REGISTER","REGISTER","BIT")</f>
        <v>#NUM!</v>
      </c>
    </row>
    <row r="403" spans="2:23">
      <c r="B403" s="157" t="str">
        <f>IF(ISERROR(T404),"",CONCATENATE(IF(W404="BIT",$M$2,$M$1),U404,$M$3,BIN2HEX(IF(W404="BIT",INDEX('Logical Group Generator'!H:H,'Script Generator'!T404),INDEX('Logical Group Generator'!L:L,'Script Generator'!T404)),2),IF(ISERROR(T405),$M$5,$M$4)))</f>
        <v/>
      </c>
      <c r="D403" s="215"/>
      <c r="R403" s="215" t="str">
        <f>IF('Logical Group Generator'!W403="FALSE","",IF('Logical Group Generator'!B403="OTP_RSVD_38_03","",'Logical Group Generator'!B403))</f>
        <v/>
      </c>
      <c r="T403" s="157" t="e">
        <f>MATCH(U403,'Logical Group Generator'!B:B,0)</f>
        <v>#NUM!</v>
      </c>
      <c r="U403" s="157" t="e">
        <f t="array" ref="U403">IF(ROWS($3:403)&lt;=COUNTA($R$3:$R$902),INDEX($R$3:$R$902,SMALL(IF($R$3:$R$902&lt;&gt;"",ROW($R$3:$R$902)-MIN(ROW($R$3:$R$902))+1),ROWS($3:403))),"")</f>
        <v>#NUM!</v>
      </c>
      <c r="W403" s="157" t="e">
        <f>IF(INDEX('Logical Group Generator'!W:W,MATCH(U403,'Logical Group Generator'!B:B,0))="REGISTER","REGISTER","BIT")</f>
        <v>#NUM!</v>
      </c>
    </row>
    <row r="404" spans="2:23">
      <c r="B404" s="157" t="str">
        <f>IF(ISERROR(T405),"",CONCATENATE(IF(W405="BIT",$M$2,$M$1),U405,$M$3,BIN2HEX(IF(W405="BIT",INDEX('Logical Group Generator'!H:H,'Script Generator'!T405),INDEX('Logical Group Generator'!L:L,'Script Generator'!T405)),2),IF(ISERROR(T406),$M$5,$M$4)))</f>
        <v/>
      </c>
      <c r="D404" s="215"/>
      <c r="R404" s="215" t="str">
        <f>IF('Logical Group Generator'!W404="FALSE","",IF('Logical Group Generator'!B404="OTP_RSVD_38_03","",'Logical Group Generator'!B404))</f>
        <v>SWA1_CTRL_EN1</v>
      </c>
      <c r="T404" s="157" t="e">
        <f>MATCH(U404,'Logical Group Generator'!B:B,0)</f>
        <v>#NUM!</v>
      </c>
      <c r="U404" s="157" t="e">
        <f t="array" ref="U404">IF(ROWS($3:404)&lt;=COUNTA($R$3:$R$902),INDEX($R$3:$R$902,SMALL(IF($R$3:$R$902&lt;&gt;"",ROW($R$3:$R$902)-MIN(ROW($R$3:$R$902))+1),ROWS($3:404))),"")</f>
        <v>#NUM!</v>
      </c>
      <c r="W404" s="157" t="e">
        <f>IF(INDEX('Logical Group Generator'!W:W,MATCH(U404,'Logical Group Generator'!B:B,0))="REGISTER","REGISTER","BIT")</f>
        <v>#NUM!</v>
      </c>
    </row>
    <row r="405" spans="2:23">
      <c r="B405" s="157" t="str">
        <f>IF(ISERROR(T406),"",CONCATENATE(IF(W406="BIT",$M$2,$M$1),U406,$M$3,BIN2HEX(IF(W406="BIT",INDEX('Logical Group Generator'!H:H,'Script Generator'!T406),INDEX('Logical Group Generator'!L:L,'Script Generator'!T406)),2),IF(ISERROR(T407),$M$5,$M$4)))</f>
        <v/>
      </c>
      <c r="D405" s="215"/>
      <c r="R405" s="215" t="str">
        <f>IF('Logical Group Generator'!W405="FALSE","",IF('Logical Group Generator'!B405="OTP_RSVD_38_03","",'Logical Group Generator'!B405))</f>
        <v/>
      </c>
      <c r="T405" s="157" t="e">
        <f>MATCH(U405,'Logical Group Generator'!B:B,0)</f>
        <v>#NUM!</v>
      </c>
      <c r="U405" s="157" t="e">
        <f t="array" ref="U405">IF(ROWS($3:405)&lt;=COUNTA($R$3:$R$902),INDEX($R$3:$R$902,SMALL(IF($R$3:$R$902&lt;&gt;"",ROW($R$3:$R$902)-MIN(ROW($R$3:$R$902))+1),ROWS($3:405))),"")</f>
        <v>#NUM!</v>
      </c>
      <c r="W405" s="157" t="e">
        <f>IF(INDEX('Logical Group Generator'!W:W,MATCH(U405,'Logical Group Generator'!B:B,0))="REGISTER","REGISTER","BIT")</f>
        <v>#NUM!</v>
      </c>
    </row>
    <row r="406" spans="2:23">
      <c r="B406" s="157" t="str">
        <f>IF(ISERROR(T407),"",CONCATENATE(IF(W407="BIT",$M$2,$M$1),U407,$M$3,BIN2HEX(IF(W407="BIT",INDEX('Logical Group Generator'!H:H,'Script Generator'!T407),INDEX('Logical Group Generator'!L:L,'Script Generator'!T407)),2),IF(ISERROR(T408),$M$5,$M$4)))</f>
        <v/>
      </c>
      <c r="D406" s="215"/>
      <c r="R406" s="215" t="str">
        <f>IF('Logical Group Generator'!W406="FALSE","",IF('Logical Group Generator'!B406="OTP_RSVD_38_03","",'Logical Group Generator'!B406))</f>
        <v/>
      </c>
      <c r="T406" s="157" t="e">
        <f>MATCH(U406,'Logical Group Generator'!B:B,0)</f>
        <v>#NUM!</v>
      </c>
      <c r="U406" s="157" t="e">
        <f t="array" ref="U406">IF(ROWS($3:406)&lt;=COUNTA($R$3:$R$902),INDEX($R$3:$R$902,SMALL(IF($R$3:$R$902&lt;&gt;"",ROW($R$3:$R$902)-MIN(ROW($R$3:$R$902))+1),ROWS($3:406))),"")</f>
        <v>#NUM!</v>
      </c>
      <c r="W406" s="157" t="e">
        <f>IF(INDEX('Logical Group Generator'!W:W,MATCH(U406,'Logical Group Generator'!B:B,0))="REGISTER","REGISTER","BIT")</f>
        <v>#NUM!</v>
      </c>
    </row>
    <row r="407" spans="2:23">
      <c r="B407" s="157" t="str">
        <f>IF(ISERROR(T408),"",CONCATENATE(IF(W408="BIT",$M$2,$M$1),U408,$M$3,BIN2HEX(IF(W408="BIT",INDEX('Logical Group Generator'!H:H,'Script Generator'!T408),INDEX('Logical Group Generator'!L:L,'Script Generator'!T408)),2),IF(ISERROR(T409),$M$5,$M$4)))</f>
        <v/>
      </c>
      <c r="D407" s="215"/>
      <c r="R407" s="215" t="str">
        <f>IF('Logical Group Generator'!W407="FALSE","",IF('Logical Group Generator'!B407="OTP_RSVD_38_03","",'Logical Group Generator'!B407))</f>
        <v/>
      </c>
      <c r="T407" s="157" t="e">
        <f>MATCH(U407,'Logical Group Generator'!B:B,0)</f>
        <v>#NUM!</v>
      </c>
      <c r="U407" s="157" t="e">
        <f t="array" ref="U407">IF(ROWS($3:407)&lt;=COUNTA($R$3:$R$902),INDEX($R$3:$R$902,SMALL(IF($R$3:$R$902&lt;&gt;"",ROW($R$3:$R$902)-MIN(ROW($R$3:$R$902))+1),ROWS($3:407))),"")</f>
        <v>#NUM!</v>
      </c>
      <c r="W407" s="157" t="e">
        <f>IF(INDEX('Logical Group Generator'!W:W,MATCH(U407,'Logical Group Generator'!B:B,0))="REGISTER","REGISTER","BIT")</f>
        <v>#NUM!</v>
      </c>
    </row>
    <row r="408" spans="2:23">
      <c r="B408" s="157" t="str">
        <f>IF(ISERROR(T409),"",CONCATENATE(IF(W409="BIT",$M$2,$M$1),U409,$M$3,BIN2HEX(IF(W409="BIT",INDEX('Logical Group Generator'!H:H,'Script Generator'!T409),INDEX('Logical Group Generator'!L:L,'Script Generator'!T409)),2),IF(ISERROR(T410),$M$5,$M$4)))</f>
        <v/>
      </c>
      <c r="D408" s="215"/>
      <c r="R408" s="215" t="str">
        <f>IF('Logical Group Generator'!W408="FALSE","",IF('Logical Group Generator'!B408="OTP_RSVD_38_03","",'Logical Group Generator'!B408))</f>
        <v/>
      </c>
      <c r="T408" s="157" t="e">
        <f>MATCH(U408,'Logical Group Generator'!B:B,0)</f>
        <v>#NUM!</v>
      </c>
      <c r="U408" s="157" t="e">
        <f t="array" ref="U408">IF(ROWS($3:408)&lt;=COUNTA($R$3:$R$902),INDEX($R$3:$R$902,SMALL(IF($R$3:$R$902&lt;&gt;"",ROW($R$3:$R$902)-MIN(ROW($R$3:$R$902))+1),ROWS($3:408))),"")</f>
        <v>#NUM!</v>
      </c>
      <c r="W408" s="157" t="e">
        <f>IF(INDEX('Logical Group Generator'!W:W,MATCH(U408,'Logical Group Generator'!B:B,0))="REGISTER","REGISTER","BIT")</f>
        <v>#NUM!</v>
      </c>
    </row>
    <row r="409" spans="2:23">
      <c r="B409" s="157" t="str">
        <f>IF(ISERROR(T410),"",CONCATENATE(IF(W410="BIT",$M$2,$M$1),U410,$M$3,BIN2HEX(IF(W410="BIT",INDEX('Logical Group Generator'!H:H,'Script Generator'!T410),INDEX('Logical Group Generator'!L:L,'Script Generator'!T410)),2),IF(ISERROR(T411),$M$5,$M$4)))</f>
        <v/>
      </c>
      <c r="D409" s="215"/>
      <c r="R409" s="215" t="str">
        <f>IF('Logical Group Generator'!W409="FALSE","",IF('Logical Group Generator'!B409="OTP_RSVD_38_03","",'Logical Group Generator'!B409))</f>
        <v/>
      </c>
      <c r="T409" s="157" t="e">
        <f>MATCH(U409,'Logical Group Generator'!B:B,0)</f>
        <v>#NUM!</v>
      </c>
      <c r="U409" s="157" t="e">
        <f t="array" ref="U409">IF(ROWS($3:409)&lt;=COUNTA($R$3:$R$902),INDEX($R$3:$R$902,SMALL(IF($R$3:$R$902&lt;&gt;"",ROW($R$3:$R$902)-MIN(ROW($R$3:$R$902))+1),ROWS($3:409))),"")</f>
        <v>#NUM!</v>
      </c>
      <c r="W409" s="157" t="e">
        <f>IF(INDEX('Logical Group Generator'!W:W,MATCH(U409,'Logical Group Generator'!B:B,0))="REGISTER","REGISTER","BIT")</f>
        <v>#NUM!</v>
      </c>
    </row>
    <row r="410" spans="2:23">
      <c r="B410" s="157" t="str">
        <f>IF(ISERROR(T411),"",CONCATENATE(IF(W411="BIT",$M$2,$M$1),U411,$M$3,BIN2HEX(IF(W411="BIT",INDEX('Logical Group Generator'!H:H,'Script Generator'!T411),INDEX('Logical Group Generator'!L:L,'Script Generator'!T411)),2),IF(ISERROR(T412),$M$5,$M$4)))</f>
        <v/>
      </c>
      <c r="D410" s="215"/>
      <c r="R410" s="215" t="str">
        <f>IF('Logical Group Generator'!W410="FALSE","",IF('Logical Group Generator'!B410="OTP_RSVD_38_03","",'Logical Group Generator'!B410))</f>
        <v/>
      </c>
      <c r="T410" s="157" t="e">
        <f>MATCH(U410,'Logical Group Generator'!B:B,0)</f>
        <v>#NUM!</v>
      </c>
      <c r="U410" s="157" t="e">
        <f t="array" ref="U410">IF(ROWS($3:410)&lt;=COUNTA($R$3:$R$902),INDEX($R$3:$R$902,SMALL(IF($R$3:$R$902&lt;&gt;"",ROW($R$3:$R$902)-MIN(ROW($R$3:$R$902))+1),ROWS($3:410))),"")</f>
        <v>#NUM!</v>
      </c>
      <c r="W410" s="157" t="e">
        <f>IF(INDEX('Logical Group Generator'!W:W,MATCH(U410,'Logical Group Generator'!B:B,0))="REGISTER","REGISTER","BIT")</f>
        <v>#NUM!</v>
      </c>
    </row>
    <row r="411" spans="2:23">
      <c r="B411" s="157" t="str">
        <f>IF(ISERROR(T412),"",CONCATENATE(IF(W412="BIT",$M$2,$M$1),U412,$M$3,BIN2HEX(IF(W412="BIT",INDEX('Logical Group Generator'!H:H,'Script Generator'!T412),INDEX('Logical Group Generator'!L:L,'Script Generator'!T412)),2),IF(ISERROR(T413),$M$5,$M$4)))</f>
        <v/>
      </c>
      <c r="D411" s="215"/>
      <c r="R411" s="215" t="str">
        <f>IF('Logical Group Generator'!W411="FALSE","",IF('Logical Group Generator'!B411="OTP_RSVD_38_03","",'Logical Group Generator'!B411))</f>
        <v/>
      </c>
      <c r="T411" s="157" t="e">
        <f>MATCH(U411,'Logical Group Generator'!B:B,0)</f>
        <v>#NUM!</v>
      </c>
      <c r="U411" s="157" t="e">
        <f t="array" ref="U411">IF(ROWS($3:411)&lt;=COUNTA($R$3:$R$902),INDEX($R$3:$R$902,SMALL(IF($R$3:$R$902&lt;&gt;"",ROW($R$3:$R$902)-MIN(ROW($R$3:$R$902))+1),ROWS($3:411))),"")</f>
        <v>#NUM!</v>
      </c>
      <c r="W411" s="157" t="e">
        <f>IF(INDEX('Logical Group Generator'!W:W,MATCH(U411,'Logical Group Generator'!B:B,0))="REGISTER","REGISTER","BIT")</f>
        <v>#NUM!</v>
      </c>
    </row>
    <row r="412" spans="2:23">
      <c r="B412" s="157" t="str">
        <f>IF(ISERROR(T413),"",CONCATENATE(IF(W413="BIT",$M$2,$M$1),U413,$M$3,BIN2HEX(IF(W413="BIT",INDEX('Logical Group Generator'!H:H,'Script Generator'!T413),INDEX('Logical Group Generator'!L:L,'Script Generator'!T413)),2),IF(ISERROR(T414),$M$5,$M$4)))</f>
        <v/>
      </c>
      <c r="D412" s="215"/>
      <c r="R412" s="215" t="str">
        <f>IF('Logical Group Generator'!W412="FALSE","",IF('Logical Group Generator'!B412="OTP_RSVD_38_03","",'Logical Group Generator'!B412))</f>
        <v/>
      </c>
      <c r="T412" s="157" t="e">
        <f>MATCH(U412,'Logical Group Generator'!B:B,0)</f>
        <v>#NUM!</v>
      </c>
      <c r="U412" s="157" t="e">
        <f t="array" ref="U412">IF(ROWS($3:412)&lt;=COUNTA($R$3:$R$902),INDEX($R$3:$R$902,SMALL(IF($R$3:$R$902&lt;&gt;"",ROW($R$3:$R$902)-MIN(ROW($R$3:$R$902))+1),ROWS($3:412))),"")</f>
        <v>#NUM!</v>
      </c>
      <c r="W412" s="157" t="e">
        <f>IF(INDEX('Logical Group Generator'!W:W,MATCH(U412,'Logical Group Generator'!B:B,0))="REGISTER","REGISTER","BIT")</f>
        <v>#NUM!</v>
      </c>
    </row>
    <row r="413" spans="2:23">
      <c r="B413" s="157" t="str">
        <f>IF(ISERROR(T414),"",CONCATENATE(IF(W414="BIT",$M$2,$M$1),U414,$M$3,BIN2HEX(IF(W414="BIT",INDEX('Logical Group Generator'!H:H,'Script Generator'!T414),INDEX('Logical Group Generator'!L:L,'Script Generator'!T414)),2),IF(ISERROR(T415),$M$5,$M$4)))</f>
        <v/>
      </c>
      <c r="D413" s="215"/>
      <c r="R413" s="215" t="str">
        <f>IF('Logical Group Generator'!W413="FALSE","",IF('Logical Group Generator'!B413="OTP_RSVD_38_03","",'Logical Group Generator'!B413))</f>
        <v>SWA1_CTRL_EN2</v>
      </c>
      <c r="T413" s="157" t="e">
        <f>MATCH(U413,'Logical Group Generator'!B:B,0)</f>
        <v>#NUM!</v>
      </c>
      <c r="U413" s="157" t="e">
        <f t="array" ref="U413">IF(ROWS($3:413)&lt;=COUNTA($R$3:$R$902),INDEX($R$3:$R$902,SMALL(IF($R$3:$R$902&lt;&gt;"",ROW($R$3:$R$902)-MIN(ROW($R$3:$R$902))+1),ROWS($3:413))),"")</f>
        <v>#NUM!</v>
      </c>
      <c r="W413" s="157" t="e">
        <f>IF(INDEX('Logical Group Generator'!W:W,MATCH(U413,'Logical Group Generator'!B:B,0))="REGISTER","REGISTER","BIT")</f>
        <v>#NUM!</v>
      </c>
    </row>
    <row r="414" spans="2:23">
      <c r="B414" s="157" t="str">
        <f>IF(ISERROR(T415),"",CONCATENATE(IF(W415="BIT",$M$2,$M$1),U415,$M$3,BIN2HEX(IF(W415="BIT",INDEX('Logical Group Generator'!H:H,'Script Generator'!T415),INDEX('Logical Group Generator'!L:L,'Script Generator'!T415)),2),IF(ISERROR(T416),$M$5,$M$4)))</f>
        <v/>
      </c>
      <c r="D414" s="215"/>
      <c r="R414" s="215" t="str">
        <f>IF('Logical Group Generator'!W414="FALSE","",IF('Logical Group Generator'!B414="OTP_RSVD_38_03","",'Logical Group Generator'!B414))</f>
        <v/>
      </c>
      <c r="T414" s="157" t="e">
        <f>MATCH(U414,'Logical Group Generator'!B:B,0)</f>
        <v>#NUM!</v>
      </c>
      <c r="U414" s="157" t="e">
        <f t="array" ref="U414">IF(ROWS($3:414)&lt;=COUNTA($R$3:$R$902),INDEX($R$3:$R$902,SMALL(IF($R$3:$R$902&lt;&gt;"",ROW($R$3:$R$902)-MIN(ROW($R$3:$R$902))+1),ROWS($3:414))),"")</f>
        <v>#NUM!</v>
      </c>
      <c r="W414" s="157" t="e">
        <f>IF(INDEX('Logical Group Generator'!W:W,MATCH(U414,'Logical Group Generator'!B:B,0))="REGISTER","REGISTER","BIT")</f>
        <v>#NUM!</v>
      </c>
    </row>
    <row r="415" spans="2:23">
      <c r="B415" s="157" t="str">
        <f>IF(ISERROR(T416),"",CONCATENATE(IF(W416="BIT",$M$2,$M$1),U416,$M$3,BIN2HEX(IF(W416="BIT",INDEX('Logical Group Generator'!H:H,'Script Generator'!T416),INDEX('Logical Group Generator'!L:L,'Script Generator'!T416)),2),IF(ISERROR(T417),$M$5,$M$4)))</f>
        <v/>
      </c>
      <c r="D415" s="215"/>
      <c r="R415" s="215" t="str">
        <f>IF('Logical Group Generator'!W415="FALSE","",IF('Logical Group Generator'!B415="OTP_RSVD_38_03","",'Logical Group Generator'!B415))</f>
        <v/>
      </c>
      <c r="T415" s="157" t="e">
        <f>MATCH(U415,'Logical Group Generator'!B:B,0)</f>
        <v>#NUM!</v>
      </c>
      <c r="U415" s="157" t="e">
        <f t="array" ref="U415">IF(ROWS($3:415)&lt;=COUNTA($R$3:$R$902),INDEX($R$3:$R$902,SMALL(IF($R$3:$R$902&lt;&gt;"",ROW($R$3:$R$902)-MIN(ROW($R$3:$R$902))+1),ROWS($3:415))),"")</f>
        <v>#NUM!</v>
      </c>
      <c r="W415" s="157" t="e">
        <f>IF(INDEX('Logical Group Generator'!W:W,MATCH(U415,'Logical Group Generator'!B:B,0))="REGISTER","REGISTER","BIT")</f>
        <v>#NUM!</v>
      </c>
    </row>
    <row r="416" spans="2:23">
      <c r="B416" s="157" t="str">
        <f>IF(ISERROR(T417),"",CONCATENATE(IF(W417="BIT",$M$2,$M$1),U417,$M$3,BIN2HEX(IF(W417="BIT",INDEX('Logical Group Generator'!H:H,'Script Generator'!T417),INDEX('Logical Group Generator'!L:L,'Script Generator'!T417)),2),IF(ISERROR(T418),$M$5,$M$4)))</f>
        <v/>
      </c>
      <c r="D416" s="215"/>
      <c r="R416" s="215" t="str">
        <f>IF('Logical Group Generator'!W416="FALSE","",IF('Logical Group Generator'!B416="OTP_RSVD_38_03","",'Logical Group Generator'!B416))</f>
        <v/>
      </c>
      <c r="T416" s="157" t="e">
        <f>MATCH(U416,'Logical Group Generator'!B:B,0)</f>
        <v>#NUM!</v>
      </c>
      <c r="U416" s="157" t="e">
        <f t="array" ref="U416">IF(ROWS($3:416)&lt;=COUNTA($R$3:$R$902),INDEX($R$3:$R$902,SMALL(IF($R$3:$R$902&lt;&gt;"",ROW($R$3:$R$902)-MIN(ROW($R$3:$R$902))+1),ROWS($3:416))),"")</f>
        <v>#NUM!</v>
      </c>
      <c r="W416" s="157" t="e">
        <f>IF(INDEX('Logical Group Generator'!W:W,MATCH(U416,'Logical Group Generator'!B:B,0))="REGISTER","REGISTER","BIT")</f>
        <v>#NUM!</v>
      </c>
    </row>
    <row r="417" spans="2:23">
      <c r="B417" s="157" t="str">
        <f>IF(ISERROR(T418),"",CONCATENATE(IF(W418="BIT",$M$2,$M$1),U418,$M$3,BIN2HEX(IF(W418="BIT",INDEX('Logical Group Generator'!H:H,'Script Generator'!T418),INDEX('Logical Group Generator'!L:L,'Script Generator'!T418)),2),IF(ISERROR(T419),$M$5,$M$4)))</f>
        <v/>
      </c>
      <c r="D417" s="215"/>
      <c r="R417" s="215" t="str">
        <f>IF('Logical Group Generator'!W417="FALSE","",IF('Logical Group Generator'!B417="OTP_RSVD_38_03","",'Logical Group Generator'!B417))</f>
        <v/>
      </c>
      <c r="T417" s="157" t="e">
        <f>MATCH(U417,'Logical Group Generator'!B:B,0)</f>
        <v>#NUM!</v>
      </c>
      <c r="U417" s="157" t="e">
        <f t="array" ref="U417">IF(ROWS($3:417)&lt;=COUNTA($R$3:$R$902),INDEX($R$3:$R$902,SMALL(IF($R$3:$R$902&lt;&gt;"",ROW($R$3:$R$902)-MIN(ROW($R$3:$R$902))+1),ROWS($3:417))),"")</f>
        <v>#NUM!</v>
      </c>
      <c r="W417" s="157" t="e">
        <f>IF(INDEX('Logical Group Generator'!W:W,MATCH(U417,'Logical Group Generator'!B:B,0))="REGISTER","REGISTER","BIT")</f>
        <v>#NUM!</v>
      </c>
    </row>
    <row r="418" spans="2:23">
      <c r="B418" s="157" t="str">
        <f>IF(ISERROR(T419),"",CONCATENATE(IF(W419="BIT",$M$2,$M$1),U419,$M$3,BIN2HEX(IF(W419="BIT",INDEX('Logical Group Generator'!H:H,'Script Generator'!T419),INDEX('Logical Group Generator'!L:L,'Script Generator'!T419)),2),IF(ISERROR(T420),$M$5,$M$4)))</f>
        <v/>
      </c>
      <c r="D418" s="215"/>
      <c r="R418" s="215" t="str">
        <f>IF('Logical Group Generator'!W418="FALSE","",IF('Logical Group Generator'!B418="OTP_RSVD_38_03","",'Logical Group Generator'!B418))</f>
        <v/>
      </c>
      <c r="T418" s="157" t="e">
        <f>MATCH(U418,'Logical Group Generator'!B:B,0)</f>
        <v>#NUM!</v>
      </c>
      <c r="U418" s="157" t="e">
        <f t="array" ref="U418">IF(ROWS($3:418)&lt;=COUNTA($R$3:$R$902),INDEX($R$3:$R$902,SMALL(IF($R$3:$R$902&lt;&gt;"",ROW($R$3:$R$902)-MIN(ROW($R$3:$R$902))+1),ROWS($3:418))),"")</f>
        <v>#NUM!</v>
      </c>
      <c r="W418" s="157" t="e">
        <f>IF(INDEX('Logical Group Generator'!W:W,MATCH(U418,'Logical Group Generator'!B:B,0))="REGISTER","REGISTER","BIT")</f>
        <v>#NUM!</v>
      </c>
    </row>
    <row r="419" spans="2:23">
      <c r="B419" s="157" t="str">
        <f>IF(ISERROR(T420),"",CONCATENATE(IF(W420="BIT",$M$2,$M$1),U420,$M$3,BIN2HEX(IF(W420="BIT",INDEX('Logical Group Generator'!H:H,'Script Generator'!T420),INDEX('Logical Group Generator'!L:L,'Script Generator'!T420)),2),IF(ISERROR(T421),$M$5,$M$4)))</f>
        <v/>
      </c>
      <c r="D419" s="215"/>
      <c r="R419" s="215" t="str">
        <f>IF('Logical Group Generator'!W419="FALSE","",IF('Logical Group Generator'!B419="OTP_RSVD_38_03","",'Logical Group Generator'!B419))</f>
        <v>SWA1_CTRL_EN3</v>
      </c>
      <c r="T419" s="157" t="e">
        <f>MATCH(U419,'Logical Group Generator'!B:B,0)</f>
        <v>#NUM!</v>
      </c>
      <c r="U419" s="157" t="e">
        <f t="array" ref="U419">IF(ROWS($3:419)&lt;=COUNTA($R$3:$R$902),INDEX($R$3:$R$902,SMALL(IF($R$3:$R$902&lt;&gt;"",ROW($R$3:$R$902)-MIN(ROW($R$3:$R$902))+1),ROWS($3:419))),"")</f>
        <v>#NUM!</v>
      </c>
      <c r="W419" s="157" t="e">
        <f>IF(INDEX('Logical Group Generator'!W:W,MATCH(U419,'Logical Group Generator'!B:B,0))="REGISTER","REGISTER","BIT")</f>
        <v>#NUM!</v>
      </c>
    </row>
    <row r="420" spans="2:23">
      <c r="B420" s="157" t="str">
        <f>IF(ISERROR(T421),"",CONCATENATE(IF(W421="BIT",$M$2,$M$1),U421,$M$3,BIN2HEX(IF(W421="BIT",INDEX('Logical Group Generator'!H:H,'Script Generator'!T421),INDEX('Logical Group Generator'!L:L,'Script Generator'!T421)),2),IF(ISERROR(T422),$M$5,$M$4)))</f>
        <v/>
      </c>
      <c r="D420" s="215"/>
      <c r="R420" s="215" t="str">
        <f>IF('Logical Group Generator'!W420="FALSE","",IF('Logical Group Generator'!B420="OTP_RSVD_38_03","",'Logical Group Generator'!B420))</f>
        <v/>
      </c>
      <c r="T420" s="157" t="e">
        <f>MATCH(U420,'Logical Group Generator'!B:B,0)</f>
        <v>#NUM!</v>
      </c>
      <c r="U420" s="157" t="e">
        <f t="array" ref="U420">IF(ROWS($3:420)&lt;=COUNTA($R$3:$R$902),INDEX($R$3:$R$902,SMALL(IF($R$3:$R$902&lt;&gt;"",ROW($R$3:$R$902)-MIN(ROW($R$3:$R$902))+1),ROWS($3:420))),"")</f>
        <v>#NUM!</v>
      </c>
      <c r="W420" s="157" t="e">
        <f>IF(INDEX('Logical Group Generator'!W:W,MATCH(U420,'Logical Group Generator'!B:B,0))="REGISTER","REGISTER","BIT")</f>
        <v>#NUM!</v>
      </c>
    </row>
    <row r="421" spans="2:23">
      <c r="B421" s="157" t="str">
        <f>IF(ISERROR(T422),"",CONCATENATE(IF(W422="BIT",$M$2,$M$1),U422,$M$3,BIN2HEX(IF(W422="BIT",INDEX('Logical Group Generator'!H:H,'Script Generator'!T422),INDEX('Logical Group Generator'!L:L,'Script Generator'!T422)),2),IF(ISERROR(T423),$M$5,$M$4)))</f>
        <v/>
      </c>
      <c r="D421" s="215"/>
      <c r="R421" s="215" t="str">
        <f>IF('Logical Group Generator'!W421="FALSE","",IF('Logical Group Generator'!B421="OTP_RSVD_38_03","",'Logical Group Generator'!B421))</f>
        <v/>
      </c>
      <c r="T421" s="157" t="e">
        <f>MATCH(U421,'Logical Group Generator'!B:B,0)</f>
        <v>#NUM!</v>
      </c>
      <c r="U421" s="157" t="e">
        <f t="array" ref="U421">IF(ROWS($3:421)&lt;=COUNTA($R$3:$R$902),INDEX($R$3:$R$902,SMALL(IF($R$3:$R$902&lt;&gt;"",ROW($R$3:$R$902)-MIN(ROW($R$3:$R$902))+1),ROWS($3:421))),"")</f>
        <v>#NUM!</v>
      </c>
      <c r="W421" s="157" t="e">
        <f>IF(INDEX('Logical Group Generator'!W:W,MATCH(U421,'Logical Group Generator'!B:B,0))="REGISTER","REGISTER","BIT")</f>
        <v>#NUM!</v>
      </c>
    </row>
    <row r="422" spans="2:23">
      <c r="B422" s="157" t="str">
        <f>IF(ISERROR(T423),"",CONCATENATE(IF(W423="BIT",$M$2,$M$1),U423,$M$3,BIN2HEX(IF(W423="BIT",INDEX('Logical Group Generator'!H:H,'Script Generator'!T423),INDEX('Logical Group Generator'!L:L,'Script Generator'!T423)),2),IF(ISERROR(T424),$M$5,$M$4)))</f>
        <v/>
      </c>
      <c r="D422" s="215"/>
      <c r="R422" s="215" t="str">
        <f>IF('Logical Group Generator'!W422="FALSE","",IF('Logical Group Generator'!B422="OTP_RSVD_38_03","",'Logical Group Generator'!B422))</f>
        <v/>
      </c>
      <c r="T422" s="157" t="e">
        <f>MATCH(U422,'Logical Group Generator'!B:B,0)</f>
        <v>#NUM!</v>
      </c>
      <c r="U422" s="157" t="e">
        <f t="array" ref="U422">IF(ROWS($3:422)&lt;=COUNTA($R$3:$R$902),INDEX($R$3:$R$902,SMALL(IF($R$3:$R$902&lt;&gt;"",ROW($R$3:$R$902)-MIN(ROW($R$3:$R$902))+1),ROWS($3:422))),"")</f>
        <v>#NUM!</v>
      </c>
      <c r="W422" s="157" t="e">
        <f>IF(INDEX('Logical Group Generator'!W:W,MATCH(U422,'Logical Group Generator'!B:B,0))="REGISTER","REGISTER","BIT")</f>
        <v>#NUM!</v>
      </c>
    </row>
    <row r="423" spans="2:23">
      <c r="B423" s="157" t="str">
        <f>IF(ISERROR(T424),"",CONCATENATE(IF(W424="BIT",$M$2,$M$1),U424,$M$3,BIN2HEX(IF(W424="BIT",INDEX('Logical Group Generator'!H:H,'Script Generator'!T424),INDEX('Logical Group Generator'!L:L,'Script Generator'!T424)),2),IF(ISERROR(T425),$M$5,$M$4)))</f>
        <v/>
      </c>
      <c r="D423" s="215"/>
      <c r="R423" s="215" t="str">
        <f>IF('Logical Group Generator'!W423="FALSE","",IF('Logical Group Generator'!B423="OTP_RSVD_38_03","",'Logical Group Generator'!B423))</f>
        <v>LDOA2_CTRL_EN1</v>
      </c>
      <c r="T423" s="157" t="e">
        <f>MATCH(U423,'Logical Group Generator'!B:B,0)</f>
        <v>#NUM!</v>
      </c>
      <c r="U423" s="157" t="e">
        <f t="array" ref="U423">IF(ROWS($3:423)&lt;=COUNTA($R$3:$R$902),INDEX($R$3:$R$902,SMALL(IF($R$3:$R$902&lt;&gt;"",ROW($R$3:$R$902)-MIN(ROW($R$3:$R$902))+1),ROWS($3:423))),"")</f>
        <v>#NUM!</v>
      </c>
      <c r="W423" s="157" t="e">
        <f>IF(INDEX('Logical Group Generator'!W:W,MATCH(U423,'Logical Group Generator'!B:B,0))="REGISTER","REGISTER","BIT")</f>
        <v>#NUM!</v>
      </c>
    </row>
    <row r="424" spans="2:23">
      <c r="B424" s="157" t="str">
        <f>IF(ISERROR(T425),"",CONCATENATE(IF(W425="BIT",$M$2,$M$1),U425,$M$3,BIN2HEX(IF(W425="BIT",INDEX('Logical Group Generator'!H:H,'Script Generator'!T425),INDEX('Logical Group Generator'!L:L,'Script Generator'!T425)),2),IF(ISERROR(T426),$M$5,$M$4)))</f>
        <v/>
      </c>
      <c r="D424" s="215"/>
      <c r="R424" s="215" t="str">
        <f>IF('Logical Group Generator'!W424="FALSE","",IF('Logical Group Generator'!B424="OTP_RSVD_38_03","",'Logical Group Generator'!B424))</f>
        <v/>
      </c>
      <c r="T424" s="157" t="e">
        <f>MATCH(U424,'Logical Group Generator'!B:B,0)</f>
        <v>#NUM!</v>
      </c>
      <c r="U424" s="157" t="e">
        <f t="array" ref="U424">IF(ROWS($3:424)&lt;=COUNTA($R$3:$R$902),INDEX($R$3:$R$902,SMALL(IF($R$3:$R$902&lt;&gt;"",ROW($R$3:$R$902)-MIN(ROW($R$3:$R$902))+1),ROWS($3:424))),"")</f>
        <v>#NUM!</v>
      </c>
      <c r="W424" s="157" t="e">
        <f>IF(INDEX('Logical Group Generator'!W:W,MATCH(U424,'Logical Group Generator'!B:B,0))="REGISTER","REGISTER","BIT")</f>
        <v>#NUM!</v>
      </c>
    </row>
    <row r="425" spans="2:23">
      <c r="B425" s="157" t="str">
        <f>IF(ISERROR(T426),"",CONCATENATE(IF(W426="BIT",$M$2,$M$1),U426,$M$3,BIN2HEX(IF(W426="BIT",INDEX('Logical Group Generator'!H:H,'Script Generator'!T426),INDEX('Logical Group Generator'!L:L,'Script Generator'!T426)),2),IF(ISERROR(T427),$M$5,$M$4)))</f>
        <v/>
      </c>
      <c r="D425" s="215"/>
      <c r="R425" s="215" t="str">
        <f>IF('Logical Group Generator'!W425="FALSE","",IF('Logical Group Generator'!B425="OTP_RSVD_38_03","",'Logical Group Generator'!B425))</f>
        <v/>
      </c>
      <c r="T425" s="157" t="e">
        <f>MATCH(U425,'Logical Group Generator'!B:B,0)</f>
        <v>#NUM!</v>
      </c>
      <c r="U425" s="157" t="e">
        <f t="array" ref="U425">IF(ROWS($3:425)&lt;=COUNTA($R$3:$R$902),INDEX($R$3:$R$902,SMALL(IF($R$3:$R$902&lt;&gt;"",ROW($R$3:$R$902)-MIN(ROW($R$3:$R$902))+1),ROWS($3:425))),"")</f>
        <v>#NUM!</v>
      </c>
      <c r="W425" s="157" t="e">
        <f>IF(INDEX('Logical Group Generator'!W:W,MATCH(U425,'Logical Group Generator'!B:B,0))="REGISTER","REGISTER","BIT")</f>
        <v>#NUM!</v>
      </c>
    </row>
    <row r="426" spans="2:23">
      <c r="B426" s="157" t="str">
        <f>IF(ISERROR(T427),"",CONCATENATE(IF(W427="BIT",$M$2,$M$1),U427,$M$3,BIN2HEX(IF(W427="BIT",INDEX('Logical Group Generator'!H:H,'Script Generator'!T427),INDEX('Logical Group Generator'!L:L,'Script Generator'!T427)),2),IF(ISERROR(T428),$M$5,$M$4)))</f>
        <v/>
      </c>
      <c r="D426" s="215"/>
      <c r="R426" s="215" t="str">
        <f>IF('Logical Group Generator'!W426="FALSE","",IF('Logical Group Generator'!B426="OTP_RSVD_38_03","",'Logical Group Generator'!B426))</f>
        <v/>
      </c>
      <c r="T426" s="157" t="e">
        <f>MATCH(U426,'Logical Group Generator'!B:B,0)</f>
        <v>#NUM!</v>
      </c>
      <c r="U426" s="157" t="e">
        <f t="array" ref="U426">IF(ROWS($3:426)&lt;=COUNTA($R$3:$R$902),INDEX($R$3:$R$902,SMALL(IF($R$3:$R$902&lt;&gt;"",ROW($R$3:$R$902)-MIN(ROW($R$3:$R$902))+1),ROWS($3:426))),"")</f>
        <v>#NUM!</v>
      </c>
      <c r="W426" s="157" t="e">
        <f>IF(INDEX('Logical Group Generator'!W:W,MATCH(U426,'Logical Group Generator'!B:B,0))="REGISTER","REGISTER","BIT")</f>
        <v>#NUM!</v>
      </c>
    </row>
    <row r="427" spans="2:23">
      <c r="B427" s="157" t="str">
        <f>IF(ISERROR(T428),"",CONCATENATE(IF(W428="BIT",$M$2,$M$1),U428,$M$3,BIN2HEX(IF(W428="BIT",INDEX('Logical Group Generator'!H:H,'Script Generator'!T428),INDEX('Logical Group Generator'!L:L,'Script Generator'!T428)),2),IF(ISERROR(T429),$M$5,$M$4)))</f>
        <v/>
      </c>
      <c r="D427" s="215"/>
      <c r="R427" s="215" t="str">
        <f>IF('Logical Group Generator'!W427="FALSE","",IF('Logical Group Generator'!B427="OTP_RSVD_38_03","",'Logical Group Generator'!B427))</f>
        <v/>
      </c>
      <c r="T427" s="157" t="e">
        <f>MATCH(U427,'Logical Group Generator'!B:B,0)</f>
        <v>#NUM!</v>
      </c>
      <c r="U427" s="157" t="e">
        <f t="array" ref="U427">IF(ROWS($3:427)&lt;=COUNTA($R$3:$R$902),INDEX($R$3:$R$902,SMALL(IF($R$3:$R$902&lt;&gt;"",ROW($R$3:$R$902)-MIN(ROW($R$3:$R$902))+1),ROWS($3:427))),"")</f>
        <v>#NUM!</v>
      </c>
      <c r="W427" s="157" t="e">
        <f>IF(INDEX('Logical Group Generator'!W:W,MATCH(U427,'Logical Group Generator'!B:B,0))="REGISTER","REGISTER","BIT")</f>
        <v>#NUM!</v>
      </c>
    </row>
    <row r="428" spans="2:23">
      <c r="B428" s="157" t="str">
        <f>IF(ISERROR(T429),"",CONCATENATE(IF(W429="BIT",$M$2,$M$1),U429,$M$3,BIN2HEX(IF(W429="BIT",INDEX('Logical Group Generator'!H:H,'Script Generator'!T429),INDEX('Logical Group Generator'!L:L,'Script Generator'!T429)),2),IF(ISERROR(T430),$M$5,$M$4)))</f>
        <v/>
      </c>
      <c r="D428" s="215"/>
      <c r="R428" s="215" t="str">
        <f>IF('Logical Group Generator'!W428="FALSE","",IF('Logical Group Generator'!B428="OTP_RSVD_38_03","",'Logical Group Generator'!B428))</f>
        <v/>
      </c>
      <c r="T428" s="157" t="e">
        <f>MATCH(U428,'Logical Group Generator'!B:B,0)</f>
        <v>#NUM!</v>
      </c>
      <c r="U428" s="157" t="e">
        <f t="array" ref="U428">IF(ROWS($3:428)&lt;=COUNTA($R$3:$R$902),INDEX($R$3:$R$902,SMALL(IF($R$3:$R$902&lt;&gt;"",ROW($R$3:$R$902)-MIN(ROW($R$3:$R$902))+1),ROWS($3:428))),"")</f>
        <v>#NUM!</v>
      </c>
      <c r="W428" s="157" t="e">
        <f>IF(INDEX('Logical Group Generator'!W:W,MATCH(U428,'Logical Group Generator'!B:B,0))="REGISTER","REGISTER","BIT")</f>
        <v>#NUM!</v>
      </c>
    </row>
    <row r="429" spans="2:23">
      <c r="B429" s="157" t="str">
        <f>IF(ISERROR(T430),"",CONCATENATE(IF(W430="BIT",$M$2,$M$1),U430,$M$3,BIN2HEX(IF(W430="BIT",INDEX('Logical Group Generator'!H:H,'Script Generator'!T430),INDEX('Logical Group Generator'!L:L,'Script Generator'!T430)),2),IF(ISERROR(T431),$M$5,$M$4)))</f>
        <v/>
      </c>
      <c r="D429" s="215"/>
      <c r="R429" s="215" t="str">
        <f>IF('Logical Group Generator'!W429="FALSE","",IF('Logical Group Generator'!B429="OTP_RSVD_38_03","",'Logical Group Generator'!B429))</f>
        <v/>
      </c>
      <c r="T429" s="157" t="e">
        <f>MATCH(U429,'Logical Group Generator'!B:B,0)</f>
        <v>#NUM!</v>
      </c>
      <c r="U429" s="157" t="e">
        <f t="array" ref="U429">IF(ROWS($3:429)&lt;=COUNTA($R$3:$R$902),INDEX($R$3:$R$902,SMALL(IF($R$3:$R$902&lt;&gt;"",ROW($R$3:$R$902)-MIN(ROW($R$3:$R$902))+1),ROWS($3:429))),"")</f>
        <v>#NUM!</v>
      </c>
      <c r="W429" s="157" t="e">
        <f>IF(INDEX('Logical Group Generator'!W:W,MATCH(U429,'Logical Group Generator'!B:B,0))="REGISTER","REGISTER","BIT")</f>
        <v>#NUM!</v>
      </c>
    </row>
    <row r="430" spans="2:23">
      <c r="B430" s="157" t="str">
        <f>IF(ISERROR(T431),"",CONCATENATE(IF(W431="BIT",$M$2,$M$1),U431,$M$3,BIN2HEX(IF(W431="BIT",INDEX('Logical Group Generator'!H:H,'Script Generator'!T431),INDEX('Logical Group Generator'!L:L,'Script Generator'!T431)),2),IF(ISERROR(T432),$M$5,$M$4)))</f>
        <v/>
      </c>
      <c r="D430" s="215"/>
      <c r="R430" s="215" t="str">
        <f>IF('Logical Group Generator'!W430="FALSE","",IF('Logical Group Generator'!B430="OTP_RSVD_38_03","",'Logical Group Generator'!B430))</f>
        <v/>
      </c>
      <c r="T430" s="157" t="e">
        <f>MATCH(U430,'Logical Group Generator'!B:B,0)</f>
        <v>#NUM!</v>
      </c>
      <c r="U430" s="157" t="e">
        <f t="array" ref="U430">IF(ROWS($3:430)&lt;=COUNTA($R$3:$R$902),INDEX($R$3:$R$902,SMALL(IF($R$3:$R$902&lt;&gt;"",ROW($R$3:$R$902)-MIN(ROW($R$3:$R$902))+1),ROWS($3:430))),"")</f>
        <v>#NUM!</v>
      </c>
      <c r="W430" s="157" t="e">
        <f>IF(INDEX('Logical Group Generator'!W:W,MATCH(U430,'Logical Group Generator'!B:B,0))="REGISTER","REGISTER","BIT")</f>
        <v>#NUM!</v>
      </c>
    </row>
    <row r="431" spans="2:23">
      <c r="B431" s="157" t="str">
        <f>IF(ISERROR(T432),"",CONCATENATE(IF(W432="BIT",$M$2,$M$1),U432,$M$3,BIN2HEX(IF(W432="BIT",INDEX('Logical Group Generator'!H:H,'Script Generator'!T432),INDEX('Logical Group Generator'!L:L,'Script Generator'!T432)),2),IF(ISERROR(T433),$M$5,$M$4)))</f>
        <v/>
      </c>
      <c r="D431" s="215"/>
      <c r="R431" s="215" t="str">
        <f>IF('Logical Group Generator'!W431="FALSE","",IF('Logical Group Generator'!B431="OTP_RSVD_38_03","",'Logical Group Generator'!B431))</f>
        <v/>
      </c>
      <c r="T431" s="157" t="e">
        <f>MATCH(U431,'Logical Group Generator'!B:B,0)</f>
        <v>#NUM!</v>
      </c>
      <c r="U431" s="157" t="e">
        <f t="array" ref="U431">IF(ROWS($3:431)&lt;=COUNTA($R$3:$R$902),INDEX($R$3:$R$902,SMALL(IF($R$3:$R$902&lt;&gt;"",ROW($R$3:$R$902)-MIN(ROW($R$3:$R$902))+1),ROWS($3:431))),"")</f>
        <v>#NUM!</v>
      </c>
      <c r="W431" s="157" t="e">
        <f>IF(INDEX('Logical Group Generator'!W:W,MATCH(U431,'Logical Group Generator'!B:B,0))="REGISTER","REGISTER","BIT")</f>
        <v>#NUM!</v>
      </c>
    </row>
    <row r="432" spans="2:23">
      <c r="B432" s="157" t="str">
        <f>IF(ISERROR(T433),"",CONCATENATE(IF(W433="BIT",$M$2,$M$1),U433,$M$3,BIN2HEX(IF(W433="BIT",INDEX('Logical Group Generator'!H:H,'Script Generator'!T433),INDEX('Logical Group Generator'!L:L,'Script Generator'!T433)),2),IF(ISERROR(T434),$M$5,$M$4)))</f>
        <v/>
      </c>
      <c r="D432" s="215"/>
      <c r="R432" s="215" t="str">
        <f>IF('Logical Group Generator'!W432="FALSE","",IF('Logical Group Generator'!B432="OTP_RSVD_38_03","",'Logical Group Generator'!B432))</f>
        <v>LDOA2_CTRL_EN2</v>
      </c>
      <c r="T432" s="157" t="e">
        <f>MATCH(U432,'Logical Group Generator'!B:B,0)</f>
        <v>#NUM!</v>
      </c>
      <c r="U432" s="157" t="e">
        <f t="array" ref="U432">IF(ROWS($3:432)&lt;=COUNTA($R$3:$R$902),INDEX($R$3:$R$902,SMALL(IF($R$3:$R$902&lt;&gt;"",ROW($R$3:$R$902)-MIN(ROW($R$3:$R$902))+1),ROWS($3:432))),"")</f>
        <v>#NUM!</v>
      </c>
      <c r="W432" s="157" t="e">
        <f>IF(INDEX('Logical Group Generator'!W:W,MATCH(U432,'Logical Group Generator'!B:B,0))="REGISTER","REGISTER","BIT")</f>
        <v>#NUM!</v>
      </c>
    </row>
    <row r="433" spans="2:23">
      <c r="B433" s="157" t="str">
        <f>IF(ISERROR(T434),"",CONCATENATE(IF(W434="BIT",$M$2,$M$1),U434,$M$3,BIN2HEX(IF(W434="BIT",INDEX('Logical Group Generator'!H:H,'Script Generator'!T434),INDEX('Logical Group Generator'!L:L,'Script Generator'!T434)),2),IF(ISERROR(T435),$M$5,$M$4)))</f>
        <v/>
      </c>
      <c r="D433" s="215"/>
      <c r="R433" s="215" t="str">
        <f>IF('Logical Group Generator'!W433="FALSE","",IF('Logical Group Generator'!B433="OTP_RSVD_38_03","",'Logical Group Generator'!B433))</f>
        <v/>
      </c>
      <c r="T433" s="157" t="e">
        <f>MATCH(U433,'Logical Group Generator'!B:B,0)</f>
        <v>#NUM!</v>
      </c>
      <c r="U433" s="157" t="e">
        <f t="array" ref="U433">IF(ROWS($3:433)&lt;=COUNTA($R$3:$R$902),INDEX($R$3:$R$902,SMALL(IF($R$3:$R$902&lt;&gt;"",ROW($R$3:$R$902)-MIN(ROW($R$3:$R$902))+1),ROWS($3:433))),"")</f>
        <v>#NUM!</v>
      </c>
      <c r="W433" s="157" t="e">
        <f>IF(INDEX('Logical Group Generator'!W:W,MATCH(U433,'Logical Group Generator'!B:B,0))="REGISTER","REGISTER","BIT")</f>
        <v>#NUM!</v>
      </c>
    </row>
    <row r="434" spans="2:23">
      <c r="B434" s="157" t="str">
        <f>IF(ISERROR(T435),"",CONCATENATE(IF(W435="BIT",$M$2,$M$1),U435,$M$3,BIN2HEX(IF(W435="BIT",INDEX('Logical Group Generator'!H:H,'Script Generator'!T435),INDEX('Logical Group Generator'!L:L,'Script Generator'!T435)),2),IF(ISERROR(T436),$M$5,$M$4)))</f>
        <v/>
      </c>
      <c r="D434" s="215"/>
      <c r="R434" s="215" t="str">
        <f>IF('Logical Group Generator'!W434="FALSE","",IF('Logical Group Generator'!B434="OTP_RSVD_38_03","",'Logical Group Generator'!B434))</f>
        <v/>
      </c>
      <c r="T434" s="157" t="e">
        <f>MATCH(U434,'Logical Group Generator'!B:B,0)</f>
        <v>#NUM!</v>
      </c>
      <c r="U434" s="157" t="e">
        <f t="array" ref="U434">IF(ROWS($3:434)&lt;=COUNTA($R$3:$R$902),INDEX($R$3:$R$902,SMALL(IF($R$3:$R$902&lt;&gt;"",ROW($R$3:$R$902)-MIN(ROW($R$3:$R$902))+1),ROWS($3:434))),"")</f>
        <v>#NUM!</v>
      </c>
      <c r="W434" s="157" t="e">
        <f>IF(INDEX('Logical Group Generator'!W:W,MATCH(U434,'Logical Group Generator'!B:B,0))="REGISTER","REGISTER","BIT")</f>
        <v>#NUM!</v>
      </c>
    </row>
    <row r="435" spans="2:23">
      <c r="B435" s="157" t="str">
        <f>IF(ISERROR(T436),"",CONCATENATE(IF(W436="BIT",$M$2,$M$1),U436,$M$3,BIN2HEX(IF(W436="BIT",INDEX('Logical Group Generator'!H:H,'Script Generator'!T436),INDEX('Logical Group Generator'!L:L,'Script Generator'!T436)),2),IF(ISERROR(T437),$M$5,$M$4)))</f>
        <v/>
      </c>
      <c r="D435" s="215"/>
      <c r="R435" s="215" t="str">
        <f>IF('Logical Group Generator'!W435="FALSE","",IF('Logical Group Generator'!B435="OTP_RSVD_38_03","",'Logical Group Generator'!B435))</f>
        <v/>
      </c>
      <c r="T435" s="157" t="e">
        <f>MATCH(U435,'Logical Group Generator'!B:B,0)</f>
        <v>#NUM!</v>
      </c>
      <c r="U435" s="157" t="e">
        <f t="array" ref="U435">IF(ROWS($3:435)&lt;=COUNTA($R$3:$R$902),INDEX($R$3:$R$902,SMALL(IF($R$3:$R$902&lt;&gt;"",ROW($R$3:$R$902)-MIN(ROW($R$3:$R$902))+1),ROWS($3:435))),"")</f>
        <v>#NUM!</v>
      </c>
      <c r="W435" s="157" t="e">
        <f>IF(INDEX('Logical Group Generator'!W:W,MATCH(U435,'Logical Group Generator'!B:B,0))="REGISTER","REGISTER","BIT")</f>
        <v>#NUM!</v>
      </c>
    </row>
    <row r="436" spans="2:23">
      <c r="B436" s="157" t="str">
        <f>IF(ISERROR(T437),"",CONCATENATE(IF(W437="BIT",$M$2,$M$1),U437,$M$3,BIN2HEX(IF(W437="BIT",INDEX('Logical Group Generator'!H:H,'Script Generator'!T437),INDEX('Logical Group Generator'!L:L,'Script Generator'!T437)),2),IF(ISERROR(T438),$M$5,$M$4)))</f>
        <v/>
      </c>
      <c r="D436" s="215"/>
      <c r="R436" s="215" t="str">
        <f>IF('Logical Group Generator'!W436="FALSE","",IF('Logical Group Generator'!B436="OTP_RSVD_38_03","",'Logical Group Generator'!B436))</f>
        <v/>
      </c>
      <c r="T436" s="157" t="e">
        <f>MATCH(U436,'Logical Group Generator'!B:B,0)</f>
        <v>#NUM!</v>
      </c>
      <c r="U436" s="157" t="e">
        <f t="array" ref="U436">IF(ROWS($3:436)&lt;=COUNTA($R$3:$R$902),INDEX($R$3:$R$902,SMALL(IF($R$3:$R$902&lt;&gt;"",ROW($R$3:$R$902)-MIN(ROW($R$3:$R$902))+1),ROWS($3:436))),"")</f>
        <v>#NUM!</v>
      </c>
      <c r="W436" s="157" t="e">
        <f>IF(INDEX('Logical Group Generator'!W:W,MATCH(U436,'Logical Group Generator'!B:B,0))="REGISTER","REGISTER","BIT")</f>
        <v>#NUM!</v>
      </c>
    </row>
    <row r="437" spans="2:23">
      <c r="B437" s="157" t="str">
        <f>IF(ISERROR(T438),"",CONCATENATE(IF(W438="BIT",$M$2,$M$1),U438,$M$3,BIN2HEX(IF(W438="BIT",INDEX('Logical Group Generator'!H:H,'Script Generator'!T438),INDEX('Logical Group Generator'!L:L,'Script Generator'!T438)),2),IF(ISERROR(T439),$M$5,$M$4)))</f>
        <v/>
      </c>
      <c r="D437" s="215"/>
      <c r="R437" s="215" t="str">
        <f>IF('Logical Group Generator'!W437="FALSE","",IF('Logical Group Generator'!B437="OTP_RSVD_38_03","",'Logical Group Generator'!B437))</f>
        <v/>
      </c>
      <c r="T437" s="157" t="e">
        <f>MATCH(U437,'Logical Group Generator'!B:B,0)</f>
        <v>#NUM!</v>
      </c>
      <c r="U437" s="157" t="e">
        <f t="array" ref="U437">IF(ROWS($3:437)&lt;=COUNTA($R$3:$R$902),INDEX($R$3:$R$902,SMALL(IF($R$3:$R$902&lt;&gt;"",ROW($R$3:$R$902)-MIN(ROW($R$3:$R$902))+1),ROWS($3:437))),"")</f>
        <v>#NUM!</v>
      </c>
      <c r="W437" s="157" t="e">
        <f>IF(INDEX('Logical Group Generator'!W:W,MATCH(U437,'Logical Group Generator'!B:B,0))="REGISTER","REGISTER","BIT")</f>
        <v>#NUM!</v>
      </c>
    </row>
    <row r="438" spans="2:23">
      <c r="B438" s="157" t="str">
        <f>IF(ISERROR(T439),"",CONCATENATE(IF(W439="BIT",$M$2,$M$1),U439,$M$3,BIN2HEX(IF(W439="BIT",INDEX('Logical Group Generator'!H:H,'Script Generator'!T439),INDEX('Logical Group Generator'!L:L,'Script Generator'!T439)),2),IF(ISERROR(T440),$M$5,$M$4)))</f>
        <v/>
      </c>
      <c r="D438" s="215"/>
      <c r="R438" s="215" t="str">
        <f>IF('Logical Group Generator'!W438="FALSE","",IF('Logical Group Generator'!B438="OTP_RSVD_38_03","",'Logical Group Generator'!B438))</f>
        <v/>
      </c>
      <c r="T438" s="157" t="e">
        <f>MATCH(U438,'Logical Group Generator'!B:B,0)</f>
        <v>#NUM!</v>
      </c>
      <c r="U438" s="157" t="e">
        <f t="array" ref="U438">IF(ROWS($3:438)&lt;=COUNTA($R$3:$R$902),INDEX($R$3:$R$902,SMALL(IF($R$3:$R$902&lt;&gt;"",ROW($R$3:$R$902)-MIN(ROW($R$3:$R$902))+1),ROWS($3:438))),"")</f>
        <v>#NUM!</v>
      </c>
      <c r="W438" s="157" t="e">
        <f>IF(INDEX('Logical Group Generator'!W:W,MATCH(U438,'Logical Group Generator'!B:B,0))="REGISTER","REGISTER","BIT")</f>
        <v>#NUM!</v>
      </c>
    </row>
    <row r="439" spans="2:23">
      <c r="B439" s="157" t="str">
        <f>IF(ISERROR(T440),"",CONCATENATE(IF(W440="BIT",$M$2,$M$1),U440,$M$3,BIN2HEX(IF(W440="BIT",INDEX('Logical Group Generator'!H:H,'Script Generator'!T440),INDEX('Logical Group Generator'!L:L,'Script Generator'!T440)),2),IF(ISERROR(T441),$M$5,$M$4)))</f>
        <v/>
      </c>
      <c r="D439" s="215"/>
      <c r="R439" s="215" t="str">
        <f>IF('Logical Group Generator'!W439="FALSE","",IF('Logical Group Generator'!B439="OTP_RSVD_38_03","",'Logical Group Generator'!B439))</f>
        <v>LDOA2_CTRL_EN3</v>
      </c>
      <c r="T439" s="157" t="e">
        <f>MATCH(U439,'Logical Group Generator'!B:B,0)</f>
        <v>#NUM!</v>
      </c>
      <c r="U439" s="157" t="e">
        <f t="array" ref="U439">IF(ROWS($3:439)&lt;=COUNTA($R$3:$R$902),INDEX($R$3:$R$902,SMALL(IF($R$3:$R$902&lt;&gt;"",ROW($R$3:$R$902)-MIN(ROW($R$3:$R$902))+1),ROWS($3:439))),"")</f>
        <v>#NUM!</v>
      </c>
      <c r="W439" s="157" t="e">
        <f>IF(INDEX('Logical Group Generator'!W:W,MATCH(U439,'Logical Group Generator'!B:B,0))="REGISTER","REGISTER","BIT")</f>
        <v>#NUM!</v>
      </c>
    </row>
    <row r="440" spans="2:23">
      <c r="B440" s="157" t="str">
        <f>IF(ISERROR(T441),"",CONCATENATE(IF(W441="BIT",$M$2,$M$1),U441,$M$3,BIN2HEX(IF(W441="BIT",INDEX('Logical Group Generator'!H:H,'Script Generator'!T441),INDEX('Logical Group Generator'!L:L,'Script Generator'!T441)),2),IF(ISERROR(T442),$M$5,$M$4)))</f>
        <v/>
      </c>
      <c r="D440" s="215"/>
      <c r="R440" s="215" t="str">
        <f>IF('Logical Group Generator'!W440="FALSE","",IF('Logical Group Generator'!B440="OTP_RSVD_38_03","",'Logical Group Generator'!B440))</f>
        <v/>
      </c>
      <c r="T440" s="157" t="e">
        <f>MATCH(U440,'Logical Group Generator'!B:B,0)</f>
        <v>#NUM!</v>
      </c>
      <c r="U440" s="157" t="e">
        <f t="array" ref="U440">IF(ROWS($3:440)&lt;=COUNTA($R$3:$R$902),INDEX($R$3:$R$902,SMALL(IF($R$3:$R$902&lt;&gt;"",ROW($R$3:$R$902)-MIN(ROW($R$3:$R$902))+1),ROWS($3:440))),"")</f>
        <v>#NUM!</v>
      </c>
      <c r="W440" s="157" t="e">
        <f>IF(INDEX('Logical Group Generator'!W:W,MATCH(U440,'Logical Group Generator'!B:B,0))="REGISTER","REGISTER","BIT")</f>
        <v>#NUM!</v>
      </c>
    </row>
    <row r="441" spans="2:23">
      <c r="B441" s="157" t="str">
        <f>IF(ISERROR(T442),"",CONCATENATE(IF(W442="BIT",$M$2,$M$1),U442,$M$3,BIN2HEX(IF(W442="BIT",INDEX('Logical Group Generator'!H:H,'Script Generator'!T442),INDEX('Logical Group Generator'!L:L,'Script Generator'!T442)),2),IF(ISERROR(T443),$M$5,$M$4)))</f>
        <v/>
      </c>
      <c r="D441" s="215"/>
      <c r="R441" s="215" t="str">
        <f>IF('Logical Group Generator'!W441="FALSE","",IF('Logical Group Generator'!B441="OTP_RSVD_38_03","",'Logical Group Generator'!B441))</f>
        <v/>
      </c>
      <c r="T441" s="157" t="e">
        <f>MATCH(U441,'Logical Group Generator'!B:B,0)</f>
        <v>#NUM!</v>
      </c>
      <c r="U441" s="157" t="e">
        <f t="array" ref="U441">IF(ROWS($3:441)&lt;=COUNTA($R$3:$R$902),INDEX($R$3:$R$902,SMALL(IF($R$3:$R$902&lt;&gt;"",ROW($R$3:$R$902)-MIN(ROW($R$3:$R$902))+1),ROWS($3:441))),"")</f>
        <v>#NUM!</v>
      </c>
      <c r="W441" s="157" t="e">
        <f>IF(INDEX('Logical Group Generator'!W:W,MATCH(U441,'Logical Group Generator'!B:B,0))="REGISTER","REGISTER","BIT")</f>
        <v>#NUM!</v>
      </c>
    </row>
    <row r="442" spans="2:23">
      <c r="B442" s="157" t="str">
        <f>IF(ISERROR(T443),"",CONCATENATE(IF(W443="BIT",$M$2,$M$1),U443,$M$3,BIN2HEX(IF(W443="BIT",INDEX('Logical Group Generator'!H:H,'Script Generator'!T443),INDEX('Logical Group Generator'!L:L,'Script Generator'!T443)),2),IF(ISERROR(T444),$M$5,$M$4)))</f>
        <v/>
      </c>
      <c r="D442" s="215"/>
      <c r="R442" s="215" t="str">
        <f>IF('Logical Group Generator'!W442="FALSE","",IF('Logical Group Generator'!B442="OTP_RSVD_38_03","",'Logical Group Generator'!B442))</f>
        <v/>
      </c>
      <c r="T442" s="157" t="e">
        <f>MATCH(U442,'Logical Group Generator'!B:B,0)</f>
        <v>#NUM!</v>
      </c>
      <c r="U442" s="157" t="e">
        <f t="array" ref="U442">IF(ROWS($3:442)&lt;=COUNTA($R$3:$R$902),INDEX($R$3:$R$902,SMALL(IF($R$3:$R$902&lt;&gt;"",ROW($R$3:$R$902)-MIN(ROW($R$3:$R$902))+1),ROWS($3:442))),"")</f>
        <v>#NUM!</v>
      </c>
      <c r="W442" s="157" t="e">
        <f>IF(INDEX('Logical Group Generator'!W:W,MATCH(U442,'Logical Group Generator'!B:B,0))="REGISTER","REGISTER","BIT")</f>
        <v>#NUM!</v>
      </c>
    </row>
    <row r="443" spans="2:23">
      <c r="B443" s="157" t="str">
        <f>IF(ISERROR(T444),"",CONCATENATE(IF(W444="BIT",$M$2,$M$1),U444,$M$3,BIN2HEX(IF(W444="BIT",INDEX('Logical Group Generator'!H:H,'Script Generator'!T444),INDEX('Logical Group Generator'!L:L,'Script Generator'!T444)),2),IF(ISERROR(T445),$M$5,$M$4)))</f>
        <v/>
      </c>
      <c r="D443" s="215"/>
      <c r="R443" s="215" t="str">
        <f>IF('Logical Group Generator'!W443="FALSE","",IF('Logical Group Generator'!B443="OTP_RSVD_38_03","",'Logical Group Generator'!B443))</f>
        <v>LDOA3_CTRL_EN1</v>
      </c>
      <c r="T443" s="157" t="e">
        <f>MATCH(U443,'Logical Group Generator'!B:B,0)</f>
        <v>#NUM!</v>
      </c>
      <c r="U443" s="157" t="e">
        <f t="array" ref="U443">IF(ROWS($3:443)&lt;=COUNTA($R$3:$R$902),INDEX($R$3:$R$902,SMALL(IF($R$3:$R$902&lt;&gt;"",ROW($R$3:$R$902)-MIN(ROW($R$3:$R$902))+1),ROWS($3:443))),"")</f>
        <v>#NUM!</v>
      </c>
      <c r="W443" s="157" t="e">
        <f>IF(INDEX('Logical Group Generator'!W:W,MATCH(U443,'Logical Group Generator'!B:B,0))="REGISTER","REGISTER","BIT")</f>
        <v>#NUM!</v>
      </c>
    </row>
    <row r="444" spans="2:23">
      <c r="B444" s="157" t="str">
        <f>IF(ISERROR(T445),"",CONCATENATE(IF(W445="BIT",$M$2,$M$1),U445,$M$3,BIN2HEX(IF(W445="BIT",INDEX('Logical Group Generator'!H:H,'Script Generator'!T445),INDEX('Logical Group Generator'!L:L,'Script Generator'!T445)),2),IF(ISERROR(T446),$M$5,$M$4)))</f>
        <v/>
      </c>
      <c r="D444" s="215"/>
      <c r="R444" s="215" t="str">
        <f>IF('Logical Group Generator'!W444="FALSE","",IF('Logical Group Generator'!B444="OTP_RSVD_38_03","",'Logical Group Generator'!B444))</f>
        <v/>
      </c>
      <c r="T444" s="157" t="e">
        <f>MATCH(U444,'Logical Group Generator'!B:B,0)</f>
        <v>#NUM!</v>
      </c>
      <c r="U444" s="157" t="e">
        <f t="array" ref="U444">IF(ROWS($3:444)&lt;=COUNTA($R$3:$R$902),INDEX($R$3:$R$902,SMALL(IF($R$3:$R$902&lt;&gt;"",ROW($R$3:$R$902)-MIN(ROW($R$3:$R$902))+1),ROWS($3:444))),"")</f>
        <v>#NUM!</v>
      </c>
      <c r="W444" s="157" t="e">
        <f>IF(INDEX('Logical Group Generator'!W:W,MATCH(U444,'Logical Group Generator'!B:B,0))="REGISTER","REGISTER","BIT")</f>
        <v>#NUM!</v>
      </c>
    </row>
    <row r="445" spans="2:23">
      <c r="B445" s="157" t="str">
        <f>IF(ISERROR(T446),"",CONCATENATE(IF(W446="BIT",$M$2,$M$1),U446,$M$3,BIN2HEX(IF(W446="BIT",INDEX('Logical Group Generator'!H:H,'Script Generator'!T446),INDEX('Logical Group Generator'!L:L,'Script Generator'!T446)),2),IF(ISERROR(T447),$M$5,$M$4)))</f>
        <v/>
      </c>
      <c r="D445" s="215"/>
      <c r="R445" s="215" t="str">
        <f>IF('Logical Group Generator'!W445="FALSE","",IF('Logical Group Generator'!B445="OTP_RSVD_38_03","",'Logical Group Generator'!B445))</f>
        <v/>
      </c>
      <c r="T445" s="157" t="e">
        <f>MATCH(U445,'Logical Group Generator'!B:B,0)</f>
        <v>#NUM!</v>
      </c>
      <c r="U445" s="157" t="e">
        <f t="array" ref="U445">IF(ROWS($3:445)&lt;=COUNTA($R$3:$R$902),INDEX($R$3:$R$902,SMALL(IF($R$3:$R$902&lt;&gt;"",ROW($R$3:$R$902)-MIN(ROW($R$3:$R$902))+1),ROWS($3:445))),"")</f>
        <v>#NUM!</v>
      </c>
      <c r="W445" s="157" t="e">
        <f>IF(INDEX('Logical Group Generator'!W:W,MATCH(U445,'Logical Group Generator'!B:B,0))="REGISTER","REGISTER","BIT")</f>
        <v>#NUM!</v>
      </c>
    </row>
    <row r="446" spans="2:23">
      <c r="B446" s="157" t="str">
        <f>IF(ISERROR(T447),"",CONCATENATE(IF(W447="BIT",$M$2,$M$1),U447,$M$3,BIN2HEX(IF(W447="BIT",INDEX('Logical Group Generator'!H:H,'Script Generator'!T447),INDEX('Logical Group Generator'!L:L,'Script Generator'!T447)),2),IF(ISERROR(T448),$M$5,$M$4)))</f>
        <v/>
      </c>
      <c r="D446" s="215"/>
      <c r="R446" s="215" t="str">
        <f>IF('Logical Group Generator'!W446="FALSE","",IF('Logical Group Generator'!B446="OTP_RSVD_38_03","",'Logical Group Generator'!B446))</f>
        <v/>
      </c>
      <c r="T446" s="157" t="e">
        <f>MATCH(U446,'Logical Group Generator'!B:B,0)</f>
        <v>#NUM!</v>
      </c>
      <c r="U446" s="157" t="e">
        <f t="array" ref="U446">IF(ROWS($3:446)&lt;=COUNTA($R$3:$R$902),INDEX($R$3:$R$902,SMALL(IF($R$3:$R$902&lt;&gt;"",ROW($R$3:$R$902)-MIN(ROW($R$3:$R$902))+1),ROWS($3:446))),"")</f>
        <v>#NUM!</v>
      </c>
      <c r="W446" s="157" t="e">
        <f>IF(INDEX('Logical Group Generator'!W:W,MATCH(U446,'Logical Group Generator'!B:B,0))="REGISTER","REGISTER","BIT")</f>
        <v>#NUM!</v>
      </c>
    </row>
    <row r="447" spans="2:23">
      <c r="B447" s="157" t="str">
        <f>IF(ISERROR(T448),"",CONCATENATE(IF(W448="BIT",$M$2,$M$1),U448,$M$3,BIN2HEX(IF(W448="BIT",INDEX('Logical Group Generator'!H:H,'Script Generator'!T448),INDEX('Logical Group Generator'!L:L,'Script Generator'!T448)),2),IF(ISERROR(T449),$M$5,$M$4)))</f>
        <v/>
      </c>
      <c r="D447" s="215"/>
      <c r="R447" s="215" t="str">
        <f>IF('Logical Group Generator'!W447="FALSE","",IF('Logical Group Generator'!B447="OTP_RSVD_38_03","",'Logical Group Generator'!B447))</f>
        <v/>
      </c>
      <c r="T447" s="157" t="e">
        <f>MATCH(U447,'Logical Group Generator'!B:B,0)</f>
        <v>#NUM!</v>
      </c>
      <c r="U447" s="157" t="e">
        <f t="array" ref="U447">IF(ROWS($3:447)&lt;=COUNTA($R$3:$R$902),INDEX($R$3:$R$902,SMALL(IF($R$3:$R$902&lt;&gt;"",ROW($R$3:$R$902)-MIN(ROW($R$3:$R$902))+1),ROWS($3:447))),"")</f>
        <v>#NUM!</v>
      </c>
      <c r="W447" s="157" t="e">
        <f>IF(INDEX('Logical Group Generator'!W:W,MATCH(U447,'Logical Group Generator'!B:B,0))="REGISTER","REGISTER","BIT")</f>
        <v>#NUM!</v>
      </c>
    </row>
    <row r="448" spans="2:23">
      <c r="B448" s="157" t="str">
        <f>IF(ISERROR(T449),"",CONCATENATE(IF(W449="BIT",$M$2,$M$1),U449,$M$3,BIN2HEX(IF(W449="BIT",INDEX('Logical Group Generator'!H:H,'Script Generator'!T449),INDEX('Logical Group Generator'!L:L,'Script Generator'!T449)),2),IF(ISERROR(T450),$M$5,$M$4)))</f>
        <v/>
      </c>
      <c r="D448" s="215"/>
      <c r="R448" s="215" t="str">
        <f>IF('Logical Group Generator'!W448="FALSE","",IF('Logical Group Generator'!B448="OTP_RSVD_38_03","",'Logical Group Generator'!B448))</f>
        <v/>
      </c>
      <c r="T448" s="157" t="e">
        <f>MATCH(U448,'Logical Group Generator'!B:B,0)</f>
        <v>#NUM!</v>
      </c>
      <c r="U448" s="157" t="e">
        <f t="array" ref="U448">IF(ROWS($3:448)&lt;=COUNTA($R$3:$R$902),INDEX($R$3:$R$902,SMALL(IF($R$3:$R$902&lt;&gt;"",ROW($R$3:$R$902)-MIN(ROW($R$3:$R$902))+1),ROWS($3:448))),"")</f>
        <v>#NUM!</v>
      </c>
      <c r="W448" s="157" t="e">
        <f>IF(INDEX('Logical Group Generator'!W:W,MATCH(U448,'Logical Group Generator'!B:B,0))="REGISTER","REGISTER","BIT")</f>
        <v>#NUM!</v>
      </c>
    </row>
    <row r="449" spans="2:23">
      <c r="B449" s="157" t="str">
        <f>IF(ISERROR(T450),"",CONCATENATE(IF(W450="BIT",$M$2,$M$1),U450,$M$3,BIN2HEX(IF(W450="BIT",INDEX('Logical Group Generator'!H:H,'Script Generator'!T450),INDEX('Logical Group Generator'!L:L,'Script Generator'!T450)),2),IF(ISERROR(T451),$M$5,$M$4)))</f>
        <v/>
      </c>
      <c r="D449" s="215"/>
      <c r="R449" s="215" t="str">
        <f>IF('Logical Group Generator'!W449="FALSE","",IF('Logical Group Generator'!B449="OTP_RSVD_38_03","",'Logical Group Generator'!B449))</f>
        <v/>
      </c>
      <c r="T449" s="157" t="e">
        <f>MATCH(U449,'Logical Group Generator'!B:B,0)</f>
        <v>#NUM!</v>
      </c>
      <c r="U449" s="157" t="e">
        <f t="array" ref="U449">IF(ROWS($3:449)&lt;=COUNTA($R$3:$R$902),INDEX($R$3:$R$902,SMALL(IF($R$3:$R$902&lt;&gt;"",ROW($R$3:$R$902)-MIN(ROW($R$3:$R$902))+1),ROWS($3:449))),"")</f>
        <v>#NUM!</v>
      </c>
      <c r="W449" s="157" t="e">
        <f>IF(INDEX('Logical Group Generator'!W:W,MATCH(U449,'Logical Group Generator'!B:B,0))="REGISTER","REGISTER","BIT")</f>
        <v>#NUM!</v>
      </c>
    </row>
    <row r="450" spans="2:23">
      <c r="B450" s="157" t="str">
        <f>IF(ISERROR(T451),"",CONCATENATE(IF(W451="BIT",$M$2,$M$1),U451,$M$3,BIN2HEX(IF(W451="BIT",INDEX('Logical Group Generator'!H:H,'Script Generator'!T451),INDEX('Logical Group Generator'!L:L,'Script Generator'!T451)),2),IF(ISERROR(T452),$M$5,$M$4)))</f>
        <v/>
      </c>
      <c r="D450" s="215"/>
      <c r="R450" s="215" t="str">
        <f>IF('Logical Group Generator'!W450="FALSE","",IF('Logical Group Generator'!B450="OTP_RSVD_38_03","",'Logical Group Generator'!B450))</f>
        <v/>
      </c>
      <c r="T450" s="157" t="e">
        <f>MATCH(U450,'Logical Group Generator'!B:B,0)</f>
        <v>#NUM!</v>
      </c>
      <c r="U450" s="157" t="e">
        <f t="array" ref="U450">IF(ROWS($3:450)&lt;=COUNTA($R$3:$R$902),INDEX($R$3:$R$902,SMALL(IF($R$3:$R$902&lt;&gt;"",ROW($R$3:$R$902)-MIN(ROW($R$3:$R$902))+1),ROWS($3:450))),"")</f>
        <v>#NUM!</v>
      </c>
      <c r="W450" s="157" t="e">
        <f>IF(INDEX('Logical Group Generator'!W:W,MATCH(U450,'Logical Group Generator'!B:B,0))="REGISTER","REGISTER","BIT")</f>
        <v>#NUM!</v>
      </c>
    </row>
    <row r="451" spans="2:23">
      <c r="B451" s="157" t="str">
        <f>IF(ISERROR(T452),"",CONCATENATE(IF(W452="BIT",$M$2,$M$1),U452,$M$3,BIN2HEX(IF(W452="BIT",INDEX('Logical Group Generator'!H:H,'Script Generator'!T452),INDEX('Logical Group Generator'!L:L,'Script Generator'!T452)),2),IF(ISERROR(T453),$M$5,$M$4)))</f>
        <v/>
      </c>
      <c r="D451" s="215"/>
      <c r="R451" s="215" t="str">
        <f>IF('Logical Group Generator'!W451="FALSE","",IF('Logical Group Generator'!B451="OTP_RSVD_38_03","",'Logical Group Generator'!B451))</f>
        <v/>
      </c>
      <c r="T451" s="157" t="e">
        <f>MATCH(U451,'Logical Group Generator'!B:B,0)</f>
        <v>#NUM!</v>
      </c>
      <c r="U451" s="157" t="e">
        <f t="array" ref="U451">IF(ROWS($3:451)&lt;=COUNTA($R$3:$R$902),INDEX($R$3:$R$902,SMALL(IF($R$3:$R$902&lt;&gt;"",ROW($R$3:$R$902)-MIN(ROW($R$3:$R$902))+1),ROWS($3:451))),"")</f>
        <v>#NUM!</v>
      </c>
      <c r="W451" s="157" t="e">
        <f>IF(INDEX('Logical Group Generator'!W:W,MATCH(U451,'Logical Group Generator'!B:B,0))="REGISTER","REGISTER","BIT")</f>
        <v>#NUM!</v>
      </c>
    </row>
    <row r="452" spans="2:23">
      <c r="B452" s="157" t="str">
        <f>IF(ISERROR(T453),"",CONCATENATE(IF(W453="BIT",$M$2,$M$1),U453,$M$3,BIN2HEX(IF(W453="BIT",INDEX('Logical Group Generator'!H:H,'Script Generator'!T453),INDEX('Logical Group Generator'!L:L,'Script Generator'!T453)),2),IF(ISERROR(T454),$M$5,$M$4)))</f>
        <v/>
      </c>
      <c r="D452" s="215"/>
      <c r="R452" s="215" t="str">
        <f>IF('Logical Group Generator'!W452="FALSE","",IF('Logical Group Generator'!B452="OTP_RSVD_38_03","",'Logical Group Generator'!B452))</f>
        <v>LDOA3_CTRL_EN2</v>
      </c>
      <c r="T452" s="157" t="e">
        <f>MATCH(U452,'Logical Group Generator'!B:B,0)</f>
        <v>#NUM!</v>
      </c>
      <c r="U452" s="157" t="e">
        <f t="array" ref="U452">IF(ROWS($3:452)&lt;=COUNTA($R$3:$R$902),INDEX($R$3:$R$902,SMALL(IF($R$3:$R$902&lt;&gt;"",ROW($R$3:$R$902)-MIN(ROW($R$3:$R$902))+1),ROWS($3:452))),"")</f>
        <v>#NUM!</v>
      </c>
      <c r="W452" s="157" t="e">
        <f>IF(INDEX('Logical Group Generator'!W:W,MATCH(U452,'Logical Group Generator'!B:B,0))="REGISTER","REGISTER","BIT")</f>
        <v>#NUM!</v>
      </c>
    </row>
    <row r="453" spans="2:23">
      <c r="B453" s="157" t="str">
        <f>IF(ISERROR(T454),"",CONCATENATE(IF(W454="BIT",$M$2,$M$1),U454,$M$3,BIN2HEX(IF(W454="BIT",INDEX('Logical Group Generator'!H:H,'Script Generator'!T454),INDEX('Logical Group Generator'!L:L,'Script Generator'!T454)),2),IF(ISERROR(T455),$M$5,$M$4)))</f>
        <v/>
      </c>
      <c r="D453" s="215"/>
      <c r="R453" s="215" t="str">
        <f>IF('Logical Group Generator'!W453="FALSE","",IF('Logical Group Generator'!B453="OTP_RSVD_38_03","",'Logical Group Generator'!B453))</f>
        <v/>
      </c>
      <c r="T453" s="157" t="e">
        <f>MATCH(U453,'Logical Group Generator'!B:B,0)</f>
        <v>#NUM!</v>
      </c>
      <c r="U453" s="157" t="e">
        <f t="array" ref="U453">IF(ROWS($3:453)&lt;=COUNTA($R$3:$R$902),INDEX($R$3:$R$902,SMALL(IF($R$3:$R$902&lt;&gt;"",ROW($R$3:$R$902)-MIN(ROW($R$3:$R$902))+1),ROWS($3:453))),"")</f>
        <v>#NUM!</v>
      </c>
      <c r="W453" s="157" t="e">
        <f>IF(INDEX('Logical Group Generator'!W:W,MATCH(U453,'Logical Group Generator'!B:B,0))="REGISTER","REGISTER","BIT")</f>
        <v>#NUM!</v>
      </c>
    </row>
    <row r="454" spans="2:23">
      <c r="B454" s="157" t="str">
        <f>IF(ISERROR(T455),"",CONCATENATE(IF(W455="BIT",$M$2,$M$1),U455,$M$3,BIN2HEX(IF(W455="BIT",INDEX('Logical Group Generator'!H:H,'Script Generator'!T455),INDEX('Logical Group Generator'!L:L,'Script Generator'!T455)),2),IF(ISERROR(T456),$M$5,$M$4)))</f>
        <v/>
      </c>
      <c r="D454" s="215"/>
      <c r="R454" s="215" t="str">
        <f>IF('Logical Group Generator'!W454="FALSE","",IF('Logical Group Generator'!B454="OTP_RSVD_38_03","",'Logical Group Generator'!B454))</f>
        <v/>
      </c>
      <c r="T454" s="157" t="e">
        <f>MATCH(U454,'Logical Group Generator'!B:B,0)</f>
        <v>#NUM!</v>
      </c>
      <c r="U454" s="157" t="e">
        <f t="array" ref="U454">IF(ROWS($3:454)&lt;=COUNTA($R$3:$R$902),INDEX($R$3:$R$902,SMALL(IF($R$3:$R$902&lt;&gt;"",ROW($R$3:$R$902)-MIN(ROW($R$3:$R$902))+1),ROWS($3:454))),"")</f>
        <v>#NUM!</v>
      </c>
      <c r="W454" s="157" t="e">
        <f>IF(INDEX('Logical Group Generator'!W:W,MATCH(U454,'Logical Group Generator'!B:B,0))="REGISTER","REGISTER","BIT")</f>
        <v>#NUM!</v>
      </c>
    </row>
    <row r="455" spans="2:23">
      <c r="B455" s="157" t="str">
        <f>IF(ISERROR(T456),"",CONCATENATE(IF(W456="BIT",$M$2,$M$1),U456,$M$3,BIN2HEX(IF(W456="BIT",INDEX('Logical Group Generator'!H:H,'Script Generator'!T456),INDEX('Logical Group Generator'!L:L,'Script Generator'!T456)),2),IF(ISERROR(T457),$M$5,$M$4)))</f>
        <v/>
      </c>
      <c r="D455" s="215"/>
      <c r="R455" s="215" t="str">
        <f>IF('Logical Group Generator'!W455="FALSE","",IF('Logical Group Generator'!B455="OTP_RSVD_38_03","",'Logical Group Generator'!B455))</f>
        <v/>
      </c>
      <c r="T455" s="157" t="e">
        <f>MATCH(U455,'Logical Group Generator'!B:B,0)</f>
        <v>#NUM!</v>
      </c>
      <c r="U455" s="157" t="e">
        <f t="array" ref="U455">IF(ROWS($3:455)&lt;=COUNTA($R$3:$R$902),INDEX($R$3:$R$902,SMALL(IF($R$3:$R$902&lt;&gt;"",ROW($R$3:$R$902)-MIN(ROW($R$3:$R$902))+1),ROWS($3:455))),"")</f>
        <v>#NUM!</v>
      </c>
      <c r="W455" s="157" t="e">
        <f>IF(INDEX('Logical Group Generator'!W:W,MATCH(U455,'Logical Group Generator'!B:B,0))="REGISTER","REGISTER","BIT")</f>
        <v>#NUM!</v>
      </c>
    </row>
    <row r="456" spans="2:23">
      <c r="B456" s="157" t="str">
        <f>IF(ISERROR(T457),"",CONCATENATE(IF(W457="BIT",$M$2,$M$1),U457,$M$3,BIN2HEX(IF(W457="BIT",INDEX('Logical Group Generator'!H:H,'Script Generator'!T457),INDEX('Logical Group Generator'!L:L,'Script Generator'!T457)),2),IF(ISERROR(T458),$M$5,$M$4)))</f>
        <v/>
      </c>
      <c r="D456" s="215"/>
      <c r="R456" s="215" t="str">
        <f>IF('Logical Group Generator'!W456="FALSE","",IF('Logical Group Generator'!B456="OTP_RSVD_38_03","",'Logical Group Generator'!B456))</f>
        <v/>
      </c>
      <c r="T456" s="157" t="e">
        <f>MATCH(U456,'Logical Group Generator'!B:B,0)</f>
        <v>#NUM!</v>
      </c>
      <c r="U456" s="157" t="e">
        <f t="array" ref="U456">IF(ROWS($3:456)&lt;=COUNTA($R$3:$R$902),INDEX($R$3:$R$902,SMALL(IF($R$3:$R$902&lt;&gt;"",ROW($R$3:$R$902)-MIN(ROW($R$3:$R$902))+1),ROWS($3:456))),"")</f>
        <v>#NUM!</v>
      </c>
      <c r="W456" s="157" t="e">
        <f>IF(INDEX('Logical Group Generator'!W:W,MATCH(U456,'Logical Group Generator'!B:B,0))="REGISTER","REGISTER","BIT")</f>
        <v>#NUM!</v>
      </c>
    </row>
    <row r="457" spans="2:23">
      <c r="B457" s="157" t="str">
        <f>IF(ISERROR(T458),"",CONCATENATE(IF(W458="BIT",$M$2,$M$1),U458,$M$3,BIN2HEX(IF(W458="BIT",INDEX('Logical Group Generator'!H:H,'Script Generator'!T458),INDEX('Logical Group Generator'!L:L,'Script Generator'!T458)),2),IF(ISERROR(T459),$M$5,$M$4)))</f>
        <v/>
      </c>
      <c r="D457" s="215"/>
      <c r="R457" s="215" t="str">
        <f>IF('Logical Group Generator'!W457="FALSE","",IF('Logical Group Generator'!B457="OTP_RSVD_38_03","",'Logical Group Generator'!B457))</f>
        <v/>
      </c>
      <c r="T457" s="157" t="e">
        <f>MATCH(U457,'Logical Group Generator'!B:B,0)</f>
        <v>#NUM!</v>
      </c>
      <c r="U457" s="157" t="e">
        <f t="array" ref="U457">IF(ROWS($3:457)&lt;=COUNTA($R$3:$R$902),INDEX($R$3:$R$902,SMALL(IF($R$3:$R$902&lt;&gt;"",ROW($R$3:$R$902)-MIN(ROW($R$3:$R$902))+1),ROWS($3:457))),"")</f>
        <v>#NUM!</v>
      </c>
      <c r="W457" s="157" t="e">
        <f>IF(INDEX('Logical Group Generator'!W:W,MATCH(U457,'Logical Group Generator'!B:B,0))="REGISTER","REGISTER","BIT")</f>
        <v>#NUM!</v>
      </c>
    </row>
    <row r="458" spans="2:23">
      <c r="B458" s="157" t="str">
        <f>IF(ISERROR(T459),"",CONCATENATE(IF(W459="BIT",$M$2,$M$1),U459,$M$3,BIN2HEX(IF(W459="BIT",INDEX('Logical Group Generator'!H:H,'Script Generator'!T459),INDEX('Logical Group Generator'!L:L,'Script Generator'!T459)),2),IF(ISERROR(T460),$M$5,$M$4)))</f>
        <v/>
      </c>
      <c r="D458" s="215"/>
      <c r="R458" s="215" t="str">
        <f>IF('Logical Group Generator'!W458="FALSE","",IF('Logical Group Generator'!B458="OTP_RSVD_38_03","",'Logical Group Generator'!B458))</f>
        <v/>
      </c>
      <c r="T458" s="157" t="e">
        <f>MATCH(U458,'Logical Group Generator'!B:B,0)</f>
        <v>#NUM!</v>
      </c>
      <c r="U458" s="157" t="e">
        <f t="array" ref="U458">IF(ROWS($3:458)&lt;=COUNTA($R$3:$R$902),INDEX($R$3:$R$902,SMALL(IF($R$3:$R$902&lt;&gt;"",ROW($R$3:$R$902)-MIN(ROW($R$3:$R$902))+1),ROWS($3:458))),"")</f>
        <v>#NUM!</v>
      </c>
      <c r="W458" s="157" t="e">
        <f>IF(INDEX('Logical Group Generator'!W:W,MATCH(U458,'Logical Group Generator'!B:B,0))="REGISTER","REGISTER","BIT")</f>
        <v>#NUM!</v>
      </c>
    </row>
    <row r="459" spans="2:23">
      <c r="B459" s="157" t="str">
        <f>IF(ISERROR(T460),"",CONCATENATE(IF(W460="BIT",$M$2,$M$1),U460,$M$3,BIN2HEX(IF(W460="BIT",INDEX('Logical Group Generator'!H:H,'Script Generator'!T460),INDEX('Logical Group Generator'!L:L,'Script Generator'!T460)),2),IF(ISERROR(T461),$M$5,$M$4)))</f>
        <v/>
      </c>
      <c r="D459" s="215"/>
      <c r="R459" s="215" t="str">
        <f>IF('Logical Group Generator'!W459="FALSE","",IF('Logical Group Generator'!B459="OTP_RSVD_38_03","",'Logical Group Generator'!B459))</f>
        <v>LDOA3_CTRL_EN3</v>
      </c>
      <c r="T459" s="157" t="e">
        <f>MATCH(U459,'Logical Group Generator'!B:B,0)</f>
        <v>#NUM!</v>
      </c>
      <c r="U459" s="157" t="e">
        <f t="array" ref="U459">IF(ROWS($3:459)&lt;=COUNTA($R$3:$R$902),INDEX($R$3:$R$902,SMALL(IF($R$3:$R$902&lt;&gt;"",ROW($R$3:$R$902)-MIN(ROW($R$3:$R$902))+1),ROWS($3:459))),"")</f>
        <v>#NUM!</v>
      </c>
      <c r="W459" s="157" t="e">
        <f>IF(INDEX('Logical Group Generator'!W:W,MATCH(U459,'Logical Group Generator'!B:B,0))="REGISTER","REGISTER","BIT")</f>
        <v>#NUM!</v>
      </c>
    </row>
    <row r="460" spans="2:23">
      <c r="B460" s="157" t="str">
        <f>IF(ISERROR(T461),"",CONCATENATE(IF(W461="BIT",$M$2,$M$1),U461,$M$3,BIN2HEX(IF(W461="BIT",INDEX('Logical Group Generator'!H:H,'Script Generator'!T461),INDEX('Logical Group Generator'!L:L,'Script Generator'!T461)),2),IF(ISERROR(T462),$M$5,$M$4)))</f>
        <v/>
      </c>
      <c r="D460" s="215"/>
      <c r="R460" s="215" t="str">
        <f>IF('Logical Group Generator'!W460="FALSE","",IF('Logical Group Generator'!B460="OTP_RSVD_38_03","",'Logical Group Generator'!B460))</f>
        <v/>
      </c>
      <c r="T460" s="157" t="e">
        <f>MATCH(U460,'Logical Group Generator'!B:B,0)</f>
        <v>#NUM!</v>
      </c>
      <c r="U460" s="157" t="e">
        <f t="array" ref="U460">IF(ROWS($3:460)&lt;=COUNTA($R$3:$R$902),INDEX($R$3:$R$902,SMALL(IF($R$3:$R$902&lt;&gt;"",ROW($R$3:$R$902)-MIN(ROW($R$3:$R$902))+1),ROWS($3:460))),"")</f>
        <v>#NUM!</v>
      </c>
      <c r="W460" s="157" t="e">
        <f>IF(INDEX('Logical Group Generator'!W:W,MATCH(U460,'Logical Group Generator'!B:B,0))="REGISTER","REGISTER","BIT")</f>
        <v>#NUM!</v>
      </c>
    </row>
    <row r="461" spans="2:23">
      <c r="B461" s="157" t="str">
        <f>IF(ISERROR(T462),"",CONCATENATE(IF(W462="BIT",$M$2,$M$1),U462,$M$3,BIN2HEX(IF(W462="BIT",INDEX('Logical Group Generator'!H:H,'Script Generator'!T462),INDEX('Logical Group Generator'!L:L,'Script Generator'!T462)),2),IF(ISERROR(T463),$M$5,$M$4)))</f>
        <v/>
      </c>
      <c r="D461" s="215"/>
      <c r="R461" s="215" t="str">
        <f>IF('Logical Group Generator'!W461="FALSE","",IF('Logical Group Generator'!B461="OTP_RSVD_38_03","",'Logical Group Generator'!B461))</f>
        <v/>
      </c>
      <c r="T461" s="157" t="e">
        <f>MATCH(U461,'Logical Group Generator'!B:B,0)</f>
        <v>#NUM!</v>
      </c>
      <c r="U461" s="157" t="e">
        <f t="array" ref="U461">IF(ROWS($3:461)&lt;=COUNTA($R$3:$R$902),INDEX($R$3:$R$902,SMALL(IF($R$3:$R$902&lt;&gt;"",ROW($R$3:$R$902)-MIN(ROW($R$3:$R$902))+1),ROWS($3:461))),"")</f>
        <v>#NUM!</v>
      </c>
      <c r="W461" s="157" t="e">
        <f>IF(INDEX('Logical Group Generator'!W:W,MATCH(U461,'Logical Group Generator'!B:B,0))="REGISTER","REGISTER","BIT")</f>
        <v>#NUM!</v>
      </c>
    </row>
    <row r="462" spans="2:23">
      <c r="B462" s="157" t="str">
        <f>IF(ISERROR(T463),"",CONCATENATE(IF(W463="BIT",$M$2,$M$1),U463,$M$3,BIN2HEX(IF(W463="BIT",INDEX('Logical Group Generator'!H:H,'Script Generator'!T463),INDEX('Logical Group Generator'!L:L,'Script Generator'!T463)),2),IF(ISERROR(T464),$M$5,$M$4)))</f>
        <v/>
      </c>
      <c r="D462" s="215"/>
      <c r="R462" s="215" t="str">
        <f>IF('Logical Group Generator'!W462="FALSE","",IF('Logical Group Generator'!B462="OTP_RSVD_38_03","",'Logical Group Generator'!B462))</f>
        <v/>
      </c>
      <c r="T462" s="157" t="e">
        <f>MATCH(U462,'Logical Group Generator'!B:B,0)</f>
        <v>#NUM!</v>
      </c>
      <c r="U462" s="157" t="e">
        <f t="array" ref="U462">IF(ROWS($3:462)&lt;=COUNTA($R$3:$R$902),INDEX($R$3:$R$902,SMALL(IF($R$3:$R$902&lt;&gt;"",ROW($R$3:$R$902)-MIN(ROW($R$3:$R$902))+1),ROWS($3:462))),"")</f>
        <v>#NUM!</v>
      </c>
      <c r="W462" s="157" t="e">
        <f>IF(INDEX('Logical Group Generator'!W:W,MATCH(U462,'Logical Group Generator'!B:B,0))="REGISTER","REGISTER","BIT")</f>
        <v>#NUM!</v>
      </c>
    </row>
    <row r="463" spans="2:23">
      <c r="B463" s="157" t="str">
        <f>IF(ISERROR(T464),"",CONCATENATE(IF(W464="BIT",$M$2,$M$1),U464,$M$3,BIN2HEX(IF(W464="BIT",INDEX('Logical Group Generator'!H:H,'Script Generator'!T464),INDEX('Logical Group Generator'!L:L,'Script Generator'!T464)),2),IF(ISERROR(T465),$M$5,$M$4)))</f>
        <v/>
      </c>
      <c r="D463" s="215"/>
      <c r="R463" s="215" t="str">
        <f>IF('Logical Group Generator'!W463="FALSE","",IF('Logical Group Generator'!B463="OTP_RSVD_38_03","",'Logical Group Generator'!B463))</f>
        <v/>
      </c>
      <c r="T463" s="157" t="e">
        <f>MATCH(U463,'Logical Group Generator'!B:B,0)</f>
        <v>#NUM!</v>
      </c>
      <c r="U463" s="157" t="e">
        <f t="array" ref="U463">IF(ROWS($3:463)&lt;=COUNTA($R$3:$R$902),INDEX($R$3:$R$902,SMALL(IF($R$3:$R$902&lt;&gt;"",ROW($R$3:$R$902)-MIN(ROW($R$3:$R$902))+1),ROWS($3:463))),"")</f>
        <v>#NUM!</v>
      </c>
      <c r="W463" s="157" t="e">
        <f>IF(INDEX('Logical Group Generator'!W:W,MATCH(U463,'Logical Group Generator'!B:B,0))="REGISTER","REGISTER","BIT")</f>
        <v>#NUM!</v>
      </c>
    </row>
    <row r="464" spans="2:23">
      <c r="B464" s="157" t="str">
        <f>IF(ISERROR(T465),"",CONCATENATE(IF(W465="BIT",$M$2,$M$1),U465,$M$3,BIN2HEX(IF(W465="BIT",INDEX('Logical Group Generator'!H:H,'Script Generator'!T465),INDEX('Logical Group Generator'!L:L,'Script Generator'!T465)),2),IF(ISERROR(T466),$M$5,$M$4)))</f>
        <v/>
      </c>
      <c r="D464" s="215"/>
      <c r="R464" s="215" t="str">
        <f>IF('Logical Group Generator'!W464="FALSE","",IF('Logical Group Generator'!B464="OTP_RSVD_38_03","",'Logical Group Generator'!B464))</f>
        <v>SWB1_CTRL_EN1</v>
      </c>
      <c r="T464" s="157" t="e">
        <f>MATCH(U464,'Logical Group Generator'!B:B,0)</f>
        <v>#NUM!</v>
      </c>
      <c r="U464" s="157" t="e">
        <f t="array" ref="U464">IF(ROWS($3:464)&lt;=COUNTA($R$3:$R$902),INDEX($R$3:$R$902,SMALL(IF($R$3:$R$902&lt;&gt;"",ROW($R$3:$R$902)-MIN(ROW($R$3:$R$902))+1),ROWS($3:464))),"")</f>
        <v>#NUM!</v>
      </c>
      <c r="W464" s="157" t="e">
        <f>IF(INDEX('Logical Group Generator'!W:W,MATCH(U464,'Logical Group Generator'!B:B,0))="REGISTER","REGISTER","BIT")</f>
        <v>#NUM!</v>
      </c>
    </row>
    <row r="465" spans="2:23">
      <c r="B465" s="157" t="str">
        <f>IF(ISERROR(T466),"",CONCATENATE(IF(W466="BIT",$M$2,$M$1),U466,$M$3,BIN2HEX(IF(W466="BIT",INDEX('Logical Group Generator'!H:H,'Script Generator'!T466),INDEX('Logical Group Generator'!L:L,'Script Generator'!T466)),2),IF(ISERROR(T467),$M$5,$M$4)))</f>
        <v/>
      </c>
      <c r="D465" s="215"/>
      <c r="R465" s="215" t="str">
        <f>IF('Logical Group Generator'!W465="FALSE","",IF('Logical Group Generator'!B465="OTP_RSVD_38_03","",'Logical Group Generator'!B465))</f>
        <v/>
      </c>
      <c r="T465" s="157" t="e">
        <f>MATCH(U465,'Logical Group Generator'!B:B,0)</f>
        <v>#NUM!</v>
      </c>
      <c r="U465" s="157" t="e">
        <f t="array" ref="U465">IF(ROWS($3:465)&lt;=COUNTA($R$3:$R$902),INDEX($R$3:$R$902,SMALL(IF($R$3:$R$902&lt;&gt;"",ROW($R$3:$R$902)-MIN(ROW($R$3:$R$902))+1),ROWS($3:465))),"")</f>
        <v>#NUM!</v>
      </c>
      <c r="W465" s="157" t="e">
        <f>IF(INDEX('Logical Group Generator'!W:W,MATCH(U465,'Logical Group Generator'!B:B,0))="REGISTER","REGISTER","BIT")</f>
        <v>#NUM!</v>
      </c>
    </row>
    <row r="466" spans="2:23">
      <c r="B466" s="157" t="str">
        <f>IF(ISERROR(T467),"",CONCATENATE(IF(W467="BIT",$M$2,$M$1),U467,$M$3,BIN2HEX(IF(W467="BIT",INDEX('Logical Group Generator'!H:H,'Script Generator'!T467),INDEX('Logical Group Generator'!L:L,'Script Generator'!T467)),2),IF(ISERROR(T468),$M$5,$M$4)))</f>
        <v/>
      </c>
      <c r="D466" s="215"/>
      <c r="R466" s="215" t="str">
        <f>IF('Logical Group Generator'!W466="FALSE","",IF('Logical Group Generator'!B466="OTP_RSVD_38_03","",'Logical Group Generator'!B466))</f>
        <v/>
      </c>
      <c r="T466" s="157" t="e">
        <f>MATCH(U466,'Logical Group Generator'!B:B,0)</f>
        <v>#NUM!</v>
      </c>
      <c r="U466" s="157" t="e">
        <f t="array" ref="U466">IF(ROWS($3:466)&lt;=COUNTA($R$3:$R$902),INDEX($R$3:$R$902,SMALL(IF($R$3:$R$902&lt;&gt;"",ROW($R$3:$R$902)-MIN(ROW($R$3:$R$902))+1),ROWS($3:466))),"")</f>
        <v>#NUM!</v>
      </c>
      <c r="W466" s="157" t="e">
        <f>IF(INDEX('Logical Group Generator'!W:W,MATCH(U466,'Logical Group Generator'!B:B,0))="REGISTER","REGISTER","BIT")</f>
        <v>#NUM!</v>
      </c>
    </row>
    <row r="467" spans="2:23">
      <c r="B467" s="157" t="str">
        <f>IF(ISERROR(T468),"",CONCATENATE(IF(W468="BIT",$M$2,$M$1),U468,$M$3,BIN2HEX(IF(W468="BIT",INDEX('Logical Group Generator'!H:H,'Script Generator'!T468),INDEX('Logical Group Generator'!L:L,'Script Generator'!T468)),2),IF(ISERROR(T469),$M$5,$M$4)))</f>
        <v/>
      </c>
      <c r="D467" s="215"/>
      <c r="R467" s="215" t="str">
        <f>IF('Logical Group Generator'!W467="FALSE","",IF('Logical Group Generator'!B467="OTP_RSVD_38_03","",'Logical Group Generator'!B467))</f>
        <v/>
      </c>
      <c r="T467" s="157" t="e">
        <f>MATCH(U467,'Logical Group Generator'!B:B,0)</f>
        <v>#NUM!</v>
      </c>
      <c r="U467" s="157" t="e">
        <f t="array" ref="U467">IF(ROWS($3:467)&lt;=COUNTA($R$3:$R$902),INDEX($R$3:$R$902,SMALL(IF($R$3:$R$902&lt;&gt;"",ROW($R$3:$R$902)-MIN(ROW($R$3:$R$902))+1),ROWS($3:467))),"")</f>
        <v>#NUM!</v>
      </c>
      <c r="W467" s="157" t="e">
        <f>IF(INDEX('Logical Group Generator'!W:W,MATCH(U467,'Logical Group Generator'!B:B,0))="REGISTER","REGISTER","BIT")</f>
        <v>#NUM!</v>
      </c>
    </row>
    <row r="468" spans="2:23">
      <c r="B468" s="157" t="str">
        <f>IF(ISERROR(T469),"",CONCATENATE(IF(W469="BIT",$M$2,$M$1),U469,$M$3,BIN2HEX(IF(W469="BIT",INDEX('Logical Group Generator'!H:H,'Script Generator'!T469),INDEX('Logical Group Generator'!L:L,'Script Generator'!T469)),2),IF(ISERROR(T470),$M$5,$M$4)))</f>
        <v/>
      </c>
      <c r="D468" s="215"/>
      <c r="R468" s="215" t="str">
        <f>IF('Logical Group Generator'!W468="FALSE","",IF('Logical Group Generator'!B468="OTP_RSVD_38_03","",'Logical Group Generator'!B468))</f>
        <v/>
      </c>
      <c r="T468" s="157" t="e">
        <f>MATCH(U468,'Logical Group Generator'!B:B,0)</f>
        <v>#NUM!</v>
      </c>
      <c r="U468" s="157" t="e">
        <f t="array" ref="U468">IF(ROWS($3:468)&lt;=COUNTA($R$3:$R$902),INDEX($R$3:$R$902,SMALL(IF($R$3:$R$902&lt;&gt;"",ROW($R$3:$R$902)-MIN(ROW($R$3:$R$902))+1),ROWS($3:468))),"")</f>
        <v>#NUM!</v>
      </c>
      <c r="W468" s="157" t="e">
        <f>IF(INDEX('Logical Group Generator'!W:W,MATCH(U468,'Logical Group Generator'!B:B,0))="REGISTER","REGISTER","BIT")</f>
        <v>#NUM!</v>
      </c>
    </row>
    <row r="469" spans="2:23">
      <c r="B469" s="157" t="str">
        <f>IF(ISERROR(T470),"",CONCATENATE(IF(W470="BIT",$M$2,$M$1),U470,$M$3,BIN2HEX(IF(W470="BIT",INDEX('Logical Group Generator'!H:H,'Script Generator'!T470),INDEX('Logical Group Generator'!L:L,'Script Generator'!T470)),2),IF(ISERROR(T471),$M$5,$M$4)))</f>
        <v/>
      </c>
      <c r="D469" s="215"/>
      <c r="R469" s="215" t="str">
        <f>IF('Logical Group Generator'!W469="FALSE","",IF('Logical Group Generator'!B469="OTP_RSVD_38_03","",'Logical Group Generator'!B469))</f>
        <v/>
      </c>
      <c r="T469" s="157" t="e">
        <f>MATCH(U469,'Logical Group Generator'!B:B,0)</f>
        <v>#NUM!</v>
      </c>
      <c r="U469" s="157" t="e">
        <f t="array" ref="U469">IF(ROWS($3:469)&lt;=COUNTA($R$3:$R$902),INDEX($R$3:$R$902,SMALL(IF($R$3:$R$902&lt;&gt;"",ROW($R$3:$R$902)-MIN(ROW($R$3:$R$902))+1),ROWS($3:469))),"")</f>
        <v>#NUM!</v>
      </c>
      <c r="W469" s="157" t="e">
        <f>IF(INDEX('Logical Group Generator'!W:W,MATCH(U469,'Logical Group Generator'!B:B,0))="REGISTER","REGISTER","BIT")</f>
        <v>#NUM!</v>
      </c>
    </row>
    <row r="470" spans="2:23">
      <c r="B470" s="157" t="str">
        <f>IF(ISERROR(T471),"",CONCATENATE(IF(W471="BIT",$M$2,$M$1),U471,$M$3,BIN2HEX(IF(W471="BIT",INDEX('Logical Group Generator'!H:H,'Script Generator'!T471),INDEX('Logical Group Generator'!L:L,'Script Generator'!T471)),2),IF(ISERROR(T472),$M$5,$M$4)))</f>
        <v/>
      </c>
      <c r="D470" s="215"/>
      <c r="R470" s="215" t="str">
        <f>IF('Logical Group Generator'!W470="FALSE","",IF('Logical Group Generator'!B470="OTP_RSVD_38_03","",'Logical Group Generator'!B470))</f>
        <v/>
      </c>
      <c r="T470" s="157" t="e">
        <f>MATCH(U470,'Logical Group Generator'!B:B,0)</f>
        <v>#NUM!</v>
      </c>
      <c r="U470" s="157" t="e">
        <f t="array" ref="U470">IF(ROWS($3:470)&lt;=COUNTA($R$3:$R$902),INDEX($R$3:$R$902,SMALL(IF($R$3:$R$902&lt;&gt;"",ROW($R$3:$R$902)-MIN(ROW($R$3:$R$902))+1),ROWS($3:470))),"")</f>
        <v>#NUM!</v>
      </c>
      <c r="W470" s="157" t="e">
        <f>IF(INDEX('Logical Group Generator'!W:W,MATCH(U470,'Logical Group Generator'!B:B,0))="REGISTER","REGISTER","BIT")</f>
        <v>#NUM!</v>
      </c>
    </row>
    <row r="471" spans="2:23">
      <c r="B471" s="157" t="str">
        <f>IF(ISERROR(T472),"",CONCATENATE(IF(W472="BIT",$M$2,$M$1),U472,$M$3,BIN2HEX(IF(W472="BIT",INDEX('Logical Group Generator'!H:H,'Script Generator'!T472),INDEX('Logical Group Generator'!L:L,'Script Generator'!T472)),2),IF(ISERROR(T473),$M$5,$M$4)))</f>
        <v/>
      </c>
      <c r="D471" s="215"/>
      <c r="R471" s="215" t="str">
        <f>IF('Logical Group Generator'!W471="FALSE","",IF('Logical Group Generator'!B471="OTP_RSVD_38_03","",'Logical Group Generator'!B471))</f>
        <v/>
      </c>
      <c r="T471" s="157" t="e">
        <f>MATCH(U471,'Logical Group Generator'!B:B,0)</f>
        <v>#NUM!</v>
      </c>
      <c r="U471" s="157" t="e">
        <f t="array" ref="U471">IF(ROWS($3:471)&lt;=COUNTA($R$3:$R$902),INDEX($R$3:$R$902,SMALL(IF($R$3:$R$902&lt;&gt;"",ROW($R$3:$R$902)-MIN(ROW($R$3:$R$902))+1),ROWS($3:471))),"")</f>
        <v>#NUM!</v>
      </c>
      <c r="W471" s="157" t="e">
        <f>IF(INDEX('Logical Group Generator'!W:W,MATCH(U471,'Logical Group Generator'!B:B,0))="REGISTER","REGISTER","BIT")</f>
        <v>#NUM!</v>
      </c>
    </row>
    <row r="472" spans="2:23">
      <c r="B472" s="157" t="str">
        <f>IF(ISERROR(T473),"",CONCATENATE(IF(W473="BIT",$M$2,$M$1),U473,$M$3,BIN2HEX(IF(W473="BIT",INDEX('Logical Group Generator'!H:H,'Script Generator'!T473),INDEX('Logical Group Generator'!L:L,'Script Generator'!T473)),2),IF(ISERROR(T474),$M$5,$M$4)))</f>
        <v/>
      </c>
      <c r="D472" s="215"/>
      <c r="R472" s="215" t="str">
        <f>IF('Logical Group Generator'!W472="FALSE","",IF('Logical Group Generator'!B472="OTP_RSVD_38_03","",'Logical Group Generator'!B472))</f>
        <v/>
      </c>
      <c r="T472" s="157" t="e">
        <f>MATCH(U472,'Logical Group Generator'!B:B,0)</f>
        <v>#NUM!</v>
      </c>
      <c r="U472" s="157" t="e">
        <f t="array" ref="U472">IF(ROWS($3:472)&lt;=COUNTA($R$3:$R$902),INDEX($R$3:$R$902,SMALL(IF($R$3:$R$902&lt;&gt;"",ROW($R$3:$R$902)-MIN(ROW($R$3:$R$902))+1),ROWS($3:472))),"")</f>
        <v>#NUM!</v>
      </c>
      <c r="W472" s="157" t="e">
        <f>IF(INDEX('Logical Group Generator'!W:W,MATCH(U472,'Logical Group Generator'!B:B,0))="REGISTER","REGISTER","BIT")</f>
        <v>#NUM!</v>
      </c>
    </row>
    <row r="473" spans="2:23">
      <c r="B473" s="157" t="str">
        <f>IF(ISERROR(T474),"",CONCATENATE(IF(W474="BIT",$M$2,$M$1),U474,$M$3,BIN2HEX(IF(W474="BIT",INDEX('Logical Group Generator'!H:H,'Script Generator'!T474),INDEX('Logical Group Generator'!L:L,'Script Generator'!T474)),2),IF(ISERROR(T475),$M$5,$M$4)))</f>
        <v/>
      </c>
      <c r="D473" s="215"/>
      <c r="R473" s="215" t="str">
        <f>IF('Logical Group Generator'!W473="FALSE","",IF('Logical Group Generator'!B473="OTP_RSVD_38_03","",'Logical Group Generator'!B473))</f>
        <v>SWB1_CTRL_EN2</v>
      </c>
      <c r="T473" s="157" t="e">
        <f>MATCH(U473,'Logical Group Generator'!B:B,0)</f>
        <v>#NUM!</v>
      </c>
      <c r="U473" s="157" t="e">
        <f t="array" ref="U473">IF(ROWS($3:473)&lt;=COUNTA($R$3:$R$902),INDEX($R$3:$R$902,SMALL(IF($R$3:$R$902&lt;&gt;"",ROW($R$3:$R$902)-MIN(ROW($R$3:$R$902))+1),ROWS($3:473))),"")</f>
        <v>#NUM!</v>
      </c>
      <c r="W473" s="157" t="e">
        <f>IF(INDEX('Logical Group Generator'!W:W,MATCH(U473,'Logical Group Generator'!B:B,0))="REGISTER","REGISTER","BIT")</f>
        <v>#NUM!</v>
      </c>
    </row>
    <row r="474" spans="2:23">
      <c r="B474" s="157" t="str">
        <f>IF(ISERROR(T475),"",CONCATENATE(IF(W475="BIT",$M$2,$M$1),U475,$M$3,BIN2HEX(IF(W475="BIT",INDEX('Logical Group Generator'!H:H,'Script Generator'!T475),INDEX('Logical Group Generator'!L:L,'Script Generator'!T475)),2),IF(ISERROR(T476),$M$5,$M$4)))</f>
        <v/>
      </c>
      <c r="D474" s="215"/>
      <c r="R474" s="215" t="str">
        <f>IF('Logical Group Generator'!W474="FALSE","",IF('Logical Group Generator'!B474="OTP_RSVD_38_03","",'Logical Group Generator'!B474))</f>
        <v/>
      </c>
      <c r="T474" s="157" t="e">
        <f>MATCH(U474,'Logical Group Generator'!B:B,0)</f>
        <v>#NUM!</v>
      </c>
      <c r="U474" s="157" t="e">
        <f t="array" ref="U474">IF(ROWS($3:474)&lt;=COUNTA($R$3:$R$902),INDEX($R$3:$R$902,SMALL(IF($R$3:$R$902&lt;&gt;"",ROW($R$3:$R$902)-MIN(ROW($R$3:$R$902))+1),ROWS($3:474))),"")</f>
        <v>#NUM!</v>
      </c>
      <c r="W474" s="157" t="e">
        <f>IF(INDEX('Logical Group Generator'!W:W,MATCH(U474,'Logical Group Generator'!B:B,0))="REGISTER","REGISTER","BIT")</f>
        <v>#NUM!</v>
      </c>
    </row>
    <row r="475" spans="2:23">
      <c r="B475" s="157" t="str">
        <f>IF(ISERROR(T476),"",CONCATENATE(IF(W476="BIT",$M$2,$M$1),U476,$M$3,BIN2HEX(IF(W476="BIT",INDEX('Logical Group Generator'!H:H,'Script Generator'!T476),INDEX('Logical Group Generator'!L:L,'Script Generator'!T476)),2),IF(ISERROR(T477),$M$5,$M$4)))</f>
        <v/>
      </c>
      <c r="D475" s="215"/>
      <c r="R475" s="215" t="str">
        <f>IF('Logical Group Generator'!W475="FALSE","",IF('Logical Group Generator'!B475="OTP_RSVD_38_03","",'Logical Group Generator'!B475))</f>
        <v/>
      </c>
      <c r="T475" s="157" t="e">
        <f>MATCH(U475,'Logical Group Generator'!B:B,0)</f>
        <v>#NUM!</v>
      </c>
      <c r="U475" s="157" t="e">
        <f t="array" ref="U475">IF(ROWS($3:475)&lt;=COUNTA($R$3:$R$902),INDEX($R$3:$R$902,SMALL(IF($R$3:$R$902&lt;&gt;"",ROW($R$3:$R$902)-MIN(ROW($R$3:$R$902))+1),ROWS($3:475))),"")</f>
        <v>#NUM!</v>
      </c>
      <c r="W475" s="157" t="e">
        <f>IF(INDEX('Logical Group Generator'!W:W,MATCH(U475,'Logical Group Generator'!B:B,0))="REGISTER","REGISTER","BIT")</f>
        <v>#NUM!</v>
      </c>
    </row>
    <row r="476" spans="2:23">
      <c r="B476" s="157" t="str">
        <f>IF(ISERROR(T477),"",CONCATENATE(IF(W477="BIT",$M$2,$M$1),U477,$M$3,BIN2HEX(IF(W477="BIT",INDEX('Logical Group Generator'!H:H,'Script Generator'!T477),INDEX('Logical Group Generator'!L:L,'Script Generator'!T477)),2),IF(ISERROR(T478),$M$5,$M$4)))</f>
        <v/>
      </c>
      <c r="D476" s="215"/>
      <c r="R476" s="215" t="str">
        <f>IF('Logical Group Generator'!W476="FALSE","",IF('Logical Group Generator'!B476="OTP_RSVD_38_03","",'Logical Group Generator'!B476))</f>
        <v/>
      </c>
      <c r="T476" s="157" t="e">
        <f>MATCH(U476,'Logical Group Generator'!B:B,0)</f>
        <v>#NUM!</v>
      </c>
      <c r="U476" s="157" t="e">
        <f t="array" ref="U476">IF(ROWS($3:476)&lt;=COUNTA($R$3:$R$902),INDEX($R$3:$R$902,SMALL(IF($R$3:$R$902&lt;&gt;"",ROW($R$3:$R$902)-MIN(ROW($R$3:$R$902))+1),ROWS($3:476))),"")</f>
        <v>#NUM!</v>
      </c>
      <c r="W476" s="157" t="e">
        <f>IF(INDEX('Logical Group Generator'!W:W,MATCH(U476,'Logical Group Generator'!B:B,0))="REGISTER","REGISTER","BIT")</f>
        <v>#NUM!</v>
      </c>
    </row>
    <row r="477" spans="2:23">
      <c r="B477" s="157" t="str">
        <f>IF(ISERROR(T478),"",CONCATENATE(IF(W478="BIT",$M$2,$M$1),U478,$M$3,BIN2HEX(IF(W478="BIT",INDEX('Logical Group Generator'!H:H,'Script Generator'!T478),INDEX('Logical Group Generator'!L:L,'Script Generator'!T478)),2),IF(ISERROR(T479),$M$5,$M$4)))</f>
        <v/>
      </c>
      <c r="D477" s="215"/>
      <c r="R477" s="215" t="str">
        <f>IF('Logical Group Generator'!W477="FALSE","",IF('Logical Group Generator'!B477="OTP_RSVD_38_03","",'Logical Group Generator'!B477))</f>
        <v/>
      </c>
      <c r="T477" s="157" t="e">
        <f>MATCH(U477,'Logical Group Generator'!B:B,0)</f>
        <v>#NUM!</v>
      </c>
      <c r="U477" s="157" t="e">
        <f t="array" ref="U477">IF(ROWS($3:477)&lt;=COUNTA($R$3:$R$902),INDEX($R$3:$R$902,SMALL(IF($R$3:$R$902&lt;&gt;"",ROW($R$3:$R$902)-MIN(ROW($R$3:$R$902))+1),ROWS($3:477))),"")</f>
        <v>#NUM!</v>
      </c>
      <c r="W477" s="157" t="e">
        <f>IF(INDEX('Logical Group Generator'!W:W,MATCH(U477,'Logical Group Generator'!B:B,0))="REGISTER","REGISTER","BIT")</f>
        <v>#NUM!</v>
      </c>
    </row>
    <row r="478" spans="2:23">
      <c r="B478" s="157" t="str">
        <f>IF(ISERROR(T479),"",CONCATENATE(IF(W479="BIT",$M$2,$M$1),U479,$M$3,BIN2HEX(IF(W479="BIT",INDEX('Logical Group Generator'!H:H,'Script Generator'!T479),INDEX('Logical Group Generator'!L:L,'Script Generator'!T479)),2),IF(ISERROR(T480),$M$5,$M$4)))</f>
        <v/>
      </c>
      <c r="D478" s="215"/>
      <c r="R478" s="215" t="str">
        <f>IF('Logical Group Generator'!W478="FALSE","",IF('Logical Group Generator'!B478="OTP_RSVD_38_03","",'Logical Group Generator'!B478))</f>
        <v/>
      </c>
      <c r="T478" s="157" t="e">
        <f>MATCH(U478,'Logical Group Generator'!B:B,0)</f>
        <v>#NUM!</v>
      </c>
      <c r="U478" s="157" t="e">
        <f t="array" ref="U478">IF(ROWS($3:478)&lt;=COUNTA($R$3:$R$902),INDEX($R$3:$R$902,SMALL(IF($R$3:$R$902&lt;&gt;"",ROW($R$3:$R$902)-MIN(ROW($R$3:$R$902))+1),ROWS($3:478))),"")</f>
        <v>#NUM!</v>
      </c>
      <c r="W478" s="157" t="e">
        <f>IF(INDEX('Logical Group Generator'!W:W,MATCH(U478,'Logical Group Generator'!B:B,0))="REGISTER","REGISTER","BIT")</f>
        <v>#NUM!</v>
      </c>
    </row>
    <row r="479" spans="2:23">
      <c r="B479" s="157" t="str">
        <f>IF(ISERROR(T480),"",CONCATENATE(IF(W480="BIT",$M$2,$M$1),U480,$M$3,BIN2HEX(IF(W480="BIT",INDEX('Logical Group Generator'!H:H,'Script Generator'!T480),INDEX('Logical Group Generator'!L:L,'Script Generator'!T480)),2),IF(ISERROR(T481),$M$5,$M$4)))</f>
        <v/>
      </c>
      <c r="D479" s="215"/>
      <c r="R479" s="215" t="str">
        <f>IF('Logical Group Generator'!W479="FALSE","",IF('Logical Group Generator'!B479="OTP_RSVD_38_03","",'Logical Group Generator'!B479))</f>
        <v>SWB1_CTRL_EN3</v>
      </c>
      <c r="T479" s="157" t="e">
        <f>MATCH(U479,'Logical Group Generator'!B:B,0)</f>
        <v>#NUM!</v>
      </c>
      <c r="U479" s="157" t="e">
        <f t="array" ref="U479">IF(ROWS($3:479)&lt;=COUNTA($R$3:$R$902),INDEX($R$3:$R$902,SMALL(IF($R$3:$R$902&lt;&gt;"",ROW($R$3:$R$902)-MIN(ROW($R$3:$R$902))+1),ROWS($3:479))),"")</f>
        <v>#NUM!</v>
      </c>
      <c r="W479" s="157" t="e">
        <f>IF(INDEX('Logical Group Generator'!W:W,MATCH(U479,'Logical Group Generator'!B:B,0))="REGISTER","REGISTER","BIT")</f>
        <v>#NUM!</v>
      </c>
    </row>
    <row r="480" spans="2:23">
      <c r="B480" s="157" t="str">
        <f>IF(ISERROR(T481),"",CONCATENATE(IF(W481="BIT",$M$2,$M$1),U481,$M$3,BIN2HEX(IF(W481="BIT",INDEX('Logical Group Generator'!H:H,'Script Generator'!T481),INDEX('Logical Group Generator'!L:L,'Script Generator'!T481)),2),IF(ISERROR(T482),$M$5,$M$4)))</f>
        <v/>
      </c>
      <c r="D480" s="215"/>
      <c r="R480" s="215" t="str">
        <f>IF('Logical Group Generator'!W480="FALSE","",IF('Logical Group Generator'!B480="OTP_RSVD_38_03","",'Logical Group Generator'!B480))</f>
        <v/>
      </c>
      <c r="T480" s="157" t="e">
        <f>MATCH(U480,'Logical Group Generator'!B:B,0)</f>
        <v>#NUM!</v>
      </c>
      <c r="U480" s="157" t="e">
        <f t="array" ref="U480">IF(ROWS($3:480)&lt;=COUNTA($R$3:$R$902),INDEX($R$3:$R$902,SMALL(IF($R$3:$R$902&lt;&gt;"",ROW($R$3:$R$902)-MIN(ROW($R$3:$R$902))+1),ROWS($3:480))),"")</f>
        <v>#NUM!</v>
      </c>
      <c r="W480" s="157" t="e">
        <f>IF(INDEX('Logical Group Generator'!W:W,MATCH(U480,'Logical Group Generator'!B:B,0))="REGISTER","REGISTER","BIT")</f>
        <v>#NUM!</v>
      </c>
    </row>
    <row r="481" spans="2:23">
      <c r="B481" s="157" t="str">
        <f>IF(ISERROR(T482),"",CONCATENATE(IF(W482="BIT",$M$2,$M$1),U482,$M$3,BIN2HEX(IF(W482="BIT",INDEX('Logical Group Generator'!H:H,'Script Generator'!T482),INDEX('Logical Group Generator'!L:L,'Script Generator'!T482)),2),IF(ISERROR(T483),$M$5,$M$4)))</f>
        <v/>
      </c>
      <c r="D481" s="215"/>
      <c r="R481" s="215" t="str">
        <f>IF('Logical Group Generator'!W481="FALSE","",IF('Logical Group Generator'!B481="OTP_RSVD_38_03","",'Logical Group Generator'!B481))</f>
        <v/>
      </c>
      <c r="T481" s="157" t="e">
        <f>MATCH(U481,'Logical Group Generator'!B:B,0)</f>
        <v>#NUM!</v>
      </c>
      <c r="U481" s="157" t="e">
        <f t="array" ref="U481">IF(ROWS($3:481)&lt;=COUNTA($R$3:$R$902),INDEX($R$3:$R$902,SMALL(IF($R$3:$R$902&lt;&gt;"",ROW($R$3:$R$902)-MIN(ROW($R$3:$R$902))+1),ROWS($3:481))),"")</f>
        <v>#NUM!</v>
      </c>
      <c r="W481" s="157" t="e">
        <f>IF(INDEX('Logical Group Generator'!W:W,MATCH(U481,'Logical Group Generator'!B:B,0))="REGISTER","REGISTER","BIT")</f>
        <v>#NUM!</v>
      </c>
    </row>
    <row r="482" spans="2:23">
      <c r="B482" s="157" t="str">
        <f>IF(ISERROR(T483),"",CONCATENATE(IF(W483="BIT",$M$2,$M$1),U483,$M$3,BIN2HEX(IF(W483="BIT",INDEX('Logical Group Generator'!H:H,'Script Generator'!T483),INDEX('Logical Group Generator'!L:L,'Script Generator'!T483)),2),IF(ISERROR(T484),$M$5,$M$4)))</f>
        <v/>
      </c>
      <c r="D482" s="215"/>
      <c r="R482" s="215" t="str">
        <f>IF('Logical Group Generator'!W482="FALSE","",IF('Logical Group Generator'!B482="OTP_RSVD_38_03","",'Logical Group Generator'!B482))</f>
        <v/>
      </c>
      <c r="T482" s="157" t="e">
        <f>MATCH(U482,'Logical Group Generator'!B:B,0)</f>
        <v>#NUM!</v>
      </c>
      <c r="U482" s="157" t="e">
        <f t="array" ref="U482">IF(ROWS($3:482)&lt;=COUNTA($R$3:$R$902),INDEX($R$3:$R$902,SMALL(IF($R$3:$R$902&lt;&gt;"",ROW($R$3:$R$902)-MIN(ROW($R$3:$R$902))+1),ROWS($3:482))),"")</f>
        <v>#NUM!</v>
      </c>
      <c r="W482" s="157" t="e">
        <f>IF(INDEX('Logical Group Generator'!W:W,MATCH(U482,'Logical Group Generator'!B:B,0))="REGISTER","REGISTER","BIT")</f>
        <v>#NUM!</v>
      </c>
    </row>
    <row r="483" spans="2:23">
      <c r="B483" s="157" t="str">
        <f>IF(ISERROR(T484),"",CONCATENATE(IF(W484="BIT",$M$2,$M$1),U484,$M$3,BIN2HEX(IF(W484="BIT",INDEX('Logical Group Generator'!H:H,'Script Generator'!T484),INDEX('Logical Group Generator'!L:L,'Script Generator'!T484)),2),IF(ISERROR(T485),$M$5,$M$4)))</f>
        <v/>
      </c>
      <c r="D483" s="215"/>
      <c r="R483" s="215" t="str">
        <f>IF('Logical Group Generator'!W483="FALSE","",IF('Logical Group Generator'!B483="OTP_RSVD_38_03","",'Logical Group Generator'!B483))</f>
        <v>SWB2_LDOA1_CTRL_EN1</v>
      </c>
      <c r="T483" s="157" t="e">
        <f>MATCH(U483,'Logical Group Generator'!B:B,0)</f>
        <v>#NUM!</v>
      </c>
      <c r="U483" s="157" t="e">
        <f t="array" ref="U483">IF(ROWS($3:483)&lt;=COUNTA($R$3:$R$902),INDEX($R$3:$R$902,SMALL(IF($R$3:$R$902&lt;&gt;"",ROW($R$3:$R$902)-MIN(ROW($R$3:$R$902))+1),ROWS($3:483))),"")</f>
        <v>#NUM!</v>
      </c>
      <c r="W483" s="157" t="e">
        <f>IF(INDEX('Logical Group Generator'!W:W,MATCH(U483,'Logical Group Generator'!B:B,0))="REGISTER","REGISTER","BIT")</f>
        <v>#NUM!</v>
      </c>
    </row>
    <row r="484" spans="2:23">
      <c r="B484" s="157" t="str">
        <f>IF(ISERROR(T485),"",CONCATENATE(IF(W485="BIT",$M$2,$M$1),U485,$M$3,BIN2HEX(IF(W485="BIT",INDEX('Logical Group Generator'!H:H,'Script Generator'!T485),INDEX('Logical Group Generator'!L:L,'Script Generator'!T485)),2),IF(ISERROR(T486),$M$5,$M$4)))</f>
        <v/>
      </c>
      <c r="D484" s="215"/>
      <c r="R484" s="215" t="str">
        <f>IF('Logical Group Generator'!W484="FALSE","",IF('Logical Group Generator'!B484="OTP_RSVD_38_03","",'Logical Group Generator'!B484))</f>
        <v/>
      </c>
      <c r="T484" s="157" t="e">
        <f>MATCH(U484,'Logical Group Generator'!B:B,0)</f>
        <v>#NUM!</v>
      </c>
      <c r="U484" s="157" t="e">
        <f t="array" ref="U484">IF(ROWS($3:484)&lt;=COUNTA($R$3:$R$902),INDEX($R$3:$R$902,SMALL(IF($R$3:$R$902&lt;&gt;"",ROW($R$3:$R$902)-MIN(ROW($R$3:$R$902))+1),ROWS($3:484))),"")</f>
        <v>#NUM!</v>
      </c>
      <c r="W484" s="157" t="e">
        <f>IF(INDEX('Logical Group Generator'!W:W,MATCH(U484,'Logical Group Generator'!B:B,0))="REGISTER","REGISTER","BIT")</f>
        <v>#NUM!</v>
      </c>
    </row>
    <row r="485" spans="2:23">
      <c r="B485" s="157" t="str">
        <f>IF(ISERROR(T486),"",CONCATENATE(IF(W486="BIT",$M$2,$M$1),U486,$M$3,BIN2HEX(IF(W486="BIT",INDEX('Logical Group Generator'!H:H,'Script Generator'!T486),INDEX('Logical Group Generator'!L:L,'Script Generator'!T486)),2),IF(ISERROR(T487),$M$5,$M$4)))</f>
        <v/>
      </c>
      <c r="D485" s="215"/>
      <c r="R485" s="215" t="str">
        <f>IF('Logical Group Generator'!W485="FALSE","",IF('Logical Group Generator'!B485="OTP_RSVD_38_03","",'Logical Group Generator'!B485))</f>
        <v/>
      </c>
      <c r="T485" s="157" t="e">
        <f>MATCH(U485,'Logical Group Generator'!B:B,0)</f>
        <v>#NUM!</v>
      </c>
      <c r="U485" s="157" t="e">
        <f t="array" ref="U485">IF(ROWS($3:485)&lt;=COUNTA($R$3:$R$902),INDEX($R$3:$R$902,SMALL(IF($R$3:$R$902&lt;&gt;"",ROW($R$3:$R$902)-MIN(ROW($R$3:$R$902))+1),ROWS($3:485))),"")</f>
        <v>#NUM!</v>
      </c>
      <c r="W485" s="157" t="e">
        <f>IF(INDEX('Logical Group Generator'!W:W,MATCH(U485,'Logical Group Generator'!B:B,0))="REGISTER","REGISTER","BIT")</f>
        <v>#NUM!</v>
      </c>
    </row>
    <row r="486" spans="2:23">
      <c r="B486" s="157" t="str">
        <f>IF(ISERROR(T487),"",CONCATENATE(IF(W487="BIT",$M$2,$M$1),U487,$M$3,BIN2HEX(IF(W487="BIT",INDEX('Logical Group Generator'!H:H,'Script Generator'!T487),INDEX('Logical Group Generator'!L:L,'Script Generator'!T487)),2),IF(ISERROR(T488),$M$5,$M$4)))</f>
        <v/>
      </c>
      <c r="D486" s="215"/>
      <c r="R486" s="215" t="str">
        <f>IF('Logical Group Generator'!W486="FALSE","",IF('Logical Group Generator'!B486="OTP_RSVD_38_03","",'Logical Group Generator'!B486))</f>
        <v/>
      </c>
      <c r="T486" s="157" t="e">
        <f>MATCH(U486,'Logical Group Generator'!B:B,0)</f>
        <v>#NUM!</v>
      </c>
      <c r="U486" s="157" t="e">
        <f t="array" ref="U486">IF(ROWS($3:486)&lt;=COUNTA($R$3:$R$902),INDEX($R$3:$R$902,SMALL(IF($R$3:$R$902&lt;&gt;"",ROW($R$3:$R$902)-MIN(ROW($R$3:$R$902))+1),ROWS($3:486))),"")</f>
        <v>#NUM!</v>
      </c>
      <c r="W486" s="157" t="e">
        <f>IF(INDEX('Logical Group Generator'!W:W,MATCH(U486,'Logical Group Generator'!B:B,0))="REGISTER","REGISTER","BIT")</f>
        <v>#NUM!</v>
      </c>
    </row>
    <row r="487" spans="2:23">
      <c r="B487" s="157" t="str">
        <f>IF(ISERROR(T488),"",CONCATENATE(IF(W488="BIT",$M$2,$M$1),U488,$M$3,BIN2HEX(IF(W488="BIT",INDEX('Logical Group Generator'!H:H,'Script Generator'!T488),INDEX('Logical Group Generator'!L:L,'Script Generator'!T488)),2),IF(ISERROR(T489),$M$5,$M$4)))</f>
        <v/>
      </c>
      <c r="D487" s="215"/>
      <c r="R487" s="215" t="str">
        <f>IF('Logical Group Generator'!W487="FALSE","",IF('Logical Group Generator'!B487="OTP_RSVD_38_03","",'Logical Group Generator'!B487))</f>
        <v/>
      </c>
      <c r="T487" s="157" t="e">
        <f>MATCH(U487,'Logical Group Generator'!B:B,0)</f>
        <v>#NUM!</v>
      </c>
      <c r="U487" s="157" t="e">
        <f t="array" ref="U487">IF(ROWS($3:487)&lt;=COUNTA($R$3:$R$902),INDEX($R$3:$R$902,SMALL(IF($R$3:$R$902&lt;&gt;"",ROW($R$3:$R$902)-MIN(ROW($R$3:$R$902))+1),ROWS($3:487))),"")</f>
        <v>#NUM!</v>
      </c>
      <c r="W487" s="157" t="e">
        <f>IF(INDEX('Logical Group Generator'!W:W,MATCH(U487,'Logical Group Generator'!B:B,0))="REGISTER","REGISTER","BIT")</f>
        <v>#NUM!</v>
      </c>
    </row>
    <row r="488" spans="2:23">
      <c r="B488" s="157" t="str">
        <f>IF(ISERROR(T489),"",CONCATENATE(IF(W489="BIT",$M$2,$M$1),U489,$M$3,BIN2HEX(IF(W489="BIT",INDEX('Logical Group Generator'!H:H,'Script Generator'!T489),INDEX('Logical Group Generator'!L:L,'Script Generator'!T489)),2),IF(ISERROR(T490),$M$5,$M$4)))</f>
        <v/>
      </c>
      <c r="D488" s="215"/>
      <c r="R488" s="215" t="str">
        <f>IF('Logical Group Generator'!W488="FALSE","",IF('Logical Group Generator'!B488="OTP_RSVD_38_03","",'Logical Group Generator'!B488))</f>
        <v/>
      </c>
      <c r="T488" s="157" t="e">
        <f>MATCH(U488,'Logical Group Generator'!B:B,0)</f>
        <v>#NUM!</v>
      </c>
      <c r="U488" s="157" t="e">
        <f t="array" ref="U488">IF(ROWS($3:488)&lt;=COUNTA($R$3:$R$902),INDEX($R$3:$R$902,SMALL(IF($R$3:$R$902&lt;&gt;"",ROW($R$3:$R$902)-MIN(ROW($R$3:$R$902))+1),ROWS($3:488))),"")</f>
        <v>#NUM!</v>
      </c>
      <c r="W488" s="157" t="e">
        <f>IF(INDEX('Logical Group Generator'!W:W,MATCH(U488,'Logical Group Generator'!B:B,0))="REGISTER","REGISTER","BIT")</f>
        <v>#NUM!</v>
      </c>
    </row>
    <row r="489" spans="2:23">
      <c r="B489" s="157" t="str">
        <f>IF(ISERROR(T490),"",CONCATENATE(IF(W490="BIT",$M$2,$M$1),U490,$M$3,BIN2HEX(IF(W490="BIT",INDEX('Logical Group Generator'!H:H,'Script Generator'!T490),INDEX('Logical Group Generator'!L:L,'Script Generator'!T490)),2),IF(ISERROR(T491),$M$5,$M$4)))</f>
        <v/>
      </c>
      <c r="D489" s="215"/>
      <c r="R489" s="215" t="str">
        <f>IF('Logical Group Generator'!W489="FALSE","",IF('Logical Group Generator'!B489="OTP_RSVD_38_03","",'Logical Group Generator'!B489))</f>
        <v/>
      </c>
      <c r="T489" s="157" t="e">
        <f>MATCH(U489,'Logical Group Generator'!B:B,0)</f>
        <v>#NUM!</v>
      </c>
      <c r="U489" s="157" t="e">
        <f t="array" ref="U489">IF(ROWS($3:489)&lt;=COUNTA($R$3:$R$902),INDEX($R$3:$R$902,SMALL(IF($R$3:$R$902&lt;&gt;"",ROW($R$3:$R$902)-MIN(ROW($R$3:$R$902))+1),ROWS($3:489))),"")</f>
        <v>#NUM!</v>
      </c>
      <c r="W489" s="157" t="e">
        <f>IF(INDEX('Logical Group Generator'!W:W,MATCH(U489,'Logical Group Generator'!B:B,0))="REGISTER","REGISTER","BIT")</f>
        <v>#NUM!</v>
      </c>
    </row>
    <row r="490" spans="2:23">
      <c r="B490" s="157" t="str">
        <f>IF(ISERROR(T491),"",CONCATENATE(IF(W491="BIT",$M$2,$M$1),U491,$M$3,BIN2HEX(IF(W491="BIT",INDEX('Logical Group Generator'!H:H,'Script Generator'!T491),INDEX('Logical Group Generator'!L:L,'Script Generator'!T491)),2),IF(ISERROR(T492),$M$5,$M$4)))</f>
        <v/>
      </c>
      <c r="D490" s="215"/>
      <c r="R490" s="215" t="str">
        <f>IF('Logical Group Generator'!W490="FALSE","",IF('Logical Group Generator'!B490="OTP_RSVD_38_03","",'Logical Group Generator'!B490))</f>
        <v/>
      </c>
      <c r="T490" s="157" t="e">
        <f>MATCH(U490,'Logical Group Generator'!B:B,0)</f>
        <v>#NUM!</v>
      </c>
      <c r="U490" s="157" t="e">
        <f t="array" ref="U490">IF(ROWS($3:490)&lt;=COUNTA($R$3:$R$902),INDEX($R$3:$R$902,SMALL(IF($R$3:$R$902&lt;&gt;"",ROW($R$3:$R$902)-MIN(ROW($R$3:$R$902))+1),ROWS($3:490))),"")</f>
        <v>#NUM!</v>
      </c>
      <c r="W490" s="157" t="e">
        <f>IF(INDEX('Logical Group Generator'!W:W,MATCH(U490,'Logical Group Generator'!B:B,0))="REGISTER","REGISTER","BIT")</f>
        <v>#NUM!</v>
      </c>
    </row>
    <row r="491" spans="2:23">
      <c r="B491" s="157" t="str">
        <f>IF(ISERROR(T492),"",CONCATENATE(IF(W492="BIT",$M$2,$M$1),U492,$M$3,BIN2HEX(IF(W492="BIT",INDEX('Logical Group Generator'!H:H,'Script Generator'!T492),INDEX('Logical Group Generator'!L:L,'Script Generator'!T492)),2),IF(ISERROR(T493),$M$5,$M$4)))</f>
        <v/>
      </c>
      <c r="D491" s="215"/>
      <c r="R491" s="215" t="str">
        <f>IF('Logical Group Generator'!W491="FALSE","",IF('Logical Group Generator'!B491="OTP_RSVD_38_03","",'Logical Group Generator'!B491))</f>
        <v/>
      </c>
      <c r="T491" s="157" t="e">
        <f>MATCH(U491,'Logical Group Generator'!B:B,0)</f>
        <v>#NUM!</v>
      </c>
      <c r="U491" s="157" t="e">
        <f t="array" ref="U491">IF(ROWS($3:491)&lt;=COUNTA($R$3:$R$902),INDEX($R$3:$R$902,SMALL(IF($R$3:$R$902&lt;&gt;"",ROW($R$3:$R$902)-MIN(ROW($R$3:$R$902))+1),ROWS($3:491))),"")</f>
        <v>#NUM!</v>
      </c>
      <c r="W491" s="157" t="e">
        <f>IF(INDEX('Logical Group Generator'!W:W,MATCH(U491,'Logical Group Generator'!B:B,0))="REGISTER","REGISTER","BIT")</f>
        <v>#NUM!</v>
      </c>
    </row>
    <row r="492" spans="2:23">
      <c r="B492" s="157" t="str">
        <f>IF(ISERROR(T493),"",CONCATENATE(IF(W493="BIT",$M$2,$M$1),U493,$M$3,BIN2HEX(IF(W493="BIT",INDEX('Logical Group Generator'!H:H,'Script Generator'!T493),INDEX('Logical Group Generator'!L:L,'Script Generator'!T493)),2),IF(ISERROR(T494),$M$5,$M$4)))</f>
        <v/>
      </c>
      <c r="D492" s="215"/>
      <c r="R492" s="215" t="str">
        <f>IF('Logical Group Generator'!W492="FALSE","",IF('Logical Group Generator'!B492="OTP_RSVD_38_03","",'Logical Group Generator'!B492))</f>
        <v>SWB2_LDOA1_CTRL_EN2</v>
      </c>
      <c r="T492" s="157" t="e">
        <f>MATCH(U492,'Logical Group Generator'!B:B,0)</f>
        <v>#NUM!</v>
      </c>
      <c r="U492" s="157" t="e">
        <f t="array" ref="U492">IF(ROWS($3:492)&lt;=COUNTA($R$3:$R$902),INDEX($R$3:$R$902,SMALL(IF($R$3:$R$902&lt;&gt;"",ROW($R$3:$R$902)-MIN(ROW($R$3:$R$902))+1),ROWS($3:492))),"")</f>
        <v>#NUM!</v>
      </c>
      <c r="W492" s="157" t="e">
        <f>IF(INDEX('Logical Group Generator'!W:W,MATCH(U492,'Logical Group Generator'!B:B,0))="REGISTER","REGISTER","BIT")</f>
        <v>#NUM!</v>
      </c>
    </row>
    <row r="493" spans="2:23">
      <c r="B493" s="157" t="str">
        <f>IF(ISERROR(T494),"",CONCATENATE(IF(W494="BIT",$M$2,$M$1),U494,$M$3,BIN2HEX(IF(W494="BIT",INDEX('Logical Group Generator'!H:H,'Script Generator'!T494),INDEX('Logical Group Generator'!L:L,'Script Generator'!T494)),2),IF(ISERROR(T495),$M$5,$M$4)))</f>
        <v/>
      </c>
      <c r="D493" s="215"/>
      <c r="R493" s="215" t="str">
        <f>IF('Logical Group Generator'!W493="FALSE","",IF('Logical Group Generator'!B493="OTP_RSVD_38_03","",'Logical Group Generator'!B493))</f>
        <v/>
      </c>
      <c r="T493" s="157" t="e">
        <f>MATCH(U493,'Logical Group Generator'!B:B,0)</f>
        <v>#NUM!</v>
      </c>
      <c r="U493" s="157" t="e">
        <f t="array" ref="U493">IF(ROWS($3:493)&lt;=COUNTA($R$3:$R$902),INDEX($R$3:$R$902,SMALL(IF($R$3:$R$902&lt;&gt;"",ROW($R$3:$R$902)-MIN(ROW($R$3:$R$902))+1),ROWS($3:493))),"")</f>
        <v>#NUM!</v>
      </c>
      <c r="W493" s="157" t="e">
        <f>IF(INDEX('Logical Group Generator'!W:W,MATCH(U493,'Logical Group Generator'!B:B,0))="REGISTER","REGISTER","BIT")</f>
        <v>#NUM!</v>
      </c>
    </row>
    <row r="494" spans="2:23">
      <c r="B494" s="157" t="str">
        <f>IF(ISERROR(T495),"",CONCATENATE(IF(W495="BIT",$M$2,$M$1),U495,$M$3,BIN2HEX(IF(W495="BIT",INDEX('Logical Group Generator'!H:H,'Script Generator'!T495),INDEX('Logical Group Generator'!L:L,'Script Generator'!T495)),2),IF(ISERROR(T496),$M$5,$M$4)))</f>
        <v/>
      </c>
      <c r="D494" s="215"/>
      <c r="R494" s="215" t="str">
        <f>IF('Logical Group Generator'!W494="FALSE","",IF('Logical Group Generator'!B494="OTP_RSVD_38_03","",'Logical Group Generator'!B494))</f>
        <v/>
      </c>
      <c r="T494" s="157" t="e">
        <f>MATCH(U494,'Logical Group Generator'!B:B,0)</f>
        <v>#NUM!</v>
      </c>
      <c r="U494" s="157" t="e">
        <f t="array" ref="U494">IF(ROWS($3:494)&lt;=COUNTA($R$3:$R$902),INDEX($R$3:$R$902,SMALL(IF($R$3:$R$902&lt;&gt;"",ROW($R$3:$R$902)-MIN(ROW($R$3:$R$902))+1),ROWS($3:494))),"")</f>
        <v>#NUM!</v>
      </c>
      <c r="W494" s="157" t="e">
        <f>IF(INDEX('Logical Group Generator'!W:W,MATCH(U494,'Logical Group Generator'!B:B,0))="REGISTER","REGISTER","BIT")</f>
        <v>#NUM!</v>
      </c>
    </row>
    <row r="495" spans="2:23">
      <c r="B495" s="157" t="str">
        <f>IF(ISERROR(T496),"",CONCATENATE(IF(W496="BIT",$M$2,$M$1),U496,$M$3,BIN2HEX(IF(W496="BIT",INDEX('Logical Group Generator'!H:H,'Script Generator'!T496),INDEX('Logical Group Generator'!L:L,'Script Generator'!T496)),2),IF(ISERROR(T497),$M$5,$M$4)))</f>
        <v/>
      </c>
      <c r="D495" s="215"/>
      <c r="R495" s="215" t="str">
        <f>IF('Logical Group Generator'!W495="FALSE","",IF('Logical Group Generator'!B495="OTP_RSVD_38_03","",'Logical Group Generator'!B495))</f>
        <v/>
      </c>
      <c r="T495" s="157" t="e">
        <f>MATCH(U495,'Logical Group Generator'!B:B,0)</f>
        <v>#NUM!</v>
      </c>
      <c r="U495" s="157" t="e">
        <f t="array" ref="U495">IF(ROWS($3:495)&lt;=COUNTA($R$3:$R$902),INDEX($R$3:$R$902,SMALL(IF($R$3:$R$902&lt;&gt;"",ROW($R$3:$R$902)-MIN(ROW($R$3:$R$902))+1),ROWS($3:495))),"")</f>
        <v>#NUM!</v>
      </c>
      <c r="W495" s="157" t="e">
        <f>IF(INDEX('Logical Group Generator'!W:W,MATCH(U495,'Logical Group Generator'!B:B,0))="REGISTER","REGISTER","BIT")</f>
        <v>#NUM!</v>
      </c>
    </row>
    <row r="496" spans="2:23">
      <c r="B496" s="157" t="str">
        <f>IF(ISERROR(T497),"",CONCATENATE(IF(W497="BIT",$M$2,$M$1),U497,$M$3,BIN2HEX(IF(W497="BIT",INDEX('Logical Group Generator'!H:H,'Script Generator'!T497),INDEX('Logical Group Generator'!L:L,'Script Generator'!T497)),2),IF(ISERROR(T498),$M$5,$M$4)))</f>
        <v/>
      </c>
      <c r="D496" s="215"/>
      <c r="R496" s="215" t="str">
        <f>IF('Logical Group Generator'!W496="FALSE","",IF('Logical Group Generator'!B496="OTP_RSVD_38_03","",'Logical Group Generator'!B496))</f>
        <v/>
      </c>
      <c r="T496" s="157" t="e">
        <f>MATCH(U496,'Logical Group Generator'!B:B,0)</f>
        <v>#NUM!</v>
      </c>
      <c r="U496" s="157" t="e">
        <f t="array" ref="U496">IF(ROWS($3:496)&lt;=COUNTA($R$3:$R$902),INDEX($R$3:$R$902,SMALL(IF($R$3:$R$902&lt;&gt;"",ROW($R$3:$R$902)-MIN(ROW($R$3:$R$902))+1),ROWS($3:496))),"")</f>
        <v>#NUM!</v>
      </c>
      <c r="W496" s="157" t="e">
        <f>IF(INDEX('Logical Group Generator'!W:W,MATCH(U496,'Logical Group Generator'!B:B,0))="REGISTER","REGISTER","BIT")</f>
        <v>#NUM!</v>
      </c>
    </row>
    <row r="497" spans="2:23">
      <c r="B497" s="157" t="str">
        <f>IF(ISERROR(T498),"",CONCATENATE(IF(W498="BIT",$M$2,$M$1),U498,$M$3,BIN2HEX(IF(W498="BIT",INDEX('Logical Group Generator'!H:H,'Script Generator'!T498),INDEX('Logical Group Generator'!L:L,'Script Generator'!T498)),2),IF(ISERROR(T499),$M$5,$M$4)))</f>
        <v/>
      </c>
      <c r="D497" s="215"/>
      <c r="R497" s="215" t="str">
        <f>IF('Logical Group Generator'!W497="FALSE","",IF('Logical Group Generator'!B497="OTP_RSVD_38_03","",'Logical Group Generator'!B497))</f>
        <v/>
      </c>
      <c r="T497" s="157" t="e">
        <f>MATCH(U497,'Logical Group Generator'!B:B,0)</f>
        <v>#NUM!</v>
      </c>
      <c r="U497" s="157" t="e">
        <f t="array" ref="U497">IF(ROWS($3:497)&lt;=COUNTA($R$3:$R$902),INDEX($R$3:$R$902,SMALL(IF($R$3:$R$902&lt;&gt;"",ROW($R$3:$R$902)-MIN(ROW($R$3:$R$902))+1),ROWS($3:497))),"")</f>
        <v>#NUM!</v>
      </c>
      <c r="W497" s="157" t="e">
        <f>IF(INDEX('Logical Group Generator'!W:W,MATCH(U497,'Logical Group Generator'!B:B,0))="REGISTER","REGISTER","BIT")</f>
        <v>#NUM!</v>
      </c>
    </row>
    <row r="498" spans="2:23">
      <c r="B498" s="157" t="str">
        <f>IF(ISERROR(T499),"",CONCATENATE(IF(W499="BIT",$M$2,$M$1),U499,$M$3,BIN2HEX(IF(W499="BIT",INDEX('Logical Group Generator'!H:H,'Script Generator'!T499),INDEX('Logical Group Generator'!L:L,'Script Generator'!T499)),2),IF(ISERROR(T500),$M$5,$M$4)))</f>
        <v/>
      </c>
      <c r="D498" s="215"/>
      <c r="R498" s="215" t="str">
        <f>IF('Logical Group Generator'!W498="FALSE","",IF('Logical Group Generator'!B498="OTP_RSVD_38_03","",'Logical Group Generator'!B498))</f>
        <v>SWB2_LDOA1_CTRL_EN3</v>
      </c>
      <c r="T498" s="157" t="e">
        <f>MATCH(U498,'Logical Group Generator'!B:B,0)</f>
        <v>#NUM!</v>
      </c>
      <c r="U498" s="157" t="e">
        <f t="array" ref="U498">IF(ROWS($3:498)&lt;=COUNTA($R$3:$R$902),INDEX($R$3:$R$902,SMALL(IF($R$3:$R$902&lt;&gt;"",ROW($R$3:$R$902)-MIN(ROW($R$3:$R$902))+1),ROWS($3:498))),"")</f>
        <v>#NUM!</v>
      </c>
      <c r="W498" s="157" t="e">
        <f>IF(INDEX('Logical Group Generator'!W:W,MATCH(U498,'Logical Group Generator'!B:B,0))="REGISTER","REGISTER","BIT")</f>
        <v>#NUM!</v>
      </c>
    </row>
    <row r="499" spans="2:23">
      <c r="B499" s="157" t="str">
        <f>IF(ISERROR(T500),"",CONCATENATE(IF(W500="BIT",$M$2,$M$1),U500,$M$3,BIN2HEX(IF(W500="BIT",INDEX('Logical Group Generator'!H:H,'Script Generator'!T500),INDEX('Logical Group Generator'!L:L,'Script Generator'!T500)),2),IF(ISERROR(T501),$M$5,$M$4)))</f>
        <v/>
      </c>
      <c r="D499" s="215"/>
      <c r="R499" s="215" t="str">
        <f>IF('Logical Group Generator'!W499="FALSE","",IF('Logical Group Generator'!B499="OTP_RSVD_38_03","",'Logical Group Generator'!B499))</f>
        <v/>
      </c>
      <c r="T499" s="157" t="e">
        <f>MATCH(U499,'Logical Group Generator'!B:B,0)</f>
        <v>#NUM!</v>
      </c>
      <c r="U499" s="157" t="e">
        <f t="array" ref="U499">IF(ROWS($3:499)&lt;=COUNTA($R$3:$R$902),INDEX($R$3:$R$902,SMALL(IF($R$3:$R$902&lt;&gt;"",ROW($R$3:$R$902)-MIN(ROW($R$3:$R$902))+1),ROWS($3:499))),"")</f>
        <v>#NUM!</v>
      </c>
      <c r="W499" s="157" t="e">
        <f>IF(INDEX('Logical Group Generator'!W:W,MATCH(U499,'Logical Group Generator'!B:B,0))="REGISTER","REGISTER","BIT")</f>
        <v>#NUM!</v>
      </c>
    </row>
    <row r="500" spans="2:23">
      <c r="B500" s="157" t="str">
        <f>IF(ISERROR(T501),"",CONCATENATE(IF(W501="BIT",$M$2,$M$1),U501,$M$3,BIN2HEX(IF(W501="BIT",INDEX('Logical Group Generator'!H:H,'Script Generator'!T501),INDEX('Logical Group Generator'!L:L,'Script Generator'!T501)),2),IF(ISERROR(T502),$M$5,$M$4)))</f>
        <v/>
      </c>
      <c r="D500" s="215"/>
      <c r="R500" s="215" t="str">
        <f>IF('Logical Group Generator'!W500="FALSE","",IF('Logical Group Generator'!B500="OTP_RSVD_38_03","",'Logical Group Generator'!B500))</f>
        <v/>
      </c>
      <c r="T500" s="157" t="e">
        <f>MATCH(U500,'Logical Group Generator'!B:B,0)</f>
        <v>#NUM!</v>
      </c>
      <c r="U500" s="157" t="e">
        <f t="array" ref="U500">IF(ROWS($3:500)&lt;=COUNTA($R$3:$R$902),INDEX($R$3:$R$902,SMALL(IF($R$3:$R$902&lt;&gt;"",ROW($R$3:$R$902)-MIN(ROW($R$3:$R$902))+1),ROWS($3:500))),"")</f>
        <v>#NUM!</v>
      </c>
      <c r="W500" s="157" t="e">
        <f>IF(INDEX('Logical Group Generator'!W:W,MATCH(U500,'Logical Group Generator'!B:B,0))="REGISTER","REGISTER","BIT")</f>
        <v>#NUM!</v>
      </c>
    </row>
    <row r="501" spans="2:23">
      <c r="B501" s="157" t="str">
        <f>IF(ISERROR(T502),"",CONCATENATE(IF(W502="BIT",$M$2,$M$1),U502,$M$3,BIN2HEX(IF(W502="BIT",INDEX('Logical Group Generator'!H:H,'Script Generator'!T502),INDEX('Logical Group Generator'!L:L,'Script Generator'!T502)),2),IF(ISERROR(T503),$M$5,$M$4)))</f>
        <v/>
      </c>
      <c r="D501" s="215"/>
      <c r="R501" s="215" t="str">
        <f>IF('Logical Group Generator'!W501="FALSE","",IF('Logical Group Generator'!B501="OTP_RSVD_38_03","",'Logical Group Generator'!B501))</f>
        <v/>
      </c>
      <c r="T501" s="157" t="e">
        <f>MATCH(U501,'Logical Group Generator'!B:B,0)</f>
        <v>#NUM!</v>
      </c>
      <c r="U501" s="157" t="e">
        <f t="array" ref="U501">IF(ROWS($3:501)&lt;=COUNTA($R$3:$R$902),INDEX($R$3:$R$902,SMALL(IF($R$3:$R$902&lt;&gt;"",ROW($R$3:$R$902)-MIN(ROW($R$3:$R$902))+1),ROWS($3:501))),"")</f>
        <v>#NUM!</v>
      </c>
      <c r="W501" s="157" t="e">
        <f>IF(INDEX('Logical Group Generator'!W:W,MATCH(U501,'Logical Group Generator'!B:B,0))="REGISTER","REGISTER","BIT")</f>
        <v>#NUM!</v>
      </c>
    </row>
    <row r="502" spans="2:23">
      <c r="B502" s="157" t="str">
        <f>IF(ISERROR(T503),"",CONCATENATE(IF(W503="BIT",$M$2,$M$1),U503,$M$3,BIN2HEX(IF(W503="BIT",INDEX('Logical Group Generator'!H:H,'Script Generator'!T503),INDEX('Logical Group Generator'!L:L,'Script Generator'!T503)),2),IF(ISERROR(T504),$M$5,$M$4)))</f>
        <v/>
      </c>
      <c r="D502" s="215"/>
      <c r="R502" s="215" t="str">
        <f>IF('Logical Group Generator'!W502="FALSE","",IF('Logical Group Generator'!B502="OTP_RSVD_38_03","",'Logical Group Generator'!B502))</f>
        <v>OTP_RSVD_38_28</v>
      </c>
      <c r="T502" s="157" t="e">
        <f>MATCH(U502,'Logical Group Generator'!B:B,0)</f>
        <v>#NUM!</v>
      </c>
      <c r="U502" s="157" t="e">
        <f t="array" ref="U502">IF(ROWS($3:502)&lt;=COUNTA($R$3:$R$902),INDEX($R$3:$R$902,SMALL(IF($R$3:$R$902&lt;&gt;"",ROW($R$3:$R$902)-MIN(ROW($R$3:$R$902))+1),ROWS($3:502))),"")</f>
        <v>#NUM!</v>
      </c>
      <c r="W502" s="157" t="e">
        <f>IF(INDEX('Logical Group Generator'!W:W,MATCH(U502,'Logical Group Generator'!B:B,0))="REGISTER","REGISTER","BIT")</f>
        <v>#NUM!</v>
      </c>
    </row>
    <row r="503" spans="2:23">
      <c r="B503" s="157" t="str">
        <f>IF(ISERROR(T504),"",CONCATENATE(IF(W504="BIT",$M$2,$M$1),U504,$M$3,BIN2HEX(IF(W504="BIT",INDEX('Logical Group Generator'!H:H,'Script Generator'!T504),INDEX('Logical Group Generator'!L:L,'Script Generator'!T504)),2),IF(ISERROR(T505),$M$5,$M$4)))</f>
        <v/>
      </c>
      <c r="D503" s="215"/>
      <c r="R503" s="215" t="str">
        <f>IF('Logical Group Generator'!W503="FALSE","",IF('Logical Group Generator'!B503="OTP_RSVD_38_03","",'Logical Group Generator'!B503))</f>
        <v/>
      </c>
      <c r="T503" s="157" t="e">
        <f>MATCH(U503,'Logical Group Generator'!B:B,0)</f>
        <v>#NUM!</v>
      </c>
      <c r="U503" s="157" t="e">
        <f t="array" ref="U503">IF(ROWS($3:503)&lt;=COUNTA($R$3:$R$902),INDEX($R$3:$R$902,SMALL(IF($R$3:$R$902&lt;&gt;"",ROW($R$3:$R$902)-MIN(ROW($R$3:$R$902))+1),ROWS($3:503))),"")</f>
        <v>#NUM!</v>
      </c>
      <c r="W503" s="157" t="e">
        <f>IF(INDEX('Logical Group Generator'!W:W,MATCH(U503,'Logical Group Generator'!B:B,0))="REGISTER","REGISTER","BIT")</f>
        <v>#NUM!</v>
      </c>
    </row>
    <row r="504" spans="2:23">
      <c r="B504" s="157" t="str">
        <f>IF(ISERROR(T505),"",CONCATENATE(IF(W505="BIT",$M$2,$M$1),U505,$M$3,BIN2HEX(IF(W505="BIT",INDEX('Logical Group Generator'!H:H,'Script Generator'!T505),INDEX('Logical Group Generator'!L:L,'Script Generator'!T505)),2),IF(ISERROR(T506),$M$5,$M$4)))</f>
        <v/>
      </c>
      <c r="D504" s="215"/>
      <c r="R504" s="215" t="str">
        <f>IF('Logical Group Generator'!W504="FALSE","",IF('Logical Group Generator'!B504="OTP_RSVD_38_03","",'Logical Group Generator'!B504))</f>
        <v/>
      </c>
      <c r="T504" s="157" t="e">
        <f>MATCH(U504,'Logical Group Generator'!B:B,0)</f>
        <v>#NUM!</v>
      </c>
      <c r="U504" s="157" t="e">
        <f t="array" ref="U504">IF(ROWS($3:504)&lt;=COUNTA($R$3:$R$902),INDEX($R$3:$R$902,SMALL(IF($R$3:$R$902&lt;&gt;"",ROW($R$3:$R$902)-MIN(ROW($R$3:$R$902))+1),ROWS($3:504))),"")</f>
        <v>#NUM!</v>
      </c>
      <c r="W504" s="157" t="e">
        <f>IF(INDEX('Logical Group Generator'!W:W,MATCH(U504,'Logical Group Generator'!B:B,0))="REGISTER","REGISTER","BIT")</f>
        <v>#NUM!</v>
      </c>
    </row>
    <row r="505" spans="2:23">
      <c r="B505" s="157" t="str">
        <f>IF(ISERROR(T506),"",CONCATENATE(IF(W506="BIT",$M$2,$M$1),U506,$M$3,BIN2HEX(IF(W506="BIT",INDEX('Logical Group Generator'!H:H,'Script Generator'!T506),INDEX('Logical Group Generator'!L:L,'Script Generator'!T506)),2),IF(ISERROR(T507),$M$5,$M$4)))</f>
        <v/>
      </c>
      <c r="D505" s="215"/>
      <c r="R505" s="215" t="str">
        <f>IF('Logical Group Generator'!W505="FALSE","",IF('Logical Group Generator'!B505="OTP_RSVD_38_03","",'Logical Group Generator'!B505))</f>
        <v/>
      </c>
      <c r="T505" s="157" t="e">
        <f>MATCH(U505,'Logical Group Generator'!B:B,0)</f>
        <v>#NUM!</v>
      </c>
      <c r="U505" s="157" t="e">
        <f t="array" ref="U505">IF(ROWS($3:505)&lt;=COUNTA($R$3:$R$902),INDEX($R$3:$R$902,SMALL(IF($R$3:$R$902&lt;&gt;"",ROW($R$3:$R$902)-MIN(ROW($R$3:$R$902))+1),ROWS($3:505))),"")</f>
        <v>#NUM!</v>
      </c>
      <c r="W505" s="157" t="e">
        <f>IF(INDEX('Logical Group Generator'!W:W,MATCH(U505,'Logical Group Generator'!B:B,0))="REGISTER","REGISTER","BIT")</f>
        <v>#NUM!</v>
      </c>
    </row>
    <row r="506" spans="2:23">
      <c r="B506" s="157" t="str">
        <f>IF(ISERROR(T507),"",CONCATENATE(IF(W507="BIT",$M$2,$M$1),U507,$M$3,BIN2HEX(IF(W507="BIT",INDEX('Logical Group Generator'!H:H,'Script Generator'!T507),INDEX('Logical Group Generator'!L:L,'Script Generator'!T507)),2),IF(ISERROR(T508),$M$5,$M$4)))</f>
        <v/>
      </c>
      <c r="D506" s="215"/>
      <c r="R506" s="215" t="str">
        <f>IF('Logical Group Generator'!W506="FALSE","",IF('Logical Group Generator'!B506="OTP_RSVD_38_03","",'Logical Group Generator'!B506))</f>
        <v/>
      </c>
      <c r="T506" s="157" t="e">
        <f>MATCH(U506,'Logical Group Generator'!B:B,0)</f>
        <v>#NUM!</v>
      </c>
      <c r="U506" s="157" t="e">
        <f t="array" ref="U506">IF(ROWS($3:506)&lt;=COUNTA($R$3:$R$902),INDEX($R$3:$R$902,SMALL(IF($R$3:$R$902&lt;&gt;"",ROW($R$3:$R$902)-MIN(ROW($R$3:$R$902))+1),ROWS($3:506))),"")</f>
        <v>#NUM!</v>
      </c>
      <c r="W506" s="157" t="e">
        <f>IF(INDEX('Logical Group Generator'!W:W,MATCH(U506,'Logical Group Generator'!B:B,0))="REGISTER","REGISTER","BIT")</f>
        <v>#NUM!</v>
      </c>
    </row>
    <row r="507" spans="2:23">
      <c r="B507" s="157" t="str">
        <f>IF(ISERROR(T508),"",CONCATENATE(IF(W508="BIT",$M$2,$M$1),U508,$M$3,BIN2HEX(IF(W508="BIT",INDEX('Logical Group Generator'!H:H,'Script Generator'!T508),INDEX('Logical Group Generator'!L:L,'Script Generator'!T508)),2),IF(ISERROR(T509),$M$5,$M$4)))</f>
        <v/>
      </c>
      <c r="D507" s="215"/>
      <c r="R507" s="215" t="str">
        <f>IF('Logical Group Generator'!W507="FALSE","",IF('Logical Group Generator'!B507="OTP_RSVD_38_03","",'Logical Group Generator'!B507))</f>
        <v/>
      </c>
      <c r="T507" s="157" t="e">
        <f>MATCH(U507,'Logical Group Generator'!B:B,0)</f>
        <v>#NUM!</v>
      </c>
      <c r="U507" s="157" t="e">
        <f t="array" ref="U507">IF(ROWS($3:507)&lt;=COUNTA($R$3:$R$902),INDEX($R$3:$R$902,SMALL(IF($R$3:$R$902&lt;&gt;"",ROW($R$3:$R$902)-MIN(ROW($R$3:$R$902))+1),ROWS($3:507))),"")</f>
        <v>#NUM!</v>
      </c>
      <c r="W507" s="157" t="e">
        <f>IF(INDEX('Logical Group Generator'!W:W,MATCH(U507,'Logical Group Generator'!B:B,0))="REGISTER","REGISTER","BIT")</f>
        <v>#NUM!</v>
      </c>
    </row>
    <row r="508" spans="2:23">
      <c r="B508" s="157" t="str">
        <f>IF(ISERROR(T509),"",CONCATENATE(IF(W509="BIT",$M$2,$M$1),U509,$M$3,BIN2HEX(IF(W509="BIT",INDEX('Logical Group Generator'!H:H,'Script Generator'!T509),INDEX('Logical Group Generator'!L:L,'Script Generator'!T509)),2),IF(ISERROR(T510),$M$5,$M$4)))</f>
        <v/>
      </c>
      <c r="D508" s="215"/>
      <c r="R508" s="215" t="str">
        <f>IF('Logical Group Generator'!W508="FALSE","",IF('Logical Group Generator'!B508="OTP_RSVD_38_03","",'Logical Group Generator'!B508))</f>
        <v/>
      </c>
      <c r="T508" s="157" t="e">
        <f>MATCH(U508,'Logical Group Generator'!B:B,0)</f>
        <v>#NUM!</v>
      </c>
      <c r="U508" s="157" t="e">
        <f t="array" ref="U508">IF(ROWS($3:508)&lt;=COUNTA($R$3:$R$902),INDEX($R$3:$R$902,SMALL(IF($R$3:$R$902&lt;&gt;"",ROW($R$3:$R$902)-MIN(ROW($R$3:$R$902))+1),ROWS($3:508))),"")</f>
        <v>#NUM!</v>
      </c>
      <c r="W508" s="157" t="e">
        <f>IF(INDEX('Logical Group Generator'!W:W,MATCH(U508,'Logical Group Generator'!B:B,0))="REGISTER","REGISTER","BIT")</f>
        <v>#NUM!</v>
      </c>
    </row>
    <row r="509" spans="2:23">
      <c r="B509" s="157" t="str">
        <f>IF(ISERROR(T510),"",CONCATENATE(IF(W510="BIT",$M$2,$M$1),U510,$M$3,BIN2HEX(IF(W510="BIT",INDEX('Logical Group Generator'!H:H,'Script Generator'!T510),INDEX('Logical Group Generator'!L:L,'Script Generator'!T510)),2),IF(ISERROR(T511),$M$5,$M$4)))</f>
        <v/>
      </c>
      <c r="D509" s="215"/>
      <c r="R509" s="215" t="str">
        <f>IF('Logical Group Generator'!W509="FALSE","",IF('Logical Group Generator'!B509="OTP_RSVD_38_03","",'Logical Group Generator'!B509))</f>
        <v>SLP_PIN</v>
      </c>
      <c r="T509" s="157" t="e">
        <f>MATCH(U509,'Logical Group Generator'!B:B,0)</f>
        <v>#NUM!</v>
      </c>
      <c r="U509" s="157" t="e">
        <f t="array" ref="U509">IF(ROWS($3:509)&lt;=COUNTA($R$3:$R$902),INDEX($R$3:$R$902,SMALL(IF($R$3:$R$902&lt;&gt;"",ROW($R$3:$R$902)-MIN(ROW($R$3:$R$902))+1),ROWS($3:509))),"")</f>
        <v>#NUM!</v>
      </c>
      <c r="W509" s="157" t="e">
        <f>IF(INDEX('Logical Group Generator'!W:W,MATCH(U509,'Logical Group Generator'!B:B,0))="REGISTER","REGISTER","BIT")</f>
        <v>#NUM!</v>
      </c>
    </row>
    <row r="510" spans="2:23">
      <c r="B510" s="157" t="str">
        <f>IF(ISERROR(T511),"",CONCATENATE(IF(W511="BIT",$M$2,$M$1),U511,$M$3,BIN2HEX(IF(W511="BIT",INDEX('Logical Group Generator'!H:H,'Script Generator'!T511),INDEX('Logical Group Generator'!L:L,'Script Generator'!T511)),2),IF(ISERROR(T512),$M$5,$M$4)))</f>
        <v/>
      </c>
      <c r="D510" s="215"/>
      <c r="R510" s="215" t="str">
        <f>IF('Logical Group Generator'!W510="FALSE","",IF('Logical Group Generator'!B510="OTP_RSVD_38_03","",'Logical Group Generator'!B510))</f>
        <v/>
      </c>
      <c r="T510" s="157" t="e">
        <f>MATCH(U510,'Logical Group Generator'!B:B,0)</f>
        <v>#NUM!</v>
      </c>
      <c r="U510" s="157" t="e">
        <f t="array" ref="U510">IF(ROWS($3:510)&lt;=COUNTA($R$3:$R$902),INDEX($R$3:$R$902,SMALL(IF($R$3:$R$902&lt;&gt;"",ROW($R$3:$R$902)-MIN(ROW($R$3:$R$902))+1),ROWS($3:510))),"")</f>
        <v>#NUM!</v>
      </c>
      <c r="W510" s="157" t="e">
        <f>IF(INDEX('Logical Group Generator'!W:W,MATCH(U510,'Logical Group Generator'!B:B,0))="REGISTER","REGISTER","BIT")</f>
        <v>#NUM!</v>
      </c>
    </row>
    <row r="511" spans="2:23">
      <c r="B511" s="157" t="str">
        <f>IF(ISERROR(T512),"",CONCATENATE(IF(W512="BIT",$M$2,$M$1),U512,$M$3,BIN2HEX(IF(W512="BIT",INDEX('Logical Group Generator'!H:H,'Script Generator'!T512),INDEX('Logical Group Generator'!L:L,'Script Generator'!T512)),2),IF(ISERROR(T513),$M$5,$M$4)))</f>
        <v/>
      </c>
      <c r="D511" s="215"/>
      <c r="R511" s="215" t="str">
        <f>IF('Logical Group Generator'!W511="FALSE","",IF('Logical Group Generator'!B511="OTP_RSVD_38_03","",'Logical Group Generator'!B511))</f>
        <v/>
      </c>
      <c r="T511" s="157" t="e">
        <f>MATCH(U511,'Logical Group Generator'!B:B,0)</f>
        <v>#NUM!</v>
      </c>
      <c r="U511" s="157" t="e">
        <f t="array" ref="U511">IF(ROWS($3:511)&lt;=COUNTA($R$3:$R$902),INDEX($R$3:$R$902,SMALL(IF($R$3:$R$902&lt;&gt;"",ROW($R$3:$R$902)-MIN(ROW($R$3:$R$902))+1),ROWS($3:511))),"")</f>
        <v>#NUM!</v>
      </c>
      <c r="W511" s="157" t="e">
        <f>IF(INDEX('Logical Group Generator'!W:W,MATCH(U511,'Logical Group Generator'!B:B,0))="REGISTER","REGISTER","BIT")</f>
        <v>#NUM!</v>
      </c>
    </row>
    <row r="512" spans="2:23">
      <c r="B512" s="157" t="str">
        <f>IF(ISERROR(T513),"",CONCATENATE(IF(W513="BIT",$M$2,$M$1),U513,$M$3,BIN2HEX(IF(W513="BIT",INDEX('Logical Group Generator'!H:H,'Script Generator'!T513),INDEX('Logical Group Generator'!L:L,'Script Generator'!T513)),2),IF(ISERROR(T514),$M$5,$M$4)))</f>
        <v/>
      </c>
      <c r="D512" s="215"/>
      <c r="R512" s="215" t="str">
        <f>IF('Logical Group Generator'!W512="FALSE","",IF('Logical Group Generator'!B512="OTP_RSVD_38_03","",'Logical Group Generator'!B512))</f>
        <v/>
      </c>
      <c r="T512" s="157" t="e">
        <f>MATCH(U512,'Logical Group Generator'!B:B,0)</f>
        <v>#NUM!</v>
      </c>
      <c r="U512" s="157" t="e">
        <f t="array" ref="U512">IF(ROWS($3:512)&lt;=COUNTA($R$3:$R$902),INDEX($R$3:$R$902,SMALL(IF($R$3:$R$902&lt;&gt;"",ROW($R$3:$R$902)-MIN(ROW($R$3:$R$902))+1),ROWS($3:512))),"")</f>
        <v>#NUM!</v>
      </c>
      <c r="W512" s="157" t="e">
        <f>IF(INDEX('Logical Group Generator'!W:W,MATCH(U512,'Logical Group Generator'!B:B,0))="REGISTER","REGISTER","BIT")</f>
        <v>#NUM!</v>
      </c>
    </row>
    <row r="513" spans="2:23">
      <c r="B513" s="157" t="str">
        <f>IF(ISERROR(T514),"",CONCATENATE(IF(W514="BIT",$M$2,$M$1),U514,$M$3,BIN2HEX(IF(W514="BIT",INDEX('Logical Group Generator'!H:H,'Script Generator'!T514),INDEX('Logical Group Generator'!L:L,'Script Generator'!T514)),2),IF(ISERROR(T515),$M$5,$M$4)))</f>
        <v/>
      </c>
      <c r="D513" s="215"/>
      <c r="R513" s="215" t="str">
        <f>IF('Logical Group Generator'!W513="FALSE","",IF('Logical Group Generator'!B513="OTP_RSVD_38_03","",'Logical Group Generator'!B513))</f>
        <v/>
      </c>
      <c r="T513" s="157" t="e">
        <f>MATCH(U513,'Logical Group Generator'!B:B,0)</f>
        <v>#NUM!</v>
      </c>
      <c r="U513" s="157" t="e">
        <f t="array" ref="U513">IF(ROWS($3:513)&lt;=COUNTA($R$3:$R$902),INDEX($R$3:$R$902,SMALL(IF($R$3:$R$902&lt;&gt;"",ROW($R$3:$R$902)-MIN(ROW($R$3:$R$902))+1),ROWS($3:513))),"")</f>
        <v>#NUM!</v>
      </c>
      <c r="W513" s="157" t="e">
        <f>IF(INDEX('Logical Group Generator'!W:W,MATCH(U513,'Logical Group Generator'!B:B,0))="REGISTER","REGISTER","BIT")</f>
        <v>#NUM!</v>
      </c>
    </row>
    <row r="514" spans="2:23">
      <c r="B514" s="157" t="str">
        <f>IF(ISERROR(T515),"",CONCATENATE(IF(W515="BIT",$M$2,$M$1),U515,$M$3,BIN2HEX(IF(W515="BIT",INDEX('Logical Group Generator'!H:H,'Script Generator'!T515),INDEX('Logical Group Generator'!L:L,'Script Generator'!T515)),2),IF(ISERROR(T516),$M$5,$M$4)))</f>
        <v/>
      </c>
      <c r="D514" s="215"/>
      <c r="R514" s="215" t="str">
        <f>IF('Logical Group Generator'!W514="FALSE","",IF('Logical Group Generator'!B514="OTP_RSVD_38_03","",'Logical Group Generator'!B514))</f>
        <v/>
      </c>
      <c r="T514" s="157" t="e">
        <f>MATCH(U514,'Logical Group Generator'!B:B,0)</f>
        <v>#NUM!</v>
      </c>
      <c r="U514" s="157" t="e">
        <f t="array" ref="U514">IF(ROWS($3:514)&lt;=COUNTA($R$3:$R$902),INDEX($R$3:$R$902,SMALL(IF($R$3:$R$902&lt;&gt;"",ROW($R$3:$R$902)-MIN(ROW($R$3:$R$902))+1),ROWS($3:514))),"")</f>
        <v>#NUM!</v>
      </c>
      <c r="W514" s="157" t="e">
        <f>IF(INDEX('Logical Group Generator'!W:W,MATCH(U514,'Logical Group Generator'!B:B,0))="REGISTER","REGISTER","BIT")</f>
        <v>#NUM!</v>
      </c>
    </row>
    <row r="515" spans="2:23">
      <c r="B515" s="157" t="str">
        <f>IF(ISERROR(T516),"",CONCATENATE(IF(W516="BIT",$M$2,$M$1),U516,$M$3,BIN2HEX(IF(W516="BIT",INDEX('Logical Group Generator'!H:H,'Script Generator'!T516),INDEX('Logical Group Generator'!L:L,'Script Generator'!T516)),2),IF(ISERROR(T517),$M$5,$M$4)))</f>
        <v/>
      </c>
      <c r="D515" s="215"/>
      <c r="R515" s="215" t="str">
        <f>IF('Logical Group Generator'!W515="FALSE","",IF('Logical Group Generator'!B515="OTP_RSVD_38_03","",'Logical Group Generator'!B515))</f>
        <v/>
      </c>
      <c r="T515" s="157" t="e">
        <f>MATCH(U515,'Logical Group Generator'!B:B,0)</f>
        <v>#NUM!</v>
      </c>
      <c r="U515" s="157" t="e">
        <f t="array" ref="U515">IF(ROWS($3:515)&lt;=COUNTA($R$3:$R$902),INDEX($R$3:$R$902,SMALL(IF($R$3:$R$902&lt;&gt;"",ROW($R$3:$R$902)-MIN(ROW($R$3:$R$902))+1),ROWS($3:515))),"")</f>
        <v>#NUM!</v>
      </c>
      <c r="W515" s="157" t="e">
        <f>IF(INDEX('Logical Group Generator'!W:W,MATCH(U515,'Logical Group Generator'!B:B,0))="REGISTER","REGISTER","BIT")</f>
        <v>#NUM!</v>
      </c>
    </row>
    <row r="516" spans="2:23">
      <c r="B516" s="157" t="str">
        <f>IF(ISERROR(T517),"",CONCATENATE(IF(W517="BIT",$M$2,$M$1),U517,$M$3,BIN2HEX(IF(W517="BIT",INDEX('Logical Group Generator'!H:H,'Script Generator'!T517),INDEX('Logical Group Generator'!L:L,'Script Generator'!T517)),2),IF(ISERROR(T518),$M$5,$M$4)))</f>
        <v/>
      </c>
      <c r="D516" s="215"/>
      <c r="R516" s="215" t="str">
        <f>IF('Logical Group Generator'!W516="FALSE","",IF('Logical Group Generator'!B516="OTP_RSVD_38_03","",'Logical Group Generator'!B516))</f>
        <v/>
      </c>
      <c r="T516" s="157" t="e">
        <f>MATCH(U516,'Logical Group Generator'!B:B,0)</f>
        <v>#NUM!</v>
      </c>
      <c r="U516" s="157" t="e">
        <f t="array" ref="U516">IF(ROWS($3:516)&lt;=COUNTA($R$3:$R$902),INDEX($R$3:$R$902,SMALL(IF($R$3:$R$902&lt;&gt;"",ROW($R$3:$R$902)-MIN(ROW($R$3:$R$902))+1),ROWS($3:516))),"")</f>
        <v>#NUM!</v>
      </c>
      <c r="W516" s="157" t="e">
        <f>IF(INDEX('Logical Group Generator'!W:W,MATCH(U516,'Logical Group Generator'!B:B,0))="REGISTER","REGISTER","BIT")</f>
        <v>#NUM!</v>
      </c>
    </row>
    <row r="517" spans="2:23">
      <c r="B517" s="157" t="str">
        <f>IF(ISERROR(T518),"",CONCATENATE(IF(W518="BIT",$M$2,$M$1),U518,$M$3,BIN2HEX(IF(W518="BIT",INDEX('Logical Group Generator'!H:H,'Script Generator'!T518),INDEX('Logical Group Generator'!L:L,'Script Generator'!T518)),2),IF(ISERROR(T519),$M$5,$M$4)))</f>
        <v/>
      </c>
      <c r="D517" s="215"/>
      <c r="R517" s="215" t="str">
        <f>IF('Logical Group Generator'!W517="FALSE","",IF('Logical Group Generator'!B517="OTP_RSVD_38_03","",'Logical Group Generator'!B517))</f>
        <v/>
      </c>
      <c r="T517" s="157" t="e">
        <f>MATCH(U517,'Logical Group Generator'!B:B,0)</f>
        <v>#NUM!</v>
      </c>
      <c r="U517" s="157" t="e">
        <f t="array" ref="U517">IF(ROWS($3:517)&lt;=COUNTA($R$3:$R$902),INDEX($R$3:$R$902,SMALL(IF($R$3:$R$902&lt;&gt;"",ROW($R$3:$R$902)-MIN(ROW($R$3:$R$902))+1),ROWS($3:517))),"")</f>
        <v>#NUM!</v>
      </c>
      <c r="W517" s="157" t="e">
        <f>IF(INDEX('Logical Group Generator'!W:W,MATCH(U517,'Logical Group Generator'!B:B,0))="REGISTER","REGISTER","BIT")</f>
        <v>#NUM!</v>
      </c>
    </row>
    <row r="518" spans="2:23">
      <c r="B518" s="157" t="str">
        <f>IF(ISERROR(T519),"",CONCATENATE(IF(W519="BIT",$M$2,$M$1),U519,$M$3,BIN2HEX(IF(W519="BIT",INDEX('Logical Group Generator'!H:H,'Script Generator'!T519),INDEX('Logical Group Generator'!L:L,'Script Generator'!T519)),2),IF(ISERROR(T520),$M$5,$M$4)))</f>
        <v/>
      </c>
      <c r="D518" s="215"/>
      <c r="R518" s="215" t="str">
        <f>IF('Logical Group Generator'!W518="FALSE","",IF('Logical Group Generator'!B518="OTP_RSVD_38_03","",'Logical Group Generator'!B518))</f>
        <v>OUTPUT_MODE</v>
      </c>
      <c r="T518" s="157" t="e">
        <f>MATCH(U518,'Logical Group Generator'!B:B,0)</f>
        <v>#NUM!</v>
      </c>
      <c r="U518" s="157" t="e">
        <f t="array" ref="U518">IF(ROWS($3:518)&lt;=COUNTA($R$3:$R$902),INDEX($R$3:$R$902,SMALL(IF($R$3:$R$902&lt;&gt;"",ROW($R$3:$R$902)-MIN(ROW($R$3:$R$902))+1),ROWS($3:518))),"")</f>
        <v>#NUM!</v>
      </c>
      <c r="W518" s="157" t="e">
        <f>IF(INDEX('Logical Group Generator'!W:W,MATCH(U518,'Logical Group Generator'!B:B,0))="REGISTER","REGISTER","BIT")</f>
        <v>#NUM!</v>
      </c>
    </row>
    <row r="519" spans="2:23">
      <c r="B519" s="157" t="str">
        <f>IF(ISERROR(T520),"",CONCATENATE(IF(W520="BIT",$M$2,$M$1),U520,$M$3,BIN2HEX(IF(W520="BIT",INDEX('Logical Group Generator'!H:H,'Script Generator'!T520),INDEX('Logical Group Generator'!L:L,'Script Generator'!T520)),2),IF(ISERROR(T521),$M$5,$M$4)))</f>
        <v/>
      </c>
      <c r="D519" s="215"/>
      <c r="R519" s="215" t="str">
        <f>IF('Logical Group Generator'!W519="FALSE","",IF('Logical Group Generator'!B519="OTP_RSVD_38_03","",'Logical Group Generator'!B519))</f>
        <v/>
      </c>
      <c r="T519" s="157" t="e">
        <f>MATCH(U519,'Logical Group Generator'!B:B,0)</f>
        <v>#NUM!</v>
      </c>
      <c r="U519" s="157" t="e">
        <f t="array" ref="U519">IF(ROWS($3:519)&lt;=COUNTA($R$3:$R$902),INDEX($R$3:$R$902,SMALL(IF($R$3:$R$902&lt;&gt;"",ROW($R$3:$R$902)-MIN(ROW($R$3:$R$902))+1),ROWS($3:519))),"")</f>
        <v>#NUM!</v>
      </c>
      <c r="W519" s="157" t="e">
        <f>IF(INDEX('Logical Group Generator'!W:W,MATCH(U519,'Logical Group Generator'!B:B,0))="REGISTER","REGISTER","BIT")</f>
        <v>#NUM!</v>
      </c>
    </row>
    <row r="520" spans="2:23">
      <c r="B520" s="157" t="str">
        <f>IF(ISERROR(T521),"",CONCATENATE(IF(W521="BIT",$M$2,$M$1),U521,$M$3,BIN2HEX(IF(W521="BIT",INDEX('Logical Group Generator'!H:H,'Script Generator'!T521),INDEX('Logical Group Generator'!L:L,'Script Generator'!T521)),2),IF(ISERROR(T522),$M$5,$M$4)))</f>
        <v/>
      </c>
      <c r="D520" s="215"/>
      <c r="R520" s="215" t="str">
        <f>IF('Logical Group Generator'!W520="FALSE","",IF('Logical Group Generator'!B520="OTP_RSVD_38_03","",'Logical Group Generator'!B520))</f>
        <v/>
      </c>
      <c r="T520" s="157" t="e">
        <f>MATCH(U520,'Logical Group Generator'!B:B,0)</f>
        <v>#NUM!</v>
      </c>
      <c r="U520" s="157" t="e">
        <f t="array" ref="U520">IF(ROWS($3:520)&lt;=COUNTA($R$3:$R$902),INDEX($R$3:$R$902,SMALL(IF($R$3:$R$902&lt;&gt;"",ROW($R$3:$R$902)-MIN(ROW($R$3:$R$902))+1),ROWS($3:520))),"")</f>
        <v>#NUM!</v>
      </c>
      <c r="W520" s="157" t="e">
        <f>IF(INDEX('Logical Group Generator'!W:W,MATCH(U520,'Logical Group Generator'!B:B,0))="REGISTER","REGISTER","BIT")</f>
        <v>#NUM!</v>
      </c>
    </row>
    <row r="521" spans="2:23">
      <c r="B521" s="157" t="str">
        <f>IF(ISERROR(T522),"",CONCATENATE(IF(W522="BIT",$M$2,$M$1),U522,$M$3,BIN2HEX(IF(W522="BIT",INDEX('Logical Group Generator'!H:H,'Script Generator'!T522),INDEX('Logical Group Generator'!L:L,'Script Generator'!T522)),2),IF(ISERROR(T523),$M$5,$M$4)))</f>
        <v/>
      </c>
      <c r="D521" s="215"/>
      <c r="R521" s="215" t="str">
        <f>IF('Logical Group Generator'!W521="FALSE","",IF('Logical Group Generator'!B521="OTP_RSVD_38_03","",'Logical Group Generator'!B521))</f>
        <v/>
      </c>
      <c r="T521" s="157" t="e">
        <f>MATCH(U521,'Logical Group Generator'!B:B,0)</f>
        <v>#NUM!</v>
      </c>
      <c r="U521" s="157" t="e">
        <f t="array" ref="U521">IF(ROWS($3:521)&lt;=COUNTA($R$3:$R$902),INDEX($R$3:$R$902,SMALL(IF($R$3:$R$902&lt;&gt;"",ROW($R$3:$R$902)-MIN(ROW($R$3:$R$902))+1),ROWS($3:521))),"")</f>
        <v>#NUM!</v>
      </c>
      <c r="W521" s="157" t="e">
        <f>IF(INDEX('Logical Group Generator'!W:W,MATCH(U521,'Logical Group Generator'!B:B,0))="REGISTER","REGISTER","BIT")</f>
        <v>#NUM!</v>
      </c>
    </row>
    <row r="522" spans="2:23">
      <c r="B522" s="157" t="str">
        <f>IF(ISERROR(T523),"",CONCATENATE(IF(W523="BIT",$M$2,$M$1),U523,$M$3,BIN2HEX(IF(W523="BIT",INDEX('Logical Group Generator'!H:H,'Script Generator'!T523),INDEX('Logical Group Generator'!L:L,'Script Generator'!T523)),2),IF(ISERROR(T524),$M$5,$M$4)))</f>
        <v/>
      </c>
      <c r="D522" s="215"/>
      <c r="R522" s="215" t="str">
        <f>IF('Logical Group Generator'!W522="FALSE","",IF('Logical Group Generator'!B522="OTP_RSVD_38_03","",'Logical Group Generator'!B522))</f>
        <v/>
      </c>
      <c r="T522" s="157" t="e">
        <f>MATCH(U522,'Logical Group Generator'!B:B,0)</f>
        <v>#NUM!</v>
      </c>
      <c r="U522" s="157" t="e">
        <f t="array" ref="U522">IF(ROWS($3:522)&lt;=COUNTA($R$3:$R$902),INDEX($R$3:$R$902,SMALL(IF($R$3:$R$902&lt;&gt;"",ROW($R$3:$R$902)-MIN(ROW($R$3:$R$902))+1),ROWS($3:522))),"")</f>
        <v>#NUM!</v>
      </c>
      <c r="W522" s="157" t="e">
        <f>IF(INDEX('Logical Group Generator'!W:W,MATCH(U522,'Logical Group Generator'!B:B,0))="REGISTER","REGISTER","BIT")</f>
        <v>#NUM!</v>
      </c>
    </row>
    <row r="523" spans="2:23">
      <c r="B523" s="157" t="str">
        <f>IF(ISERROR(T524),"",CONCATENATE(IF(W524="BIT",$M$2,$M$1),U524,$M$3,BIN2HEX(IF(W524="BIT",INDEX('Logical Group Generator'!H:H,'Script Generator'!T524),INDEX('Logical Group Generator'!L:L,'Script Generator'!T524)),2),IF(ISERROR(T525),$M$5,$M$4)))</f>
        <v/>
      </c>
      <c r="D523" s="215"/>
      <c r="R523" s="215" t="str">
        <f>IF('Logical Group Generator'!W523="FALSE","",IF('Logical Group Generator'!B523="OTP_RSVD_38_03","",'Logical Group Generator'!B523))</f>
        <v/>
      </c>
      <c r="T523" s="157" t="e">
        <f>MATCH(U523,'Logical Group Generator'!B:B,0)</f>
        <v>#NUM!</v>
      </c>
      <c r="U523" s="157" t="e">
        <f t="array" ref="U523">IF(ROWS($3:523)&lt;=COUNTA($R$3:$R$902),INDEX($R$3:$R$902,SMALL(IF($R$3:$R$902&lt;&gt;"",ROW($R$3:$R$902)-MIN(ROW($R$3:$R$902))+1),ROWS($3:523))),"")</f>
        <v>#NUM!</v>
      </c>
      <c r="W523" s="157" t="e">
        <f>IF(INDEX('Logical Group Generator'!W:W,MATCH(U523,'Logical Group Generator'!B:B,0))="REGISTER","REGISTER","BIT")</f>
        <v>#NUM!</v>
      </c>
    </row>
    <row r="524" spans="2:23">
      <c r="B524" s="157" t="str">
        <f>IF(ISERROR(T525),"",CONCATENATE(IF(W525="BIT",$M$2,$M$1),U525,$M$3,BIN2HEX(IF(W525="BIT",INDEX('Logical Group Generator'!H:H,'Script Generator'!T525),INDEX('Logical Group Generator'!L:L,'Script Generator'!T525)),2),IF(ISERROR(T526),$M$5,$M$4)))</f>
        <v/>
      </c>
      <c r="D524" s="215"/>
      <c r="R524" s="215" t="str">
        <f>IF('Logical Group Generator'!W524="FALSE","",IF('Logical Group Generator'!B524="OTP_RSVD_38_03","",'Logical Group Generator'!B524))</f>
        <v/>
      </c>
      <c r="T524" s="157" t="e">
        <f>MATCH(U524,'Logical Group Generator'!B:B,0)</f>
        <v>#NUM!</v>
      </c>
      <c r="U524" s="157" t="e">
        <f t="array" ref="U524">IF(ROWS($3:524)&lt;=COUNTA($R$3:$R$902),INDEX($R$3:$R$902,SMALL(IF($R$3:$R$902&lt;&gt;"",ROW($R$3:$R$902)-MIN(ROW($R$3:$R$902))+1),ROWS($3:524))),"")</f>
        <v>#NUM!</v>
      </c>
      <c r="W524" s="157" t="e">
        <f>IF(INDEX('Logical Group Generator'!W:W,MATCH(U524,'Logical Group Generator'!B:B,0))="REGISTER","REGISTER","BIT")</f>
        <v>#NUM!</v>
      </c>
    </row>
    <row r="525" spans="2:23">
      <c r="B525" s="157" t="str">
        <f>IF(ISERROR(T526),"",CONCATENATE(IF(W526="BIT",$M$2,$M$1),U526,$M$3,BIN2HEX(IF(W526="BIT",INDEX('Logical Group Generator'!H:H,'Script Generator'!T526),INDEX('Logical Group Generator'!L:L,'Script Generator'!T526)),2),IF(ISERROR(T527),$M$5,$M$4)))</f>
        <v/>
      </c>
      <c r="D525" s="215"/>
      <c r="R525" s="215" t="str">
        <f>IF('Logical Group Generator'!W525="FALSE","",IF('Logical Group Generator'!B525="OTP_RSVD_38_03","",'Logical Group Generator'!B525))</f>
        <v/>
      </c>
      <c r="T525" s="157" t="e">
        <f>MATCH(U525,'Logical Group Generator'!B:B,0)</f>
        <v>#NUM!</v>
      </c>
      <c r="U525" s="157" t="e">
        <f t="array" ref="U525">IF(ROWS($3:525)&lt;=COUNTA($R$3:$R$902),INDEX($R$3:$R$902,SMALL(IF($R$3:$R$902&lt;&gt;"",ROW($R$3:$R$902)-MIN(ROW($R$3:$R$902))+1),ROWS($3:525))),"")</f>
        <v>#NUM!</v>
      </c>
      <c r="W525" s="157" t="e">
        <f>IF(INDEX('Logical Group Generator'!W:W,MATCH(U525,'Logical Group Generator'!B:B,0))="REGISTER","REGISTER","BIT")</f>
        <v>#NUM!</v>
      </c>
    </row>
    <row r="526" spans="2:23">
      <c r="B526" s="157" t="str">
        <f>IF(ISERROR(T527),"",CONCATENATE(IF(W527="BIT",$M$2,$M$1),U527,$M$3,BIN2HEX(IF(W527="BIT",INDEX('Logical Group Generator'!H:H,'Script Generator'!T527),INDEX('Logical Group Generator'!L:L,'Script Generator'!T527)),2),IF(ISERROR(T528),$M$5,$M$4)))</f>
        <v/>
      </c>
      <c r="D526" s="215"/>
      <c r="R526" s="215" t="str">
        <f>IF('Logical Group Generator'!W526="FALSE","",IF('Logical Group Generator'!B526="OTP_RSVD_38_03","",'Logical Group Generator'!B526))</f>
        <v/>
      </c>
      <c r="T526" s="157" t="e">
        <f>MATCH(U526,'Logical Group Generator'!B:B,0)</f>
        <v>#NUM!</v>
      </c>
      <c r="U526" s="157" t="e">
        <f t="array" ref="U526">IF(ROWS($3:526)&lt;=COUNTA($R$3:$R$902),INDEX($R$3:$R$902,SMALL(IF($R$3:$R$902&lt;&gt;"",ROW($R$3:$R$902)-MIN(ROW($R$3:$R$902))+1),ROWS($3:526))),"")</f>
        <v>#NUM!</v>
      </c>
      <c r="W526" s="157" t="e">
        <f>IF(INDEX('Logical Group Generator'!W:W,MATCH(U526,'Logical Group Generator'!B:B,0))="REGISTER","REGISTER","BIT")</f>
        <v>#NUM!</v>
      </c>
    </row>
    <row r="527" spans="2:23">
      <c r="B527" s="157" t="str">
        <f>IF(ISERROR(T528),"",CONCATENATE(IF(W528="BIT",$M$2,$M$1),U528,$M$3,BIN2HEX(IF(W528="BIT",INDEX('Logical Group Generator'!H:H,'Script Generator'!T528),INDEX('Logical Group Generator'!L:L,'Script Generator'!T528)),2),IF(ISERROR(T529),$M$5,$M$4)))</f>
        <v/>
      </c>
      <c r="D527" s="215"/>
      <c r="R527" s="215" t="str">
        <f>IF('Logical Group Generator'!W527="FALSE","",IF('Logical Group Generator'!B527="OTP_RSVD_38_03","",'Logical Group Generator'!B527))</f>
        <v/>
      </c>
      <c r="T527" s="157" t="e">
        <f>MATCH(U527,'Logical Group Generator'!B:B,0)</f>
        <v>#NUM!</v>
      </c>
      <c r="U527" s="157" t="e">
        <f t="array" ref="U527">IF(ROWS($3:527)&lt;=COUNTA($R$3:$R$902),INDEX($R$3:$R$902,SMALL(IF($R$3:$R$902&lt;&gt;"",ROW($R$3:$R$902)-MIN(ROW($R$3:$R$902))+1),ROWS($3:527))),"")</f>
        <v>#NUM!</v>
      </c>
      <c r="W527" s="157" t="e">
        <f>IF(INDEX('Logical Group Generator'!W:W,MATCH(U527,'Logical Group Generator'!B:B,0))="REGISTER","REGISTER","BIT")</f>
        <v>#NUM!</v>
      </c>
    </row>
    <row r="528" spans="2:23">
      <c r="B528" s="157" t="str">
        <f>IF(ISERROR(T529),"",CONCATENATE(IF(W529="BIT",$M$2,$M$1),U529,$M$3,BIN2HEX(IF(W529="BIT",INDEX('Logical Group Generator'!H:H,'Script Generator'!T529),INDEX('Logical Group Generator'!L:L,'Script Generator'!T529)),2),IF(ISERROR(T530),$M$5,$M$4)))</f>
        <v/>
      </c>
      <c r="D528" s="215"/>
      <c r="R528" s="215" t="str">
        <f>IF('Logical Group Generator'!W528="FALSE","",IF('Logical Group Generator'!B528="OTP_RSVD_38_03","",'Logical Group Generator'!B528))</f>
        <v/>
      </c>
      <c r="T528" s="157" t="e">
        <f>MATCH(U528,'Logical Group Generator'!B:B,0)</f>
        <v>#NUM!</v>
      </c>
      <c r="U528" s="157" t="e">
        <f t="array" ref="U528">IF(ROWS($3:528)&lt;=COUNTA($R$3:$R$902),INDEX($R$3:$R$902,SMALL(IF($R$3:$R$902&lt;&gt;"",ROW($R$3:$R$902)-MIN(ROW($R$3:$R$902))+1),ROWS($3:528))),"")</f>
        <v>#NUM!</v>
      </c>
      <c r="W528" s="157" t="e">
        <f>IF(INDEX('Logical Group Generator'!W:W,MATCH(U528,'Logical Group Generator'!B:B,0))="REGISTER","REGISTER","BIT")</f>
        <v>#NUM!</v>
      </c>
    </row>
    <row r="529" spans="2:23">
      <c r="B529" s="157" t="str">
        <f>IF(ISERROR(T530),"",CONCATENATE(IF(W530="BIT",$M$2,$M$1),U530,$M$3,BIN2HEX(IF(W530="BIT",INDEX('Logical Group Generator'!H:H,'Script Generator'!T530),INDEX('Logical Group Generator'!L:L,'Script Generator'!T530)),2),IF(ISERROR(T531),$M$5,$M$4)))</f>
        <v/>
      </c>
      <c r="D529" s="215"/>
      <c r="R529" s="215" t="str">
        <f>IF('Logical Group Generator'!W529="FALSE","",IF('Logical Group Generator'!B529="OTP_RSVD_38_03","",'Logical Group Generator'!B529))</f>
        <v/>
      </c>
      <c r="T529" s="157" t="e">
        <f>MATCH(U529,'Logical Group Generator'!B:B,0)</f>
        <v>#NUM!</v>
      </c>
      <c r="U529" s="157" t="e">
        <f t="array" ref="U529">IF(ROWS($3:529)&lt;=COUNTA($R$3:$R$902),INDEX($R$3:$R$902,SMALL(IF($R$3:$R$902&lt;&gt;"",ROW($R$3:$R$902)-MIN(ROW($R$3:$R$902))+1),ROWS($3:529))),"")</f>
        <v>#NUM!</v>
      </c>
      <c r="W529" s="157" t="e">
        <f>IF(INDEX('Logical Group Generator'!W:W,MATCH(U529,'Logical Group Generator'!B:B,0))="REGISTER","REGISTER","BIT")</f>
        <v>#NUM!</v>
      </c>
    </row>
    <row r="530" spans="2:23">
      <c r="B530" s="157" t="str">
        <f>IF(ISERROR(T531),"",CONCATENATE(IF(W531="BIT",$M$2,$M$1),U531,$M$3,BIN2HEX(IF(W531="BIT",INDEX('Logical Group Generator'!H:H,'Script Generator'!T531),INDEX('Logical Group Generator'!L:L,'Script Generator'!T531)),2),IF(ISERROR(T532),$M$5,$M$4)))</f>
        <v/>
      </c>
      <c r="D530" s="215"/>
      <c r="R530" s="215" t="str">
        <f>IF('Logical Group Generator'!W530="FALSE","",IF('Logical Group Generator'!B530="OTP_RSVD_38_03","",'Logical Group Generator'!B530))</f>
        <v>OTP_RSVD_38_2C</v>
      </c>
      <c r="T530" s="157" t="e">
        <f>MATCH(U530,'Logical Group Generator'!B:B,0)</f>
        <v>#NUM!</v>
      </c>
      <c r="U530" s="157" t="e">
        <f t="array" ref="U530">IF(ROWS($3:530)&lt;=COUNTA($R$3:$R$902),INDEX($R$3:$R$902,SMALL(IF($R$3:$R$902&lt;&gt;"",ROW($R$3:$R$902)-MIN(ROW($R$3:$R$902))+1),ROWS($3:530))),"")</f>
        <v>#NUM!</v>
      </c>
      <c r="W530" s="157" t="e">
        <f>IF(INDEX('Logical Group Generator'!W:W,MATCH(U530,'Logical Group Generator'!B:B,0))="REGISTER","REGISTER","BIT")</f>
        <v>#NUM!</v>
      </c>
    </row>
    <row r="531" spans="2:23">
      <c r="B531" s="157" t="str">
        <f>IF(ISERROR(T532),"",CONCATENATE(IF(W532="BIT",$M$2,$M$1),U532,$M$3,BIN2HEX(IF(W532="BIT",INDEX('Logical Group Generator'!H:H,'Script Generator'!T532),INDEX('Logical Group Generator'!L:L,'Script Generator'!T532)),2),IF(ISERROR(T533),$M$5,$M$4)))</f>
        <v/>
      </c>
      <c r="D531" s="215"/>
      <c r="R531" s="215" t="str">
        <f>IF('Logical Group Generator'!W531="FALSE","",IF('Logical Group Generator'!B531="OTP_RSVD_38_03","",'Logical Group Generator'!B531))</f>
        <v/>
      </c>
      <c r="T531" s="157" t="e">
        <f>MATCH(U531,'Logical Group Generator'!B:B,0)</f>
        <v>#NUM!</v>
      </c>
      <c r="U531" s="157" t="e">
        <f t="array" ref="U531">IF(ROWS($3:531)&lt;=COUNTA($R$3:$R$902),INDEX($R$3:$R$902,SMALL(IF($R$3:$R$902&lt;&gt;"",ROW($R$3:$R$902)-MIN(ROW($R$3:$R$902))+1),ROWS($3:531))),"")</f>
        <v>#NUM!</v>
      </c>
      <c r="W531" s="157" t="e">
        <f>IF(INDEX('Logical Group Generator'!W:W,MATCH(U531,'Logical Group Generator'!B:B,0))="REGISTER","REGISTER","BIT")</f>
        <v>#NUM!</v>
      </c>
    </row>
    <row r="532" spans="2:23">
      <c r="B532" s="157" t="str">
        <f>IF(ISERROR(T533),"",CONCATENATE(IF(W533="BIT",$M$2,$M$1),U533,$M$3,BIN2HEX(IF(W533="BIT",INDEX('Logical Group Generator'!H:H,'Script Generator'!T533),INDEX('Logical Group Generator'!L:L,'Script Generator'!T533)),2),IF(ISERROR(T534),$M$5,$M$4)))</f>
        <v/>
      </c>
      <c r="D532" s="215"/>
      <c r="R532" s="215" t="str">
        <f>IF('Logical Group Generator'!W532="FALSE","",IF('Logical Group Generator'!B532="OTP_RSVD_38_03","",'Logical Group Generator'!B532))</f>
        <v/>
      </c>
      <c r="T532" s="157" t="e">
        <f>MATCH(U532,'Logical Group Generator'!B:B,0)</f>
        <v>#NUM!</v>
      </c>
      <c r="U532" s="157" t="e">
        <f t="array" ref="U532">IF(ROWS($3:532)&lt;=COUNTA($R$3:$R$902),INDEX($R$3:$R$902,SMALL(IF($R$3:$R$902&lt;&gt;"",ROW($R$3:$R$902)-MIN(ROW($R$3:$R$902))+1),ROWS($3:532))),"")</f>
        <v>#NUM!</v>
      </c>
      <c r="W532" s="157" t="e">
        <f>IF(INDEX('Logical Group Generator'!W:W,MATCH(U532,'Logical Group Generator'!B:B,0))="REGISTER","REGISTER","BIT")</f>
        <v>#NUM!</v>
      </c>
    </row>
    <row r="533" spans="2:23">
      <c r="B533" s="157" t="str">
        <f>IF(ISERROR(T534),"",CONCATENATE(IF(W534="BIT",$M$2,$M$1),U534,$M$3,BIN2HEX(IF(W534="BIT",INDEX('Logical Group Generator'!H:H,'Script Generator'!T534),INDEX('Logical Group Generator'!L:L,'Script Generator'!T534)),2),IF(ISERROR(T535),$M$5,$M$4)))</f>
        <v/>
      </c>
      <c r="D533" s="215"/>
      <c r="R533" s="215" t="str">
        <f>IF('Logical Group Generator'!W533="FALSE","",IF('Logical Group Generator'!B533="OTP_RSVD_38_03","",'Logical Group Generator'!B533))</f>
        <v/>
      </c>
      <c r="T533" s="157" t="e">
        <f>MATCH(U533,'Logical Group Generator'!B:B,0)</f>
        <v>#NUM!</v>
      </c>
      <c r="U533" s="157" t="e">
        <f t="array" ref="U533">IF(ROWS($3:533)&lt;=COUNTA($R$3:$R$902),INDEX($R$3:$R$902,SMALL(IF($R$3:$R$902&lt;&gt;"",ROW($R$3:$R$902)-MIN(ROW($R$3:$R$902))+1),ROWS($3:533))),"")</f>
        <v>#NUM!</v>
      </c>
      <c r="W533" s="157" t="e">
        <f>IF(INDEX('Logical Group Generator'!W:W,MATCH(U533,'Logical Group Generator'!B:B,0))="REGISTER","REGISTER","BIT")</f>
        <v>#NUM!</v>
      </c>
    </row>
    <row r="534" spans="2:23">
      <c r="B534" s="157" t="str">
        <f>IF(ISERROR(T535),"",CONCATENATE(IF(W535="BIT",$M$2,$M$1),U535,$M$3,BIN2HEX(IF(W535="BIT",INDEX('Logical Group Generator'!H:H,'Script Generator'!T535),INDEX('Logical Group Generator'!L:L,'Script Generator'!T535)),2),IF(ISERROR(T536),$M$5,$M$4)))</f>
        <v/>
      </c>
      <c r="D534" s="215"/>
      <c r="R534" s="215" t="str">
        <f>IF('Logical Group Generator'!W534="FALSE","",IF('Logical Group Generator'!B534="OTP_RSVD_38_03","",'Logical Group Generator'!B534))</f>
        <v/>
      </c>
      <c r="T534" s="157" t="e">
        <f>MATCH(U534,'Logical Group Generator'!B:B,0)</f>
        <v>#NUM!</v>
      </c>
      <c r="U534" s="157" t="e">
        <f t="array" ref="U534">IF(ROWS($3:534)&lt;=COUNTA($R$3:$R$902),INDEX($R$3:$R$902,SMALL(IF($R$3:$R$902&lt;&gt;"",ROW($R$3:$R$902)-MIN(ROW($R$3:$R$902))+1),ROWS($3:534))),"")</f>
        <v>#NUM!</v>
      </c>
      <c r="W534" s="157" t="e">
        <f>IF(INDEX('Logical Group Generator'!W:W,MATCH(U534,'Logical Group Generator'!B:B,0))="REGISTER","REGISTER","BIT")</f>
        <v>#NUM!</v>
      </c>
    </row>
    <row r="535" spans="2:23">
      <c r="B535" s="157" t="str">
        <f>IF(ISERROR(T536),"",CONCATENATE(IF(W536="BIT",$M$2,$M$1),U536,$M$3,BIN2HEX(IF(W536="BIT",INDEX('Logical Group Generator'!H:H,'Script Generator'!T536),INDEX('Logical Group Generator'!L:L,'Script Generator'!T536)),2),IF(ISERROR(T537),$M$5,$M$4)))</f>
        <v/>
      </c>
      <c r="D535" s="215"/>
      <c r="R535" s="215" t="str">
        <f>IF('Logical Group Generator'!W535="FALSE","",IF('Logical Group Generator'!B535="OTP_RSVD_38_03","",'Logical Group Generator'!B535))</f>
        <v/>
      </c>
      <c r="T535" s="157" t="e">
        <f>MATCH(U535,'Logical Group Generator'!B:B,0)</f>
        <v>#NUM!</v>
      </c>
      <c r="U535" s="157" t="e">
        <f t="array" ref="U535">IF(ROWS($3:535)&lt;=COUNTA($R$3:$R$902),INDEX($R$3:$R$902,SMALL(IF($R$3:$R$902&lt;&gt;"",ROW($R$3:$R$902)-MIN(ROW($R$3:$R$902))+1),ROWS($3:535))),"")</f>
        <v>#NUM!</v>
      </c>
      <c r="W535" s="157" t="e">
        <f>IF(INDEX('Logical Group Generator'!W:W,MATCH(U535,'Logical Group Generator'!B:B,0))="REGISTER","REGISTER","BIT")</f>
        <v>#NUM!</v>
      </c>
    </row>
    <row r="536" spans="2:23">
      <c r="B536" s="157" t="str">
        <f>IF(ISERROR(T537),"",CONCATENATE(IF(W537="BIT",$M$2,$M$1),U537,$M$3,BIN2HEX(IF(W537="BIT",INDEX('Logical Group Generator'!H:H,'Script Generator'!T537),INDEX('Logical Group Generator'!L:L,'Script Generator'!T537)),2),IF(ISERROR(T538),$M$5,$M$4)))</f>
        <v/>
      </c>
      <c r="D536" s="215"/>
      <c r="R536" s="215" t="str">
        <f>IF('Logical Group Generator'!W536="FALSE","",IF('Logical Group Generator'!B536="OTP_RSVD_38_03","",'Logical Group Generator'!B536))</f>
        <v/>
      </c>
      <c r="T536" s="157" t="e">
        <f>MATCH(U536,'Logical Group Generator'!B:B,0)</f>
        <v>#NUM!</v>
      </c>
      <c r="U536" s="157" t="e">
        <f t="array" ref="U536">IF(ROWS($3:536)&lt;=COUNTA($R$3:$R$902),INDEX($R$3:$R$902,SMALL(IF($R$3:$R$902&lt;&gt;"",ROW($R$3:$R$902)-MIN(ROW($R$3:$R$902))+1),ROWS($3:536))),"")</f>
        <v>#NUM!</v>
      </c>
      <c r="W536" s="157" t="e">
        <f>IF(INDEX('Logical Group Generator'!W:W,MATCH(U536,'Logical Group Generator'!B:B,0))="REGISTER","REGISTER","BIT")</f>
        <v>#NUM!</v>
      </c>
    </row>
    <row r="537" spans="2:23">
      <c r="B537" s="157" t="str">
        <f>IF(ISERROR(T538),"",CONCATENATE(IF(W538="BIT",$M$2,$M$1),U538,$M$3,BIN2HEX(IF(W538="BIT",INDEX('Logical Group Generator'!H:H,'Script Generator'!T538),INDEX('Logical Group Generator'!L:L,'Script Generator'!T538)),2),IF(ISERROR(T539),$M$5,$M$4)))</f>
        <v/>
      </c>
      <c r="D537" s="215"/>
      <c r="R537" s="215" t="str">
        <f>IF('Logical Group Generator'!W537="FALSE","",IF('Logical Group Generator'!B537="OTP_RSVD_38_03","",'Logical Group Generator'!B537))</f>
        <v/>
      </c>
      <c r="T537" s="157" t="e">
        <f>MATCH(U537,'Logical Group Generator'!B:B,0)</f>
        <v>#NUM!</v>
      </c>
      <c r="U537" s="157" t="e">
        <f t="array" ref="U537">IF(ROWS($3:537)&lt;=COUNTA($R$3:$R$902),INDEX($R$3:$R$902,SMALL(IF($R$3:$R$902&lt;&gt;"",ROW($R$3:$R$902)-MIN(ROW($R$3:$R$902))+1),ROWS($3:537))),"")</f>
        <v>#NUM!</v>
      </c>
      <c r="W537" s="157" t="e">
        <f>IF(INDEX('Logical Group Generator'!W:W,MATCH(U537,'Logical Group Generator'!B:B,0))="REGISTER","REGISTER","BIT")</f>
        <v>#NUM!</v>
      </c>
    </row>
    <row r="538" spans="2:23">
      <c r="B538" s="157" t="str">
        <f>IF(ISERROR(T539),"",CONCATENATE(IF(W539="BIT",$M$2,$M$1),U539,$M$3,BIN2HEX(IF(W539="BIT",INDEX('Logical Group Generator'!H:H,'Script Generator'!T539),INDEX('Logical Group Generator'!L:L,'Script Generator'!T539)),2),IF(ISERROR(T540),$M$5,$M$4)))</f>
        <v/>
      </c>
      <c r="D538" s="215"/>
      <c r="R538" s="215" t="str">
        <f>IF('Logical Group Generator'!W538="FALSE","",IF('Logical Group Generator'!B538="OTP_RSVD_38_03","",'Logical Group Generator'!B538))</f>
        <v/>
      </c>
      <c r="T538" s="157" t="e">
        <f>MATCH(U538,'Logical Group Generator'!B:B,0)</f>
        <v>#NUM!</v>
      </c>
      <c r="U538" s="157" t="e">
        <f t="array" ref="U538">IF(ROWS($3:538)&lt;=COUNTA($R$3:$R$902),INDEX($R$3:$R$902,SMALL(IF($R$3:$R$902&lt;&gt;"",ROW($R$3:$R$902)-MIN(ROW($R$3:$R$902))+1),ROWS($3:538))),"")</f>
        <v>#NUM!</v>
      </c>
      <c r="W538" s="157" t="e">
        <f>IF(INDEX('Logical Group Generator'!W:W,MATCH(U538,'Logical Group Generator'!B:B,0))="REGISTER","REGISTER","BIT")</f>
        <v>#NUM!</v>
      </c>
    </row>
    <row r="539" spans="2:23">
      <c r="B539" s="157" t="str">
        <f>IF(ISERROR(T540),"",CONCATENATE(IF(W540="BIT",$M$2,$M$1),U540,$M$3,BIN2HEX(IF(W540="BIT",INDEX('Logical Group Generator'!H:H,'Script Generator'!T540),INDEX('Logical Group Generator'!L:L,'Script Generator'!T540)),2),IF(ISERROR(T541),$M$5,$M$4)))</f>
        <v/>
      </c>
      <c r="D539" s="215"/>
      <c r="R539" s="215" t="str">
        <f>IF('Logical Group Generator'!W539="FALSE","",IF('Logical Group Generator'!B539="OTP_RSVD_38_03","",'Logical Group Generator'!B539))</f>
        <v/>
      </c>
      <c r="T539" s="157" t="e">
        <f>MATCH(U539,'Logical Group Generator'!B:B,0)</f>
        <v>#NUM!</v>
      </c>
      <c r="U539" s="157" t="e">
        <f t="array" ref="U539">IF(ROWS($3:539)&lt;=COUNTA($R$3:$R$902),INDEX($R$3:$R$902,SMALL(IF($R$3:$R$902&lt;&gt;"",ROW($R$3:$R$902)-MIN(ROW($R$3:$R$902))+1),ROWS($3:539))),"")</f>
        <v>#NUM!</v>
      </c>
      <c r="W539" s="157" t="e">
        <f>IF(INDEX('Logical Group Generator'!W:W,MATCH(U539,'Logical Group Generator'!B:B,0))="REGISTER","REGISTER","BIT")</f>
        <v>#NUM!</v>
      </c>
    </row>
    <row r="540" spans="2:23">
      <c r="B540" s="157" t="str">
        <f>IF(ISERROR(T541),"",CONCATENATE(IF(W541="BIT",$M$2,$M$1),U541,$M$3,BIN2HEX(IF(W541="BIT",INDEX('Logical Group Generator'!H:H,'Script Generator'!T541),INDEX('Logical Group Generator'!L:L,'Script Generator'!T541)),2),IF(ISERROR(T542),$M$5,$M$4)))</f>
        <v/>
      </c>
      <c r="D540" s="215"/>
      <c r="R540" s="215" t="str">
        <f>IF('Logical Group Generator'!W540="FALSE","",IF('Logical Group Generator'!B540="OTP_RSVD_38_03","",'Logical Group Generator'!B540))</f>
        <v/>
      </c>
      <c r="T540" s="157" t="e">
        <f>MATCH(U540,'Logical Group Generator'!B:B,0)</f>
        <v>#NUM!</v>
      </c>
      <c r="U540" s="157" t="e">
        <f t="array" ref="U540">IF(ROWS($3:540)&lt;=COUNTA($R$3:$R$902),INDEX($R$3:$R$902,SMALL(IF($R$3:$R$902&lt;&gt;"",ROW($R$3:$R$902)-MIN(ROW($R$3:$R$902))+1),ROWS($3:540))),"")</f>
        <v>#NUM!</v>
      </c>
      <c r="W540" s="157" t="e">
        <f>IF(INDEX('Logical Group Generator'!W:W,MATCH(U540,'Logical Group Generator'!B:B,0))="REGISTER","REGISTER","BIT")</f>
        <v>#NUM!</v>
      </c>
    </row>
    <row r="541" spans="2:23">
      <c r="B541" s="157" t="str">
        <f>IF(ISERROR(T542),"",CONCATENATE(IF(W542="BIT",$M$2,$M$1),U542,$M$3,BIN2HEX(IF(W542="BIT",INDEX('Logical Group Generator'!H:H,'Script Generator'!T542),INDEX('Logical Group Generator'!L:L,'Script Generator'!T542)),2),IF(ISERROR(T543),$M$5,$M$4)))</f>
        <v/>
      </c>
      <c r="D541" s="215"/>
      <c r="R541" s="215" t="str">
        <f>IF('Logical Group Generator'!W541="FALSE","",IF('Logical Group Generator'!B541="OTP_RSVD_38_03","",'Logical Group Generator'!B541))</f>
        <v>OTP_RSVD_38_2E</v>
      </c>
      <c r="T541" s="157" t="e">
        <f>MATCH(U541,'Logical Group Generator'!B:B,0)</f>
        <v>#NUM!</v>
      </c>
      <c r="U541" s="157" t="e">
        <f t="array" ref="U541">IF(ROWS($3:541)&lt;=COUNTA($R$3:$R$902),INDEX($R$3:$R$902,SMALL(IF($R$3:$R$902&lt;&gt;"",ROW($R$3:$R$902)-MIN(ROW($R$3:$R$902))+1),ROWS($3:541))),"")</f>
        <v>#NUM!</v>
      </c>
      <c r="W541" s="157" t="e">
        <f>IF(INDEX('Logical Group Generator'!W:W,MATCH(U541,'Logical Group Generator'!B:B,0))="REGISTER","REGISTER","BIT")</f>
        <v>#NUM!</v>
      </c>
    </row>
    <row r="542" spans="2:23">
      <c r="B542" s="157" t="str">
        <f>IF(ISERROR(T543),"",CONCATENATE(IF(W543="BIT",$M$2,$M$1),U543,$M$3,BIN2HEX(IF(W543="BIT",INDEX('Logical Group Generator'!H:H,'Script Generator'!T543),INDEX('Logical Group Generator'!L:L,'Script Generator'!T543)),2),IF(ISERROR(T544),$M$5,$M$4)))</f>
        <v/>
      </c>
      <c r="D542" s="215"/>
      <c r="R542" s="215" t="str">
        <f>IF('Logical Group Generator'!W542="FALSE","",IF('Logical Group Generator'!B542="OTP_RSVD_38_03","",'Logical Group Generator'!B542))</f>
        <v/>
      </c>
      <c r="T542" s="157" t="e">
        <f>MATCH(U542,'Logical Group Generator'!B:B,0)</f>
        <v>#NUM!</v>
      </c>
      <c r="U542" s="157" t="e">
        <f t="array" ref="U542">IF(ROWS($3:542)&lt;=COUNTA($R$3:$R$902),INDEX($R$3:$R$902,SMALL(IF($R$3:$R$902&lt;&gt;"",ROW($R$3:$R$902)-MIN(ROW($R$3:$R$902))+1),ROWS($3:542))),"")</f>
        <v>#NUM!</v>
      </c>
      <c r="W542" s="157" t="e">
        <f>IF(INDEX('Logical Group Generator'!W:W,MATCH(U542,'Logical Group Generator'!B:B,0))="REGISTER","REGISTER","BIT")</f>
        <v>#NUM!</v>
      </c>
    </row>
    <row r="543" spans="2:23">
      <c r="B543" s="157" t="str">
        <f>IF(ISERROR(T544),"",CONCATENATE(IF(W544="BIT",$M$2,$M$1),U544,$M$3,BIN2HEX(IF(W544="BIT",INDEX('Logical Group Generator'!H:H,'Script Generator'!T544),INDEX('Logical Group Generator'!L:L,'Script Generator'!T544)),2),IF(ISERROR(T545),$M$5,$M$4)))</f>
        <v/>
      </c>
      <c r="D543" s="215"/>
      <c r="R543" s="215" t="str">
        <f>IF('Logical Group Generator'!W543="FALSE","",IF('Logical Group Generator'!B543="OTP_RSVD_38_03","",'Logical Group Generator'!B543))</f>
        <v/>
      </c>
      <c r="T543" s="157" t="e">
        <f>MATCH(U543,'Logical Group Generator'!B:B,0)</f>
        <v>#NUM!</v>
      </c>
      <c r="U543" s="157" t="e">
        <f t="array" ref="U543">IF(ROWS($3:543)&lt;=COUNTA($R$3:$R$902),INDEX($R$3:$R$902,SMALL(IF($R$3:$R$902&lt;&gt;"",ROW($R$3:$R$902)-MIN(ROW($R$3:$R$902))+1),ROWS($3:543))),"")</f>
        <v>#NUM!</v>
      </c>
      <c r="W543" s="157" t="e">
        <f>IF(INDEX('Logical Group Generator'!W:W,MATCH(U543,'Logical Group Generator'!B:B,0))="REGISTER","REGISTER","BIT")</f>
        <v>#NUM!</v>
      </c>
    </row>
    <row r="544" spans="2:23">
      <c r="B544" s="157" t="str">
        <f>IF(ISERROR(T545),"",CONCATENATE(IF(W545="BIT",$M$2,$M$1),U545,$M$3,BIN2HEX(IF(W545="BIT",INDEX('Logical Group Generator'!H:H,'Script Generator'!T545),INDEX('Logical Group Generator'!L:L,'Script Generator'!T545)),2),IF(ISERROR(T546),$M$5,$M$4)))</f>
        <v/>
      </c>
      <c r="D544" s="215"/>
      <c r="R544" s="215" t="str">
        <f>IF('Logical Group Generator'!W544="FALSE","",IF('Logical Group Generator'!B544="OTP_RSVD_38_03","",'Logical Group Generator'!B544))</f>
        <v/>
      </c>
      <c r="T544" s="157" t="e">
        <f>MATCH(U544,'Logical Group Generator'!B:B,0)</f>
        <v>#NUM!</v>
      </c>
      <c r="U544" s="157" t="e">
        <f t="array" ref="U544">IF(ROWS($3:544)&lt;=COUNTA($R$3:$R$902),INDEX($R$3:$R$902,SMALL(IF($R$3:$R$902&lt;&gt;"",ROW($R$3:$R$902)-MIN(ROW($R$3:$R$902))+1),ROWS($3:544))),"")</f>
        <v>#NUM!</v>
      </c>
      <c r="W544" s="157" t="e">
        <f>IF(INDEX('Logical Group Generator'!W:W,MATCH(U544,'Logical Group Generator'!B:B,0))="REGISTER","REGISTER","BIT")</f>
        <v>#NUM!</v>
      </c>
    </row>
    <row r="545" spans="2:23">
      <c r="B545" s="157" t="str">
        <f>IF(ISERROR(T546),"",CONCATENATE(IF(W546="BIT",$M$2,$M$1),U546,$M$3,BIN2HEX(IF(W546="BIT",INDEX('Logical Group Generator'!H:H,'Script Generator'!T546),INDEX('Logical Group Generator'!L:L,'Script Generator'!T546)),2),IF(ISERROR(T547),$M$5,$M$4)))</f>
        <v/>
      </c>
      <c r="D545" s="215"/>
      <c r="R545" s="215" t="str">
        <f>IF('Logical Group Generator'!W545="FALSE","",IF('Logical Group Generator'!B545="OTP_RSVD_38_03","",'Logical Group Generator'!B545))</f>
        <v/>
      </c>
      <c r="T545" s="157" t="e">
        <f>MATCH(U545,'Logical Group Generator'!B:B,0)</f>
        <v>#NUM!</v>
      </c>
      <c r="U545" s="157" t="e">
        <f t="array" ref="U545">IF(ROWS($3:545)&lt;=COUNTA($R$3:$R$902),INDEX($R$3:$R$902,SMALL(IF($R$3:$R$902&lt;&gt;"",ROW($R$3:$R$902)-MIN(ROW($R$3:$R$902))+1),ROWS($3:545))),"")</f>
        <v>#NUM!</v>
      </c>
      <c r="W545" s="157" t="e">
        <f>IF(INDEX('Logical Group Generator'!W:W,MATCH(U545,'Logical Group Generator'!B:B,0))="REGISTER","REGISTER","BIT")</f>
        <v>#NUM!</v>
      </c>
    </row>
    <row r="546" spans="2:23">
      <c r="B546" s="157" t="str">
        <f>IF(ISERROR(T547),"",CONCATENATE(IF(W547="BIT",$M$2,$M$1),U547,$M$3,BIN2HEX(IF(W547="BIT",INDEX('Logical Group Generator'!H:H,'Script Generator'!T547),INDEX('Logical Group Generator'!L:L,'Script Generator'!T547)),2),IF(ISERROR(T548),$M$5,$M$4)))</f>
        <v/>
      </c>
      <c r="D546" s="215"/>
      <c r="R546" s="215" t="str">
        <f>IF('Logical Group Generator'!W546="FALSE","",IF('Logical Group Generator'!B546="OTP_RSVD_38_03","",'Logical Group Generator'!B546))</f>
        <v/>
      </c>
      <c r="T546" s="157" t="e">
        <f>MATCH(U546,'Logical Group Generator'!B:B,0)</f>
        <v>#NUM!</v>
      </c>
      <c r="U546" s="157" t="e">
        <f t="array" ref="U546">IF(ROWS($3:546)&lt;=COUNTA($R$3:$R$902),INDEX($R$3:$R$902,SMALL(IF($R$3:$R$902&lt;&gt;"",ROW($R$3:$R$902)-MIN(ROW($R$3:$R$902))+1),ROWS($3:546))),"")</f>
        <v>#NUM!</v>
      </c>
      <c r="W546" s="157" t="e">
        <f>IF(INDEX('Logical Group Generator'!W:W,MATCH(U546,'Logical Group Generator'!B:B,0))="REGISTER","REGISTER","BIT")</f>
        <v>#NUM!</v>
      </c>
    </row>
    <row r="547" spans="2:23">
      <c r="B547" s="157" t="str">
        <f>IF(ISERROR(T548),"",CONCATENATE(IF(W548="BIT",$M$2,$M$1),U548,$M$3,BIN2HEX(IF(W548="BIT",INDEX('Logical Group Generator'!H:H,'Script Generator'!T548),INDEX('Logical Group Generator'!L:L,'Script Generator'!T548)),2),IF(ISERROR(T549),$M$5,$M$4)))</f>
        <v/>
      </c>
      <c r="D547" s="215"/>
      <c r="R547" s="215" t="str">
        <f>IF('Logical Group Generator'!W547="FALSE","",IF('Logical Group Generator'!B547="OTP_RSVD_38_03","",'Logical Group Generator'!B547))</f>
        <v/>
      </c>
      <c r="T547" s="157" t="e">
        <f>MATCH(U547,'Logical Group Generator'!B:B,0)</f>
        <v>#NUM!</v>
      </c>
      <c r="U547" s="157" t="e">
        <f t="array" ref="U547">IF(ROWS($3:547)&lt;=COUNTA($R$3:$R$902),INDEX($R$3:$R$902,SMALL(IF($R$3:$R$902&lt;&gt;"",ROW($R$3:$R$902)-MIN(ROW($R$3:$R$902))+1),ROWS($3:547))),"")</f>
        <v>#NUM!</v>
      </c>
      <c r="W547" s="157" t="e">
        <f>IF(INDEX('Logical Group Generator'!W:W,MATCH(U547,'Logical Group Generator'!B:B,0))="REGISTER","REGISTER","BIT")</f>
        <v>#NUM!</v>
      </c>
    </row>
    <row r="548" spans="2:23">
      <c r="B548" s="157" t="str">
        <f>IF(ISERROR(T549),"",CONCATENATE(IF(W549="BIT",$M$2,$M$1),U549,$M$3,BIN2HEX(IF(W549="BIT",INDEX('Logical Group Generator'!H:H,'Script Generator'!T549),INDEX('Logical Group Generator'!L:L,'Script Generator'!T549)),2),IF(ISERROR(T550),$M$5,$M$4)))</f>
        <v/>
      </c>
      <c r="D548" s="215"/>
      <c r="R548" s="215" t="str">
        <f>IF('Logical Group Generator'!W548="FALSE","",IF('Logical Group Generator'!B548="OTP_RSVD_38_03","",'Logical Group Generator'!B548))</f>
        <v/>
      </c>
      <c r="T548" s="157" t="e">
        <f>MATCH(U548,'Logical Group Generator'!B:B,0)</f>
        <v>#NUM!</v>
      </c>
      <c r="U548" s="157" t="e">
        <f t="array" ref="U548">IF(ROWS($3:548)&lt;=COUNTA($R$3:$R$902),INDEX($R$3:$R$902,SMALL(IF($R$3:$R$902&lt;&gt;"",ROW($R$3:$R$902)-MIN(ROW($R$3:$R$902))+1),ROWS($3:548))),"")</f>
        <v>#NUM!</v>
      </c>
      <c r="W548" s="157" t="e">
        <f>IF(INDEX('Logical Group Generator'!W:W,MATCH(U548,'Logical Group Generator'!B:B,0))="REGISTER","REGISTER","BIT")</f>
        <v>#NUM!</v>
      </c>
    </row>
    <row r="549" spans="2:23">
      <c r="B549" s="157" t="str">
        <f>IF(ISERROR(T550),"",CONCATENATE(IF(W550="BIT",$M$2,$M$1),U550,$M$3,BIN2HEX(IF(W550="BIT",INDEX('Logical Group Generator'!H:H,'Script Generator'!T550),INDEX('Logical Group Generator'!L:L,'Script Generator'!T550)),2),IF(ISERROR(T551),$M$5,$M$4)))</f>
        <v/>
      </c>
      <c r="D549" s="215"/>
      <c r="R549" s="215" t="str">
        <f>IF('Logical Group Generator'!W549="FALSE","",IF('Logical Group Generator'!B549="OTP_RSVD_38_03","",'Logical Group Generator'!B549))</f>
        <v/>
      </c>
      <c r="T549" s="157" t="e">
        <f>MATCH(U549,'Logical Group Generator'!B:B,0)</f>
        <v>#NUM!</v>
      </c>
      <c r="U549" s="157" t="e">
        <f t="array" ref="U549">IF(ROWS($3:549)&lt;=COUNTA($R$3:$R$902),INDEX($R$3:$R$902,SMALL(IF($R$3:$R$902&lt;&gt;"",ROW($R$3:$R$902)-MIN(ROW($R$3:$R$902))+1),ROWS($3:549))),"")</f>
        <v>#NUM!</v>
      </c>
      <c r="W549" s="157" t="e">
        <f>IF(INDEX('Logical Group Generator'!W:W,MATCH(U549,'Logical Group Generator'!B:B,0))="REGISTER","REGISTER","BIT")</f>
        <v>#NUM!</v>
      </c>
    </row>
    <row r="550" spans="2:23">
      <c r="B550" s="157" t="str">
        <f>IF(ISERROR(T551),"",CONCATENATE(IF(W551="BIT",$M$2,$M$1),U551,$M$3,BIN2HEX(IF(W551="BIT",INDEX('Logical Group Generator'!H:H,'Script Generator'!T551),INDEX('Logical Group Generator'!L:L,'Script Generator'!T551)),2),IF(ISERROR(T552),$M$5,$M$4)))</f>
        <v/>
      </c>
      <c r="D550" s="215"/>
      <c r="R550" s="215" t="str">
        <f>IF('Logical Group Generator'!W550="FALSE","",IF('Logical Group Generator'!B550="OTP_RSVD_38_03","",'Logical Group Generator'!B550))</f>
        <v/>
      </c>
      <c r="T550" s="157" t="e">
        <f>MATCH(U550,'Logical Group Generator'!B:B,0)</f>
        <v>#NUM!</v>
      </c>
      <c r="U550" s="157" t="e">
        <f t="array" ref="U550">IF(ROWS($3:550)&lt;=COUNTA($R$3:$R$902),INDEX($R$3:$R$902,SMALL(IF($R$3:$R$902&lt;&gt;"",ROW($R$3:$R$902)-MIN(ROW($R$3:$R$902))+1),ROWS($3:550))),"")</f>
        <v>#NUM!</v>
      </c>
      <c r="W550" s="157" t="e">
        <f>IF(INDEX('Logical Group Generator'!W:W,MATCH(U550,'Logical Group Generator'!B:B,0))="REGISTER","REGISTER","BIT")</f>
        <v>#NUM!</v>
      </c>
    </row>
    <row r="551" spans="2:23">
      <c r="B551" s="157" t="str">
        <f>IF(ISERROR(T552),"",CONCATENATE(IF(W552="BIT",$M$2,$M$1),U552,$M$3,BIN2HEX(IF(W552="BIT",INDEX('Logical Group Generator'!H:H,'Script Generator'!T552),INDEX('Logical Group Generator'!L:L,'Script Generator'!T552)),2),IF(ISERROR(T553),$M$5,$M$4)))</f>
        <v/>
      </c>
      <c r="D551" s="215"/>
      <c r="R551" s="215" t="str">
        <f>IF('Logical Group Generator'!W551="FALSE","",IF('Logical Group Generator'!B551="OTP_RSVD_38_03","",'Logical Group Generator'!B551))</f>
        <v/>
      </c>
      <c r="T551" s="157" t="e">
        <f>MATCH(U551,'Logical Group Generator'!B:B,0)</f>
        <v>#NUM!</v>
      </c>
      <c r="U551" s="157" t="e">
        <f t="array" ref="U551">IF(ROWS($3:551)&lt;=COUNTA($R$3:$R$902),INDEX($R$3:$R$902,SMALL(IF($R$3:$R$902&lt;&gt;"",ROW($R$3:$R$902)-MIN(ROW($R$3:$R$902))+1),ROWS($3:551))),"")</f>
        <v>#NUM!</v>
      </c>
      <c r="W551" s="157" t="e">
        <f>IF(INDEX('Logical Group Generator'!W:W,MATCH(U551,'Logical Group Generator'!B:B,0))="REGISTER","REGISTER","BIT")</f>
        <v>#NUM!</v>
      </c>
    </row>
    <row r="552" spans="2:23">
      <c r="B552" s="157" t="str">
        <f>IF(ISERROR(T553),"",CONCATENATE(IF(W553="BIT",$M$2,$M$1),U553,$M$3,BIN2HEX(IF(W553="BIT",INDEX('Logical Group Generator'!H:H,'Script Generator'!T553),INDEX('Logical Group Generator'!L:L,'Script Generator'!T553)),2),IF(ISERROR(T554),$M$5,$M$4)))</f>
        <v/>
      </c>
      <c r="D552" s="215"/>
      <c r="R552" s="215" t="str">
        <f>IF('Logical Group Generator'!W552="FALSE","",IF('Logical Group Generator'!B552="OTP_RSVD_38_03","",'Logical Group Generator'!B552))</f>
        <v/>
      </c>
      <c r="T552" s="157" t="e">
        <f>MATCH(U552,'Logical Group Generator'!B:B,0)</f>
        <v>#NUM!</v>
      </c>
      <c r="U552" s="157" t="e">
        <f t="array" ref="U552">IF(ROWS($3:552)&lt;=COUNTA($R$3:$R$902),INDEX($R$3:$R$902,SMALL(IF($R$3:$R$902&lt;&gt;"",ROW($R$3:$R$902)-MIN(ROW($R$3:$R$902))+1),ROWS($3:552))),"")</f>
        <v>#NUM!</v>
      </c>
      <c r="W552" s="157" t="e">
        <f>IF(INDEX('Logical Group Generator'!W:W,MATCH(U552,'Logical Group Generator'!B:B,0))="REGISTER","REGISTER","BIT")</f>
        <v>#NUM!</v>
      </c>
    </row>
    <row r="553" spans="2:23">
      <c r="B553" s="157" t="str">
        <f>IF(ISERROR(T554),"",CONCATENATE(IF(W554="BIT",$M$2,$M$1),U554,$M$3,BIN2HEX(IF(W554="BIT",INDEX('Logical Group Generator'!H:H,'Script Generator'!T554),INDEX('Logical Group Generator'!L:L,'Script Generator'!T554)),2),IF(ISERROR(T555),$M$5,$M$4)))</f>
        <v/>
      </c>
      <c r="D553" s="215"/>
      <c r="R553" s="215" t="str">
        <f>IF('Logical Group Generator'!W553="FALSE","",IF('Logical Group Generator'!B553="OTP_RSVD_38_03","",'Logical Group Generator'!B553))</f>
        <v/>
      </c>
      <c r="T553" s="157" t="e">
        <f>MATCH(U553,'Logical Group Generator'!B:B,0)</f>
        <v>#NUM!</v>
      </c>
      <c r="U553" s="157" t="e">
        <f t="array" ref="U553">IF(ROWS($3:553)&lt;=COUNTA($R$3:$R$902),INDEX($R$3:$R$902,SMALL(IF($R$3:$R$902&lt;&gt;"",ROW($R$3:$R$902)-MIN(ROW($R$3:$R$902))+1),ROWS($3:553))),"")</f>
        <v>#NUM!</v>
      </c>
      <c r="W553" s="157" t="e">
        <f>IF(INDEX('Logical Group Generator'!W:W,MATCH(U553,'Logical Group Generator'!B:B,0))="REGISTER","REGISTER","BIT")</f>
        <v>#NUM!</v>
      </c>
    </row>
    <row r="554" spans="2:23">
      <c r="B554" s="157" t="str">
        <f>IF(ISERROR(T555),"",CONCATENATE(IF(W555="BIT",$M$2,$M$1),U555,$M$3,BIN2HEX(IF(W555="BIT",INDEX('Logical Group Generator'!H:H,'Script Generator'!T555),INDEX('Logical Group Generator'!L:L,'Script Generator'!T555)),2),IF(ISERROR(T556),$M$5,$M$4)))</f>
        <v/>
      </c>
      <c r="D554" s="215"/>
      <c r="R554" s="215" t="str">
        <f>IF('Logical Group Generator'!W554="FALSE","",IF('Logical Group Generator'!B554="OTP_RSVD_38_03","",'Logical Group Generator'!B554))</f>
        <v/>
      </c>
      <c r="T554" s="157" t="e">
        <f>MATCH(U554,'Logical Group Generator'!B:B,0)</f>
        <v>#NUM!</v>
      </c>
      <c r="U554" s="157" t="e">
        <f t="array" ref="U554">IF(ROWS($3:554)&lt;=COUNTA($R$3:$R$902),INDEX($R$3:$R$902,SMALL(IF($R$3:$R$902&lt;&gt;"",ROW($R$3:$R$902)-MIN(ROW($R$3:$R$902))+1),ROWS($3:554))),"")</f>
        <v>#NUM!</v>
      </c>
      <c r="W554" s="157" t="e">
        <f>IF(INDEX('Logical Group Generator'!W:W,MATCH(U554,'Logical Group Generator'!B:B,0))="REGISTER","REGISTER","BIT")</f>
        <v>#NUM!</v>
      </c>
    </row>
    <row r="555" spans="2:23">
      <c r="B555" s="157" t="str">
        <f>IF(ISERROR(T556),"",CONCATENATE(IF(W556="BIT",$M$2,$M$1),U556,$M$3,BIN2HEX(IF(W556="BIT",INDEX('Logical Group Generator'!H:H,'Script Generator'!T556),INDEX('Logical Group Generator'!L:L,'Script Generator'!T556)),2),IF(ISERROR(T557),$M$5,$M$4)))</f>
        <v/>
      </c>
      <c r="D555" s="215"/>
      <c r="R555" s="215" t="str">
        <f>IF('Logical Group Generator'!W555="FALSE","",IF('Logical Group Generator'!B555="OTP_RSVD_38_03","",'Logical Group Generator'!B555))</f>
        <v/>
      </c>
      <c r="T555" s="157" t="e">
        <f>MATCH(U555,'Logical Group Generator'!B:B,0)</f>
        <v>#NUM!</v>
      </c>
      <c r="U555" s="157" t="e">
        <f t="array" ref="U555">IF(ROWS($3:555)&lt;=COUNTA($R$3:$R$902),INDEX($R$3:$R$902,SMALL(IF($R$3:$R$902&lt;&gt;"",ROW($R$3:$R$902)-MIN(ROW($R$3:$R$902))+1),ROWS($3:555))),"")</f>
        <v>#NUM!</v>
      </c>
      <c r="W555" s="157" t="e">
        <f>IF(INDEX('Logical Group Generator'!W:W,MATCH(U555,'Logical Group Generator'!B:B,0))="REGISTER","REGISTER","BIT")</f>
        <v>#NUM!</v>
      </c>
    </row>
    <row r="556" spans="2:23">
      <c r="B556" s="157" t="str">
        <f>IF(ISERROR(T557),"",CONCATENATE(IF(W557="BIT",$M$2,$M$1),U557,$M$3,BIN2HEX(IF(W557="BIT",INDEX('Logical Group Generator'!H:H,'Script Generator'!T557),INDEX('Logical Group Generator'!L:L,'Script Generator'!T557)),2),IF(ISERROR(T558),$M$5,$M$4)))</f>
        <v/>
      </c>
      <c r="D556" s="215"/>
      <c r="R556" s="215" t="str">
        <f>IF('Logical Group Generator'!W556="FALSE","",IF('Logical Group Generator'!B556="OTP_RSVD_38_03","",'Logical Group Generator'!B556))</f>
        <v>OTP_RSVD_38_30</v>
      </c>
      <c r="T556" s="157" t="e">
        <f>MATCH(U556,'Logical Group Generator'!B:B,0)</f>
        <v>#NUM!</v>
      </c>
      <c r="U556" s="157" t="e">
        <f t="array" ref="U556">IF(ROWS($3:556)&lt;=COUNTA($R$3:$R$902),INDEX($R$3:$R$902,SMALL(IF($R$3:$R$902&lt;&gt;"",ROW($R$3:$R$902)-MIN(ROW($R$3:$R$902))+1),ROWS($3:556))),"")</f>
        <v>#NUM!</v>
      </c>
      <c r="W556" s="157" t="e">
        <f>IF(INDEX('Logical Group Generator'!W:W,MATCH(U556,'Logical Group Generator'!B:B,0))="REGISTER","REGISTER","BIT")</f>
        <v>#NUM!</v>
      </c>
    </row>
    <row r="557" spans="2:23">
      <c r="B557" s="157" t="str">
        <f>IF(ISERROR(T558),"",CONCATENATE(IF(W558="BIT",$M$2,$M$1),U558,$M$3,BIN2HEX(IF(W558="BIT",INDEX('Logical Group Generator'!H:H,'Script Generator'!T558),INDEX('Logical Group Generator'!L:L,'Script Generator'!T558)),2),IF(ISERROR(T559),$M$5,$M$4)))</f>
        <v/>
      </c>
      <c r="D557" s="215"/>
      <c r="R557" s="215" t="str">
        <f>IF('Logical Group Generator'!W557="FALSE","",IF('Logical Group Generator'!B557="OTP_RSVD_38_03","",'Logical Group Generator'!B557))</f>
        <v/>
      </c>
      <c r="T557" s="157" t="e">
        <f>MATCH(U557,'Logical Group Generator'!B:B,0)</f>
        <v>#NUM!</v>
      </c>
      <c r="U557" s="157" t="e">
        <f t="array" ref="U557">IF(ROWS($3:557)&lt;=COUNTA($R$3:$R$902),INDEX($R$3:$R$902,SMALL(IF($R$3:$R$902&lt;&gt;"",ROW($R$3:$R$902)-MIN(ROW($R$3:$R$902))+1),ROWS($3:557))),"")</f>
        <v>#NUM!</v>
      </c>
      <c r="W557" s="157" t="e">
        <f>IF(INDEX('Logical Group Generator'!W:W,MATCH(U557,'Logical Group Generator'!B:B,0))="REGISTER","REGISTER","BIT")</f>
        <v>#NUM!</v>
      </c>
    </row>
    <row r="558" spans="2:23">
      <c r="B558" s="157" t="str">
        <f>IF(ISERROR(T559),"",CONCATENATE(IF(W559="BIT",$M$2,$M$1),U559,$M$3,BIN2HEX(IF(W559="BIT",INDEX('Logical Group Generator'!H:H,'Script Generator'!T559),INDEX('Logical Group Generator'!L:L,'Script Generator'!T559)),2),IF(ISERROR(T560),$M$5,$M$4)))</f>
        <v/>
      </c>
      <c r="D558" s="215"/>
      <c r="R558" s="215" t="str">
        <f>IF('Logical Group Generator'!W558="FALSE","",IF('Logical Group Generator'!B558="OTP_RSVD_38_03","",'Logical Group Generator'!B558))</f>
        <v/>
      </c>
      <c r="T558" s="157" t="e">
        <f>MATCH(U558,'Logical Group Generator'!B:B,0)</f>
        <v>#NUM!</v>
      </c>
      <c r="U558" s="157" t="e">
        <f t="array" ref="U558">IF(ROWS($3:558)&lt;=COUNTA($R$3:$R$902),INDEX($R$3:$R$902,SMALL(IF($R$3:$R$902&lt;&gt;"",ROW($R$3:$R$902)-MIN(ROW($R$3:$R$902))+1),ROWS($3:558))),"")</f>
        <v>#NUM!</v>
      </c>
      <c r="W558" s="157" t="e">
        <f>IF(INDEX('Logical Group Generator'!W:W,MATCH(U558,'Logical Group Generator'!B:B,0))="REGISTER","REGISTER","BIT")</f>
        <v>#NUM!</v>
      </c>
    </row>
    <row r="559" spans="2:23">
      <c r="B559" s="157" t="str">
        <f>IF(ISERROR(T560),"",CONCATENATE(IF(W560="BIT",$M$2,$M$1),U560,$M$3,BIN2HEX(IF(W560="BIT",INDEX('Logical Group Generator'!H:H,'Script Generator'!T560),INDEX('Logical Group Generator'!L:L,'Script Generator'!T560)),2),IF(ISERROR(T561),$M$5,$M$4)))</f>
        <v/>
      </c>
      <c r="D559" s="215"/>
      <c r="R559" s="215" t="str">
        <f>IF('Logical Group Generator'!W559="FALSE","",IF('Logical Group Generator'!B559="OTP_RSVD_38_03","",'Logical Group Generator'!B559))</f>
        <v/>
      </c>
      <c r="T559" s="157" t="e">
        <f>MATCH(U559,'Logical Group Generator'!B:B,0)</f>
        <v>#NUM!</v>
      </c>
      <c r="U559" s="157" t="e">
        <f t="array" ref="U559">IF(ROWS($3:559)&lt;=COUNTA($R$3:$R$902),INDEX($R$3:$R$902,SMALL(IF($R$3:$R$902&lt;&gt;"",ROW($R$3:$R$902)-MIN(ROW($R$3:$R$902))+1),ROWS($3:559))),"")</f>
        <v>#NUM!</v>
      </c>
      <c r="W559" s="157" t="e">
        <f>IF(INDEX('Logical Group Generator'!W:W,MATCH(U559,'Logical Group Generator'!B:B,0))="REGISTER","REGISTER","BIT")</f>
        <v>#NUM!</v>
      </c>
    </row>
    <row r="560" spans="2:23">
      <c r="B560" s="157" t="str">
        <f>IF(ISERROR(T561),"",CONCATENATE(IF(W561="BIT",$M$2,$M$1),U561,$M$3,BIN2HEX(IF(W561="BIT",INDEX('Logical Group Generator'!H:H,'Script Generator'!T561),INDEX('Logical Group Generator'!L:L,'Script Generator'!T561)),2),IF(ISERROR(T562),$M$5,$M$4)))</f>
        <v/>
      </c>
      <c r="D560" s="215"/>
      <c r="R560" s="215" t="str">
        <f>IF('Logical Group Generator'!W560="FALSE","",IF('Logical Group Generator'!B560="OTP_RSVD_38_03","",'Logical Group Generator'!B560))</f>
        <v/>
      </c>
      <c r="T560" s="157" t="e">
        <f>MATCH(U560,'Logical Group Generator'!B:B,0)</f>
        <v>#NUM!</v>
      </c>
      <c r="U560" s="157" t="e">
        <f t="array" ref="U560">IF(ROWS($3:560)&lt;=COUNTA($R$3:$R$902),INDEX($R$3:$R$902,SMALL(IF($R$3:$R$902&lt;&gt;"",ROW($R$3:$R$902)-MIN(ROW($R$3:$R$902))+1),ROWS($3:560))),"")</f>
        <v>#NUM!</v>
      </c>
      <c r="W560" s="157" t="e">
        <f>IF(INDEX('Logical Group Generator'!W:W,MATCH(U560,'Logical Group Generator'!B:B,0))="REGISTER","REGISTER","BIT")</f>
        <v>#NUM!</v>
      </c>
    </row>
    <row r="561" spans="2:23">
      <c r="B561" s="157" t="str">
        <f>IF(ISERROR(T562),"",CONCATENATE(IF(W562="BIT",$M$2,$M$1),U562,$M$3,BIN2HEX(IF(W562="BIT",INDEX('Logical Group Generator'!H:H,'Script Generator'!T562),INDEX('Logical Group Generator'!L:L,'Script Generator'!T562)),2),IF(ISERROR(T563),$M$5,$M$4)))</f>
        <v/>
      </c>
      <c r="D561" s="215"/>
      <c r="R561" s="215" t="str">
        <f>IF('Logical Group Generator'!W561="FALSE","",IF('Logical Group Generator'!B561="OTP_RSVD_38_03","",'Logical Group Generator'!B561))</f>
        <v/>
      </c>
      <c r="T561" s="157" t="e">
        <f>MATCH(U561,'Logical Group Generator'!B:B,0)</f>
        <v>#NUM!</v>
      </c>
      <c r="U561" s="157" t="e">
        <f t="array" ref="U561">IF(ROWS($3:561)&lt;=COUNTA($R$3:$R$902),INDEX($R$3:$R$902,SMALL(IF($R$3:$R$902&lt;&gt;"",ROW($R$3:$R$902)-MIN(ROW($R$3:$R$902))+1),ROWS($3:561))),"")</f>
        <v>#NUM!</v>
      </c>
      <c r="W561" s="157" t="e">
        <f>IF(INDEX('Logical Group Generator'!W:W,MATCH(U561,'Logical Group Generator'!B:B,0))="REGISTER","REGISTER","BIT")</f>
        <v>#NUM!</v>
      </c>
    </row>
    <row r="562" spans="2:23">
      <c r="B562" s="157" t="str">
        <f>IF(ISERROR(T563),"",CONCATENATE(IF(W563="BIT",$M$2,$M$1),U563,$M$3,BIN2HEX(IF(W563="BIT",INDEX('Logical Group Generator'!H:H,'Script Generator'!T563),INDEX('Logical Group Generator'!L:L,'Script Generator'!T563)),2),IF(ISERROR(T564),$M$5,$M$4)))</f>
        <v/>
      </c>
      <c r="D562" s="215"/>
      <c r="R562" s="215" t="str">
        <f>IF('Logical Group Generator'!W562="FALSE","",IF('Logical Group Generator'!B562="OTP_RSVD_38_03","",'Logical Group Generator'!B562))</f>
        <v>OTP_RSVD_38_32</v>
      </c>
      <c r="T562" s="157" t="e">
        <f>MATCH(U562,'Logical Group Generator'!B:B,0)</f>
        <v>#NUM!</v>
      </c>
      <c r="U562" s="157" t="e">
        <f t="array" ref="U562">IF(ROWS($3:562)&lt;=COUNTA($R$3:$R$902),INDEX($R$3:$R$902,SMALL(IF($R$3:$R$902&lt;&gt;"",ROW($R$3:$R$902)-MIN(ROW($R$3:$R$902))+1),ROWS($3:562))),"")</f>
        <v>#NUM!</v>
      </c>
      <c r="W562" s="157" t="e">
        <f>IF(INDEX('Logical Group Generator'!W:W,MATCH(U562,'Logical Group Generator'!B:B,0))="REGISTER","REGISTER","BIT")</f>
        <v>#NUM!</v>
      </c>
    </row>
    <row r="563" spans="2:23">
      <c r="B563" s="157" t="str">
        <f>IF(ISERROR(T564),"",CONCATENATE(IF(W564="BIT",$M$2,$M$1),U564,$M$3,BIN2HEX(IF(W564="BIT",INDEX('Logical Group Generator'!H:H,'Script Generator'!T564),INDEX('Logical Group Generator'!L:L,'Script Generator'!T564)),2),IF(ISERROR(T565),$M$5,$M$4)))</f>
        <v/>
      </c>
      <c r="D563" s="215"/>
      <c r="R563" s="215" t="str">
        <f>IF('Logical Group Generator'!W563="FALSE","",IF('Logical Group Generator'!B563="OTP_RSVD_38_03","",'Logical Group Generator'!B563))</f>
        <v/>
      </c>
      <c r="T563" s="157" t="e">
        <f>MATCH(U563,'Logical Group Generator'!B:B,0)</f>
        <v>#NUM!</v>
      </c>
      <c r="U563" s="157" t="e">
        <f t="array" ref="U563">IF(ROWS($3:563)&lt;=COUNTA($R$3:$R$902),INDEX($R$3:$R$902,SMALL(IF($R$3:$R$902&lt;&gt;"",ROW($R$3:$R$902)-MIN(ROW($R$3:$R$902))+1),ROWS($3:563))),"")</f>
        <v>#NUM!</v>
      </c>
      <c r="W563" s="157" t="e">
        <f>IF(INDEX('Logical Group Generator'!W:W,MATCH(U563,'Logical Group Generator'!B:B,0))="REGISTER","REGISTER","BIT")</f>
        <v>#NUM!</v>
      </c>
    </row>
    <row r="564" spans="2:23">
      <c r="B564" s="157" t="str">
        <f>IF(ISERROR(T565),"",CONCATENATE(IF(W565="BIT",$M$2,$M$1),U565,$M$3,BIN2HEX(IF(W565="BIT",INDEX('Logical Group Generator'!H:H,'Script Generator'!T565),INDEX('Logical Group Generator'!L:L,'Script Generator'!T565)),2),IF(ISERROR(T566),$M$5,$M$4)))</f>
        <v/>
      </c>
      <c r="D564" s="215"/>
      <c r="R564" s="215" t="str">
        <f>IF('Logical Group Generator'!W564="FALSE","",IF('Logical Group Generator'!B564="OTP_RSVD_38_03","",'Logical Group Generator'!B564))</f>
        <v/>
      </c>
      <c r="T564" s="157" t="e">
        <f>MATCH(U564,'Logical Group Generator'!B:B,0)</f>
        <v>#NUM!</v>
      </c>
      <c r="U564" s="157" t="e">
        <f t="array" ref="U564">IF(ROWS($3:564)&lt;=COUNTA($R$3:$R$902),INDEX($R$3:$R$902,SMALL(IF($R$3:$R$902&lt;&gt;"",ROW($R$3:$R$902)-MIN(ROW($R$3:$R$902))+1),ROWS($3:564))),"")</f>
        <v>#NUM!</v>
      </c>
      <c r="W564" s="157" t="e">
        <f>IF(INDEX('Logical Group Generator'!W:W,MATCH(U564,'Logical Group Generator'!B:B,0))="REGISTER","REGISTER","BIT")</f>
        <v>#NUM!</v>
      </c>
    </row>
    <row r="565" spans="2:23">
      <c r="B565" s="157" t="str">
        <f>IF(ISERROR(T566),"",CONCATENATE(IF(W566="BIT",$M$2,$M$1),U566,$M$3,BIN2HEX(IF(W566="BIT",INDEX('Logical Group Generator'!H:H,'Script Generator'!T566),INDEX('Logical Group Generator'!L:L,'Script Generator'!T566)),2),IF(ISERROR(T567),$M$5,$M$4)))</f>
        <v/>
      </c>
      <c r="D565" s="215"/>
      <c r="R565" s="215" t="str">
        <f>IF('Logical Group Generator'!W565="FALSE","",IF('Logical Group Generator'!B565="OTP_RSVD_38_03","",'Logical Group Generator'!B565))</f>
        <v/>
      </c>
      <c r="T565" s="157" t="e">
        <f>MATCH(U565,'Logical Group Generator'!B:B,0)</f>
        <v>#NUM!</v>
      </c>
      <c r="U565" s="157" t="e">
        <f t="array" ref="U565">IF(ROWS($3:565)&lt;=COUNTA($R$3:$R$902),INDEX($R$3:$R$902,SMALL(IF($R$3:$R$902&lt;&gt;"",ROW($R$3:$R$902)-MIN(ROW($R$3:$R$902))+1),ROWS($3:565))),"")</f>
        <v>#NUM!</v>
      </c>
      <c r="W565" s="157" t="e">
        <f>IF(INDEX('Logical Group Generator'!W:W,MATCH(U565,'Logical Group Generator'!B:B,0))="REGISTER","REGISTER","BIT")</f>
        <v>#NUM!</v>
      </c>
    </row>
    <row r="566" spans="2:23">
      <c r="B566" s="157" t="str">
        <f>IF(ISERROR(T567),"",CONCATENATE(IF(W567="BIT",$M$2,$M$1),U567,$M$3,BIN2HEX(IF(W567="BIT",INDEX('Logical Group Generator'!H:H,'Script Generator'!T567),INDEX('Logical Group Generator'!L:L,'Script Generator'!T567)),2),IF(ISERROR(T568),$M$5,$M$4)))</f>
        <v/>
      </c>
      <c r="D566" s="215"/>
      <c r="R566" s="215" t="str">
        <f>IF('Logical Group Generator'!W566="FALSE","",IF('Logical Group Generator'!B566="OTP_RSVD_38_03","",'Logical Group Generator'!B566))</f>
        <v/>
      </c>
      <c r="T566" s="157" t="e">
        <f>MATCH(U566,'Logical Group Generator'!B:B,0)</f>
        <v>#NUM!</v>
      </c>
      <c r="U566" s="157" t="e">
        <f t="array" ref="U566">IF(ROWS($3:566)&lt;=COUNTA($R$3:$R$902),INDEX($R$3:$R$902,SMALL(IF($R$3:$R$902&lt;&gt;"",ROW($R$3:$R$902)-MIN(ROW($R$3:$R$902))+1),ROWS($3:566))),"")</f>
        <v>#NUM!</v>
      </c>
      <c r="W566" s="157" t="e">
        <f>IF(INDEX('Logical Group Generator'!W:W,MATCH(U566,'Logical Group Generator'!B:B,0))="REGISTER","REGISTER","BIT")</f>
        <v>#NUM!</v>
      </c>
    </row>
    <row r="567" spans="2:23">
      <c r="B567" s="157" t="str">
        <f>IF(ISERROR(T568),"",CONCATENATE(IF(W568="BIT",$M$2,$M$1),U568,$M$3,BIN2HEX(IF(W568="BIT",INDEX('Logical Group Generator'!H:H,'Script Generator'!T568),INDEX('Logical Group Generator'!L:L,'Script Generator'!T568)),2),IF(ISERROR(T569),$M$5,$M$4)))</f>
        <v/>
      </c>
      <c r="D567" s="215"/>
      <c r="R567" s="215" t="str">
        <f>IF('Logical Group Generator'!W567="FALSE","",IF('Logical Group Generator'!B567="OTP_RSVD_38_03","",'Logical Group Generator'!B567))</f>
        <v/>
      </c>
      <c r="T567" s="157" t="e">
        <f>MATCH(U567,'Logical Group Generator'!B:B,0)</f>
        <v>#NUM!</v>
      </c>
      <c r="U567" s="157" t="e">
        <f t="array" ref="U567">IF(ROWS($3:567)&lt;=COUNTA($R$3:$R$902),INDEX($R$3:$R$902,SMALL(IF($R$3:$R$902&lt;&gt;"",ROW($R$3:$R$902)-MIN(ROW($R$3:$R$902))+1),ROWS($3:567))),"")</f>
        <v>#NUM!</v>
      </c>
      <c r="W567" s="157" t="e">
        <f>IF(INDEX('Logical Group Generator'!W:W,MATCH(U567,'Logical Group Generator'!B:B,0))="REGISTER","REGISTER","BIT")</f>
        <v>#NUM!</v>
      </c>
    </row>
    <row r="568" spans="2:23">
      <c r="B568" s="157" t="str">
        <f>IF(ISERROR(T569),"",CONCATENATE(IF(W569="BIT",$M$2,$M$1),U569,$M$3,BIN2HEX(IF(W569="BIT",INDEX('Logical Group Generator'!H:H,'Script Generator'!T569),INDEX('Logical Group Generator'!L:L,'Script Generator'!T569)),2),IF(ISERROR(T570),$M$5,$M$4)))</f>
        <v/>
      </c>
      <c r="D568" s="215"/>
      <c r="R568" s="215" t="str">
        <f>IF('Logical Group Generator'!W568="FALSE","",IF('Logical Group Generator'!B568="OTP_RSVD_38_03","",'Logical Group Generator'!B568))</f>
        <v/>
      </c>
      <c r="T568" s="157" t="e">
        <f>MATCH(U568,'Logical Group Generator'!B:B,0)</f>
        <v>#NUM!</v>
      </c>
      <c r="U568" s="157" t="e">
        <f t="array" ref="U568">IF(ROWS($3:568)&lt;=COUNTA($R$3:$R$902),INDEX($R$3:$R$902,SMALL(IF($R$3:$R$902&lt;&gt;"",ROW($R$3:$R$902)-MIN(ROW($R$3:$R$902))+1),ROWS($3:568))),"")</f>
        <v>#NUM!</v>
      </c>
      <c r="W568" s="157" t="e">
        <f>IF(INDEX('Logical Group Generator'!W:W,MATCH(U568,'Logical Group Generator'!B:B,0))="REGISTER","REGISTER","BIT")</f>
        <v>#NUM!</v>
      </c>
    </row>
    <row r="569" spans="2:23">
      <c r="B569" s="157" t="str">
        <f>IF(ISERROR(T570),"",CONCATENATE(IF(W570="BIT",$M$2,$M$1),U570,$M$3,BIN2HEX(IF(W570="BIT",INDEX('Logical Group Generator'!H:H,'Script Generator'!T570),INDEX('Logical Group Generator'!L:L,'Script Generator'!T570)),2),IF(ISERROR(T571),$M$5,$M$4)))</f>
        <v/>
      </c>
      <c r="D569" s="215"/>
      <c r="R569" s="215" t="str">
        <f>IF('Logical Group Generator'!W569="FALSE","",IF('Logical Group Generator'!B569="OTP_RSVD_38_03","",'Logical Group Generator'!B569))</f>
        <v/>
      </c>
      <c r="T569" s="157" t="e">
        <f>MATCH(U569,'Logical Group Generator'!B:B,0)</f>
        <v>#NUM!</v>
      </c>
      <c r="U569" s="157" t="e">
        <f t="array" ref="U569">IF(ROWS($3:569)&lt;=COUNTA($R$3:$R$902),INDEX($R$3:$R$902,SMALL(IF($R$3:$R$902&lt;&gt;"",ROW($R$3:$R$902)-MIN(ROW($R$3:$R$902))+1),ROWS($3:569))),"")</f>
        <v>#NUM!</v>
      </c>
      <c r="W569" s="157" t="e">
        <f>IF(INDEX('Logical Group Generator'!W:W,MATCH(U569,'Logical Group Generator'!B:B,0))="REGISTER","REGISTER","BIT")</f>
        <v>#NUM!</v>
      </c>
    </row>
    <row r="570" spans="2:23">
      <c r="B570" s="157" t="str">
        <f>IF(ISERROR(T571),"",CONCATENATE(IF(W571="BIT",$M$2,$M$1),U571,$M$3,BIN2HEX(IF(W571="BIT",INDEX('Logical Group Generator'!H:H,'Script Generator'!T571),INDEX('Logical Group Generator'!L:L,'Script Generator'!T571)),2),IF(ISERROR(T572),$M$5,$M$4)))</f>
        <v/>
      </c>
      <c r="D570" s="215"/>
      <c r="R570" s="215" t="str">
        <f>IF('Logical Group Generator'!W570="FALSE","",IF('Logical Group Generator'!B570="OTP_RSVD_38_03","",'Logical Group Generator'!B570))</f>
        <v/>
      </c>
      <c r="T570" s="157" t="e">
        <f>MATCH(U570,'Logical Group Generator'!B:B,0)</f>
        <v>#NUM!</v>
      </c>
      <c r="U570" s="157" t="e">
        <f t="array" ref="U570">IF(ROWS($3:570)&lt;=COUNTA($R$3:$R$902),INDEX($R$3:$R$902,SMALL(IF($R$3:$R$902&lt;&gt;"",ROW($R$3:$R$902)-MIN(ROW($R$3:$R$902))+1),ROWS($3:570))),"")</f>
        <v>#NUM!</v>
      </c>
      <c r="W570" s="157" t="e">
        <f>IF(INDEX('Logical Group Generator'!W:W,MATCH(U570,'Logical Group Generator'!B:B,0))="REGISTER","REGISTER","BIT")</f>
        <v>#NUM!</v>
      </c>
    </row>
    <row r="571" spans="2:23">
      <c r="B571" s="157" t="str">
        <f>IF(ISERROR(T572),"",CONCATENATE(IF(W572="BIT",$M$2,$M$1),U572,$M$3,BIN2HEX(IF(W572="BIT",INDEX('Logical Group Generator'!H:H,'Script Generator'!T572),INDEX('Logical Group Generator'!L:L,'Script Generator'!T572)),2),IF(ISERROR(T573),$M$5,$M$4)))</f>
        <v/>
      </c>
      <c r="D571" s="215"/>
      <c r="R571" s="215" t="str">
        <f>IF('Logical Group Generator'!W571="FALSE","",IF('Logical Group Generator'!B571="OTP_RSVD_38_03","",'Logical Group Generator'!B571))</f>
        <v/>
      </c>
      <c r="T571" s="157" t="e">
        <f>MATCH(U571,'Logical Group Generator'!B:B,0)</f>
        <v>#NUM!</v>
      </c>
      <c r="U571" s="157" t="e">
        <f t="array" ref="U571">IF(ROWS($3:571)&lt;=COUNTA($R$3:$R$902),INDEX($R$3:$R$902,SMALL(IF($R$3:$R$902&lt;&gt;"",ROW($R$3:$R$902)-MIN(ROW($R$3:$R$902))+1),ROWS($3:571))),"")</f>
        <v>#NUM!</v>
      </c>
      <c r="W571" s="157" t="e">
        <f>IF(INDEX('Logical Group Generator'!W:W,MATCH(U571,'Logical Group Generator'!B:B,0))="REGISTER","REGISTER","BIT")</f>
        <v>#NUM!</v>
      </c>
    </row>
    <row r="572" spans="2:23">
      <c r="B572" s="157" t="str">
        <f>IF(ISERROR(T573),"",CONCATENATE(IF(W573="BIT",$M$2,$M$1),U573,$M$3,BIN2HEX(IF(W573="BIT",INDEX('Logical Group Generator'!H:H,'Script Generator'!T573),INDEX('Logical Group Generator'!L:L,'Script Generator'!T573)),2),IF(ISERROR(T574),$M$5,$M$4)))</f>
        <v/>
      </c>
      <c r="D572" s="215"/>
      <c r="R572" s="215" t="str">
        <f>IF('Logical Group Generator'!W572="FALSE","",IF('Logical Group Generator'!B572="OTP_RSVD_38_03","",'Logical Group Generator'!B572))</f>
        <v/>
      </c>
      <c r="T572" s="157" t="e">
        <f>MATCH(U572,'Logical Group Generator'!B:B,0)</f>
        <v>#NUM!</v>
      </c>
      <c r="U572" s="157" t="e">
        <f t="array" ref="U572">IF(ROWS($3:572)&lt;=COUNTA($R$3:$R$902),INDEX($R$3:$R$902,SMALL(IF($R$3:$R$902&lt;&gt;"",ROW($R$3:$R$902)-MIN(ROW($R$3:$R$902))+1),ROWS($3:572))),"")</f>
        <v>#NUM!</v>
      </c>
      <c r="W572" s="157" t="e">
        <f>IF(INDEX('Logical Group Generator'!W:W,MATCH(U572,'Logical Group Generator'!B:B,0))="REGISTER","REGISTER","BIT")</f>
        <v>#NUM!</v>
      </c>
    </row>
    <row r="573" spans="2:23">
      <c r="B573" s="157" t="str">
        <f>IF(ISERROR(T574),"",CONCATENATE(IF(W574="BIT",$M$2,$M$1),U574,$M$3,BIN2HEX(IF(W574="BIT",INDEX('Logical Group Generator'!H:H,'Script Generator'!T574),INDEX('Logical Group Generator'!L:L,'Script Generator'!T574)),2),IF(ISERROR(T575),$M$5,$M$4)))</f>
        <v/>
      </c>
      <c r="D573" s="215"/>
      <c r="R573" s="215" t="str">
        <f>IF('Logical Group Generator'!W573="FALSE","",IF('Logical Group Generator'!B573="OTP_RSVD_38_03","",'Logical Group Generator'!B573))</f>
        <v>OTP_RSVD_38_34</v>
      </c>
      <c r="T573" s="157" t="e">
        <f>MATCH(U573,'Logical Group Generator'!B:B,0)</f>
        <v>#NUM!</v>
      </c>
      <c r="U573" s="157" t="e">
        <f t="array" ref="U573">IF(ROWS($3:573)&lt;=COUNTA($R$3:$R$902),INDEX($R$3:$R$902,SMALL(IF($R$3:$R$902&lt;&gt;"",ROW($R$3:$R$902)-MIN(ROW($R$3:$R$902))+1),ROWS($3:573))),"")</f>
        <v>#NUM!</v>
      </c>
      <c r="W573" s="157" t="e">
        <f>IF(INDEX('Logical Group Generator'!W:W,MATCH(U573,'Logical Group Generator'!B:B,0))="REGISTER","REGISTER","BIT")</f>
        <v>#NUM!</v>
      </c>
    </row>
    <row r="574" spans="2:23">
      <c r="B574" s="157" t="str">
        <f>IF(ISERROR(T575),"",CONCATENATE(IF(W575="BIT",$M$2,$M$1),U575,$M$3,BIN2HEX(IF(W575="BIT",INDEX('Logical Group Generator'!H:H,'Script Generator'!T575),INDEX('Logical Group Generator'!L:L,'Script Generator'!T575)),2),IF(ISERROR(T576),$M$5,$M$4)))</f>
        <v/>
      </c>
      <c r="D574" s="215"/>
      <c r="R574" s="215" t="str">
        <f>IF('Logical Group Generator'!W574="FALSE","",IF('Logical Group Generator'!B574="OTP_RSVD_38_03","",'Logical Group Generator'!B574))</f>
        <v/>
      </c>
      <c r="T574" s="157" t="e">
        <f>MATCH(U574,'Logical Group Generator'!B:B,0)</f>
        <v>#NUM!</v>
      </c>
      <c r="U574" s="157" t="e">
        <f t="array" ref="U574">IF(ROWS($3:574)&lt;=COUNTA($R$3:$R$902),INDEX($R$3:$R$902,SMALL(IF($R$3:$R$902&lt;&gt;"",ROW($R$3:$R$902)-MIN(ROW($R$3:$R$902))+1),ROWS($3:574))),"")</f>
        <v>#NUM!</v>
      </c>
      <c r="W574" s="157" t="e">
        <f>IF(INDEX('Logical Group Generator'!W:W,MATCH(U574,'Logical Group Generator'!B:B,0))="REGISTER","REGISTER","BIT")</f>
        <v>#NUM!</v>
      </c>
    </row>
    <row r="575" spans="2:23">
      <c r="B575" s="157" t="str">
        <f>IF(ISERROR(T576),"",CONCATENATE(IF(W576="BIT",$M$2,$M$1),U576,$M$3,BIN2HEX(IF(W576="BIT",INDEX('Logical Group Generator'!H:H,'Script Generator'!T576),INDEX('Logical Group Generator'!L:L,'Script Generator'!T576)),2),IF(ISERROR(T577),$M$5,$M$4)))</f>
        <v/>
      </c>
      <c r="D575" s="215"/>
      <c r="R575" s="215" t="str">
        <f>IF('Logical Group Generator'!W575="FALSE","",IF('Logical Group Generator'!B575="OTP_RSVD_38_03","",'Logical Group Generator'!B575))</f>
        <v/>
      </c>
      <c r="T575" s="157" t="e">
        <f>MATCH(U575,'Logical Group Generator'!B:B,0)</f>
        <v>#NUM!</v>
      </c>
      <c r="U575" s="157" t="e">
        <f t="array" ref="U575">IF(ROWS($3:575)&lt;=COUNTA($R$3:$R$902),INDEX($R$3:$R$902,SMALL(IF($R$3:$R$902&lt;&gt;"",ROW($R$3:$R$902)-MIN(ROW($R$3:$R$902))+1),ROWS($3:575))),"")</f>
        <v>#NUM!</v>
      </c>
      <c r="W575" s="157" t="e">
        <f>IF(INDEX('Logical Group Generator'!W:W,MATCH(U575,'Logical Group Generator'!B:B,0))="REGISTER","REGISTER","BIT")</f>
        <v>#NUM!</v>
      </c>
    </row>
    <row r="576" spans="2:23">
      <c r="B576" s="157" t="str">
        <f>IF(ISERROR(T577),"",CONCATENATE(IF(W577="BIT",$M$2,$M$1),U577,$M$3,BIN2HEX(IF(W577="BIT",INDEX('Logical Group Generator'!H:H,'Script Generator'!T577),INDEX('Logical Group Generator'!L:L,'Script Generator'!T577)),2),IF(ISERROR(T578),$M$5,$M$4)))</f>
        <v/>
      </c>
      <c r="D576" s="215"/>
      <c r="R576" s="215" t="str">
        <f>IF('Logical Group Generator'!W576="FALSE","",IF('Logical Group Generator'!B576="OTP_RSVD_38_03","",'Logical Group Generator'!B576))</f>
        <v/>
      </c>
      <c r="T576" s="157" t="e">
        <f>MATCH(U576,'Logical Group Generator'!B:B,0)</f>
        <v>#NUM!</v>
      </c>
      <c r="U576" s="157" t="e">
        <f t="array" ref="U576">IF(ROWS($3:576)&lt;=COUNTA($R$3:$R$902),INDEX($R$3:$R$902,SMALL(IF($R$3:$R$902&lt;&gt;"",ROW($R$3:$R$902)-MIN(ROW($R$3:$R$902))+1),ROWS($3:576))),"")</f>
        <v>#NUM!</v>
      </c>
      <c r="W576" s="157" t="e">
        <f>IF(INDEX('Logical Group Generator'!W:W,MATCH(U576,'Logical Group Generator'!B:B,0))="REGISTER","REGISTER","BIT")</f>
        <v>#NUM!</v>
      </c>
    </row>
    <row r="577" spans="2:23">
      <c r="B577" s="157" t="str">
        <f>IF(ISERROR(T578),"",CONCATENATE(IF(W578="BIT",$M$2,$M$1),U578,$M$3,BIN2HEX(IF(W578="BIT",INDEX('Logical Group Generator'!H:H,'Script Generator'!T578),INDEX('Logical Group Generator'!L:L,'Script Generator'!T578)),2),IF(ISERROR(T579),$M$5,$M$4)))</f>
        <v/>
      </c>
      <c r="D577" s="215"/>
      <c r="R577" s="215" t="str">
        <f>IF('Logical Group Generator'!W577="FALSE","",IF('Logical Group Generator'!B577="OTP_RSVD_38_03","",'Logical Group Generator'!B577))</f>
        <v/>
      </c>
      <c r="T577" s="157" t="e">
        <f>MATCH(U577,'Logical Group Generator'!B:B,0)</f>
        <v>#NUM!</v>
      </c>
      <c r="U577" s="157" t="e">
        <f t="array" ref="U577">IF(ROWS($3:577)&lt;=COUNTA($R$3:$R$902),INDEX($R$3:$R$902,SMALL(IF($R$3:$R$902&lt;&gt;"",ROW($R$3:$R$902)-MIN(ROW($R$3:$R$902))+1),ROWS($3:577))),"")</f>
        <v>#NUM!</v>
      </c>
      <c r="W577" s="157" t="e">
        <f>IF(INDEX('Logical Group Generator'!W:W,MATCH(U577,'Logical Group Generator'!B:B,0))="REGISTER","REGISTER","BIT")</f>
        <v>#NUM!</v>
      </c>
    </row>
    <row r="578" spans="2:23">
      <c r="B578" s="157" t="str">
        <f>IF(ISERROR(T579),"",CONCATENATE(IF(W579="BIT",$M$2,$M$1),U579,$M$3,BIN2HEX(IF(W579="BIT",INDEX('Logical Group Generator'!H:H,'Script Generator'!T579),INDEX('Logical Group Generator'!L:L,'Script Generator'!T579)),2),IF(ISERROR(T580),$M$5,$M$4)))</f>
        <v/>
      </c>
      <c r="D578" s="215"/>
      <c r="R578" s="215" t="str">
        <f>IF('Logical Group Generator'!W578="FALSE","",IF('Logical Group Generator'!B578="OTP_RSVD_38_03","",'Logical Group Generator'!B578))</f>
        <v/>
      </c>
      <c r="T578" s="157" t="e">
        <f>MATCH(U578,'Logical Group Generator'!B:B,0)</f>
        <v>#NUM!</v>
      </c>
      <c r="U578" s="157" t="e">
        <f t="array" ref="U578">IF(ROWS($3:578)&lt;=COUNTA($R$3:$R$902),INDEX($R$3:$R$902,SMALL(IF($R$3:$R$902&lt;&gt;"",ROW($R$3:$R$902)-MIN(ROW($R$3:$R$902))+1),ROWS($3:578))),"")</f>
        <v>#NUM!</v>
      </c>
      <c r="W578" s="157" t="e">
        <f>IF(INDEX('Logical Group Generator'!W:W,MATCH(U578,'Logical Group Generator'!B:B,0))="REGISTER","REGISTER","BIT")</f>
        <v>#NUM!</v>
      </c>
    </row>
    <row r="579" spans="2:23">
      <c r="B579" s="157" t="str">
        <f>IF(ISERROR(T580),"",CONCATENATE(IF(W580="BIT",$M$2,$M$1),U580,$M$3,BIN2HEX(IF(W580="BIT",INDEX('Logical Group Generator'!H:H,'Script Generator'!T580),INDEX('Logical Group Generator'!L:L,'Script Generator'!T580)),2),IF(ISERROR(T581),$M$5,$M$4)))</f>
        <v/>
      </c>
      <c r="D579" s="215"/>
      <c r="R579" s="215" t="str">
        <f>IF('Logical Group Generator'!W579="FALSE","",IF('Logical Group Generator'!B579="OTP_RSVD_38_03","",'Logical Group Generator'!B579))</f>
        <v/>
      </c>
      <c r="T579" s="157" t="e">
        <f>MATCH(U579,'Logical Group Generator'!B:B,0)</f>
        <v>#NUM!</v>
      </c>
      <c r="U579" s="157" t="e">
        <f t="array" ref="U579">IF(ROWS($3:579)&lt;=COUNTA($R$3:$R$902),INDEX($R$3:$R$902,SMALL(IF($R$3:$R$902&lt;&gt;"",ROW($R$3:$R$902)-MIN(ROW($R$3:$R$902))+1),ROWS($3:579))),"")</f>
        <v>#NUM!</v>
      </c>
      <c r="W579" s="157" t="e">
        <f>IF(INDEX('Logical Group Generator'!W:W,MATCH(U579,'Logical Group Generator'!B:B,0))="REGISTER","REGISTER","BIT")</f>
        <v>#NUM!</v>
      </c>
    </row>
    <row r="580" spans="2:23">
      <c r="B580" s="157" t="str">
        <f>IF(ISERROR(T581),"",CONCATENATE(IF(W581="BIT",$M$2,$M$1),U581,$M$3,BIN2HEX(IF(W581="BIT",INDEX('Logical Group Generator'!H:H,'Script Generator'!T581),INDEX('Logical Group Generator'!L:L,'Script Generator'!T581)),2),IF(ISERROR(T582),$M$5,$M$4)))</f>
        <v/>
      </c>
      <c r="D580" s="215"/>
      <c r="R580" s="215" t="str">
        <f>IF('Logical Group Generator'!W580="FALSE","",IF('Logical Group Generator'!B580="OTP_RSVD_38_03","",'Logical Group Generator'!B580))</f>
        <v/>
      </c>
      <c r="T580" s="157" t="e">
        <f>MATCH(U580,'Logical Group Generator'!B:B,0)</f>
        <v>#NUM!</v>
      </c>
      <c r="U580" s="157" t="e">
        <f t="array" ref="U580">IF(ROWS($3:580)&lt;=COUNTA($R$3:$R$902),INDEX($R$3:$R$902,SMALL(IF($R$3:$R$902&lt;&gt;"",ROW($R$3:$R$902)-MIN(ROW($R$3:$R$902))+1),ROWS($3:580))),"")</f>
        <v>#NUM!</v>
      </c>
      <c r="W580" s="157" t="e">
        <f>IF(INDEX('Logical Group Generator'!W:W,MATCH(U580,'Logical Group Generator'!B:B,0))="REGISTER","REGISTER","BIT")</f>
        <v>#NUM!</v>
      </c>
    </row>
    <row r="581" spans="2:23">
      <c r="B581" s="157" t="str">
        <f>IF(ISERROR(T582),"",CONCATENATE(IF(W582="BIT",$M$2,$M$1),U582,$M$3,BIN2HEX(IF(W582="BIT",INDEX('Logical Group Generator'!H:H,'Script Generator'!T582),INDEX('Logical Group Generator'!L:L,'Script Generator'!T582)),2),IF(ISERROR(T583),$M$5,$M$4)))</f>
        <v/>
      </c>
      <c r="D581" s="215"/>
      <c r="R581" s="215" t="str">
        <f>IF('Logical Group Generator'!W581="FALSE","",IF('Logical Group Generator'!B581="OTP_RSVD_38_03","",'Logical Group Generator'!B581))</f>
        <v/>
      </c>
      <c r="T581" s="157" t="e">
        <f>MATCH(U581,'Logical Group Generator'!B:B,0)</f>
        <v>#NUM!</v>
      </c>
      <c r="U581" s="157" t="e">
        <f t="array" ref="U581">IF(ROWS($3:581)&lt;=COUNTA($R$3:$R$902),INDEX($R$3:$R$902,SMALL(IF($R$3:$R$902&lt;&gt;"",ROW($R$3:$R$902)-MIN(ROW($R$3:$R$902))+1),ROWS($3:581))),"")</f>
        <v>#NUM!</v>
      </c>
      <c r="W581" s="157" t="e">
        <f>IF(INDEX('Logical Group Generator'!W:W,MATCH(U581,'Logical Group Generator'!B:B,0))="REGISTER","REGISTER","BIT")</f>
        <v>#NUM!</v>
      </c>
    </row>
    <row r="582" spans="2:23">
      <c r="B582" s="157" t="str">
        <f>IF(ISERROR(T583),"",CONCATENATE(IF(W583="BIT",$M$2,$M$1),U583,$M$3,BIN2HEX(IF(W583="BIT",INDEX('Logical Group Generator'!H:H,'Script Generator'!T583),INDEX('Logical Group Generator'!L:L,'Script Generator'!T583)),2),IF(ISERROR(T584),$M$5,$M$4)))</f>
        <v/>
      </c>
      <c r="D582" s="215"/>
      <c r="R582" s="215" t="str">
        <f>IF('Logical Group Generator'!W582="FALSE","",IF('Logical Group Generator'!B582="OTP_RSVD_38_03","",'Logical Group Generator'!B582))</f>
        <v/>
      </c>
      <c r="T582" s="157" t="e">
        <f>MATCH(U582,'Logical Group Generator'!B:B,0)</f>
        <v>#NUM!</v>
      </c>
      <c r="U582" s="157" t="e">
        <f t="array" ref="U582">IF(ROWS($3:582)&lt;=COUNTA($R$3:$R$902),INDEX($R$3:$R$902,SMALL(IF($R$3:$R$902&lt;&gt;"",ROW($R$3:$R$902)-MIN(ROW($R$3:$R$902))+1),ROWS($3:582))),"")</f>
        <v>#NUM!</v>
      </c>
      <c r="W582" s="157" t="e">
        <f>IF(INDEX('Logical Group Generator'!W:W,MATCH(U582,'Logical Group Generator'!B:B,0))="REGISTER","REGISTER","BIT")</f>
        <v>#NUM!</v>
      </c>
    </row>
    <row r="583" spans="2:23">
      <c r="B583" s="157" t="str">
        <f>IF(ISERROR(T584),"",CONCATENATE(IF(W584="BIT",$M$2,$M$1),U584,$M$3,BIN2HEX(IF(W584="BIT",INDEX('Logical Group Generator'!H:H,'Script Generator'!T584),INDEX('Logical Group Generator'!L:L,'Script Generator'!T584)),2),IF(ISERROR(T585),$M$5,$M$4)))</f>
        <v/>
      </c>
      <c r="D583" s="215"/>
      <c r="R583" s="215" t="str">
        <f>IF('Logical Group Generator'!W583="FALSE","",IF('Logical Group Generator'!B583="OTP_RSVD_38_03","",'Logical Group Generator'!B583))</f>
        <v/>
      </c>
      <c r="T583" s="157" t="e">
        <f>MATCH(U583,'Logical Group Generator'!B:B,0)</f>
        <v>#NUM!</v>
      </c>
      <c r="U583" s="157" t="e">
        <f t="array" ref="U583">IF(ROWS($3:583)&lt;=COUNTA($R$3:$R$902),INDEX($R$3:$R$902,SMALL(IF($R$3:$R$902&lt;&gt;"",ROW($R$3:$R$902)-MIN(ROW($R$3:$R$902))+1),ROWS($3:583))),"")</f>
        <v>#NUM!</v>
      </c>
      <c r="W583" s="157" t="e">
        <f>IF(INDEX('Logical Group Generator'!W:W,MATCH(U583,'Logical Group Generator'!B:B,0))="REGISTER","REGISTER","BIT")</f>
        <v>#NUM!</v>
      </c>
    </row>
    <row r="584" spans="2:23">
      <c r="B584" s="157" t="str">
        <f>IF(ISERROR(T585),"",CONCATENATE(IF(W585="BIT",$M$2,$M$1),U585,$M$3,BIN2HEX(IF(W585="BIT",INDEX('Logical Group Generator'!H:H,'Script Generator'!T585),INDEX('Logical Group Generator'!L:L,'Script Generator'!T585)),2),IF(ISERROR(T586),$M$5,$M$4)))</f>
        <v/>
      </c>
      <c r="D584" s="215"/>
      <c r="R584" s="215" t="str">
        <f>IF('Logical Group Generator'!W584="FALSE","",IF('Logical Group Generator'!B584="OTP_RSVD_38_03","",'Logical Group Generator'!B584))</f>
        <v/>
      </c>
      <c r="T584" s="157" t="e">
        <f>MATCH(U584,'Logical Group Generator'!B:B,0)</f>
        <v>#NUM!</v>
      </c>
      <c r="U584" s="157" t="e">
        <f t="array" ref="U584">IF(ROWS($3:584)&lt;=COUNTA($R$3:$R$902),INDEX($R$3:$R$902,SMALL(IF($R$3:$R$902&lt;&gt;"",ROW($R$3:$R$902)-MIN(ROW($R$3:$R$902))+1),ROWS($3:584))),"")</f>
        <v>#NUM!</v>
      </c>
      <c r="W584" s="157" t="e">
        <f>IF(INDEX('Logical Group Generator'!W:W,MATCH(U584,'Logical Group Generator'!B:B,0))="REGISTER","REGISTER","BIT")</f>
        <v>#NUM!</v>
      </c>
    </row>
    <row r="585" spans="2:23">
      <c r="B585" s="157" t="str">
        <f>IF(ISERROR(T586),"",CONCATENATE(IF(W586="BIT",$M$2,$M$1),U586,$M$3,BIN2HEX(IF(W586="BIT",INDEX('Logical Group Generator'!H:H,'Script Generator'!T586),INDEX('Logical Group Generator'!L:L,'Script Generator'!T586)),2),IF(ISERROR(T587),$M$5,$M$4)))</f>
        <v/>
      </c>
      <c r="D585" s="215"/>
      <c r="R585" s="215" t="str">
        <f>IF('Logical Group Generator'!W585="FALSE","",IF('Logical Group Generator'!B585="OTP_RSVD_38_03","",'Logical Group Generator'!B585))</f>
        <v/>
      </c>
      <c r="T585" s="157" t="e">
        <f>MATCH(U585,'Logical Group Generator'!B:B,0)</f>
        <v>#NUM!</v>
      </c>
      <c r="U585" s="157" t="e">
        <f t="array" ref="U585">IF(ROWS($3:585)&lt;=COUNTA($R$3:$R$902),INDEX($R$3:$R$902,SMALL(IF($R$3:$R$902&lt;&gt;"",ROW($R$3:$R$902)-MIN(ROW($R$3:$R$902))+1),ROWS($3:585))),"")</f>
        <v>#NUM!</v>
      </c>
      <c r="W585" s="157" t="e">
        <f>IF(INDEX('Logical Group Generator'!W:W,MATCH(U585,'Logical Group Generator'!B:B,0))="REGISTER","REGISTER","BIT")</f>
        <v>#NUM!</v>
      </c>
    </row>
    <row r="586" spans="2:23">
      <c r="B586" s="157" t="str">
        <f>IF(ISERROR(T587),"",CONCATENATE(IF(W587="BIT",$M$2,$M$1),U587,$M$3,BIN2HEX(IF(W587="BIT",INDEX('Logical Group Generator'!H:H,'Script Generator'!T587),INDEX('Logical Group Generator'!L:L,'Script Generator'!T587)),2),IF(ISERROR(T588),$M$5,$M$4)))</f>
        <v/>
      </c>
      <c r="D586" s="215"/>
      <c r="R586" s="215" t="str">
        <f>IF('Logical Group Generator'!W586="FALSE","",IF('Logical Group Generator'!B586="OTP_RSVD_38_03","",'Logical Group Generator'!B586))</f>
        <v/>
      </c>
      <c r="T586" s="157" t="e">
        <f>MATCH(U586,'Logical Group Generator'!B:B,0)</f>
        <v>#NUM!</v>
      </c>
      <c r="U586" s="157" t="e">
        <f t="array" ref="U586">IF(ROWS($3:586)&lt;=COUNTA($R$3:$R$902),INDEX($R$3:$R$902,SMALL(IF($R$3:$R$902&lt;&gt;"",ROW($R$3:$R$902)-MIN(ROW($R$3:$R$902))+1),ROWS($3:586))),"")</f>
        <v>#NUM!</v>
      </c>
      <c r="W586" s="157" t="e">
        <f>IF(INDEX('Logical Group Generator'!W:W,MATCH(U586,'Logical Group Generator'!B:B,0))="REGISTER","REGISTER","BIT")</f>
        <v>#NUM!</v>
      </c>
    </row>
    <row r="587" spans="2:23">
      <c r="B587" s="157" t="str">
        <f>IF(ISERROR(T588),"",CONCATENATE(IF(W588="BIT",$M$2,$M$1),U588,$M$3,BIN2HEX(IF(W588="BIT",INDEX('Logical Group Generator'!H:H,'Script Generator'!T588),INDEX('Logical Group Generator'!L:L,'Script Generator'!T588)),2),IF(ISERROR(T589),$M$5,$M$4)))</f>
        <v/>
      </c>
      <c r="D587" s="215"/>
      <c r="R587" s="215" t="str">
        <f>IF('Logical Group Generator'!W587="FALSE","",IF('Logical Group Generator'!B587="OTP_RSVD_38_03","",'Logical Group Generator'!B587))</f>
        <v/>
      </c>
      <c r="T587" s="157" t="e">
        <f>MATCH(U587,'Logical Group Generator'!B:B,0)</f>
        <v>#NUM!</v>
      </c>
      <c r="U587" s="157" t="e">
        <f t="array" ref="U587">IF(ROWS($3:587)&lt;=COUNTA($R$3:$R$902),INDEX($R$3:$R$902,SMALL(IF($R$3:$R$902&lt;&gt;"",ROW($R$3:$R$902)-MIN(ROW($R$3:$R$902))+1),ROWS($3:587))),"")</f>
        <v>#NUM!</v>
      </c>
      <c r="W587" s="157" t="e">
        <f>IF(INDEX('Logical Group Generator'!W:W,MATCH(U587,'Logical Group Generator'!B:B,0))="REGISTER","REGISTER","BIT")</f>
        <v>#NUM!</v>
      </c>
    </row>
    <row r="588" spans="2:23">
      <c r="B588" s="157" t="str">
        <f>IF(ISERROR(T589),"",CONCATENATE(IF(W589="BIT",$M$2,$M$1),U589,$M$3,BIN2HEX(IF(W589="BIT",INDEX('Logical Group Generator'!H:H,'Script Generator'!T589),INDEX('Logical Group Generator'!L:L,'Script Generator'!T589)),2),IF(ISERROR(T590),$M$5,$M$4)))</f>
        <v/>
      </c>
      <c r="D588" s="215"/>
      <c r="R588" s="215" t="str">
        <f>IF('Logical Group Generator'!W588="FALSE","",IF('Logical Group Generator'!B588="OTP_RSVD_38_03","",'Logical Group Generator'!B588))</f>
        <v>OTP_RSVD_38_36</v>
      </c>
      <c r="T588" s="157" t="e">
        <f>MATCH(U588,'Logical Group Generator'!B:B,0)</f>
        <v>#NUM!</v>
      </c>
      <c r="U588" s="157" t="e">
        <f t="array" ref="U588">IF(ROWS($3:588)&lt;=COUNTA($R$3:$R$902),INDEX($R$3:$R$902,SMALL(IF($R$3:$R$902&lt;&gt;"",ROW($R$3:$R$902)-MIN(ROW($R$3:$R$902))+1),ROWS($3:588))),"")</f>
        <v>#NUM!</v>
      </c>
      <c r="W588" s="157" t="e">
        <f>IF(INDEX('Logical Group Generator'!W:W,MATCH(U588,'Logical Group Generator'!B:B,0))="REGISTER","REGISTER","BIT")</f>
        <v>#NUM!</v>
      </c>
    </row>
    <row r="589" spans="2:23">
      <c r="B589" s="157" t="str">
        <f>IF(ISERROR(T590),"",CONCATENATE(IF(W590="BIT",$M$2,$M$1),U590,$M$3,BIN2HEX(IF(W590="BIT",INDEX('Logical Group Generator'!H:H,'Script Generator'!T590),INDEX('Logical Group Generator'!L:L,'Script Generator'!T590)),2),IF(ISERROR(T591),$M$5,$M$4)))</f>
        <v/>
      </c>
      <c r="D589" s="215"/>
      <c r="R589" s="215" t="str">
        <f>IF('Logical Group Generator'!W589="FALSE","",IF('Logical Group Generator'!B589="OTP_RSVD_38_03","",'Logical Group Generator'!B589))</f>
        <v/>
      </c>
      <c r="T589" s="157" t="e">
        <f>MATCH(U589,'Logical Group Generator'!B:B,0)</f>
        <v>#NUM!</v>
      </c>
      <c r="U589" s="157" t="e">
        <f t="array" ref="U589">IF(ROWS($3:589)&lt;=COUNTA($R$3:$R$902),INDEX($R$3:$R$902,SMALL(IF($R$3:$R$902&lt;&gt;"",ROW($R$3:$R$902)-MIN(ROW($R$3:$R$902))+1),ROWS($3:589))),"")</f>
        <v>#NUM!</v>
      </c>
      <c r="W589" s="157" t="e">
        <f>IF(INDEX('Logical Group Generator'!W:W,MATCH(U589,'Logical Group Generator'!B:B,0))="REGISTER","REGISTER","BIT")</f>
        <v>#NUM!</v>
      </c>
    </row>
    <row r="590" spans="2:23">
      <c r="B590" s="157" t="str">
        <f>IF(ISERROR(T591),"",CONCATENATE(IF(W591="BIT",$M$2,$M$1),U591,$M$3,BIN2HEX(IF(W591="BIT",INDEX('Logical Group Generator'!H:H,'Script Generator'!T591),INDEX('Logical Group Generator'!L:L,'Script Generator'!T591)),2),IF(ISERROR(T592),$M$5,$M$4)))</f>
        <v/>
      </c>
      <c r="D590" s="215"/>
      <c r="R590" s="215" t="str">
        <f>IF('Logical Group Generator'!W590="FALSE","",IF('Logical Group Generator'!B590="OTP_RSVD_38_03","",'Logical Group Generator'!B590))</f>
        <v/>
      </c>
      <c r="T590" s="157" t="e">
        <f>MATCH(U590,'Logical Group Generator'!B:B,0)</f>
        <v>#NUM!</v>
      </c>
      <c r="U590" s="157" t="e">
        <f t="array" ref="U590">IF(ROWS($3:590)&lt;=COUNTA($R$3:$R$902),INDEX($R$3:$R$902,SMALL(IF($R$3:$R$902&lt;&gt;"",ROW($R$3:$R$902)-MIN(ROW($R$3:$R$902))+1),ROWS($3:590))),"")</f>
        <v>#NUM!</v>
      </c>
      <c r="W590" s="157" t="e">
        <f>IF(INDEX('Logical Group Generator'!W:W,MATCH(U590,'Logical Group Generator'!B:B,0))="REGISTER","REGISTER","BIT")</f>
        <v>#NUM!</v>
      </c>
    </row>
    <row r="591" spans="2:23">
      <c r="B591" s="157" t="str">
        <f>IF(ISERROR(T592),"",CONCATENATE(IF(W592="BIT",$M$2,$M$1),U592,$M$3,BIN2HEX(IF(W592="BIT",INDEX('Logical Group Generator'!H:H,'Script Generator'!T592),INDEX('Logical Group Generator'!L:L,'Script Generator'!T592)),2),IF(ISERROR(T593),$M$5,$M$4)))</f>
        <v/>
      </c>
      <c r="D591" s="215"/>
      <c r="R591" s="215" t="str">
        <f>IF('Logical Group Generator'!W591="FALSE","",IF('Logical Group Generator'!B591="OTP_RSVD_38_03","",'Logical Group Generator'!B591))</f>
        <v/>
      </c>
      <c r="T591" s="157" t="e">
        <f>MATCH(U591,'Logical Group Generator'!B:B,0)</f>
        <v>#NUM!</v>
      </c>
      <c r="U591" s="157" t="e">
        <f t="array" ref="U591">IF(ROWS($3:591)&lt;=COUNTA($R$3:$R$902),INDEX($R$3:$R$902,SMALL(IF($R$3:$R$902&lt;&gt;"",ROW($R$3:$R$902)-MIN(ROW($R$3:$R$902))+1),ROWS($3:591))),"")</f>
        <v>#NUM!</v>
      </c>
      <c r="W591" s="157" t="e">
        <f>IF(INDEX('Logical Group Generator'!W:W,MATCH(U591,'Logical Group Generator'!B:B,0))="REGISTER","REGISTER","BIT")</f>
        <v>#NUM!</v>
      </c>
    </row>
    <row r="592" spans="2:23">
      <c r="B592" s="157" t="str">
        <f>IF(ISERROR(T593),"",CONCATENATE(IF(W593="BIT",$M$2,$M$1),U593,$M$3,BIN2HEX(IF(W593="BIT",INDEX('Logical Group Generator'!H:H,'Script Generator'!T593),INDEX('Logical Group Generator'!L:L,'Script Generator'!T593)),2),IF(ISERROR(T594),$M$5,$M$4)))</f>
        <v/>
      </c>
      <c r="D592" s="215"/>
      <c r="R592" s="215" t="str">
        <f>IF('Logical Group Generator'!W592="FALSE","",IF('Logical Group Generator'!B592="OTP_RSVD_38_03","",'Logical Group Generator'!B592))</f>
        <v/>
      </c>
      <c r="T592" s="157" t="e">
        <f>MATCH(U592,'Logical Group Generator'!B:B,0)</f>
        <v>#NUM!</v>
      </c>
      <c r="U592" s="157" t="e">
        <f t="array" ref="U592">IF(ROWS($3:592)&lt;=COUNTA($R$3:$R$902),INDEX($R$3:$R$902,SMALL(IF($R$3:$R$902&lt;&gt;"",ROW($R$3:$R$902)-MIN(ROW($R$3:$R$902))+1),ROWS($3:592))),"")</f>
        <v>#NUM!</v>
      </c>
      <c r="W592" s="157" t="e">
        <f>IF(INDEX('Logical Group Generator'!W:W,MATCH(U592,'Logical Group Generator'!B:B,0))="REGISTER","REGISTER","BIT")</f>
        <v>#NUM!</v>
      </c>
    </row>
    <row r="593" spans="2:23">
      <c r="B593" s="157" t="str">
        <f>IF(ISERROR(T594),"",CONCATENATE(IF(W594="BIT",$M$2,$M$1),U594,$M$3,BIN2HEX(IF(W594="BIT",INDEX('Logical Group Generator'!H:H,'Script Generator'!T594),INDEX('Logical Group Generator'!L:L,'Script Generator'!T594)),2),IF(ISERROR(T595),$M$5,$M$4)))</f>
        <v/>
      </c>
      <c r="D593" s="215"/>
      <c r="R593" s="215" t="str">
        <f>IF('Logical Group Generator'!W593="FALSE","",IF('Logical Group Generator'!B593="OTP_RSVD_38_03","",'Logical Group Generator'!B593))</f>
        <v/>
      </c>
      <c r="T593" s="157" t="e">
        <f>MATCH(U593,'Logical Group Generator'!B:B,0)</f>
        <v>#NUM!</v>
      </c>
      <c r="U593" s="157" t="e">
        <f t="array" ref="U593">IF(ROWS($3:593)&lt;=COUNTA($R$3:$R$902),INDEX($R$3:$R$902,SMALL(IF($R$3:$R$902&lt;&gt;"",ROW($R$3:$R$902)-MIN(ROW($R$3:$R$902))+1),ROWS($3:593))),"")</f>
        <v>#NUM!</v>
      </c>
      <c r="W593" s="157" t="e">
        <f>IF(INDEX('Logical Group Generator'!W:W,MATCH(U593,'Logical Group Generator'!B:B,0))="REGISTER","REGISTER","BIT")</f>
        <v>#NUM!</v>
      </c>
    </row>
    <row r="594" spans="2:23">
      <c r="B594" s="157" t="str">
        <f>IF(ISERROR(T595),"",CONCATENATE(IF(W595="BIT",$M$2,$M$1),U595,$M$3,BIN2HEX(IF(W595="BIT",INDEX('Logical Group Generator'!H:H,'Script Generator'!T595),INDEX('Logical Group Generator'!L:L,'Script Generator'!T595)),2),IF(ISERROR(T596),$M$5,$M$4)))</f>
        <v/>
      </c>
      <c r="D594" s="215"/>
      <c r="R594" s="215" t="str">
        <f>IF('Logical Group Generator'!W594="FALSE","",IF('Logical Group Generator'!B594="OTP_RSVD_38_03","",'Logical Group Generator'!B594))</f>
        <v>OTP_RSVD_38_38</v>
      </c>
      <c r="T594" s="157" t="e">
        <f>MATCH(U594,'Logical Group Generator'!B:B,0)</f>
        <v>#NUM!</v>
      </c>
      <c r="U594" s="157" t="e">
        <f t="array" ref="U594">IF(ROWS($3:594)&lt;=COUNTA($R$3:$R$902),INDEX($R$3:$R$902,SMALL(IF($R$3:$R$902&lt;&gt;"",ROW($R$3:$R$902)-MIN(ROW($R$3:$R$902))+1),ROWS($3:594))),"")</f>
        <v>#NUM!</v>
      </c>
      <c r="W594" s="157" t="e">
        <f>IF(INDEX('Logical Group Generator'!W:W,MATCH(U594,'Logical Group Generator'!B:B,0))="REGISTER","REGISTER","BIT")</f>
        <v>#NUM!</v>
      </c>
    </row>
    <row r="595" spans="2:23">
      <c r="B595" s="157" t="str">
        <f>IF(ISERROR(T596),"",CONCATENATE(IF(W596="BIT",$M$2,$M$1),U596,$M$3,BIN2HEX(IF(W596="BIT",INDEX('Logical Group Generator'!H:H,'Script Generator'!T596),INDEX('Logical Group Generator'!L:L,'Script Generator'!T596)),2),IF(ISERROR(T597),$M$5,$M$4)))</f>
        <v/>
      </c>
      <c r="D595" s="215"/>
      <c r="R595" s="215" t="str">
        <f>IF('Logical Group Generator'!W595="FALSE","",IF('Logical Group Generator'!B595="OTP_RSVD_38_03","",'Logical Group Generator'!B595))</f>
        <v/>
      </c>
      <c r="T595" s="157" t="e">
        <f>MATCH(U595,'Logical Group Generator'!B:B,0)</f>
        <v>#NUM!</v>
      </c>
      <c r="U595" s="157" t="e">
        <f t="array" ref="U595">IF(ROWS($3:595)&lt;=COUNTA($R$3:$R$902),INDEX($R$3:$R$902,SMALL(IF($R$3:$R$902&lt;&gt;"",ROW($R$3:$R$902)-MIN(ROW($R$3:$R$902))+1),ROWS($3:595))),"")</f>
        <v>#NUM!</v>
      </c>
      <c r="W595" s="157" t="e">
        <f>IF(INDEX('Logical Group Generator'!W:W,MATCH(U595,'Logical Group Generator'!B:B,0))="REGISTER","REGISTER","BIT")</f>
        <v>#NUM!</v>
      </c>
    </row>
    <row r="596" spans="2:23">
      <c r="B596" s="157" t="str">
        <f>IF(ISERROR(T597),"",CONCATENATE(IF(W597="BIT",$M$2,$M$1),U597,$M$3,BIN2HEX(IF(W597="BIT",INDEX('Logical Group Generator'!H:H,'Script Generator'!T597),INDEX('Logical Group Generator'!L:L,'Script Generator'!T597)),2),IF(ISERROR(T598),$M$5,$M$4)))</f>
        <v/>
      </c>
      <c r="D596" s="215"/>
      <c r="R596" s="215" t="str">
        <f>IF('Logical Group Generator'!W596="FALSE","",IF('Logical Group Generator'!B596="OTP_RSVD_38_03","",'Logical Group Generator'!B596))</f>
        <v/>
      </c>
      <c r="T596" s="157" t="e">
        <f>MATCH(U596,'Logical Group Generator'!B:B,0)</f>
        <v>#NUM!</v>
      </c>
      <c r="U596" s="157" t="e">
        <f t="array" ref="U596">IF(ROWS($3:596)&lt;=COUNTA($R$3:$R$902),INDEX($R$3:$R$902,SMALL(IF($R$3:$R$902&lt;&gt;"",ROW($R$3:$R$902)-MIN(ROW($R$3:$R$902))+1),ROWS($3:596))),"")</f>
        <v>#NUM!</v>
      </c>
      <c r="W596" s="157" t="e">
        <f>IF(INDEX('Logical Group Generator'!W:W,MATCH(U596,'Logical Group Generator'!B:B,0))="REGISTER","REGISTER","BIT")</f>
        <v>#NUM!</v>
      </c>
    </row>
    <row r="597" spans="2:23">
      <c r="B597" s="157" t="str">
        <f>IF(ISERROR(T598),"",CONCATENATE(IF(W598="BIT",$M$2,$M$1),U598,$M$3,BIN2HEX(IF(W598="BIT",INDEX('Logical Group Generator'!H:H,'Script Generator'!T598),INDEX('Logical Group Generator'!L:L,'Script Generator'!T598)),2),IF(ISERROR(T599),$M$5,$M$4)))</f>
        <v/>
      </c>
      <c r="D597" s="215"/>
      <c r="R597" s="215" t="str">
        <f>IF('Logical Group Generator'!W597="FALSE","",IF('Logical Group Generator'!B597="OTP_RSVD_38_03","",'Logical Group Generator'!B597))</f>
        <v/>
      </c>
      <c r="T597" s="157" t="e">
        <f>MATCH(U597,'Logical Group Generator'!B:B,0)</f>
        <v>#NUM!</v>
      </c>
      <c r="U597" s="157" t="e">
        <f t="array" ref="U597">IF(ROWS($3:597)&lt;=COUNTA($R$3:$R$902),INDEX($R$3:$R$902,SMALL(IF($R$3:$R$902&lt;&gt;"",ROW($R$3:$R$902)-MIN(ROW($R$3:$R$902))+1),ROWS($3:597))),"")</f>
        <v>#NUM!</v>
      </c>
      <c r="W597" s="157" t="e">
        <f>IF(INDEX('Logical Group Generator'!W:W,MATCH(U597,'Logical Group Generator'!B:B,0))="REGISTER","REGISTER","BIT")</f>
        <v>#NUM!</v>
      </c>
    </row>
    <row r="598" spans="2:23">
      <c r="B598" s="157" t="str">
        <f>IF(ISERROR(T599),"",CONCATENATE(IF(W599="BIT",$M$2,$M$1),U599,$M$3,BIN2HEX(IF(W599="BIT",INDEX('Logical Group Generator'!H:H,'Script Generator'!T599),INDEX('Logical Group Generator'!L:L,'Script Generator'!T599)),2),IF(ISERROR(T600),$M$5,$M$4)))</f>
        <v/>
      </c>
      <c r="D598" s="215"/>
      <c r="R598" s="215" t="str">
        <f>IF('Logical Group Generator'!W598="FALSE","",IF('Logical Group Generator'!B598="OTP_RSVD_38_03","",'Logical Group Generator'!B598))</f>
        <v/>
      </c>
      <c r="T598" s="157" t="e">
        <f>MATCH(U598,'Logical Group Generator'!B:B,0)</f>
        <v>#NUM!</v>
      </c>
      <c r="U598" s="157" t="e">
        <f t="array" ref="U598">IF(ROWS($3:598)&lt;=COUNTA($R$3:$R$902),INDEX($R$3:$R$902,SMALL(IF($R$3:$R$902&lt;&gt;"",ROW($R$3:$R$902)-MIN(ROW($R$3:$R$902))+1),ROWS($3:598))),"")</f>
        <v>#NUM!</v>
      </c>
      <c r="W598" s="157" t="e">
        <f>IF(INDEX('Logical Group Generator'!W:W,MATCH(U598,'Logical Group Generator'!B:B,0))="REGISTER","REGISTER","BIT")</f>
        <v>#NUM!</v>
      </c>
    </row>
    <row r="599" spans="2:23">
      <c r="B599" s="157" t="str">
        <f>IF(ISERROR(T600),"",CONCATENATE(IF(W600="BIT",$M$2,$M$1),U600,$M$3,BIN2HEX(IF(W600="BIT",INDEX('Logical Group Generator'!H:H,'Script Generator'!T600),INDEX('Logical Group Generator'!L:L,'Script Generator'!T600)),2),IF(ISERROR(T601),$M$5,$M$4)))</f>
        <v/>
      </c>
      <c r="D599" s="215"/>
      <c r="R599" s="215" t="str">
        <f>IF('Logical Group Generator'!W599="FALSE","",IF('Logical Group Generator'!B599="OTP_RSVD_38_03","",'Logical Group Generator'!B599))</f>
        <v/>
      </c>
      <c r="T599" s="157" t="e">
        <f>MATCH(U599,'Logical Group Generator'!B:B,0)</f>
        <v>#NUM!</v>
      </c>
      <c r="U599" s="157" t="e">
        <f t="array" ref="U599">IF(ROWS($3:599)&lt;=COUNTA($R$3:$R$902),INDEX($R$3:$R$902,SMALL(IF($R$3:$R$902&lt;&gt;"",ROW($R$3:$R$902)-MIN(ROW($R$3:$R$902))+1),ROWS($3:599))),"")</f>
        <v>#NUM!</v>
      </c>
      <c r="W599" s="157" t="e">
        <f>IF(INDEX('Logical Group Generator'!W:W,MATCH(U599,'Logical Group Generator'!B:B,0))="REGISTER","REGISTER","BIT")</f>
        <v>#NUM!</v>
      </c>
    </row>
    <row r="600" spans="2:23">
      <c r="B600" s="157" t="str">
        <f>IF(ISERROR(T601),"",CONCATENATE(IF(W601="BIT",$M$2,$M$1),U601,$M$3,BIN2HEX(IF(W601="BIT",INDEX('Logical Group Generator'!H:H,'Script Generator'!T601),INDEX('Logical Group Generator'!L:L,'Script Generator'!T601)),2),IF(ISERROR(T602),$M$5,$M$4)))</f>
        <v/>
      </c>
      <c r="D600" s="215"/>
      <c r="R600" s="215" t="str">
        <f>IF('Logical Group Generator'!W600="FALSE","",IF('Logical Group Generator'!B600="OTP_RSVD_38_03","",'Logical Group Generator'!B600))</f>
        <v/>
      </c>
      <c r="T600" s="157" t="e">
        <f>MATCH(U600,'Logical Group Generator'!B:B,0)</f>
        <v>#NUM!</v>
      </c>
      <c r="U600" s="157" t="e">
        <f t="array" ref="U600">IF(ROWS($3:600)&lt;=COUNTA($R$3:$R$902),INDEX($R$3:$R$902,SMALL(IF($R$3:$R$902&lt;&gt;"",ROW($R$3:$R$902)-MIN(ROW($R$3:$R$902))+1),ROWS($3:600))),"")</f>
        <v>#NUM!</v>
      </c>
      <c r="W600" s="157" t="e">
        <f>IF(INDEX('Logical Group Generator'!W:W,MATCH(U600,'Logical Group Generator'!B:B,0))="REGISTER","REGISTER","BIT")</f>
        <v>#NUM!</v>
      </c>
    </row>
    <row r="601" spans="2:23">
      <c r="B601" s="157" t="str">
        <f>IF(ISERROR(T602),"",CONCATENATE(IF(W602="BIT",$M$2,$M$1),U602,$M$3,BIN2HEX(IF(W602="BIT",INDEX('Logical Group Generator'!H:H,'Script Generator'!T602),INDEX('Logical Group Generator'!L:L,'Script Generator'!T602)),2),IF(ISERROR(T603),$M$5,$M$4)))</f>
        <v/>
      </c>
      <c r="D601" s="215"/>
      <c r="R601" s="215" t="str">
        <f>IF('Logical Group Generator'!W601="FALSE","",IF('Logical Group Generator'!B601="OTP_RSVD_38_03","",'Logical Group Generator'!B601))</f>
        <v/>
      </c>
      <c r="T601" s="157" t="e">
        <f>MATCH(U601,'Logical Group Generator'!B:B,0)</f>
        <v>#NUM!</v>
      </c>
      <c r="U601" s="157" t="e">
        <f t="array" ref="U601">IF(ROWS($3:601)&lt;=COUNTA($R$3:$R$902),INDEX($R$3:$R$902,SMALL(IF($R$3:$R$902&lt;&gt;"",ROW($R$3:$R$902)-MIN(ROW($R$3:$R$902))+1),ROWS($3:601))),"")</f>
        <v>#NUM!</v>
      </c>
      <c r="W601" s="157" t="e">
        <f>IF(INDEX('Logical Group Generator'!W:W,MATCH(U601,'Logical Group Generator'!B:B,0))="REGISTER","REGISTER","BIT")</f>
        <v>#NUM!</v>
      </c>
    </row>
    <row r="602" spans="2:23">
      <c r="B602" s="157" t="str">
        <f>IF(ISERROR(T603),"",CONCATENATE(IF(W603="BIT",$M$2,$M$1),U603,$M$3,BIN2HEX(IF(W603="BIT",INDEX('Logical Group Generator'!H:H,'Script Generator'!T603),INDEX('Logical Group Generator'!L:L,'Script Generator'!T603)),2),IF(ISERROR(T604),$M$5,$M$4)))</f>
        <v/>
      </c>
      <c r="D602" s="215"/>
      <c r="R602" s="215" t="str">
        <f>IF('Logical Group Generator'!W602="FALSE","",IF('Logical Group Generator'!B602="OTP_RSVD_38_03","",'Logical Group Generator'!B602))</f>
        <v/>
      </c>
      <c r="T602" s="157" t="e">
        <f>MATCH(U602,'Logical Group Generator'!B:B,0)</f>
        <v>#NUM!</v>
      </c>
      <c r="U602" s="157" t="e">
        <f t="array" ref="U602">IF(ROWS($3:602)&lt;=COUNTA($R$3:$R$902),INDEX($R$3:$R$902,SMALL(IF($R$3:$R$902&lt;&gt;"",ROW($R$3:$R$902)-MIN(ROW($R$3:$R$902))+1),ROWS($3:602))),"")</f>
        <v>#NUM!</v>
      </c>
      <c r="W602" s="157" t="e">
        <f>IF(INDEX('Logical Group Generator'!W:W,MATCH(U602,'Logical Group Generator'!B:B,0))="REGISTER","REGISTER","BIT")</f>
        <v>#NUM!</v>
      </c>
    </row>
    <row r="603" spans="2:23">
      <c r="B603" s="157" t="str">
        <f>IF(ISERROR(T604),"",CONCATENATE(IF(W604="BIT",$M$2,$M$1),U604,$M$3,BIN2HEX(IF(W604="BIT",INDEX('Logical Group Generator'!H:H,'Script Generator'!T604),INDEX('Logical Group Generator'!L:L,'Script Generator'!T604)),2),IF(ISERROR(T605),$M$5,$M$4)))</f>
        <v/>
      </c>
      <c r="D603" s="215"/>
      <c r="R603" s="215" t="str">
        <f>IF('Logical Group Generator'!W603="FALSE","",IF('Logical Group Generator'!B603="OTP_RSVD_38_03","",'Logical Group Generator'!B603))</f>
        <v/>
      </c>
      <c r="T603" s="157" t="e">
        <f>MATCH(U603,'Logical Group Generator'!B:B,0)</f>
        <v>#NUM!</v>
      </c>
      <c r="U603" s="157" t="e">
        <f t="array" ref="U603">IF(ROWS($3:603)&lt;=COUNTA($R$3:$R$902),INDEX($R$3:$R$902,SMALL(IF($R$3:$R$902&lt;&gt;"",ROW($R$3:$R$902)-MIN(ROW($R$3:$R$902))+1),ROWS($3:603))),"")</f>
        <v>#NUM!</v>
      </c>
      <c r="W603" s="157" t="e">
        <f>IF(INDEX('Logical Group Generator'!W:W,MATCH(U603,'Logical Group Generator'!B:B,0))="REGISTER","REGISTER","BIT")</f>
        <v>#NUM!</v>
      </c>
    </row>
    <row r="604" spans="2:23">
      <c r="B604" s="157" t="str">
        <f>IF(ISERROR(T605),"",CONCATENATE(IF(W605="BIT",$M$2,$M$1),U605,$M$3,BIN2HEX(IF(W605="BIT",INDEX('Logical Group Generator'!H:H,'Script Generator'!T605),INDEX('Logical Group Generator'!L:L,'Script Generator'!T605)),2),IF(ISERROR(T606),$M$5,$M$4)))</f>
        <v/>
      </c>
      <c r="D604" s="215"/>
      <c r="R604" s="215" t="str">
        <f>IF('Logical Group Generator'!W604="FALSE","",IF('Logical Group Generator'!B604="OTP_RSVD_38_03","",'Logical Group Generator'!B604))</f>
        <v/>
      </c>
      <c r="T604" s="157" t="e">
        <f>MATCH(U604,'Logical Group Generator'!B:B,0)</f>
        <v>#NUM!</v>
      </c>
      <c r="U604" s="157" t="e">
        <f t="array" ref="U604">IF(ROWS($3:604)&lt;=COUNTA($R$3:$R$902),INDEX($R$3:$R$902,SMALL(IF($R$3:$R$902&lt;&gt;"",ROW($R$3:$R$902)-MIN(ROW($R$3:$R$902))+1),ROWS($3:604))),"")</f>
        <v>#NUM!</v>
      </c>
      <c r="W604" s="157" t="e">
        <f>IF(INDEX('Logical Group Generator'!W:W,MATCH(U604,'Logical Group Generator'!B:B,0))="REGISTER","REGISTER","BIT")</f>
        <v>#NUM!</v>
      </c>
    </row>
    <row r="605" spans="2:23">
      <c r="B605" s="157" t="str">
        <f>IF(ISERROR(T606),"",CONCATENATE(IF(W606="BIT",$M$2,$M$1),U606,$M$3,BIN2HEX(IF(W606="BIT",INDEX('Logical Group Generator'!H:H,'Script Generator'!T606),INDEX('Logical Group Generator'!L:L,'Script Generator'!T606)),2),IF(ISERROR(T607),$M$5,$M$4)))</f>
        <v/>
      </c>
      <c r="D605" s="215"/>
      <c r="R605" s="215" t="str">
        <f>IF('Logical Group Generator'!W605="FALSE","",IF('Logical Group Generator'!B605="OTP_RSVD_38_03","",'Logical Group Generator'!B605))</f>
        <v>OTP_RSVD_38_3A</v>
      </c>
      <c r="T605" s="157" t="e">
        <f>MATCH(U605,'Logical Group Generator'!B:B,0)</f>
        <v>#NUM!</v>
      </c>
      <c r="U605" s="157" t="e">
        <f t="array" ref="U605">IF(ROWS($3:605)&lt;=COUNTA($R$3:$R$902),INDEX($R$3:$R$902,SMALL(IF($R$3:$R$902&lt;&gt;"",ROW($R$3:$R$902)-MIN(ROW($R$3:$R$902))+1),ROWS($3:605))),"")</f>
        <v>#NUM!</v>
      </c>
      <c r="W605" s="157" t="e">
        <f>IF(INDEX('Logical Group Generator'!W:W,MATCH(U605,'Logical Group Generator'!B:B,0))="REGISTER","REGISTER","BIT")</f>
        <v>#NUM!</v>
      </c>
    </row>
    <row r="606" spans="2:23">
      <c r="B606" s="157" t="str">
        <f>IF(ISERROR(T607),"",CONCATENATE(IF(W607="BIT",$M$2,$M$1),U607,$M$3,BIN2HEX(IF(W607="BIT",INDEX('Logical Group Generator'!H:H,'Script Generator'!T607),INDEX('Logical Group Generator'!L:L,'Script Generator'!T607)),2),IF(ISERROR(T608),$M$5,$M$4)))</f>
        <v/>
      </c>
      <c r="D606" s="215"/>
      <c r="R606" s="215" t="str">
        <f>IF('Logical Group Generator'!W606="FALSE","",IF('Logical Group Generator'!B606="OTP_RSVD_38_03","",'Logical Group Generator'!B606))</f>
        <v/>
      </c>
      <c r="T606" s="157" t="e">
        <f>MATCH(U606,'Logical Group Generator'!B:B,0)</f>
        <v>#NUM!</v>
      </c>
      <c r="U606" s="157" t="e">
        <f t="array" ref="U606">IF(ROWS($3:606)&lt;=COUNTA($R$3:$R$902),INDEX($R$3:$R$902,SMALL(IF($R$3:$R$902&lt;&gt;"",ROW($R$3:$R$902)-MIN(ROW($R$3:$R$902))+1),ROWS($3:606))),"")</f>
        <v>#NUM!</v>
      </c>
      <c r="W606" s="157" t="e">
        <f>IF(INDEX('Logical Group Generator'!W:W,MATCH(U606,'Logical Group Generator'!B:B,0))="REGISTER","REGISTER","BIT")</f>
        <v>#NUM!</v>
      </c>
    </row>
    <row r="607" spans="2:23">
      <c r="B607" s="157" t="str">
        <f>IF(ISERROR(T608),"",CONCATENATE(IF(W608="BIT",$M$2,$M$1),U608,$M$3,BIN2HEX(IF(W608="BIT",INDEX('Logical Group Generator'!H:H,'Script Generator'!T608),INDEX('Logical Group Generator'!L:L,'Script Generator'!T608)),2),IF(ISERROR(T609),$M$5,$M$4)))</f>
        <v/>
      </c>
      <c r="D607" s="215"/>
      <c r="R607" s="215" t="str">
        <f>IF('Logical Group Generator'!W607="FALSE","",IF('Logical Group Generator'!B607="OTP_RSVD_38_03","",'Logical Group Generator'!B607))</f>
        <v/>
      </c>
      <c r="T607" s="157" t="e">
        <f>MATCH(U607,'Logical Group Generator'!B:B,0)</f>
        <v>#NUM!</v>
      </c>
      <c r="U607" s="157" t="e">
        <f t="array" ref="U607">IF(ROWS($3:607)&lt;=COUNTA($R$3:$R$902),INDEX($R$3:$R$902,SMALL(IF($R$3:$R$902&lt;&gt;"",ROW($R$3:$R$902)-MIN(ROW($R$3:$R$902))+1),ROWS($3:607))),"")</f>
        <v>#NUM!</v>
      </c>
      <c r="W607" s="157" t="e">
        <f>IF(INDEX('Logical Group Generator'!W:W,MATCH(U607,'Logical Group Generator'!B:B,0))="REGISTER","REGISTER","BIT")</f>
        <v>#NUM!</v>
      </c>
    </row>
    <row r="608" spans="2:23">
      <c r="B608" s="157" t="str">
        <f>IF(ISERROR(T609),"",CONCATENATE(IF(W609="BIT",$M$2,$M$1),U609,$M$3,BIN2HEX(IF(W609="BIT",INDEX('Logical Group Generator'!H:H,'Script Generator'!T609),INDEX('Logical Group Generator'!L:L,'Script Generator'!T609)),2),IF(ISERROR(T610),$M$5,$M$4)))</f>
        <v/>
      </c>
      <c r="D608" s="215"/>
      <c r="R608" s="215" t="str">
        <f>IF('Logical Group Generator'!W608="FALSE","",IF('Logical Group Generator'!B608="OTP_RSVD_38_03","",'Logical Group Generator'!B608))</f>
        <v/>
      </c>
      <c r="T608" s="157" t="e">
        <f>MATCH(U608,'Logical Group Generator'!B:B,0)</f>
        <v>#NUM!</v>
      </c>
      <c r="U608" s="157" t="e">
        <f t="array" ref="U608">IF(ROWS($3:608)&lt;=COUNTA($R$3:$R$902),INDEX($R$3:$R$902,SMALL(IF($R$3:$R$902&lt;&gt;"",ROW($R$3:$R$902)-MIN(ROW($R$3:$R$902))+1),ROWS($3:608))),"")</f>
        <v>#NUM!</v>
      </c>
      <c r="W608" s="157" t="e">
        <f>IF(INDEX('Logical Group Generator'!W:W,MATCH(U608,'Logical Group Generator'!B:B,0))="REGISTER","REGISTER","BIT")</f>
        <v>#NUM!</v>
      </c>
    </row>
    <row r="609" spans="2:23">
      <c r="B609" s="157" t="str">
        <f>IF(ISERROR(T610),"",CONCATENATE(IF(W610="BIT",$M$2,$M$1),U610,$M$3,BIN2HEX(IF(W610="BIT",INDEX('Logical Group Generator'!H:H,'Script Generator'!T610),INDEX('Logical Group Generator'!L:L,'Script Generator'!T610)),2),IF(ISERROR(T611),$M$5,$M$4)))</f>
        <v/>
      </c>
      <c r="D609" s="215"/>
      <c r="R609" s="215" t="str">
        <f>IF('Logical Group Generator'!W609="FALSE","",IF('Logical Group Generator'!B609="OTP_RSVD_38_03","",'Logical Group Generator'!B609))</f>
        <v/>
      </c>
      <c r="T609" s="157" t="e">
        <f>MATCH(U609,'Logical Group Generator'!B:B,0)</f>
        <v>#NUM!</v>
      </c>
      <c r="U609" s="157" t="e">
        <f t="array" ref="U609">IF(ROWS($3:609)&lt;=COUNTA($R$3:$R$902),INDEX($R$3:$R$902,SMALL(IF($R$3:$R$902&lt;&gt;"",ROW($R$3:$R$902)-MIN(ROW($R$3:$R$902))+1),ROWS($3:609))),"")</f>
        <v>#NUM!</v>
      </c>
      <c r="W609" s="157" t="e">
        <f>IF(INDEX('Logical Group Generator'!W:W,MATCH(U609,'Logical Group Generator'!B:B,0))="REGISTER","REGISTER","BIT")</f>
        <v>#NUM!</v>
      </c>
    </row>
    <row r="610" spans="2:23">
      <c r="B610" s="157" t="str">
        <f>IF(ISERROR(T611),"",CONCATENATE(IF(W611="BIT",$M$2,$M$1),U611,$M$3,BIN2HEX(IF(W611="BIT",INDEX('Logical Group Generator'!H:H,'Script Generator'!T611),INDEX('Logical Group Generator'!L:L,'Script Generator'!T611)),2),IF(ISERROR(T612),$M$5,$M$4)))</f>
        <v/>
      </c>
      <c r="D610" s="215"/>
      <c r="R610" s="215" t="str">
        <f>IF('Logical Group Generator'!W610="FALSE","",IF('Logical Group Generator'!B610="OTP_RSVD_38_03","",'Logical Group Generator'!B610))</f>
        <v/>
      </c>
      <c r="T610" s="157" t="e">
        <f>MATCH(U610,'Logical Group Generator'!B:B,0)</f>
        <v>#NUM!</v>
      </c>
      <c r="U610" s="157" t="e">
        <f t="array" ref="U610">IF(ROWS($3:610)&lt;=COUNTA($R$3:$R$902),INDEX($R$3:$R$902,SMALL(IF($R$3:$R$902&lt;&gt;"",ROW($R$3:$R$902)-MIN(ROW($R$3:$R$902))+1),ROWS($3:610))),"")</f>
        <v>#NUM!</v>
      </c>
      <c r="W610" s="157" t="e">
        <f>IF(INDEX('Logical Group Generator'!W:W,MATCH(U610,'Logical Group Generator'!B:B,0))="REGISTER","REGISTER","BIT")</f>
        <v>#NUM!</v>
      </c>
    </row>
    <row r="611" spans="2:23">
      <c r="B611" s="157" t="str">
        <f>IF(ISERROR(T612),"",CONCATENATE(IF(W612="BIT",$M$2,$M$1),U612,$M$3,BIN2HEX(IF(W612="BIT",INDEX('Logical Group Generator'!H:H,'Script Generator'!T612),INDEX('Logical Group Generator'!L:L,'Script Generator'!T612)),2),IF(ISERROR(T613),$M$5,$M$4)))</f>
        <v/>
      </c>
      <c r="D611" s="215"/>
      <c r="R611" s="215" t="str">
        <f>IF('Logical Group Generator'!W611="FALSE","",IF('Logical Group Generator'!B611="OTP_RSVD_38_03","",'Logical Group Generator'!B611))</f>
        <v/>
      </c>
      <c r="T611" s="157" t="e">
        <f>MATCH(U611,'Logical Group Generator'!B:B,0)</f>
        <v>#NUM!</v>
      </c>
      <c r="U611" s="157" t="e">
        <f t="array" ref="U611">IF(ROWS($3:611)&lt;=COUNTA($R$3:$R$902),INDEX($R$3:$R$902,SMALL(IF($R$3:$R$902&lt;&gt;"",ROW($R$3:$R$902)-MIN(ROW($R$3:$R$902))+1),ROWS($3:611))),"")</f>
        <v>#NUM!</v>
      </c>
      <c r="W611" s="157" t="e">
        <f>IF(INDEX('Logical Group Generator'!W:W,MATCH(U611,'Logical Group Generator'!B:B,0))="REGISTER","REGISTER","BIT")</f>
        <v>#NUM!</v>
      </c>
    </row>
    <row r="612" spans="2:23">
      <c r="B612" s="157" t="str">
        <f>IF(ISERROR(T613),"",CONCATENATE(IF(W613="BIT",$M$2,$M$1),U613,$M$3,BIN2HEX(IF(W613="BIT",INDEX('Logical Group Generator'!H:H,'Script Generator'!T613),INDEX('Logical Group Generator'!L:L,'Script Generator'!T613)),2),IF(ISERROR(T614),$M$5,$M$4)))</f>
        <v/>
      </c>
      <c r="D612" s="215"/>
      <c r="R612" s="215" t="str">
        <f>IF('Logical Group Generator'!W612="FALSE","",IF('Logical Group Generator'!B612="OTP_RSVD_38_03","",'Logical Group Generator'!B612))</f>
        <v/>
      </c>
      <c r="T612" s="157" t="e">
        <f>MATCH(U612,'Logical Group Generator'!B:B,0)</f>
        <v>#NUM!</v>
      </c>
      <c r="U612" s="157" t="e">
        <f t="array" ref="U612">IF(ROWS($3:612)&lt;=COUNTA($R$3:$R$902),INDEX($R$3:$R$902,SMALL(IF($R$3:$R$902&lt;&gt;"",ROW($R$3:$R$902)-MIN(ROW($R$3:$R$902))+1),ROWS($3:612))),"")</f>
        <v>#NUM!</v>
      </c>
      <c r="W612" s="157" t="e">
        <f>IF(INDEX('Logical Group Generator'!W:W,MATCH(U612,'Logical Group Generator'!B:B,0))="REGISTER","REGISTER","BIT")</f>
        <v>#NUM!</v>
      </c>
    </row>
    <row r="613" spans="2:23">
      <c r="B613" s="157" t="str">
        <f>IF(ISERROR(T614),"",CONCATENATE(IF(W614="BIT",$M$2,$M$1),U614,$M$3,BIN2HEX(IF(W614="BIT",INDEX('Logical Group Generator'!H:H,'Script Generator'!T614),INDEX('Logical Group Generator'!L:L,'Script Generator'!T614)),2),IF(ISERROR(T615),$M$5,$M$4)))</f>
        <v/>
      </c>
      <c r="D613" s="215"/>
      <c r="R613" s="215" t="str">
        <f>IF('Logical Group Generator'!W613="FALSE","",IF('Logical Group Generator'!B613="OTP_RSVD_38_03","",'Logical Group Generator'!B613))</f>
        <v/>
      </c>
      <c r="T613" s="157" t="e">
        <f>MATCH(U613,'Logical Group Generator'!B:B,0)</f>
        <v>#NUM!</v>
      </c>
      <c r="U613" s="157" t="e">
        <f t="array" ref="U613">IF(ROWS($3:613)&lt;=COUNTA($R$3:$R$902),INDEX($R$3:$R$902,SMALL(IF($R$3:$R$902&lt;&gt;"",ROW($R$3:$R$902)-MIN(ROW($R$3:$R$902))+1),ROWS($3:613))),"")</f>
        <v>#NUM!</v>
      </c>
      <c r="W613" s="157" t="e">
        <f>IF(INDEX('Logical Group Generator'!W:W,MATCH(U613,'Logical Group Generator'!B:B,0))="REGISTER","REGISTER","BIT")</f>
        <v>#NUM!</v>
      </c>
    </row>
    <row r="614" spans="2:23">
      <c r="B614" s="157" t="str">
        <f>IF(ISERROR(T615),"",CONCATENATE(IF(W615="BIT",$M$2,$M$1),U615,$M$3,BIN2HEX(IF(W615="BIT",INDEX('Logical Group Generator'!H:H,'Script Generator'!T615),INDEX('Logical Group Generator'!L:L,'Script Generator'!T615)),2),IF(ISERROR(T616),$M$5,$M$4)))</f>
        <v/>
      </c>
      <c r="D614" s="215"/>
      <c r="R614" s="215" t="str">
        <f>IF('Logical Group Generator'!W614="FALSE","",IF('Logical Group Generator'!B614="OTP_RSVD_38_03","",'Logical Group Generator'!B614))</f>
        <v/>
      </c>
      <c r="T614" s="157" t="e">
        <f>MATCH(U614,'Logical Group Generator'!B:B,0)</f>
        <v>#NUM!</v>
      </c>
      <c r="U614" s="157" t="e">
        <f t="array" ref="U614">IF(ROWS($3:614)&lt;=COUNTA($R$3:$R$902),INDEX($R$3:$R$902,SMALL(IF($R$3:$R$902&lt;&gt;"",ROW($R$3:$R$902)-MIN(ROW($R$3:$R$902))+1),ROWS($3:614))),"")</f>
        <v>#NUM!</v>
      </c>
      <c r="W614" s="157" t="e">
        <f>IF(INDEX('Logical Group Generator'!W:W,MATCH(U614,'Logical Group Generator'!B:B,0))="REGISTER","REGISTER","BIT")</f>
        <v>#NUM!</v>
      </c>
    </row>
    <row r="615" spans="2:23">
      <c r="B615" s="157" t="str">
        <f>IF(ISERROR(T616),"",CONCATENATE(IF(W616="BIT",$M$2,$M$1),U616,$M$3,BIN2HEX(IF(W616="BIT",INDEX('Logical Group Generator'!H:H,'Script Generator'!T616),INDEX('Logical Group Generator'!L:L,'Script Generator'!T616)),2),IF(ISERROR(T617),$M$5,$M$4)))</f>
        <v/>
      </c>
      <c r="D615" s="215"/>
      <c r="R615" s="215" t="str">
        <f>IF('Logical Group Generator'!W615="FALSE","",IF('Logical Group Generator'!B615="OTP_RSVD_38_03","",'Logical Group Generator'!B615))</f>
        <v/>
      </c>
      <c r="T615" s="157" t="e">
        <f>MATCH(U615,'Logical Group Generator'!B:B,0)</f>
        <v>#NUM!</v>
      </c>
      <c r="U615" s="157" t="e">
        <f t="array" ref="U615">IF(ROWS($3:615)&lt;=COUNTA($R$3:$R$902),INDEX($R$3:$R$902,SMALL(IF($R$3:$R$902&lt;&gt;"",ROW($R$3:$R$902)-MIN(ROW($R$3:$R$902))+1),ROWS($3:615))),"")</f>
        <v>#NUM!</v>
      </c>
      <c r="W615" s="157" t="e">
        <f>IF(INDEX('Logical Group Generator'!W:W,MATCH(U615,'Logical Group Generator'!B:B,0))="REGISTER","REGISTER","BIT")</f>
        <v>#NUM!</v>
      </c>
    </row>
    <row r="616" spans="2:23">
      <c r="B616" s="157" t="str">
        <f>IF(ISERROR(T617),"",CONCATENATE(IF(W617="BIT",$M$2,$M$1),U617,$M$3,BIN2HEX(IF(W617="BIT",INDEX('Logical Group Generator'!H:H,'Script Generator'!T617),INDEX('Logical Group Generator'!L:L,'Script Generator'!T617)),2),IF(ISERROR(T618),$M$5,$M$4)))</f>
        <v/>
      </c>
      <c r="D616" s="215"/>
      <c r="R616" s="215" t="str">
        <f>IF('Logical Group Generator'!W616="FALSE","",IF('Logical Group Generator'!B616="OTP_RSVD_38_03","",'Logical Group Generator'!B616))</f>
        <v/>
      </c>
      <c r="T616" s="157" t="e">
        <f>MATCH(U616,'Logical Group Generator'!B:B,0)</f>
        <v>#NUM!</v>
      </c>
      <c r="U616" s="157" t="e">
        <f t="array" ref="U616">IF(ROWS($3:616)&lt;=COUNTA($R$3:$R$902),INDEX($R$3:$R$902,SMALL(IF($R$3:$R$902&lt;&gt;"",ROW($R$3:$R$902)-MIN(ROW($R$3:$R$902))+1),ROWS($3:616))),"")</f>
        <v>#NUM!</v>
      </c>
      <c r="W616" s="157" t="e">
        <f>IF(INDEX('Logical Group Generator'!W:W,MATCH(U616,'Logical Group Generator'!B:B,0))="REGISTER","REGISTER","BIT")</f>
        <v>#NUM!</v>
      </c>
    </row>
    <row r="617" spans="2:23">
      <c r="B617" s="157" t="str">
        <f>IF(ISERROR(T618),"",CONCATENATE(IF(W618="BIT",$M$2,$M$1),U618,$M$3,BIN2HEX(IF(W618="BIT",INDEX('Logical Group Generator'!H:H,'Script Generator'!T618),INDEX('Logical Group Generator'!L:L,'Script Generator'!T618)),2),IF(ISERROR(T619),$M$5,$M$4)))</f>
        <v/>
      </c>
      <c r="D617" s="215"/>
      <c r="R617" s="215" t="str">
        <f>IF('Logical Group Generator'!W617="FALSE","",IF('Logical Group Generator'!B617="OTP_RSVD_38_03","",'Logical Group Generator'!B617))</f>
        <v/>
      </c>
      <c r="T617" s="157" t="e">
        <f>MATCH(U617,'Logical Group Generator'!B:B,0)</f>
        <v>#NUM!</v>
      </c>
      <c r="U617" s="157" t="e">
        <f t="array" ref="U617">IF(ROWS($3:617)&lt;=COUNTA($R$3:$R$902),INDEX($R$3:$R$902,SMALL(IF($R$3:$R$902&lt;&gt;"",ROW($R$3:$R$902)-MIN(ROW($R$3:$R$902))+1),ROWS($3:617))),"")</f>
        <v>#NUM!</v>
      </c>
      <c r="W617" s="157" t="e">
        <f>IF(INDEX('Logical Group Generator'!W:W,MATCH(U617,'Logical Group Generator'!B:B,0))="REGISTER","REGISTER","BIT")</f>
        <v>#NUM!</v>
      </c>
    </row>
    <row r="618" spans="2:23">
      <c r="B618" s="157" t="str">
        <f>IF(ISERROR(T619),"",CONCATENATE(IF(W619="BIT",$M$2,$M$1),U619,$M$3,BIN2HEX(IF(W619="BIT",INDEX('Logical Group Generator'!H:H,'Script Generator'!T619),INDEX('Logical Group Generator'!L:L,'Script Generator'!T619)),2),IF(ISERROR(T620),$M$5,$M$4)))</f>
        <v/>
      </c>
      <c r="D618" s="215"/>
      <c r="R618" s="215" t="str">
        <f>IF('Logical Group Generator'!W618="FALSE","",IF('Logical Group Generator'!B618="OTP_RSVD_38_03","",'Logical Group Generator'!B618))</f>
        <v/>
      </c>
      <c r="T618" s="157" t="e">
        <f>MATCH(U618,'Logical Group Generator'!B:B,0)</f>
        <v>#NUM!</v>
      </c>
      <c r="U618" s="157" t="e">
        <f t="array" ref="U618">IF(ROWS($3:618)&lt;=COUNTA($R$3:$R$902),INDEX($R$3:$R$902,SMALL(IF($R$3:$R$902&lt;&gt;"",ROW($R$3:$R$902)-MIN(ROW($R$3:$R$902))+1),ROWS($3:618))),"")</f>
        <v>#NUM!</v>
      </c>
      <c r="W618" s="157" t="e">
        <f>IF(INDEX('Logical Group Generator'!W:W,MATCH(U618,'Logical Group Generator'!B:B,0))="REGISTER","REGISTER","BIT")</f>
        <v>#NUM!</v>
      </c>
    </row>
    <row r="619" spans="2:23">
      <c r="B619" s="157" t="str">
        <f>IF(ISERROR(T620),"",CONCATENATE(IF(W620="BIT",$M$2,$M$1),U620,$M$3,BIN2HEX(IF(W620="BIT",INDEX('Logical Group Generator'!H:H,'Script Generator'!T620),INDEX('Logical Group Generator'!L:L,'Script Generator'!T620)),2),IF(ISERROR(T621),$M$5,$M$4)))</f>
        <v/>
      </c>
      <c r="D619" s="215"/>
      <c r="R619" s="215" t="str">
        <f>IF('Logical Group Generator'!W619="FALSE","",IF('Logical Group Generator'!B619="OTP_RSVD_38_03","",'Logical Group Generator'!B619))</f>
        <v/>
      </c>
      <c r="T619" s="157" t="e">
        <f>MATCH(U619,'Logical Group Generator'!B:B,0)</f>
        <v>#NUM!</v>
      </c>
      <c r="U619" s="157" t="e">
        <f t="array" ref="U619">IF(ROWS($3:619)&lt;=COUNTA($R$3:$R$902),INDEX($R$3:$R$902,SMALL(IF($R$3:$R$902&lt;&gt;"",ROW($R$3:$R$902)-MIN(ROW($R$3:$R$902))+1),ROWS($3:619))),"")</f>
        <v>#NUM!</v>
      </c>
      <c r="W619" s="157" t="e">
        <f>IF(INDEX('Logical Group Generator'!W:W,MATCH(U619,'Logical Group Generator'!B:B,0))="REGISTER","REGISTER","BIT")</f>
        <v>#NUM!</v>
      </c>
    </row>
    <row r="620" spans="2:23">
      <c r="B620" s="157" t="str">
        <f>IF(ISERROR(T621),"",CONCATENATE(IF(W621="BIT",$M$2,$M$1),U621,$M$3,BIN2HEX(IF(W621="BIT",INDEX('Logical Group Generator'!H:H,'Script Generator'!T621),INDEX('Logical Group Generator'!L:L,'Script Generator'!T621)),2),IF(ISERROR(T622),$M$5,$M$4)))</f>
        <v/>
      </c>
      <c r="D620" s="215"/>
      <c r="R620" s="215" t="str">
        <f>IF('Logical Group Generator'!W620="FALSE","",IF('Logical Group Generator'!B620="OTP_RSVD_38_03","",'Logical Group Generator'!B620))</f>
        <v>OTP_RSVD_38_3C</v>
      </c>
      <c r="T620" s="157" t="e">
        <f>MATCH(U620,'Logical Group Generator'!B:B,0)</f>
        <v>#NUM!</v>
      </c>
      <c r="U620" s="157" t="e">
        <f t="array" ref="U620">IF(ROWS($3:620)&lt;=COUNTA($R$3:$R$902),INDEX($R$3:$R$902,SMALL(IF($R$3:$R$902&lt;&gt;"",ROW($R$3:$R$902)-MIN(ROW($R$3:$R$902))+1),ROWS($3:620))),"")</f>
        <v>#NUM!</v>
      </c>
      <c r="W620" s="157" t="e">
        <f>IF(INDEX('Logical Group Generator'!W:W,MATCH(U620,'Logical Group Generator'!B:B,0))="REGISTER","REGISTER","BIT")</f>
        <v>#NUM!</v>
      </c>
    </row>
    <row r="621" spans="2:23">
      <c r="B621" s="157" t="str">
        <f>IF(ISERROR(T622),"",CONCATENATE(IF(W622="BIT",$M$2,$M$1),U622,$M$3,BIN2HEX(IF(W622="BIT",INDEX('Logical Group Generator'!H:H,'Script Generator'!T622),INDEX('Logical Group Generator'!L:L,'Script Generator'!T622)),2),IF(ISERROR(T623),$M$5,$M$4)))</f>
        <v/>
      </c>
      <c r="D621" s="215"/>
      <c r="R621" s="215" t="str">
        <f>IF('Logical Group Generator'!W621="FALSE","",IF('Logical Group Generator'!B621="OTP_RSVD_38_03","",'Logical Group Generator'!B621))</f>
        <v/>
      </c>
      <c r="T621" s="157" t="e">
        <f>MATCH(U621,'Logical Group Generator'!B:B,0)</f>
        <v>#NUM!</v>
      </c>
      <c r="U621" s="157" t="e">
        <f t="array" ref="U621">IF(ROWS($3:621)&lt;=COUNTA($R$3:$R$902),INDEX($R$3:$R$902,SMALL(IF($R$3:$R$902&lt;&gt;"",ROW($R$3:$R$902)-MIN(ROW($R$3:$R$902))+1),ROWS($3:621))),"")</f>
        <v>#NUM!</v>
      </c>
      <c r="W621" s="157" t="e">
        <f>IF(INDEX('Logical Group Generator'!W:W,MATCH(U621,'Logical Group Generator'!B:B,0))="REGISTER","REGISTER","BIT")</f>
        <v>#NUM!</v>
      </c>
    </row>
    <row r="622" spans="2:23">
      <c r="B622" s="157" t="str">
        <f>IF(ISERROR(T623),"",CONCATENATE(IF(W623="BIT",$M$2,$M$1),U623,$M$3,BIN2HEX(IF(W623="BIT",INDEX('Logical Group Generator'!H:H,'Script Generator'!T623),INDEX('Logical Group Generator'!L:L,'Script Generator'!T623)),2),IF(ISERROR(T624),$M$5,$M$4)))</f>
        <v/>
      </c>
      <c r="D622" s="215"/>
      <c r="R622" s="215" t="str">
        <f>IF('Logical Group Generator'!W622="FALSE","",IF('Logical Group Generator'!B622="OTP_RSVD_38_03","",'Logical Group Generator'!B622))</f>
        <v/>
      </c>
      <c r="T622" s="157" t="e">
        <f>MATCH(U622,'Logical Group Generator'!B:B,0)</f>
        <v>#NUM!</v>
      </c>
      <c r="U622" s="157" t="e">
        <f t="array" ref="U622">IF(ROWS($3:622)&lt;=COUNTA($R$3:$R$902),INDEX($R$3:$R$902,SMALL(IF($R$3:$R$902&lt;&gt;"",ROW($R$3:$R$902)-MIN(ROW($R$3:$R$902))+1),ROWS($3:622))),"")</f>
        <v>#NUM!</v>
      </c>
      <c r="W622" s="157" t="e">
        <f>IF(INDEX('Logical Group Generator'!W:W,MATCH(U622,'Logical Group Generator'!B:B,0))="REGISTER","REGISTER","BIT")</f>
        <v>#NUM!</v>
      </c>
    </row>
    <row r="623" spans="2:23">
      <c r="B623" s="157" t="str">
        <f>IF(ISERROR(T624),"",CONCATENATE(IF(W624="BIT",$M$2,$M$1),U624,$M$3,BIN2HEX(IF(W624="BIT",INDEX('Logical Group Generator'!H:H,'Script Generator'!T624),INDEX('Logical Group Generator'!L:L,'Script Generator'!T624)),2),IF(ISERROR(T625),$M$5,$M$4)))</f>
        <v/>
      </c>
      <c r="D623" s="215"/>
      <c r="R623" s="215" t="str">
        <f>IF('Logical Group Generator'!W623="FALSE","",IF('Logical Group Generator'!B623="OTP_RSVD_38_03","",'Logical Group Generator'!B623))</f>
        <v/>
      </c>
      <c r="T623" s="157" t="e">
        <f>MATCH(U623,'Logical Group Generator'!B:B,0)</f>
        <v>#NUM!</v>
      </c>
      <c r="U623" s="157" t="e">
        <f t="array" ref="U623">IF(ROWS($3:623)&lt;=COUNTA($R$3:$R$902),INDEX($R$3:$R$902,SMALL(IF($R$3:$R$902&lt;&gt;"",ROW($R$3:$R$902)-MIN(ROW($R$3:$R$902))+1),ROWS($3:623))),"")</f>
        <v>#NUM!</v>
      </c>
      <c r="W623" s="157" t="e">
        <f>IF(INDEX('Logical Group Generator'!W:W,MATCH(U623,'Logical Group Generator'!B:B,0))="REGISTER","REGISTER","BIT")</f>
        <v>#NUM!</v>
      </c>
    </row>
    <row r="624" spans="2:23">
      <c r="B624" s="157" t="str">
        <f>IF(ISERROR(T625),"",CONCATENATE(IF(W625="BIT",$M$2,$M$1),U625,$M$3,BIN2HEX(IF(W625="BIT",INDEX('Logical Group Generator'!H:H,'Script Generator'!T625),INDEX('Logical Group Generator'!L:L,'Script Generator'!T625)),2),IF(ISERROR(T626),$M$5,$M$4)))</f>
        <v/>
      </c>
      <c r="D624" s="215"/>
      <c r="R624" s="215" t="str">
        <f>IF('Logical Group Generator'!W624="FALSE","",IF('Logical Group Generator'!B624="OTP_RSVD_38_03","",'Logical Group Generator'!B624))</f>
        <v/>
      </c>
      <c r="T624" s="157" t="e">
        <f>MATCH(U624,'Logical Group Generator'!B:B,0)</f>
        <v>#NUM!</v>
      </c>
      <c r="U624" s="157" t="e">
        <f t="array" ref="U624">IF(ROWS($3:624)&lt;=COUNTA($R$3:$R$902),INDEX($R$3:$R$902,SMALL(IF($R$3:$R$902&lt;&gt;"",ROW($R$3:$R$902)-MIN(ROW($R$3:$R$902))+1),ROWS($3:624))),"")</f>
        <v>#NUM!</v>
      </c>
      <c r="W624" s="157" t="e">
        <f>IF(INDEX('Logical Group Generator'!W:W,MATCH(U624,'Logical Group Generator'!B:B,0))="REGISTER","REGISTER","BIT")</f>
        <v>#NUM!</v>
      </c>
    </row>
    <row r="625" spans="2:23">
      <c r="B625" s="157" t="str">
        <f>IF(ISERROR(T626),"",CONCATENATE(IF(W626="BIT",$M$2,$M$1),U626,$M$3,BIN2HEX(IF(W626="BIT",INDEX('Logical Group Generator'!H:H,'Script Generator'!T626),INDEX('Logical Group Generator'!L:L,'Script Generator'!T626)),2),IF(ISERROR(T627),$M$5,$M$4)))</f>
        <v/>
      </c>
      <c r="D625" s="215"/>
      <c r="R625" s="215" t="str">
        <f>IF('Logical Group Generator'!W625="FALSE","",IF('Logical Group Generator'!B625="OTP_RSVD_38_03","",'Logical Group Generator'!B625))</f>
        <v/>
      </c>
      <c r="T625" s="157" t="e">
        <f>MATCH(U625,'Logical Group Generator'!B:B,0)</f>
        <v>#NUM!</v>
      </c>
      <c r="U625" s="157" t="e">
        <f t="array" ref="U625">IF(ROWS($3:625)&lt;=COUNTA($R$3:$R$902),INDEX($R$3:$R$902,SMALL(IF($R$3:$R$902&lt;&gt;"",ROW($R$3:$R$902)-MIN(ROW($R$3:$R$902))+1),ROWS($3:625))),"")</f>
        <v>#NUM!</v>
      </c>
      <c r="W625" s="157" t="e">
        <f>IF(INDEX('Logical Group Generator'!W:W,MATCH(U625,'Logical Group Generator'!B:B,0))="REGISTER","REGISTER","BIT")</f>
        <v>#NUM!</v>
      </c>
    </row>
    <row r="626" spans="2:23">
      <c r="B626" s="157" t="str">
        <f>IF(ISERROR(T627),"",CONCATENATE(IF(W627="BIT",$M$2,$M$1),U627,$M$3,BIN2HEX(IF(W627="BIT",INDEX('Logical Group Generator'!H:H,'Script Generator'!T627),INDEX('Logical Group Generator'!L:L,'Script Generator'!T627)),2),IF(ISERROR(T628),$M$5,$M$4)))</f>
        <v/>
      </c>
      <c r="D626" s="215"/>
      <c r="R626" s="215" t="str">
        <f>IF('Logical Group Generator'!W626="FALSE","",IF('Logical Group Generator'!B626="OTP_RSVD_38_03","",'Logical Group Generator'!B626))</f>
        <v/>
      </c>
      <c r="T626" s="157" t="e">
        <f>MATCH(U626,'Logical Group Generator'!B:B,0)</f>
        <v>#NUM!</v>
      </c>
      <c r="U626" s="157" t="e">
        <f t="array" ref="U626">IF(ROWS($3:626)&lt;=COUNTA($R$3:$R$902),INDEX($R$3:$R$902,SMALL(IF($R$3:$R$902&lt;&gt;"",ROW($R$3:$R$902)-MIN(ROW($R$3:$R$902))+1),ROWS($3:626))),"")</f>
        <v>#NUM!</v>
      </c>
      <c r="W626" s="157" t="e">
        <f>IF(INDEX('Logical Group Generator'!W:W,MATCH(U626,'Logical Group Generator'!B:B,0))="REGISTER","REGISTER","BIT")</f>
        <v>#NUM!</v>
      </c>
    </row>
    <row r="627" spans="2:23">
      <c r="B627" s="157" t="str">
        <f>IF(ISERROR(T628),"",CONCATENATE(IF(W628="BIT",$M$2,$M$1),U628,$M$3,BIN2HEX(IF(W628="BIT",INDEX('Logical Group Generator'!H:H,'Script Generator'!T628),INDEX('Logical Group Generator'!L:L,'Script Generator'!T628)),2),IF(ISERROR(T629),$M$5,$M$4)))</f>
        <v/>
      </c>
      <c r="D627" s="215"/>
      <c r="R627" s="215" t="str">
        <f>IF('Logical Group Generator'!W627="FALSE","",IF('Logical Group Generator'!B627="OTP_RSVD_38_03","",'Logical Group Generator'!B627))</f>
        <v/>
      </c>
      <c r="T627" s="157" t="e">
        <f>MATCH(U627,'Logical Group Generator'!B:B,0)</f>
        <v>#NUM!</v>
      </c>
      <c r="U627" s="157" t="e">
        <f t="array" ref="U627">IF(ROWS($3:627)&lt;=COUNTA($R$3:$R$902),INDEX($R$3:$R$902,SMALL(IF($R$3:$R$902&lt;&gt;"",ROW($R$3:$R$902)-MIN(ROW($R$3:$R$902))+1),ROWS($3:627))),"")</f>
        <v>#NUM!</v>
      </c>
      <c r="W627" s="157" t="e">
        <f>IF(INDEX('Logical Group Generator'!W:W,MATCH(U627,'Logical Group Generator'!B:B,0))="REGISTER","REGISTER","BIT")</f>
        <v>#NUM!</v>
      </c>
    </row>
    <row r="628" spans="2:23">
      <c r="B628" s="157" t="str">
        <f>IF(ISERROR(T629),"",CONCATENATE(IF(W629="BIT",$M$2,$M$1),U629,$M$3,BIN2HEX(IF(W629="BIT",INDEX('Logical Group Generator'!H:H,'Script Generator'!T629),INDEX('Logical Group Generator'!L:L,'Script Generator'!T629)),2),IF(ISERROR(T630),$M$5,$M$4)))</f>
        <v/>
      </c>
      <c r="D628" s="215"/>
      <c r="R628" s="215" t="str">
        <f>IF('Logical Group Generator'!W628="FALSE","",IF('Logical Group Generator'!B628="OTP_RSVD_38_03","",'Logical Group Generator'!B628))</f>
        <v/>
      </c>
      <c r="T628" s="157" t="e">
        <f>MATCH(U628,'Logical Group Generator'!B:B,0)</f>
        <v>#NUM!</v>
      </c>
      <c r="U628" s="157" t="e">
        <f t="array" ref="U628">IF(ROWS($3:628)&lt;=COUNTA($R$3:$R$902),INDEX($R$3:$R$902,SMALL(IF($R$3:$R$902&lt;&gt;"",ROW($R$3:$R$902)-MIN(ROW($R$3:$R$902))+1),ROWS($3:628))),"")</f>
        <v>#NUM!</v>
      </c>
      <c r="W628" s="157" t="e">
        <f>IF(INDEX('Logical Group Generator'!W:W,MATCH(U628,'Logical Group Generator'!B:B,0))="REGISTER","REGISTER","BIT")</f>
        <v>#NUM!</v>
      </c>
    </row>
    <row r="629" spans="2:23">
      <c r="B629" s="157" t="str">
        <f>IF(ISERROR(T630),"",CONCATENATE(IF(W630="BIT",$M$2,$M$1),U630,$M$3,BIN2HEX(IF(W630="BIT",INDEX('Logical Group Generator'!H:H,'Script Generator'!T630),INDEX('Logical Group Generator'!L:L,'Script Generator'!T630)),2),IF(ISERROR(T631),$M$5,$M$4)))</f>
        <v/>
      </c>
      <c r="D629" s="215"/>
      <c r="R629" s="215" t="str">
        <f>IF('Logical Group Generator'!W629="FALSE","",IF('Logical Group Generator'!B629="OTP_RSVD_38_03","",'Logical Group Generator'!B629))</f>
        <v/>
      </c>
      <c r="T629" s="157" t="e">
        <f>MATCH(U629,'Logical Group Generator'!B:B,0)</f>
        <v>#NUM!</v>
      </c>
      <c r="U629" s="157" t="e">
        <f t="array" ref="U629">IF(ROWS($3:629)&lt;=COUNTA($R$3:$R$902),INDEX($R$3:$R$902,SMALL(IF($R$3:$R$902&lt;&gt;"",ROW($R$3:$R$902)-MIN(ROW($R$3:$R$902))+1),ROWS($3:629))),"")</f>
        <v>#NUM!</v>
      </c>
      <c r="W629" s="157" t="e">
        <f>IF(INDEX('Logical Group Generator'!W:W,MATCH(U629,'Logical Group Generator'!B:B,0))="REGISTER","REGISTER","BIT")</f>
        <v>#NUM!</v>
      </c>
    </row>
    <row r="630" spans="2:23">
      <c r="B630" s="157" t="str">
        <f>IF(ISERROR(T631),"",CONCATENATE(IF(W631="BIT",$M$2,$M$1),U631,$M$3,BIN2HEX(IF(W631="BIT",INDEX('Logical Group Generator'!H:H,'Script Generator'!T631),INDEX('Logical Group Generator'!L:L,'Script Generator'!T631)),2),IF(ISERROR(T632),$M$5,$M$4)))</f>
        <v/>
      </c>
      <c r="D630" s="215"/>
      <c r="R630" s="215" t="str">
        <f>IF('Logical Group Generator'!W630="FALSE","",IF('Logical Group Generator'!B630="OTP_RSVD_38_03","",'Logical Group Generator'!B630))</f>
        <v/>
      </c>
      <c r="T630" s="157" t="e">
        <f>MATCH(U630,'Logical Group Generator'!B:B,0)</f>
        <v>#NUM!</v>
      </c>
      <c r="U630" s="157" t="e">
        <f t="array" ref="U630">IF(ROWS($3:630)&lt;=COUNTA($R$3:$R$902),INDEX($R$3:$R$902,SMALL(IF($R$3:$R$902&lt;&gt;"",ROW($R$3:$R$902)-MIN(ROW($R$3:$R$902))+1),ROWS($3:630))),"")</f>
        <v>#NUM!</v>
      </c>
      <c r="W630" s="157" t="e">
        <f>IF(INDEX('Logical Group Generator'!W:W,MATCH(U630,'Logical Group Generator'!B:B,0))="REGISTER","REGISTER","BIT")</f>
        <v>#NUM!</v>
      </c>
    </row>
    <row r="631" spans="2:23">
      <c r="B631" s="157" t="str">
        <f>IF(ISERROR(T632),"",CONCATENATE(IF(W632="BIT",$M$2,$M$1),U632,$M$3,BIN2HEX(IF(W632="BIT",INDEX('Logical Group Generator'!H:H,'Script Generator'!T632),INDEX('Logical Group Generator'!L:L,'Script Generator'!T632)),2),IF(ISERROR(T633),$M$5,$M$4)))</f>
        <v/>
      </c>
      <c r="D631" s="215"/>
      <c r="R631" s="215" t="str">
        <f>IF('Logical Group Generator'!W631="FALSE","",IF('Logical Group Generator'!B631="OTP_RSVD_38_03","",'Logical Group Generator'!B631))</f>
        <v/>
      </c>
      <c r="T631" s="157" t="e">
        <f>MATCH(U631,'Logical Group Generator'!B:B,0)</f>
        <v>#NUM!</v>
      </c>
      <c r="U631" s="157" t="e">
        <f t="array" ref="U631">IF(ROWS($3:631)&lt;=COUNTA($R$3:$R$902),INDEX($R$3:$R$902,SMALL(IF($R$3:$R$902&lt;&gt;"",ROW($R$3:$R$902)-MIN(ROW($R$3:$R$902))+1),ROWS($3:631))),"")</f>
        <v>#NUM!</v>
      </c>
      <c r="W631" s="157" t="e">
        <f>IF(INDEX('Logical Group Generator'!W:W,MATCH(U631,'Logical Group Generator'!B:B,0))="REGISTER","REGISTER","BIT")</f>
        <v>#NUM!</v>
      </c>
    </row>
    <row r="632" spans="2:23">
      <c r="B632" s="157" t="str">
        <f>IF(ISERROR(T633),"",CONCATENATE(IF(W633="BIT",$M$2,$M$1),U633,$M$3,BIN2HEX(IF(W633="BIT",INDEX('Logical Group Generator'!H:H,'Script Generator'!T633),INDEX('Logical Group Generator'!L:L,'Script Generator'!T633)),2),IF(ISERROR(T634),$M$5,$M$4)))</f>
        <v/>
      </c>
      <c r="D632" s="215"/>
      <c r="R632" s="215" t="str">
        <f>IF('Logical Group Generator'!W632="FALSE","",IF('Logical Group Generator'!B632="OTP_RSVD_38_03","",'Logical Group Generator'!B632))</f>
        <v/>
      </c>
      <c r="T632" s="157" t="e">
        <f>MATCH(U632,'Logical Group Generator'!B:B,0)</f>
        <v>#NUM!</v>
      </c>
      <c r="U632" s="157" t="e">
        <f t="array" ref="U632">IF(ROWS($3:632)&lt;=COUNTA($R$3:$R$902),INDEX($R$3:$R$902,SMALL(IF($R$3:$R$902&lt;&gt;"",ROW($R$3:$R$902)-MIN(ROW($R$3:$R$902))+1),ROWS($3:632))),"")</f>
        <v>#NUM!</v>
      </c>
      <c r="W632" s="157" t="e">
        <f>IF(INDEX('Logical Group Generator'!W:W,MATCH(U632,'Logical Group Generator'!B:B,0))="REGISTER","REGISTER","BIT")</f>
        <v>#NUM!</v>
      </c>
    </row>
    <row r="633" spans="2:23">
      <c r="B633" s="157" t="str">
        <f>IF(ISERROR(T634),"",CONCATENATE(IF(W634="BIT",$M$2,$M$1),U634,$M$3,BIN2HEX(IF(W634="BIT",INDEX('Logical Group Generator'!H:H,'Script Generator'!T634),INDEX('Logical Group Generator'!L:L,'Script Generator'!T634)),2),IF(ISERROR(T635),$M$5,$M$4)))</f>
        <v/>
      </c>
      <c r="D633" s="215"/>
      <c r="R633" s="215" t="str">
        <f>IF('Logical Group Generator'!W633="FALSE","",IF('Logical Group Generator'!B633="OTP_RSVD_38_03","",'Logical Group Generator'!B633))</f>
        <v/>
      </c>
      <c r="T633" s="157" t="e">
        <f>MATCH(U633,'Logical Group Generator'!B:B,0)</f>
        <v>#NUM!</v>
      </c>
      <c r="U633" s="157" t="e">
        <f t="array" ref="U633">IF(ROWS($3:633)&lt;=COUNTA($R$3:$R$902),INDEX($R$3:$R$902,SMALL(IF($R$3:$R$902&lt;&gt;"",ROW($R$3:$R$902)-MIN(ROW($R$3:$R$902))+1),ROWS($3:633))),"")</f>
        <v>#NUM!</v>
      </c>
      <c r="W633" s="157" t="e">
        <f>IF(INDEX('Logical Group Generator'!W:W,MATCH(U633,'Logical Group Generator'!B:B,0))="REGISTER","REGISTER","BIT")</f>
        <v>#NUM!</v>
      </c>
    </row>
    <row r="634" spans="2:23">
      <c r="B634" s="157" t="str">
        <f>IF(ISERROR(T635),"",CONCATENATE(IF(W635="BIT",$M$2,$M$1),U635,$M$3,BIN2HEX(IF(W635="BIT",INDEX('Logical Group Generator'!H:H,'Script Generator'!T635),INDEX('Logical Group Generator'!L:L,'Script Generator'!T635)),2),IF(ISERROR(T636),$M$5,$M$4)))</f>
        <v/>
      </c>
      <c r="D634" s="215"/>
      <c r="R634" s="215" t="str">
        <f>IF('Logical Group Generator'!W634="FALSE","",IF('Logical Group Generator'!B634="OTP_RSVD_38_03","",'Logical Group Generator'!B634))</f>
        <v>OTP_RSVD_38_44</v>
      </c>
      <c r="T634" s="157" t="e">
        <f>MATCH(U634,'Logical Group Generator'!B:B,0)</f>
        <v>#NUM!</v>
      </c>
      <c r="U634" s="157" t="e">
        <f t="array" ref="U634">IF(ROWS($3:634)&lt;=COUNTA($R$3:$R$902),INDEX($R$3:$R$902,SMALL(IF($R$3:$R$902&lt;&gt;"",ROW($R$3:$R$902)-MIN(ROW($R$3:$R$902))+1),ROWS($3:634))),"")</f>
        <v>#NUM!</v>
      </c>
      <c r="W634" s="157" t="e">
        <f>IF(INDEX('Logical Group Generator'!W:W,MATCH(U634,'Logical Group Generator'!B:B,0))="REGISTER","REGISTER","BIT")</f>
        <v>#NUM!</v>
      </c>
    </row>
    <row r="635" spans="2:23">
      <c r="B635" s="157" t="str">
        <f>IF(ISERROR(T636),"",CONCATENATE(IF(W636="BIT",$M$2,$M$1),U636,$M$3,BIN2HEX(IF(W636="BIT",INDEX('Logical Group Generator'!H:H,'Script Generator'!T636),INDEX('Logical Group Generator'!L:L,'Script Generator'!T636)),2),IF(ISERROR(T637),$M$5,$M$4)))</f>
        <v/>
      </c>
      <c r="D635" s="215"/>
      <c r="R635" s="215" t="str">
        <f>IF('Logical Group Generator'!W635="FALSE","",IF('Logical Group Generator'!B635="OTP_RSVD_38_03","",'Logical Group Generator'!B635))</f>
        <v/>
      </c>
      <c r="T635" s="157" t="e">
        <f>MATCH(U635,'Logical Group Generator'!B:B,0)</f>
        <v>#NUM!</v>
      </c>
      <c r="U635" s="157" t="e">
        <f t="array" ref="U635">IF(ROWS($3:635)&lt;=COUNTA($R$3:$R$902),INDEX($R$3:$R$902,SMALL(IF($R$3:$R$902&lt;&gt;"",ROW($R$3:$R$902)-MIN(ROW($R$3:$R$902))+1),ROWS($3:635))),"")</f>
        <v>#NUM!</v>
      </c>
      <c r="W635" s="157" t="e">
        <f>IF(INDEX('Logical Group Generator'!W:W,MATCH(U635,'Logical Group Generator'!B:B,0))="REGISTER","REGISTER","BIT")</f>
        <v>#NUM!</v>
      </c>
    </row>
    <row r="636" spans="2:23">
      <c r="B636" s="157" t="str">
        <f>IF(ISERROR(T637),"",CONCATENATE(IF(W637="BIT",$M$2,$M$1),U637,$M$3,BIN2HEX(IF(W637="BIT",INDEX('Logical Group Generator'!H:H,'Script Generator'!T637),INDEX('Logical Group Generator'!L:L,'Script Generator'!T637)),2),IF(ISERROR(T638),$M$5,$M$4)))</f>
        <v/>
      </c>
      <c r="D636" s="215"/>
      <c r="R636" s="215" t="str">
        <f>IF('Logical Group Generator'!W636="FALSE","",IF('Logical Group Generator'!B636="OTP_RSVD_38_03","",'Logical Group Generator'!B636))</f>
        <v/>
      </c>
      <c r="T636" s="157" t="e">
        <f>MATCH(U636,'Logical Group Generator'!B:B,0)</f>
        <v>#NUM!</v>
      </c>
      <c r="U636" s="157" t="e">
        <f t="array" ref="U636">IF(ROWS($3:636)&lt;=COUNTA($R$3:$R$902),INDEX($R$3:$R$902,SMALL(IF($R$3:$R$902&lt;&gt;"",ROW($R$3:$R$902)-MIN(ROW($R$3:$R$902))+1),ROWS($3:636))),"")</f>
        <v>#NUM!</v>
      </c>
      <c r="W636" s="157" t="e">
        <f>IF(INDEX('Logical Group Generator'!W:W,MATCH(U636,'Logical Group Generator'!B:B,0))="REGISTER","REGISTER","BIT")</f>
        <v>#NUM!</v>
      </c>
    </row>
    <row r="637" spans="2:23">
      <c r="B637" s="157" t="str">
        <f>IF(ISERROR(T638),"",CONCATENATE(IF(W638="BIT",$M$2,$M$1),U638,$M$3,BIN2HEX(IF(W638="BIT",INDEX('Logical Group Generator'!H:H,'Script Generator'!T638),INDEX('Logical Group Generator'!L:L,'Script Generator'!T638)),2),IF(ISERROR(T639),$M$5,$M$4)))</f>
        <v/>
      </c>
      <c r="D637" s="215"/>
      <c r="R637" s="215" t="str">
        <f>IF('Logical Group Generator'!W637="FALSE","",IF('Logical Group Generator'!B637="OTP_RSVD_38_03","",'Logical Group Generator'!B637))</f>
        <v/>
      </c>
      <c r="T637" s="157" t="e">
        <f>MATCH(U637,'Logical Group Generator'!B:B,0)</f>
        <v>#NUM!</v>
      </c>
      <c r="U637" s="157" t="e">
        <f t="array" ref="U637">IF(ROWS($3:637)&lt;=COUNTA($R$3:$R$902),INDEX($R$3:$R$902,SMALL(IF($R$3:$R$902&lt;&gt;"",ROW($R$3:$R$902)-MIN(ROW($R$3:$R$902))+1),ROWS($3:637))),"")</f>
        <v>#NUM!</v>
      </c>
      <c r="W637" s="157" t="e">
        <f>IF(INDEX('Logical Group Generator'!W:W,MATCH(U637,'Logical Group Generator'!B:B,0))="REGISTER","REGISTER","BIT")</f>
        <v>#NUM!</v>
      </c>
    </row>
    <row r="638" spans="2:23">
      <c r="B638" s="157" t="str">
        <f>IF(ISERROR(T639),"",CONCATENATE(IF(W639="BIT",$M$2,$M$1),U639,$M$3,BIN2HEX(IF(W639="BIT",INDEX('Logical Group Generator'!H:H,'Script Generator'!T639),INDEX('Logical Group Generator'!L:L,'Script Generator'!T639)),2),IF(ISERROR(T640),$M$5,$M$4)))</f>
        <v/>
      </c>
      <c r="D638" s="215"/>
      <c r="R638" s="215" t="str">
        <f>IF('Logical Group Generator'!W638="FALSE","",IF('Logical Group Generator'!B638="OTP_RSVD_38_03","",'Logical Group Generator'!B638))</f>
        <v/>
      </c>
      <c r="T638" s="157" t="e">
        <f>MATCH(U638,'Logical Group Generator'!B:B,0)</f>
        <v>#NUM!</v>
      </c>
      <c r="U638" s="157" t="e">
        <f t="array" ref="U638">IF(ROWS($3:638)&lt;=COUNTA($R$3:$R$902),INDEX($R$3:$R$902,SMALL(IF($R$3:$R$902&lt;&gt;"",ROW($R$3:$R$902)-MIN(ROW($R$3:$R$902))+1),ROWS($3:638))),"")</f>
        <v>#NUM!</v>
      </c>
      <c r="W638" s="157" t="e">
        <f>IF(INDEX('Logical Group Generator'!W:W,MATCH(U638,'Logical Group Generator'!B:B,0))="REGISTER","REGISTER","BIT")</f>
        <v>#NUM!</v>
      </c>
    </row>
    <row r="639" spans="2:23">
      <c r="B639" s="157" t="str">
        <f>IF(ISERROR(T640),"",CONCATENATE(IF(W640="BIT",$M$2,$M$1),U640,$M$3,BIN2HEX(IF(W640="BIT",INDEX('Logical Group Generator'!H:H,'Script Generator'!T640),INDEX('Logical Group Generator'!L:L,'Script Generator'!T640)),2),IF(ISERROR(T641),$M$5,$M$4)))</f>
        <v/>
      </c>
      <c r="D639" s="215"/>
      <c r="R639" s="215" t="str">
        <f>IF('Logical Group Generator'!W639="FALSE","",IF('Logical Group Generator'!B639="OTP_RSVD_38_03","",'Logical Group Generator'!B639))</f>
        <v/>
      </c>
      <c r="T639" s="157" t="e">
        <f>MATCH(U639,'Logical Group Generator'!B:B,0)</f>
        <v>#NUM!</v>
      </c>
      <c r="U639" s="157" t="e">
        <f t="array" ref="U639">IF(ROWS($3:639)&lt;=COUNTA($R$3:$R$902),INDEX($R$3:$R$902,SMALL(IF($R$3:$R$902&lt;&gt;"",ROW($R$3:$R$902)-MIN(ROW($R$3:$R$902))+1),ROWS($3:639))),"")</f>
        <v>#NUM!</v>
      </c>
      <c r="W639" s="157" t="e">
        <f>IF(INDEX('Logical Group Generator'!W:W,MATCH(U639,'Logical Group Generator'!B:B,0))="REGISTER","REGISTER","BIT")</f>
        <v>#NUM!</v>
      </c>
    </row>
    <row r="640" spans="2:23">
      <c r="B640" s="157" t="str">
        <f>IF(ISERROR(T641),"",CONCATENATE(IF(W641="BIT",$M$2,$M$1),U641,$M$3,BIN2HEX(IF(W641="BIT",INDEX('Logical Group Generator'!H:H,'Script Generator'!T641),INDEX('Logical Group Generator'!L:L,'Script Generator'!T641)),2),IF(ISERROR(T642),$M$5,$M$4)))</f>
        <v/>
      </c>
      <c r="D640" s="215"/>
      <c r="R640" s="215" t="str">
        <f>IF('Logical Group Generator'!W640="FALSE","",IF('Logical Group Generator'!B640="OTP_RSVD_38_03","",'Logical Group Generator'!B640))</f>
        <v/>
      </c>
      <c r="T640" s="157" t="e">
        <f>MATCH(U640,'Logical Group Generator'!B:B,0)</f>
        <v>#NUM!</v>
      </c>
      <c r="U640" s="157" t="e">
        <f t="array" ref="U640">IF(ROWS($3:640)&lt;=COUNTA($R$3:$R$902),INDEX($R$3:$R$902,SMALL(IF($R$3:$R$902&lt;&gt;"",ROW($R$3:$R$902)-MIN(ROW($R$3:$R$902))+1),ROWS($3:640))),"")</f>
        <v>#NUM!</v>
      </c>
      <c r="W640" s="157" t="e">
        <f>IF(INDEX('Logical Group Generator'!W:W,MATCH(U640,'Logical Group Generator'!B:B,0))="REGISTER","REGISTER","BIT")</f>
        <v>#NUM!</v>
      </c>
    </row>
    <row r="641" spans="2:23">
      <c r="B641" s="157" t="str">
        <f>IF(ISERROR(T642),"",CONCATENATE(IF(W642="BIT",$M$2,$M$1),U642,$M$3,BIN2HEX(IF(W642="BIT",INDEX('Logical Group Generator'!H:H,'Script Generator'!T642),INDEX('Logical Group Generator'!L:L,'Script Generator'!T642)),2),IF(ISERROR(T643),$M$5,$M$4)))</f>
        <v/>
      </c>
      <c r="D641" s="215"/>
      <c r="R641" s="215" t="str">
        <f>IF('Logical Group Generator'!W641="FALSE","",IF('Logical Group Generator'!B641="OTP_RSVD_38_03","",'Logical Group Generator'!B641))</f>
        <v/>
      </c>
      <c r="T641" s="157" t="e">
        <f>MATCH(U641,'Logical Group Generator'!B:B,0)</f>
        <v>#NUM!</v>
      </c>
      <c r="U641" s="157" t="e">
        <f t="array" ref="U641">IF(ROWS($3:641)&lt;=COUNTA($R$3:$R$902),INDEX($R$3:$R$902,SMALL(IF($R$3:$R$902&lt;&gt;"",ROW($R$3:$R$902)-MIN(ROW($R$3:$R$902))+1),ROWS($3:641))),"")</f>
        <v>#NUM!</v>
      </c>
      <c r="W641" s="157" t="e">
        <f>IF(INDEX('Logical Group Generator'!W:W,MATCH(U641,'Logical Group Generator'!B:B,0))="REGISTER","REGISTER","BIT")</f>
        <v>#NUM!</v>
      </c>
    </row>
    <row r="642" spans="2:23">
      <c r="B642" s="157" t="str">
        <f>IF(ISERROR(T643),"",CONCATENATE(IF(W643="BIT",$M$2,$M$1),U643,$M$3,BIN2HEX(IF(W643="BIT",INDEX('Logical Group Generator'!H:H,'Script Generator'!T643),INDEX('Logical Group Generator'!L:L,'Script Generator'!T643)),2),IF(ISERROR(T644),$M$5,$M$4)))</f>
        <v/>
      </c>
      <c r="D642" s="215"/>
      <c r="R642" s="215" t="str">
        <f>IF('Logical Group Generator'!W642="FALSE","",IF('Logical Group Generator'!B642="OTP_RSVD_38_03","",'Logical Group Generator'!B642))</f>
        <v/>
      </c>
      <c r="T642" s="157" t="e">
        <f>MATCH(U642,'Logical Group Generator'!B:B,0)</f>
        <v>#NUM!</v>
      </c>
      <c r="U642" s="157" t="e">
        <f t="array" ref="U642">IF(ROWS($3:642)&lt;=COUNTA($R$3:$R$902),INDEX($R$3:$R$902,SMALL(IF($R$3:$R$902&lt;&gt;"",ROW($R$3:$R$902)-MIN(ROW($R$3:$R$902))+1),ROWS($3:642))),"")</f>
        <v>#NUM!</v>
      </c>
      <c r="W642" s="157" t="e">
        <f>IF(INDEX('Logical Group Generator'!W:W,MATCH(U642,'Logical Group Generator'!B:B,0))="REGISTER","REGISTER","BIT")</f>
        <v>#NUM!</v>
      </c>
    </row>
    <row r="643" spans="2:23">
      <c r="B643" s="157" t="str">
        <f>IF(ISERROR(T644),"",CONCATENATE(IF(W644="BIT",$M$2,$M$1),U644,$M$3,BIN2HEX(IF(W644="BIT",INDEX('Logical Group Generator'!H:H,'Script Generator'!T644),INDEX('Logical Group Generator'!L:L,'Script Generator'!T644)),2),IF(ISERROR(T645),$M$5,$M$4)))</f>
        <v/>
      </c>
      <c r="D643" s="215"/>
      <c r="R643" s="215" t="str">
        <f>IF('Logical Group Generator'!W643="FALSE","",IF('Logical Group Generator'!B643="OTP_RSVD_38_03","",'Logical Group Generator'!B643))</f>
        <v/>
      </c>
      <c r="T643" s="157" t="e">
        <f>MATCH(U643,'Logical Group Generator'!B:B,0)</f>
        <v>#NUM!</v>
      </c>
      <c r="U643" s="157" t="e">
        <f t="array" ref="U643">IF(ROWS($3:643)&lt;=COUNTA($R$3:$R$902),INDEX($R$3:$R$902,SMALL(IF($R$3:$R$902&lt;&gt;"",ROW($R$3:$R$902)-MIN(ROW($R$3:$R$902))+1),ROWS($3:643))),"")</f>
        <v>#NUM!</v>
      </c>
      <c r="W643" s="157" t="e">
        <f>IF(INDEX('Logical Group Generator'!W:W,MATCH(U643,'Logical Group Generator'!B:B,0))="REGISTER","REGISTER","BIT")</f>
        <v>#NUM!</v>
      </c>
    </row>
    <row r="644" spans="2:23">
      <c r="B644" s="157" t="str">
        <f>IF(ISERROR(T645),"",CONCATENATE(IF(W645="BIT",$M$2,$M$1),U645,$M$3,BIN2HEX(IF(W645="BIT",INDEX('Logical Group Generator'!H:H,'Script Generator'!T645),INDEX('Logical Group Generator'!L:L,'Script Generator'!T645)),2),IF(ISERROR(T646),$M$5,$M$4)))</f>
        <v/>
      </c>
      <c r="D644" s="215"/>
      <c r="R644" s="215" t="str">
        <f>IF('Logical Group Generator'!W644="FALSE","",IF('Logical Group Generator'!B644="OTP_RSVD_38_03","",'Logical Group Generator'!B644))</f>
        <v/>
      </c>
      <c r="T644" s="157" t="e">
        <f>MATCH(U644,'Logical Group Generator'!B:B,0)</f>
        <v>#NUM!</v>
      </c>
      <c r="U644" s="157" t="e">
        <f t="array" ref="U644">IF(ROWS($3:644)&lt;=COUNTA($R$3:$R$902),INDEX($R$3:$R$902,SMALL(IF($R$3:$R$902&lt;&gt;"",ROW($R$3:$R$902)-MIN(ROW($R$3:$R$902))+1),ROWS($3:644))),"")</f>
        <v>#NUM!</v>
      </c>
      <c r="W644" s="157" t="e">
        <f>IF(INDEX('Logical Group Generator'!W:W,MATCH(U644,'Logical Group Generator'!B:B,0))="REGISTER","REGISTER","BIT")</f>
        <v>#NUM!</v>
      </c>
    </row>
    <row r="645" spans="2:23">
      <c r="B645" s="157" t="str">
        <f>IF(ISERROR(T646),"",CONCATENATE(IF(W646="BIT",$M$2,$M$1),U646,$M$3,BIN2HEX(IF(W646="BIT",INDEX('Logical Group Generator'!H:H,'Script Generator'!T646),INDEX('Logical Group Generator'!L:L,'Script Generator'!T646)),2),IF(ISERROR(T647),$M$5,$M$4)))</f>
        <v/>
      </c>
      <c r="D645" s="215"/>
      <c r="R645" s="215" t="str">
        <f>IF('Logical Group Generator'!W645="FALSE","",IF('Logical Group Generator'!B645="OTP_RSVD_38_03","",'Logical Group Generator'!B645))</f>
        <v/>
      </c>
      <c r="T645" s="157" t="e">
        <f>MATCH(U645,'Logical Group Generator'!B:B,0)</f>
        <v>#NUM!</v>
      </c>
      <c r="U645" s="157" t="e">
        <f t="array" ref="U645">IF(ROWS($3:645)&lt;=COUNTA($R$3:$R$902),INDEX($R$3:$R$902,SMALL(IF($R$3:$R$902&lt;&gt;"",ROW($R$3:$R$902)-MIN(ROW($R$3:$R$902))+1),ROWS($3:645))),"")</f>
        <v>#NUM!</v>
      </c>
      <c r="W645" s="157" t="e">
        <f>IF(INDEX('Logical Group Generator'!W:W,MATCH(U645,'Logical Group Generator'!B:B,0))="REGISTER","REGISTER","BIT")</f>
        <v>#NUM!</v>
      </c>
    </row>
    <row r="646" spans="2:23">
      <c r="B646" s="157" t="str">
        <f>IF(ISERROR(T647),"",CONCATENATE(IF(W647="BIT",$M$2,$M$1),U647,$M$3,BIN2HEX(IF(W647="BIT",INDEX('Logical Group Generator'!H:H,'Script Generator'!T647),INDEX('Logical Group Generator'!L:L,'Script Generator'!T647)),2),IF(ISERROR(T648),$M$5,$M$4)))</f>
        <v/>
      </c>
      <c r="D646" s="215"/>
      <c r="R646" s="215" t="str">
        <f>IF('Logical Group Generator'!W646="FALSE","",IF('Logical Group Generator'!B646="OTP_RSVD_38_03","",'Logical Group Generator'!B646))</f>
        <v/>
      </c>
      <c r="T646" s="157" t="e">
        <f>MATCH(U646,'Logical Group Generator'!B:B,0)</f>
        <v>#NUM!</v>
      </c>
      <c r="U646" s="157" t="e">
        <f t="array" ref="U646">IF(ROWS($3:646)&lt;=COUNTA($R$3:$R$902),INDEX($R$3:$R$902,SMALL(IF($R$3:$R$902&lt;&gt;"",ROW($R$3:$R$902)-MIN(ROW($R$3:$R$902))+1),ROWS($3:646))),"")</f>
        <v>#NUM!</v>
      </c>
      <c r="W646" s="157" t="e">
        <f>IF(INDEX('Logical Group Generator'!W:W,MATCH(U646,'Logical Group Generator'!B:B,0))="REGISTER","REGISTER","BIT")</f>
        <v>#NUM!</v>
      </c>
    </row>
    <row r="647" spans="2:23">
      <c r="B647" s="157" t="str">
        <f>IF(ISERROR(T648),"",CONCATENATE(IF(W648="BIT",$M$2,$M$1),U648,$M$3,BIN2HEX(IF(W648="BIT",INDEX('Logical Group Generator'!H:H,'Script Generator'!T648),INDEX('Logical Group Generator'!L:L,'Script Generator'!T648)),2),IF(ISERROR(T649),$M$5,$M$4)))</f>
        <v/>
      </c>
      <c r="D647" s="215"/>
      <c r="R647" s="215" t="str">
        <f>IF('Logical Group Generator'!W647="FALSE","",IF('Logical Group Generator'!B647="OTP_RSVD_38_03","",'Logical Group Generator'!B647))</f>
        <v/>
      </c>
      <c r="T647" s="157" t="e">
        <f>MATCH(U647,'Logical Group Generator'!B:B,0)</f>
        <v>#NUM!</v>
      </c>
      <c r="U647" s="157" t="e">
        <f t="array" ref="U647">IF(ROWS($3:647)&lt;=COUNTA($R$3:$R$902),INDEX($R$3:$R$902,SMALL(IF($R$3:$R$902&lt;&gt;"",ROW($R$3:$R$902)-MIN(ROW($R$3:$R$902))+1),ROWS($3:647))),"")</f>
        <v>#NUM!</v>
      </c>
      <c r="W647" s="157" t="e">
        <f>IF(INDEX('Logical Group Generator'!W:W,MATCH(U647,'Logical Group Generator'!B:B,0))="REGISTER","REGISTER","BIT")</f>
        <v>#NUM!</v>
      </c>
    </row>
    <row r="648" spans="2:23">
      <c r="B648" s="157" t="str">
        <f>IF(ISERROR(T649),"",CONCATENATE(IF(W649="BIT",$M$2,$M$1),U649,$M$3,BIN2HEX(IF(W649="BIT",INDEX('Logical Group Generator'!H:H,'Script Generator'!T649),INDEX('Logical Group Generator'!L:L,'Script Generator'!T649)),2),IF(ISERROR(T650),$M$5,$M$4)))</f>
        <v/>
      </c>
      <c r="D648" s="215"/>
      <c r="R648" s="215" t="str">
        <f>IF('Logical Group Generator'!W648="FALSE","",IF('Logical Group Generator'!B648="OTP_RSVD_38_03","",'Logical Group Generator'!B648))</f>
        <v/>
      </c>
      <c r="T648" s="157" t="e">
        <f>MATCH(U648,'Logical Group Generator'!B:B,0)</f>
        <v>#NUM!</v>
      </c>
      <c r="U648" s="157" t="e">
        <f t="array" ref="U648">IF(ROWS($3:648)&lt;=COUNTA($R$3:$R$902),INDEX($R$3:$R$902,SMALL(IF($R$3:$R$902&lt;&gt;"",ROW($R$3:$R$902)-MIN(ROW($R$3:$R$902))+1),ROWS($3:648))),"")</f>
        <v>#NUM!</v>
      </c>
      <c r="W648" s="157" t="e">
        <f>IF(INDEX('Logical Group Generator'!W:W,MATCH(U648,'Logical Group Generator'!B:B,0))="REGISTER","REGISTER","BIT")</f>
        <v>#NUM!</v>
      </c>
    </row>
    <row r="649" spans="2:23">
      <c r="B649" s="157" t="str">
        <f>IF(ISERROR(T650),"",CONCATENATE(IF(W650="BIT",$M$2,$M$1),U650,$M$3,BIN2HEX(IF(W650="BIT",INDEX('Logical Group Generator'!H:H,'Script Generator'!T650),INDEX('Logical Group Generator'!L:L,'Script Generator'!T650)),2),IF(ISERROR(T651),$M$5,$M$4)))</f>
        <v/>
      </c>
      <c r="D649" s="215"/>
      <c r="R649" s="215" t="str">
        <f>IF('Logical Group Generator'!W649="FALSE","",IF('Logical Group Generator'!B649="OTP_RSVD_38_03","",'Logical Group Generator'!B649))</f>
        <v/>
      </c>
      <c r="T649" s="157" t="e">
        <f>MATCH(U649,'Logical Group Generator'!B:B,0)</f>
        <v>#NUM!</v>
      </c>
      <c r="U649" s="157" t="e">
        <f t="array" ref="U649">IF(ROWS($3:649)&lt;=COUNTA($R$3:$R$902),INDEX($R$3:$R$902,SMALL(IF($R$3:$R$902&lt;&gt;"",ROW($R$3:$R$902)-MIN(ROW($R$3:$R$902))+1),ROWS($3:649))),"")</f>
        <v>#NUM!</v>
      </c>
      <c r="W649" s="157" t="e">
        <f>IF(INDEX('Logical Group Generator'!W:W,MATCH(U649,'Logical Group Generator'!B:B,0))="REGISTER","REGISTER","BIT")</f>
        <v>#NUM!</v>
      </c>
    </row>
    <row r="650" spans="2:23">
      <c r="B650" s="157" t="str">
        <f>IF(ISERROR(T651),"",CONCATENATE(IF(W651="BIT",$M$2,$M$1),U651,$M$3,BIN2HEX(IF(W651="BIT",INDEX('Logical Group Generator'!H:H,'Script Generator'!T651),INDEX('Logical Group Generator'!L:L,'Script Generator'!T651)),2),IF(ISERROR(T652),$M$5,$M$4)))</f>
        <v/>
      </c>
      <c r="D650" s="215"/>
      <c r="R650" s="215" t="str">
        <f>IF('Logical Group Generator'!W650="FALSE","",IF('Logical Group Generator'!B650="OTP_RSVD_38_03","",'Logical Group Generator'!B650))</f>
        <v/>
      </c>
      <c r="T650" s="157" t="e">
        <f>MATCH(U650,'Logical Group Generator'!B:B,0)</f>
        <v>#NUM!</v>
      </c>
      <c r="U650" s="157" t="e">
        <f t="array" ref="U650">IF(ROWS($3:650)&lt;=COUNTA($R$3:$R$902),INDEX($R$3:$R$902,SMALL(IF($R$3:$R$902&lt;&gt;"",ROW($R$3:$R$902)-MIN(ROW($R$3:$R$902))+1),ROWS($3:650))),"")</f>
        <v>#NUM!</v>
      </c>
      <c r="W650" s="157" t="e">
        <f>IF(INDEX('Logical Group Generator'!W:W,MATCH(U650,'Logical Group Generator'!B:B,0))="REGISTER","REGISTER","BIT")</f>
        <v>#NUM!</v>
      </c>
    </row>
    <row r="651" spans="2:23">
      <c r="B651" s="157" t="str">
        <f>IF(ISERROR(T652),"",CONCATENATE(IF(W652="BIT",$M$2,$M$1),U652,$M$3,BIN2HEX(IF(W652="BIT",INDEX('Logical Group Generator'!H:H,'Script Generator'!T652),INDEX('Logical Group Generator'!L:L,'Script Generator'!T652)),2),IF(ISERROR(T653),$M$5,$M$4)))</f>
        <v/>
      </c>
      <c r="D651" s="215"/>
      <c r="R651" s="215" t="str">
        <f>IF('Logical Group Generator'!W651="FALSE","",IF('Logical Group Generator'!B651="OTP_RSVD_38_03","",'Logical Group Generator'!B651))</f>
        <v/>
      </c>
      <c r="T651" s="157" t="e">
        <f>MATCH(U651,'Logical Group Generator'!B:B,0)</f>
        <v>#NUM!</v>
      </c>
      <c r="U651" s="157" t="e">
        <f t="array" ref="U651">IF(ROWS($3:651)&lt;=COUNTA($R$3:$R$902),INDEX($R$3:$R$902,SMALL(IF($R$3:$R$902&lt;&gt;"",ROW($R$3:$R$902)-MIN(ROW($R$3:$R$902))+1),ROWS($3:651))),"")</f>
        <v>#NUM!</v>
      </c>
      <c r="W651" s="157" t="e">
        <f>IF(INDEX('Logical Group Generator'!W:W,MATCH(U651,'Logical Group Generator'!B:B,0))="REGISTER","REGISTER","BIT")</f>
        <v>#NUM!</v>
      </c>
    </row>
    <row r="652" spans="2:23">
      <c r="B652" s="157" t="str">
        <f>IF(ISERROR(T653),"",CONCATENATE(IF(W653="BIT",$M$2,$M$1),U653,$M$3,BIN2HEX(IF(W653="BIT",INDEX('Logical Group Generator'!H:H,'Script Generator'!T653),INDEX('Logical Group Generator'!L:L,'Script Generator'!T653)),2),IF(ISERROR(T654),$M$5,$M$4)))</f>
        <v/>
      </c>
      <c r="D652" s="215"/>
      <c r="R652" s="215" t="str">
        <f>IF('Logical Group Generator'!W652="FALSE","",IF('Logical Group Generator'!B652="OTP_RSVD_38_03","",'Logical Group Generator'!B652))</f>
        <v/>
      </c>
      <c r="T652" s="157" t="e">
        <f>MATCH(U652,'Logical Group Generator'!B:B,0)</f>
        <v>#NUM!</v>
      </c>
      <c r="U652" s="157" t="e">
        <f t="array" ref="U652">IF(ROWS($3:652)&lt;=COUNTA($R$3:$R$902),INDEX($R$3:$R$902,SMALL(IF($R$3:$R$902&lt;&gt;"",ROW($R$3:$R$902)-MIN(ROW($R$3:$R$902))+1),ROWS($3:652))),"")</f>
        <v>#NUM!</v>
      </c>
      <c r="W652" s="157" t="e">
        <f>IF(INDEX('Logical Group Generator'!W:W,MATCH(U652,'Logical Group Generator'!B:B,0))="REGISTER","REGISTER","BIT")</f>
        <v>#NUM!</v>
      </c>
    </row>
    <row r="653" spans="2:23">
      <c r="B653" s="157" t="str">
        <f>IF(ISERROR(T654),"",CONCATENATE(IF(W654="BIT",$M$2,$M$1),U654,$M$3,BIN2HEX(IF(W654="BIT",INDEX('Logical Group Generator'!H:H,'Script Generator'!T654),INDEX('Logical Group Generator'!L:L,'Script Generator'!T654)),2),IF(ISERROR(T655),$M$5,$M$4)))</f>
        <v/>
      </c>
      <c r="D653" s="215"/>
      <c r="R653" s="215" t="str">
        <f>IF('Logical Group Generator'!W653="FALSE","",IF('Logical Group Generator'!B653="OTP_RSVD_38_03","",'Logical Group Generator'!B653))</f>
        <v>OTP_RSVD_38_48</v>
      </c>
      <c r="T653" s="157" t="e">
        <f>MATCH(U653,'Logical Group Generator'!B:B,0)</f>
        <v>#NUM!</v>
      </c>
      <c r="U653" s="157" t="e">
        <f t="array" ref="U653">IF(ROWS($3:653)&lt;=COUNTA($R$3:$R$902),INDEX($R$3:$R$902,SMALL(IF($R$3:$R$902&lt;&gt;"",ROW($R$3:$R$902)-MIN(ROW($R$3:$R$902))+1),ROWS($3:653))),"")</f>
        <v>#NUM!</v>
      </c>
      <c r="W653" s="157" t="e">
        <f>IF(INDEX('Logical Group Generator'!W:W,MATCH(U653,'Logical Group Generator'!B:B,0))="REGISTER","REGISTER","BIT")</f>
        <v>#NUM!</v>
      </c>
    </row>
    <row r="654" spans="2:23">
      <c r="B654" s="157" t="str">
        <f>IF(ISERROR(T655),"",CONCATENATE(IF(W655="BIT",$M$2,$M$1),U655,$M$3,BIN2HEX(IF(W655="BIT",INDEX('Logical Group Generator'!H:H,'Script Generator'!T655),INDEX('Logical Group Generator'!L:L,'Script Generator'!T655)),2),IF(ISERROR(T656),$M$5,$M$4)))</f>
        <v/>
      </c>
      <c r="D654" s="215"/>
      <c r="R654" s="215" t="str">
        <f>IF('Logical Group Generator'!W654="FALSE","",IF('Logical Group Generator'!B654="OTP_RSVD_38_03","",'Logical Group Generator'!B654))</f>
        <v/>
      </c>
      <c r="T654" s="157" t="e">
        <f>MATCH(U654,'Logical Group Generator'!B:B,0)</f>
        <v>#NUM!</v>
      </c>
      <c r="U654" s="157" t="e">
        <f t="array" ref="U654">IF(ROWS($3:654)&lt;=COUNTA($R$3:$R$902),INDEX($R$3:$R$902,SMALL(IF($R$3:$R$902&lt;&gt;"",ROW($R$3:$R$902)-MIN(ROW($R$3:$R$902))+1),ROWS($3:654))),"")</f>
        <v>#NUM!</v>
      </c>
      <c r="W654" s="157" t="e">
        <f>IF(INDEX('Logical Group Generator'!W:W,MATCH(U654,'Logical Group Generator'!B:B,0))="REGISTER","REGISTER","BIT")</f>
        <v>#NUM!</v>
      </c>
    </row>
    <row r="655" spans="2:23">
      <c r="B655" s="157" t="str">
        <f>IF(ISERROR(T656),"",CONCATENATE(IF(W656="BIT",$M$2,$M$1),U656,$M$3,BIN2HEX(IF(W656="BIT",INDEX('Logical Group Generator'!H:H,'Script Generator'!T656),INDEX('Logical Group Generator'!L:L,'Script Generator'!T656)),2),IF(ISERROR(T657),$M$5,$M$4)))</f>
        <v/>
      </c>
      <c r="D655" s="215"/>
      <c r="R655" s="215" t="str">
        <f>IF('Logical Group Generator'!W655="FALSE","",IF('Logical Group Generator'!B655="OTP_RSVD_38_03","",'Logical Group Generator'!B655))</f>
        <v/>
      </c>
      <c r="T655" s="157" t="e">
        <f>MATCH(U655,'Logical Group Generator'!B:B,0)</f>
        <v>#NUM!</v>
      </c>
      <c r="U655" s="157" t="e">
        <f t="array" ref="U655">IF(ROWS($3:655)&lt;=COUNTA($R$3:$R$902),INDEX($R$3:$R$902,SMALL(IF($R$3:$R$902&lt;&gt;"",ROW($R$3:$R$902)-MIN(ROW($R$3:$R$902))+1),ROWS($3:655))),"")</f>
        <v>#NUM!</v>
      </c>
      <c r="W655" s="157" t="e">
        <f>IF(INDEX('Logical Group Generator'!W:W,MATCH(U655,'Logical Group Generator'!B:B,0))="REGISTER","REGISTER","BIT")</f>
        <v>#NUM!</v>
      </c>
    </row>
    <row r="656" spans="2:23">
      <c r="B656" s="157" t="str">
        <f>IF(ISERROR(T657),"",CONCATENATE(IF(W657="BIT",$M$2,$M$1),U657,$M$3,BIN2HEX(IF(W657="BIT",INDEX('Logical Group Generator'!H:H,'Script Generator'!T657),INDEX('Logical Group Generator'!L:L,'Script Generator'!T657)),2),IF(ISERROR(T658),$M$5,$M$4)))</f>
        <v/>
      </c>
      <c r="D656" s="215"/>
      <c r="R656" s="215" t="str">
        <f>IF('Logical Group Generator'!W656="FALSE","",IF('Logical Group Generator'!B656="OTP_RSVD_38_03","",'Logical Group Generator'!B656))</f>
        <v/>
      </c>
      <c r="T656" s="157" t="e">
        <f>MATCH(U656,'Logical Group Generator'!B:B,0)</f>
        <v>#NUM!</v>
      </c>
      <c r="U656" s="157" t="e">
        <f t="array" ref="U656">IF(ROWS($3:656)&lt;=COUNTA($R$3:$R$902),INDEX($R$3:$R$902,SMALL(IF($R$3:$R$902&lt;&gt;"",ROW($R$3:$R$902)-MIN(ROW($R$3:$R$902))+1),ROWS($3:656))),"")</f>
        <v>#NUM!</v>
      </c>
      <c r="W656" s="157" t="e">
        <f>IF(INDEX('Logical Group Generator'!W:W,MATCH(U656,'Logical Group Generator'!B:B,0))="REGISTER","REGISTER","BIT")</f>
        <v>#NUM!</v>
      </c>
    </row>
    <row r="657" spans="2:23">
      <c r="B657" s="157" t="str">
        <f>IF(ISERROR(T658),"",CONCATENATE(IF(W658="BIT",$M$2,$M$1),U658,$M$3,BIN2HEX(IF(W658="BIT",INDEX('Logical Group Generator'!H:H,'Script Generator'!T658),INDEX('Logical Group Generator'!L:L,'Script Generator'!T658)),2),IF(ISERROR(T659),$M$5,$M$4)))</f>
        <v/>
      </c>
      <c r="D657" s="215"/>
      <c r="R657" s="215" t="str">
        <f>IF('Logical Group Generator'!W657="FALSE","",IF('Logical Group Generator'!B657="OTP_RSVD_38_03","",'Logical Group Generator'!B657))</f>
        <v/>
      </c>
      <c r="T657" s="157" t="e">
        <f>MATCH(U657,'Logical Group Generator'!B:B,0)</f>
        <v>#NUM!</v>
      </c>
      <c r="U657" s="157" t="e">
        <f t="array" ref="U657">IF(ROWS($3:657)&lt;=COUNTA($R$3:$R$902),INDEX($R$3:$R$902,SMALL(IF($R$3:$R$902&lt;&gt;"",ROW($R$3:$R$902)-MIN(ROW($R$3:$R$902))+1),ROWS($3:657))),"")</f>
        <v>#NUM!</v>
      </c>
      <c r="W657" s="157" t="e">
        <f>IF(INDEX('Logical Group Generator'!W:W,MATCH(U657,'Logical Group Generator'!B:B,0))="REGISTER","REGISTER","BIT")</f>
        <v>#NUM!</v>
      </c>
    </row>
    <row r="658" spans="2:23">
      <c r="B658" s="157" t="str">
        <f>IF(ISERROR(T659),"",CONCATENATE(IF(W659="BIT",$M$2,$M$1),U659,$M$3,BIN2HEX(IF(W659="BIT",INDEX('Logical Group Generator'!H:H,'Script Generator'!T659),INDEX('Logical Group Generator'!L:L,'Script Generator'!T659)),2),IF(ISERROR(T660),$M$5,$M$4)))</f>
        <v/>
      </c>
      <c r="D658" s="215"/>
      <c r="R658" s="215" t="str">
        <f>IF('Logical Group Generator'!W658="FALSE","",IF('Logical Group Generator'!B658="OTP_RSVD_38_03","",'Logical Group Generator'!B658))</f>
        <v/>
      </c>
      <c r="T658" s="157" t="e">
        <f>MATCH(U658,'Logical Group Generator'!B:B,0)</f>
        <v>#NUM!</v>
      </c>
      <c r="U658" s="157" t="e">
        <f t="array" ref="U658">IF(ROWS($3:658)&lt;=COUNTA($R$3:$R$902),INDEX($R$3:$R$902,SMALL(IF($R$3:$R$902&lt;&gt;"",ROW($R$3:$R$902)-MIN(ROW($R$3:$R$902))+1),ROWS($3:658))),"")</f>
        <v>#NUM!</v>
      </c>
      <c r="W658" s="157" t="e">
        <f>IF(INDEX('Logical Group Generator'!W:W,MATCH(U658,'Logical Group Generator'!B:B,0))="REGISTER","REGISTER","BIT")</f>
        <v>#NUM!</v>
      </c>
    </row>
    <row r="659" spans="2:23">
      <c r="B659" s="157" t="str">
        <f>IF(ISERROR(T660),"",CONCATENATE(IF(W660="BIT",$M$2,$M$1),U660,$M$3,BIN2HEX(IF(W660="BIT",INDEX('Logical Group Generator'!H:H,'Script Generator'!T660),INDEX('Logical Group Generator'!L:L,'Script Generator'!T660)),2),IF(ISERROR(T661),$M$5,$M$4)))</f>
        <v/>
      </c>
      <c r="D659" s="215"/>
      <c r="R659" s="215" t="str">
        <f>IF('Logical Group Generator'!W659="FALSE","",IF('Logical Group Generator'!B659="OTP_RSVD_38_03","",'Logical Group Generator'!B659))</f>
        <v/>
      </c>
      <c r="T659" s="157" t="e">
        <f>MATCH(U659,'Logical Group Generator'!B:B,0)</f>
        <v>#NUM!</v>
      </c>
      <c r="U659" s="157" t="e">
        <f t="array" ref="U659">IF(ROWS($3:659)&lt;=COUNTA($R$3:$R$902),INDEX($R$3:$R$902,SMALL(IF($R$3:$R$902&lt;&gt;"",ROW($R$3:$R$902)-MIN(ROW($R$3:$R$902))+1),ROWS($3:659))),"")</f>
        <v>#NUM!</v>
      </c>
      <c r="W659" s="157" t="e">
        <f>IF(INDEX('Logical Group Generator'!W:W,MATCH(U659,'Logical Group Generator'!B:B,0))="REGISTER","REGISTER","BIT")</f>
        <v>#NUM!</v>
      </c>
    </row>
    <row r="660" spans="2:23">
      <c r="B660" s="157" t="str">
        <f>IF(ISERROR(T661),"",CONCATENATE(IF(W661="BIT",$M$2,$M$1),U661,$M$3,BIN2HEX(IF(W661="BIT",INDEX('Logical Group Generator'!H:H,'Script Generator'!T661),INDEX('Logical Group Generator'!L:L,'Script Generator'!T661)),2),IF(ISERROR(T662),$M$5,$M$4)))</f>
        <v/>
      </c>
      <c r="D660" s="215"/>
      <c r="R660" s="215" t="str">
        <f>IF('Logical Group Generator'!W660="FALSE","",IF('Logical Group Generator'!B660="OTP_RSVD_38_03","",'Logical Group Generator'!B660))</f>
        <v/>
      </c>
      <c r="T660" s="157" t="e">
        <f>MATCH(U660,'Logical Group Generator'!B:B,0)</f>
        <v>#NUM!</v>
      </c>
      <c r="U660" s="157" t="e">
        <f t="array" ref="U660">IF(ROWS($3:660)&lt;=COUNTA($R$3:$R$902),INDEX($R$3:$R$902,SMALL(IF($R$3:$R$902&lt;&gt;"",ROW($R$3:$R$902)-MIN(ROW($R$3:$R$902))+1),ROWS($3:660))),"")</f>
        <v>#NUM!</v>
      </c>
      <c r="W660" s="157" t="e">
        <f>IF(INDEX('Logical Group Generator'!W:W,MATCH(U660,'Logical Group Generator'!B:B,0))="REGISTER","REGISTER","BIT")</f>
        <v>#NUM!</v>
      </c>
    </row>
    <row r="661" spans="2:23">
      <c r="B661" s="157" t="str">
        <f>IF(ISERROR(T662),"",CONCATENATE(IF(W662="BIT",$M$2,$M$1),U662,$M$3,BIN2HEX(IF(W662="BIT",INDEX('Logical Group Generator'!H:H,'Script Generator'!T662),INDEX('Logical Group Generator'!L:L,'Script Generator'!T662)),2),IF(ISERROR(T663),$M$5,$M$4)))</f>
        <v/>
      </c>
      <c r="D661" s="215"/>
      <c r="R661" s="215" t="str">
        <f>IF('Logical Group Generator'!W661="FALSE","",IF('Logical Group Generator'!B661="OTP_RSVD_38_03","",'Logical Group Generator'!B661))</f>
        <v/>
      </c>
      <c r="T661" s="157" t="e">
        <f>MATCH(U661,'Logical Group Generator'!B:B,0)</f>
        <v>#NUM!</v>
      </c>
      <c r="U661" s="157" t="e">
        <f t="array" ref="U661">IF(ROWS($3:661)&lt;=COUNTA($R$3:$R$902),INDEX($R$3:$R$902,SMALL(IF($R$3:$R$902&lt;&gt;"",ROW($R$3:$R$902)-MIN(ROW($R$3:$R$902))+1),ROWS($3:661))),"")</f>
        <v>#NUM!</v>
      </c>
      <c r="W661" s="157" t="e">
        <f>IF(INDEX('Logical Group Generator'!W:W,MATCH(U661,'Logical Group Generator'!B:B,0))="REGISTER","REGISTER","BIT")</f>
        <v>#NUM!</v>
      </c>
    </row>
    <row r="662" spans="2:23">
      <c r="B662" s="157" t="str">
        <f>IF(ISERROR(T663),"",CONCATENATE(IF(W663="BIT",$M$2,$M$1),U663,$M$3,BIN2HEX(IF(W663="BIT",INDEX('Logical Group Generator'!H:H,'Script Generator'!T663),INDEX('Logical Group Generator'!L:L,'Script Generator'!T663)),2),IF(ISERROR(T664),$M$5,$M$4)))</f>
        <v/>
      </c>
      <c r="D662" s="215"/>
      <c r="R662" s="215" t="str">
        <f>IF('Logical Group Generator'!W662="FALSE","",IF('Logical Group Generator'!B662="OTP_RSVD_38_03","",'Logical Group Generator'!B662))</f>
        <v/>
      </c>
      <c r="T662" s="157" t="e">
        <f>MATCH(U662,'Logical Group Generator'!B:B,0)</f>
        <v>#NUM!</v>
      </c>
      <c r="U662" s="157" t="e">
        <f t="array" ref="U662">IF(ROWS($3:662)&lt;=COUNTA($R$3:$R$902),INDEX($R$3:$R$902,SMALL(IF($R$3:$R$902&lt;&gt;"",ROW($R$3:$R$902)-MIN(ROW($R$3:$R$902))+1),ROWS($3:662))),"")</f>
        <v>#NUM!</v>
      </c>
      <c r="W662" s="157" t="e">
        <f>IF(INDEX('Logical Group Generator'!W:W,MATCH(U662,'Logical Group Generator'!B:B,0))="REGISTER","REGISTER","BIT")</f>
        <v>#NUM!</v>
      </c>
    </row>
    <row r="663" spans="2:23">
      <c r="B663" s="157" t="str">
        <f>IF(ISERROR(T664),"",CONCATENATE(IF(W664="BIT",$M$2,$M$1),U664,$M$3,BIN2HEX(IF(W664="BIT",INDEX('Logical Group Generator'!H:H,'Script Generator'!T664),INDEX('Logical Group Generator'!L:L,'Script Generator'!T664)),2),IF(ISERROR(T665),$M$5,$M$4)))</f>
        <v/>
      </c>
      <c r="D663" s="215"/>
      <c r="R663" s="215" t="str">
        <f>IF('Logical Group Generator'!W663="FALSE","",IF('Logical Group Generator'!B663="OTP_RSVD_38_03","",'Logical Group Generator'!B663))</f>
        <v/>
      </c>
      <c r="T663" s="157" t="e">
        <f>MATCH(U663,'Logical Group Generator'!B:B,0)</f>
        <v>#NUM!</v>
      </c>
      <c r="U663" s="157" t="e">
        <f t="array" ref="U663">IF(ROWS($3:663)&lt;=COUNTA($R$3:$R$902),INDEX($R$3:$R$902,SMALL(IF($R$3:$R$902&lt;&gt;"",ROW($R$3:$R$902)-MIN(ROW($R$3:$R$902))+1),ROWS($3:663))),"")</f>
        <v>#NUM!</v>
      </c>
      <c r="W663" s="157" t="e">
        <f>IF(INDEX('Logical Group Generator'!W:W,MATCH(U663,'Logical Group Generator'!B:B,0))="REGISTER","REGISTER","BIT")</f>
        <v>#NUM!</v>
      </c>
    </row>
    <row r="664" spans="2:23">
      <c r="B664" s="157" t="str">
        <f>IF(ISERROR(T665),"",CONCATENATE(IF(W665="BIT",$M$2,$M$1),U665,$M$3,BIN2HEX(IF(W665="BIT",INDEX('Logical Group Generator'!H:H,'Script Generator'!T665),INDEX('Logical Group Generator'!L:L,'Script Generator'!T665)),2),IF(ISERROR(T666),$M$5,$M$4)))</f>
        <v/>
      </c>
      <c r="D664" s="215"/>
      <c r="R664" s="215" t="str">
        <f>IF('Logical Group Generator'!W664="FALSE","",IF('Logical Group Generator'!B664="OTP_RSVD_38_03","",'Logical Group Generator'!B664))</f>
        <v/>
      </c>
      <c r="T664" s="157" t="e">
        <f>MATCH(U664,'Logical Group Generator'!B:B,0)</f>
        <v>#NUM!</v>
      </c>
      <c r="U664" s="157" t="e">
        <f t="array" ref="U664">IF(ROWS($3:664)&lt;=COUNTA($R$3:$R$902),INDEX($R$3:$R$902,SMALL(IF($R$3:$R$902&lt;&gt;"",ROW($R$3:$R$902)-MIN(ROW($R$3:$R$902))+1),ROWS($3:664))),"")</f>
        <v>#NUM!</v>
      </c>
      <c r="W664" s="157" t="e">
        <f>IF(INDEX('Logical Group Generator'!W:W,MATCH(U664,'Logical Group Generator'!B:B,0))="REGISTER","REGISTER","BIT")</f>
        <v>#NUM!</v>
      </c>
    </row>
    <row r="665" spans="2:23">
      <c r="B665" s="157" t="str">
        <f>IF(ISERROR(T666),"",CONCATENATE(IF(W666="BIT",$M$2,$M$1),U666,$M$3,BIN2HEX(IF(W666="BIT",INDEX('Logical Group Generator'!H:H,'Script Generator'!T666),INDEX('Logical Group Generator'!L:L,'Script Generator'!T666)),2),IF(ISERROR(T667),$M$5,$M$4)))</f>
        <v/>
      </c>
      <c r="D665" s="215"/>
      <c r="R665" s="215" t="str">
        <f>IF('Logical Group Generator'!W665="FALSE","",IF('Logical Group Generator'!B665="OTP_RSVD_38_03","",'Logical Group Generator'!B665))</f>
        <v/>
      </c>
      <c r="T665" s="157" t="e">
        <f>MATCH(U665,'Logical Group Generator'!B:B,0)</f>
        <v>#NUM!</v>
      </c>
      <c r="U665" s="157" t="e">
        <f t="array" ref="U665">IF(ROWS($3:665)&lt;=COUNTA($R$3:$R$902),INDEX($R$3:$R$902,SMALL(IF($R$3:$R$902&lt;&gt;"",ROW($R$3:$R$902)-MIN(ROW($R$3:$R$902))+1),ROWS($3:665))),"")</f>
        <v>#NUM!</v>
      </c>
      <c r="W665" s="157" t="e">
        <f>IF(INDEX('Logical Group Generator'!W:W,MATCH(U665,'Logical Group Generator'!B:B,0))="REGISTER","REGISTER","BIT")</f>
        <v>#NUM!</v>
      </c>
    </row>
    <row r="666" spans="2:23">
      <c r="B666" s="157" t="str">
        <f>IF(ISERROR(T667),"",CONCATENATE(IF(W667="BIT",$M$2,$M$1),U667,$M$3,BIN2HEX(IF(W667="BIT",INDEX('Logical Group Generator'!H:H,'Script Generator'!T667),INDEX('Logical Group Generator'!L:L,'Script Generator'!T667)),2),IF(ISERROR(T668),$M$5,$M$4)))</f>
        <v/>
      </c>
      <c r="D666" s="215"/>
      <c r="R666" s="215" t="str">
        <f>IF('Logical Group Generator'!W666="FALSE","",IF('Logical Group Generator'!B666="OTP_RSVD_38_03","",'Logical Group Generator'!B666))</f>
        <v/>
      </c>
      <c r="T666" s="157" t="e">
        <f>MATCH(U666,'Logical Group Generator'!B:B,0)</f>
        <v>#NUM!</v>
      </c>
      <c r="U666" s="157" t="e">
        <f t="array" ref="U666">IF(ROWS($3:666)&lt;=COUNTA($R$3:$R$902),INDEX($R$3:$R$902,SMALL(IF($R$3:$R$902&lt;&gt;"",ROW($R$3:$R$902)-MIN(ROW($R$3:$R$902))+1),ROWS($3:666))),"")</f>
        <v>#NUM!</v>
      </c>
      <c r="W666" s="157" t="e">
        <f>IF(INDEX('Logical Group Generator'!W:W,MATCH(U666,'Logical Group Generator'!B:B,0))="REGISTER","REGISTER","BIT")</f>
        <v>#NUM!</v>
      </c>
    </row>
    <row r="667" spans="2:23">
      <c r="B667" s="157" t="str">
        <f>IF(ISERROR(T668),"",CONCATENATE(IF(W668="BIT",$M$2,$M$1),U668,$M$3,BIN2HEX(IF(W668="BIT",INDEX('Logical Group Generator'!H:H,'Script Generator'!T668),INDEX('Logical Group Generator'!L:L,'Script Generator'!T668)),2),IF(ISERROR(T669),$M$5,$M$4)))</f>
        <v/>
      </c>
      <c r="D667" s="215"/>
      <c r="R667" s="215" t="str">
        <f>IF('Logical Group Generator'!W667="FALSE","",IF('Logical Group Generator'!B667="OTP_RSVD_38_03","",'Logical Group Generator'!B667))</f>
        <v/>
      </c>
      <c r="T667" s="157" t="e">
        <f>MATCH(U667,'Logical Group Generator'!B:B,0)</f>
        <v>#NUM!</v>
      </c>
      <c r="U667" s="157" t="e">
        <f t="array" ref="U667">IF(ROWS($3:667)&lt;=COUNTA($R$3:$R$902),INDEX($R$3:$R$902,SMALL(IF($R$3:$R$902&lt;&gt;"",ROW($R$3:$R$902)-MIN(ROW($R$3:$R$902))+1),ROWS($3:667))),"")</f>
        <v>#NUM!</v>
      </c>
      <c r="W667" s="157" t="e">
        <f>IF(INDEX('Logical Group Generator'!W:W,MATCH(U667,'Logical Group Generator'!B:B,0))="REGISTER","REGISTER","BIT")</f>
        <v>#NUM!</v>
      </c>
    </row>
    <row r="668" spans="2:23">
      <c r="B668" s="157" t="str">
        <f>IF(ISERROR(T669),"",CONCATENATE(IF(W669="BIT",$M$2,$M$1),U669,$M$3,BIN2HEX(IF(W669="BIT",INDEX('Logical Group Generator'!H:H,'Script Generator'!T669),INDEX('Logical Group Generator'!L:L,'Script Generator'!T669)),2),IF(ISERROR(T670),$M$5,$M$4)))</f>
        <v/>
      </c>
      <c r="D668" s="215"/>
      <c r="R668" s="215" t="str">
        <f>IF('Logical Group Generator'!W668="FALSE","",IF('Logical Group Generator'!B668="OTP_RSVD_38_03","",'Logical Group Generator'!B668))</f>
        <v/>
      </c>
      <c r="T668" s="157" t="e">
        <f>MATCH(U668,'Logical Group Generator'!B:B,0)</f>
        <v>#NUM!</v>
      </c>
      <c r="U668" s="157" t="e">
        <f t="array" ref="U668">IF(ROWS($3:668)&lt;=COUNTA($R$3:$R$902),INDEX($R$3:$R$902,SMALL(IF($R$3:$R$902&lt;&gt;"",ROW($R$3:$R$902)-MIN(ROW($R$3:$R$902))+1),ROWS($3:668))),"")</f>
        <v>#NUM!</v>
      </c>
      <c r="W668" s="157" t="e">
        <f>IF(INDEX('Logical Group Generator'!W:W,MATCH(U668,'Logical Group Generator'!B:B,0))="REGISTER","REGISTER","BIT")</f>
        <v>#NUM!</v>
      </c>
    </row>
    <row r="669" spans="2:23">
      <c r="B669" s="157" t="str">
        <f>IF(ISERROR(T670),"",CONCATENATE(IF(W670="BIT",$M$2,$M$1),U670,$M$3,BIN2HEX(IF(W670="BIT",INDEX('Logical Group Generator'!H:H,'Script Generator'!T670),INDEX('Logical Group Generator'!L:L,'Script Generator'!T670)),2),IF(ISERROR(T671),$M$5,$M$4)))</f>
        <v/>
      </c>
      <c r="D669" s="215"/>
      <c r="R669" s="215" t="str">
        <f>IF('Logical Group Generator'!W669="FALSE","",IF('Logical Group Generator'!B669="OTP_RSVD_38_03","",'Logical Group Generator'!B669))</f>
        <v/>
      </c>
      <c r="T669" s="157" t="e">
        <f>MATCH(U669,'Logical Group Generator'!B:B,0)</f>
        <v>#NUM!</v>
      </c>
      <c r="U669" s="157" t="e">
        <f t="array" ref="U669">IF(ROWS($3:669)&lt;=COUNTA($R$3:$R$902),INDEX($R$3:$R$902,SMALL(IF($R$3:$R$902&lt;&gt;"",ROW($R$3:$R$902)-MIN(ROW($R$3:$R$902))+1),ROWS($3:669))),"")</f>
        <v>#NUM!</v>
      </c>
      <c r="W669" s="157" t="e">
        <f>IF(INDEX('Logical Group Generator'!W:W,MATCH(U669,'Logical Group Generator'!B:B,0))="REGISTER","REGISTER","BIT")</f>
        <v>#NUM!</v>
      </c>
    </row>
    <row r="670" spans="2:23">
      <c r="B670" s="157" t="str">
        <f>IF(ISERROR(T671),"",CONCATENATE(IF(W671="BIT",$M$2,$M$1),U671,$M$3,BIN2HEX(IF(W671="BIT",INDEX('Logical Group Generator'!H:H,'Script Generator'!T671),INDEX('Logical Group Generator'!L:L,'Script Generator'!T671)),2),IF(ISERROR(T672),$M$5,$M$4)))</f>
        <v/>
      </c>
      <c r="D670" s="215"/>
      <c r="R670" s="215" t="str">
        <f>IF('Logical Group Generator'!W670="FALSE","",IF('Logical Group Generator'!B670="OTP_RSVD_38_03","",'Logical Group Generator'!B670))</f>
        <v/>
      </c>
      <c r="T670" s="157" t="e">
        <f>MATCH(U670,'Logical Group Generator'!B:B,0)</f>
        <v>#NUM!</v>
      </c>
      <c r="U670" s="157" t="e">
        <f t="array" ref="U670">IF(ROWS($3:670)&lt;=COUNTA($R$3:$R$902),INDEX($R$3:$R$902,SMALL(IF($R$3:$R$902&lt;&gt;"",ROW($R$3:$R$902)-MIN(ROW($R$3:$R$902))+1),ROWS($3:670))),"")</f>
        <v>#NUM!</v>
      </c>
      <c r="W670" s="157" t="e">
        <f>IF(INDEX('Logical Group Generator'!W:W,MATCH(U670,'Logical Group Generator'!B:B,0))="REGISTER","REGISTER","BIT")</f>
        <v>#NUM!</v>
      </c>
    </row>
    <row r="671" spans="2:23">
      <c r="B671" s="157" t="str">
        <f>IF(ISERROR(T672),"",CONCATENATE(IF(W672="BIT",$M$2,$M$1),U672,$M$3,BIN2HEX(IF(W672="BIT",INDEX('Logical Group Generator'!H:H,'Script Generator'!T672),INDEX('Logical Group Generator'!L:L,'Script Generator'!T672)),2),IF(ISERROR(T673),$M$5,$M$4)))</f>
        <v/>
      </c>
      <c r="D671" s="215"/>
      <c r="R671" s="215" t="str">
        <f>IF('Logical Group Generator'!W671="FALSE","",IF('Logical Group Generator'!B671="OTP_RSVD_38_03","",'Logical Group Generator'!B671))</f>
        <v/>
      </c>
      <c r="T671" s="157" t="e">
        <f>MATCH(U671,'Logical Group Generator'!B:B,0)</f>
        <v>#NUM!</v>
      </c>
      <c r="U671" s="157" t="e">
        <f t="array" ref="U671">IF(ROWS($3:671)&lt;=COUNTA($R$3:$R$902),INDEX($R$3:$R$902,SMALL(IF($R$3:$R$902&lt;&gt;"",ROW($R$3:$R$902)-MIN(ROW($R$3:$R$902))+1),ROWS($3:671))),"")</f>
        <v>#NUM!</v>
      </c>
      <c r="W671" s="157" t="e">
        <f>IF(INDEX('Logical Group Generator'!W:W,MATCH(U671,'Logical Group Generator'!B:B,0))="REGISTER","REGISTER","BIT")</f>
        <v>#NUM!</v>
      </c>
    </row>
    <row r="672" spans="2:23">
      <c r="B672" s="157" t="str">
        <f>IF(ISERROR(T673),"",CONCATENATE(IF(W673="BIT",$M$2,$M$1),U673,$M$3,BIN2HEX(IF(W673="BIT",INDEX('Logical Group Generator'!H:H,'Script Generator'!T673),INDEX('Logical Group Generator'!L:L,'Script Generator'!T673)),2),IF(ISERROR(T674),$M$5,$M$4)))</f>
        <v/>
      </c>
      <c r="D672" s="215"/>
      <c r="R672" s="215" t="str">
        <f>IF('Logical Group Generator'!W672="FALSE","",IF('Logical Group Generator'!B672="OTP_RSVD_38_03","",'Logical Group Generator'!B672))</f>
        <v>OTP_RSVD_38_4C</v>
      </c>
      <c r="T672" s="157" t="e">
        <f>MATCH(U672,'Logical Group Generator'!B:B,0)</f>
        <v>#NUM!</v>
      </c>
      <c r="U672" s="157" t="e">
        <f t="array" ref="U672">IF(ROWS($3:672)&lt;=COUNTA($R$3:$R$902),INDEX($R$3:$R$902,SMALL(IF($R$3:$R$902&lt;&gt;"",ROW($R$3:$R$902)-MIN(ROW($R$3:$R$902))+1),ROWS($3:672))),"")</f>
        <v>#NUM!</v>
      </c>
      <c r="W672" s="157" t="e">
        <f>IF(INDEX('Logical Group Generator'!W:W,MATCH(U672,'Logical Group Generator'!B:B,0))="REGISTER","REGISTER","BIT")</f>
        <v>#NUM!</v>
      </c>
    </row>
    <row r="673" spans="2:23">
      <c r="B673" s="157" t="str">
        <f>IF(ISERROR(T674),"",CONCATENATE(IF(W674="BIT",$M$2,$M$1),U674,$M$3,BIN2HEX(IF(W674="BIT",INDEX('Logical Group Generator'!H:H,'Script Generator'!T674),INDEX('Logical Group Generator'!L:L,'Script Generator'!T674)),2),IF(ISERROR(T675),$M$5,$M$4)))</f>
        <v/>
      </c>
      <c r="D673" s="215"/>
      <c r="R673" s="215" t="str">
        <f>IF('Logical Group Generator'!W673="FALSE","",IF('Logical Group Generator'!B673="OTP_RSVD_38_03","",'Logical Group Generator'!B673))</f>
        <v/>
      </c>
      <c r="T673" s="157" t="e">
        <f>MATCH(U673,'Logical Group Generator'!B:B,0)</f>
        <v>#NUM!</v>
      </c>
      <c r="U673" s="157" t="e">
        <f t="array" ref="U673">IF(ROWS($3:673)&lt;=COUNTA($R$3:$R$902),INDEX($R$3:$R$902,SMALL(IF($R$3:$R$902&lt;&gt;"",ROW($R$3:$R$902)-MIN(ROW($R$3:$R$902))+1),ROWS($3:673))),"")</f>
        <v>#NUM!</v>
      </c>
      <c r="W673" s="157" t="e">
        <f>IF(INDEX('Logical Group Generator'!W:W,MATCH(U673,'Logical Group Generator'!B:B,0))="REGISTER","REGISTER","BIT")</f>
        <v>#NUM!</v>
      </c>
    </row>
    <row r="674" spans="2:23">
      <c r="B674" s="157" t="str">
        <f>IF(ISERROR(T675),"",CONCATENATE(IF(W675="BIT",$M$2,$M$1),U675,$M$3,BIN2HEX(IF(W675="BIT",INDEX('Logical Group Generator'!H:H,'Script Generator'!T675),INDEX('Logical Group Generator'!L:L,'Script Generator'!T675)),2),IF(ISERROR(T676),$M$5,$M$4)))</f>
        <v/>
      </c>
      <c r="D674" s="215"/>
      <c r="R674" s="215" t="str">
        <f>IF('Logical Group Generator'!W674="FALSE","",IF('Logical Group Generator'!B674="OTP_RSVD_38_03","",'Logical Group Generator'!B674))</f>
        <v/>
      </c>
      <c r="T674" s="157" t="e">
        <f>MATCH(U674,'Logical Group Generator'!B:B,0)</f>
        <v>#NUM!</v>
      </c>
      <c r="U674" s="157" t="e">
        <f t="array" ref="U674">IF(ROWS($3:674)&lt;=COUNTA($R$3:$R$902),INDEX($R$3:$R$902,SMALL(IF($R$3:$R$902&lt;&gt;"",ROW($R$3:$R$902)-MIN(ROW($R$3:$R$902))+1),ROWS($3:674))),"")</f>
        <v>#NUM!</v>
      </c>
      <c r="W674" s="157" t="e">
        <f>IF(INDEX('Logical Group Generator'!W:W,MATCH(U674,'Logical Group Generator'!B:B,0))="REGISTER","REGISTER","BIT")</f>
        <v>#NUM!</v>
      </c>
    </row>
    <row r="675" spans="2:23">
      <c r="B675" s="157" t="str">
        <f>IF(ISERROR(T676),"",CONCATENATE(IF(W676="BIT",$M$2,$M$1),U676,$M$3,BIN2HEX(IF(W676="BIT",INDEX('Logical Group Generator'!H:H,'Script Generator'!T676),INDEX('Logical Group Generator'!L:L,'Script Generator'!T676)),2),IF(ISERROR(T677),$M$5,$M$4)))</f>
        <v/>
      </c>
      <c r="D675" s="215"/>
      <c r="R675" s="215" t="str">
        <f>IF('Logical Group Generator'!W675="FALSE","",IF('Logical Group Generator'!B675="OTP_RSVD_38_03","",'Logical Group Generator'!B675))</f>
        <v/>
      </c>
      <c r="T675" s="157" t="e">
        <f>MATCH(U675,'Logical Group Generator'!B:B,0)</f>
        <v>#NUM!</v>
      </c>
      <c r="U675" s="157" t="e">
        <f t="array" ref="U675">IF(ROWS($3:675)&lt;=COUNTA($R$3:$R$902),INDEX($R$3:$R$902,SMALL(IF($R$3:$R$902&lt;&gt;"",ROW($R$3:$R$902)-MIN(ROW($R$3:$R$902))+1),ROWS($3:675))),"")</f>
        <v>#NUM!</v>
      </c>
      <c r="W675" s="157" t="e">
        <f>IF(INDEX('Logical Group Generator'!W:W,MATCH(U675,'Logical Group Generator'!B:B,0))="REGISTER","REGISTER","BIT")</f>
        <v>#NUM!</v>
      </c>
    </row>
    <row r="676" spans="2:23">
      <c r="B676" s="157" t="str">
        <f>IF(ISERROR(T677),"",CONCATENATE(IF(W677="BIT",$M$2,$M$1),U677,$M$3,BIN2HEX(IF(W677="BIT",INDEX('Logical Group Generator'!H:H,'Script Generator'!T677),INDEX('Logical Group Generator'!L:L,'Script Generator'!T677)),2),IF(ISERROR(T678),$M$5,$M$4)))</f>
        <v/>
      </c>
      <c r="D676" s="215"/>
      <c r="R676" s="215" t="str">
        <f>IF('Logical Group Generator'!W676="FALSE","",IF('Logical Group Generator'!B676="OTP_RSVD_38_03","",'Logical Group Generator'!B676))</f>
        <v/>
      </c>
      <c r="T676" s="157" t="e">
        <f>MATCH(U676,'Logical Group Generator'!B:B,0)</f>
        <v>#NUM!</v>
      </c>
      <c r="U676" s="157" t="e">
        <f t="array" ref="U676">IF(ROWS($3:676)&lt;=COUNTA($R$3:$R$902),INDEX($R$3:$R$902,SMALL(IF($R$3:$R$902&lt;&gt;"",ROW($R$3:$R$902)-MIN(ROW($R$3:$R$902))+1),ROWS($3:676))),"")</f>
        <v>#NUM!</v>
      </c>
      <c r="W676" s="157" t="e">
        <f>IF(INDEX('Logical Group Generator'!W:W,MATCH(U676,'Logical Group Generator'!B:B,0))="REGISTER","REGISTER","BIT")</f>
        <v>#NUM!</v>
      </c>
    </row>
    <row r="677" spans="2:23">
      <c r="B677" s="157" t="str">
        <f>IF(ISERROR(T678),"",CONCATENATE(IF(W678="BIT",$M$2,$M$1),U678,$M$3,BIN2HEX(IF(W678="BIT",INDEX('Logical Group Generator'!H:H,'Script Generator'!T678),INDEX('Logical Group Generator'!L:L,'Script Generator'!T678)),2),IF(ISERROR(T679),$M$5,$M$4)))</f>
        <v/>
      </c>
      <c r="D677" s="215"/>
      <c r="R677" s="215" t="str">
        <f>IF('Logical Group Generator'!W677="FALSE","",IF('Logical Group Generator'!B677="OTP_RSVD_38_03","",'Logical Group Generator'!B677))</f>
        <v/>
      </c>
      <c r="T677" s="157" t="e">
        <f>MATCH(U677,'Logical Group Generator'!B:B,0)</f>
        <v>#NUM!</v>
      </c>
      <c r="U677" s="157" t="e">
        <f t="array" ref="U677">IF(ROWS($3:677)&lt;=COUNTA($R$3:$R$902),INDEX($R$3:$R$902,SMALL(IF($R$3:$R$902&lt;&gt;"",ROW($R$3:$R$902)-MIN(ROW($R$3:$R$902))+1),ROWS($3:677))),"")</f>
        <v>#NUM!</v>
      </c>
      <c r="W677" s="157" t="e">
        <f>IF(INDEX('Logical Group Generator'!W:W,MATCH(U677,'Logical Group Generator'!B:B,0))="REGISTER","REGISTER","BIT")</f>
        <v>#NUM!</v>
      </c>
    </row>
    <row r="678" spans="2:23">
      <c r="B678" s="157" t="str">
        <f>IF(ISERROR(T679),"",CONCATENATE(IF(W679="BIT",$M$2,$M$1),U679,$M$3,BIN2HEX(IF(W679="BIT",INDEX('Logical Group Generator'!H:H,'Script Generator'!T679),INDEX('Logical Group Generator'!L:L,'Script Generator'!T679)),2),IF(ISERROR(T680),$M$5,$M$4)))</f>
        <v/>
      </c>
      <c r="D678" s="215"/>
      <c r="R678" s="215" t="str">
        <f>IF('Logical Group Generator'!W678="FALSE","",IF('Logical Group Generator'!B678="OTP_RSVD_38_03","",'Logical Group Generator'!B678))</f>
        <v/>
      </c>
      <c r="T678" s="157" t="e">
        <f>MATCH(U678,'Logical Group Generator'!B:B,0)</f>
        <v>#NUM!</v>
      </c>
      <c r="U678" s="157" t="e">
        <f t="array" ref="U678">IF(ROWS($3:678)&lt;=COUNTA($R$3:$R$902),INDEX($R$3:$R$902,SMALL(IF($R$3:$R$902&lt;&gt;"",ROW($R$3:$R$902)-MIN(ROW($R$3:$R$902))+1),ROWS($3:678))),"")</f>
        <v>#NUM!</v>
      </c>
      <c r="W678" s="157" t="e">
        <f>IF(INDEX('Logical Group Generator'!W:W,MATCH(U678,'Logical Group Generator'!B:B,0))="REGISTER","REGISTER","BIT")</f>
        <v>#NUM!</v>
      </c>
    </row>
    <row r="679" spans="2:23">
      <c r="B679" s="157" t="str">
        <f>IF(ISERROR(T680),"",CONCATENATE(IF(W680="BIT",$M$2,$M$1),U680,$M$3,BIN2HEX(IF(W680="BIT",INDEX('Logical Group Generator'!H:H,'Script Generator'!T680),INDEX('Logical Group Generator'!L:L,'Script Generator'!T680)),2),IF(ISERROR(T681),$M$5,$M$4)))</f>
        <v/>
      </c>
      <c r="D679" s="215"/>
      <c r="R679" s="215" t="str">
        <f>IF('Logical Group Generator'!W679="FALSE","",IF('Logical Group Generator'!B679="OTP_RSVD_38_03","",'Logical Group Generator'!B679))</f>
        <v/>
      </c>
      <c r="T679" s="157" t="e">
        <f>MATCH(U679,'Logical Group Generator'!B:B,0)</f>
        <v>#NUM!</v>
      </c>
      <c r="U679" s="157" t="e">
        <f t="array" ref="U679">IF(ROWS($3:679)&lt;=COUNTA($R$3:$R$902),INDEX($R$3:$R$902,SMALL(IF($R$3:$R$902&lt;&gt;"",ROW($R$3:$R$902)-MIN(ROW($R$3:$R$902))+1),ROWS($3:679))),"")</f>
        <v>#NUM!</v>
      </c>
      <c r="W679" s="157" t="e">
        <f>IF(INDEX('Logical Group Generator'!W:W,MATCH(U679,'Logical Group Generator'!B:B,0))="REGISTER","REGISTER","BIT")</f>
        <v>#NUM!</v>
      </c>
    </row>
    <row r="680" spans="2:23">
      <c r="B680" s="157" t="str">
        <f>IF(ISERROR(T681),"",CONCATENATE(IF(W681="BIT",$M$2,$M$1),U681,$M$3,BIN2HEX(IF(W681="BIT",INDEX('Logical Group Generator'!H:H,'Script Generator'!T681),INDEX('Logical Group Generator'!L:L,'Script Generator'!T681)),2),IF(ISERROR(T682),$M$5,$M$4)))</f>
        <v/>
      </c>
      <c r="D680" s="215"/>
      <c r="R680" s="215" t="str">
        <f>IF('Logical Group Generator'!W680="FALSE","",IF('Logical Group Generator'!B680="OTP_RSVD_38_03","",'Logical Group Generator'!B680))</f>
        <v/>
      </c>
      <c r="T680" s="157" t="e">
        <f>MATCH(U680,'Logical Group Generator'!B:B,0)</f>
        <v>#NUM!</v>
      </c>
      <c r="U680" s="157" t="e">
        <f t="array" ref="U680">IF(ROWS($3:680)&lt;=COUNTA($R$3:$R$902),INDEX($R$3:$R$902,SMALL(IF($R$3:$R$902&lt;&gt;"",ROW($R$3:$R$902)-MIN(ROW($R$3:$R$902))+1),ROWS($3:680))),"")</f>
        <v>#NUM!</v>
      </c>
      <c r="W680" s="157" t="e">
        <f>IF(INDEX('Logical Group Generator'!W:W,MATCH(U680,'Logical Group Generator'!B:B,0))="REGISTER","REGISTER","BIT")</f>
        <v>#NUM!</v>
      </c>
    </row>
    <row r="681" spans="2:23">
      <c r="B681" s="157" t="str">
        <f>IF(ISERROR(T682),"",CONCATENATE(IF(W682="BIT",$M$2,$M$1),U682,$M$3,BIN2HEX(IF(W682="BIT",INDEX('Logical Group Generator'!H:H,'Script Generator'!T682),INDEX('Logical Group Generator'!L:L,'Script Generator'!T682)),2),IF(ISERROR(T683),$M$5,$M$4)))</f>
        <v/>
      </c>
      <c r="D681" s="215"/>
      <c r="R681" s="215" t="str">
        <f>IF('Logical Group Generator'!W681="FALSE","",IF('Logical Group Generator'!B681="OTP_RSVD_38_03","",'Logical Group Generator'!B681))</f>
        <v/>
      </c>
      <c r="T681" s="157" t="e">
        <f>MATCH(U681,'Logical Group Generator'!B:B,0)</f>
        <v>#NUM!</v>
      </c>
      <c r="U681" s="157" t="e">
        <f t="array" ref="U681">IF(ROWS($3:681)&lt;=COUNTA($R$3:$R$902),INDEX($R$3:$R$902,SMALL(IF($R$3:$R$902&lt;&gt;"",ROW($R$3:$R$902)-MIN(ROW($R$3:$R$902))+1),ROWS($3:681))),"")</f>
        <v>#NUM!</v>
      </c>
      <c r="W681" s="157" t="e">
        <f>IF(INDEX('Logical Group Generator'!W:W,MATCH(U681,'Logical Group Generator'!B:B,0))="REGISTER","REGISTER","BIT")</f>
        <v>#NUM!</v>
      </c>
    </row>
    <row r="682" spans="2:23">
      <c r="B682" s="157" t="str">
        <f>IF(ISERROR(T683),"",CONCATENATE(IF(W683="BIT",$M$2,$M$1),U683,$M$3,BIN2HEX(IF(W683="BIT",INDEX('Logical Group Generator'!H:H,'Script Generator'!T683),INDEX('Logical Group Generator'!L:L,'Script Generator'!T683)),2),IF(ISERROR(T684),$M$5,$M$4)))</f>
        <v/>
      </c>
      <c r="D682" s="215"/>
      <c r="R682" s="215" t="str">
        <f>IF('Logical Group Generator'!W682="FALSE","",IF('Logical Group Generator'!B682="OTP_RSVD_38_03","",'Logical Group Generator'!B682))</f>
        <v/>
      </c>
      <c r="T682" s="157" t="e">
        <f>MATCH(U682,'Logical Group Generator'!B:B,0)</f>
        <v>#NUM!</v>
      </c>
      <c r="U682" s="157" t="e">
        <f t="array" ref="U682">IF(ROWS($3:682)&lt;=COUNTA($R$3:$R$902),INDEX($R$3:$R$902,SMALL(IF($R$3:$R$902&lt;&gt;"",ROW($R$3:$R$902)-MIN(ROW($R$3:$R$902))+1),ROWS($3:682))),"")</f>
        <v>#NUM!</v>
      </c>
      <c r="W682" s="157" t="e">
        <f>IF(INDEX('Logical Group Generator'!W:W,MATCH(U682,'Logical Group Generator'!B:B,0))="REGISTER","REGISTER","BIT")</f>
        <v>#NUM!</v>
      </c>
    </row>
    <row r="683" spans="2:23">
      <c r="B683" s="157" t="str">
        <f>IF(ISERROR(T684),"",CONCATENATE(IF(W684="BIT",$M$2,$M$1),U684,$M$3,BIN2HEX(IF(W684="BIT",INDEX('Logical Group Generator'!H:H,'Script Generator'!T684),INDEX('Logical Group Generator'!L:L,'Script Generator'!T684)),2),IF(ISERROR(T685),$M$5,$M$4)))</f>
        <v/>
      </c>
      <c r="D683" s="215"/>
      <c r="R683" s="215" t="str">
        <f>IF('Logical Group Generator'!W683="FALSE","",IF('Logical Group Generator'!B683="OTP_RSVD_38_03","",'Logical Group Generator'!B683))</f>
        <v/>
      </c>
      <c r="T683" s="157" t="e">
        <f>MATCH(U683,'Logical Group Generator'!B:B,0)</f>
        <v>#NUM!</v>
      </c>
      <c r="U683" s="157" t="e">
        <f t="array" ref="U683">IF(ROWS($3:683)&lt;=COUNTA($R$3:$R$902),INDEX($R$3:$R$902,SMALL(IF($R$3:$R$902&lt;&gt;"",ROW($R$3:$R$902)-MIN(ROW($R$3:$R$902))+1),ROWS($3:683))),"")</f>
        <v>#NUM!</v>
      </c>
      <c r="W683" s="157" t="e">
        <f>IF(INDEX('Logical Group Generator'!W:W,MATCH(U683,'Logical Group Generator'!B:B,0))="REGISTER","REGISTER","BIT")</f>
        <v>#NUM!</v>
      </c>
    </row>
    <row r="684" spans="2:23">
      <c r="B684" s="157" t="str">
        <f>IF(ISERROR(T685),"",CONCATENATE(IF(W685="BIT",$M$2,$M$1),U685,$M$3,BIN2HEX(IF(W685="BIT",INDEX('Logical Group Generator'!H:H,'Script Generator'!T685),INDEX('Logical Group Generator'!L:L,'Script Generator'!T685)),2),IF(ISERROR(T686),$M$5,$M$4)))</f>
        <v/>
      </c>
      <c r="D684" s="215"/>
      <c r="R684" s="215" t="str">
        <f>IF('Logical Group Generator'!W684="FALSE","",IF('Logical Group Generator'!B684="OTP_RSVD_38_03","",'Logical Group Generator'!B684))</f>
        <v/>
      </c>
      <c r="T684" s="157" t="e">
        <f>MATCH(U684,'Logical Group Generator'!B:B,0)</f>
        <v>#NUM!</v>
      </c>
      <c r="U684" s="157" t="e">
        <f t="array" ref="U684">IF(ROWS($3:684)&lt;=COUNTA($R$3:$R$902),INDEX($R$3:$R$902,SMALL(IF($R$3:$R$902&lt;&gt;"",ROW($R$3:$R$902)-MIN(ROW($R$3:$R$902))+1),ROWS($3:684))),"")</f>
        <v>#NUM!</v>
      </c>
      <c r="W684" s="157" t="e">
        <f>IF(INDEX('Logical Group Generator'!W:W,MATCH(U684,'Logical Group Generator'!B:B,0))="REGISTER","REGISTER","BIT")</f>
        <v>#NUM!</v>
      </c>
    </row>
    <row r="685" spans="2:23">
      <c r="B685" s="157" t="str">
        <f>IF(ISERROR(T686),"",CONCATENATE(IF(W686="BIT",$M$2,$M$1),U686,$M$3,BIN2HEX(IF(W686="BIT",INDEX('Logical Group Generator'!H:H,'Script Generator'!T686),INDEX('Logical Group Generator'!L:L,'Script Generator'!T686)),2),IF(ISERROR(T687),$M$5,$M$4)))</f>
        <v/>
      </c>
      <c r="D685" s="215"/>
      <c r="R685" s="215" t="str">
        <f>IF('Logical Group Generator'!W685="FALSE","",IF('Logical Group Generator'!B685="OTP_RSVD_38_03","",'Logical Group Generator'!B685))</f>
        <v/>
      </c>
      <c r="T685" s="157" t="e">
        <f>MATCH(U685,'Logical Group Generator'!B:B,0)</f>
        <v>#NUM!</v>
      </c>
      <c r="U685" s="157" t="e">
        <f t="array" ref="U685">IF(ROWS($3:685)&lt;=COUNTA($R$3:$R$902),INDEX($R$3:$R$902,SMALL(IF($R$3:$R$902&lt;&gt;"",ROW($R$3:$R$902)-MIN(ROW($R$3:$R$902))+1),ROWS($3:685))),"")</f>
        <v>#NUM!</v>
      </c>
      <c r="W685" s="157" t="e">
        <f>IF(INDEX('Logical Group Generator'!W:W,MATCH(U685,'Logical Group Generator'!B:B,0))="REGISTER","REGISTER","BIT")</f>
        <v>#NUM!</v>
      </c>
    </row>
    <row r="686" spans="2:23">
      <c r="B686" s="157" t="str">
        <f>IF(ISERROR(T687),"",CONCATENATE(IF(W687="BIT",$M$2,$M$1),U687,$M$3,BIN2HEX(IF(W687="BIT",INDEX('Logical Group Generator'!H:H,'Script Generator'!T687),INDEX('Logical Group Generator'!L:L,'Script Generator'!T687)),2),IF(ISERROR(T688),$M$5,$M$4)))</f>
        <v/>
      </c>
      <c r="D686" s="215"/>
      <c r="R686" s="215" t="str">
        <f>IF('Logical Group Generator'!W686="FALSE","",IF('Logical Group Generator'!B686="OTP_RSVD_38_03","",'Logical Group Generator'!B686))</f>
        <v/>
      </c>
      <c r="T686" s="157" t="e">
        <f>MATCH(U686,'Logical Group Generator'!B:B,0)</f>
        <v>#NUM!</v>
      </c>
      <c r="U686" s="157" t="e">
        <f t="array" ref="U686">IF(ROWS($3:686)&lt;=COUNTA($R$3:$R$902),INDEX($R$3:$R$902,SMALL(IF($R$3:$R$902&lt;&gt;"",ROW($R$3:$R$902)-MIN(ROW($R$3:$R$902))+1),ROWS($3:686))),"")</f>
        <v>#NUM!</v>
      </c>
      <c r="W686" s="157" t="e">
        <f>IF(INDEX('Logical Group Generator'!W:W,MATCH(U686,'Logical Group Generator'!B:B,0))="REGISTER","REGISTER","BIT")</f>
        <v>#NUM!</v>
      </c>
    </row>
    <row r="687" spans="2:23">
      <c r="B687" s="157" t="str">
        <f>IF(ISERROR(T688),"",CONCATENATE(IF(W688="BIT",$M$2,$M$1),U688,$M$3,BIN2HEX(IF(W688="BIT",INDEX('Logical Group Generator'!H:H,'Script Generator'!T688),INDEX('Logical Group Generator'!L:L,'Script Generator'!T688)),2),IF(ISERROR(T689),$M$5,$M$4)))</f>
        <v/>
      </c>
      <c r="D687" s="215"/>
      <c r="R687" s="215" t="str">
        <f>IF('Logical Group Generator'!W687="FALSE","",IF('Logical Group Generator'!B687="OTP_RSVD_38_03","",'Logical Group Generator'!B687))</f>
        <v/>
      </c>
      <c r="T687" s="157" t="e">
        <f>MATCH(U687,'Logical Group Generator'!B:B,0)</f>
        <v>#NUM!</v>
      </c>
      <c r="U687" s="157" t="e">
        <f t="array" ref="U687">IF(ROWS($3:687)&lt;=COUNTA($R$3:$R$902),INDEX($R$3:$R$902,SMALL(IF($R$3:$R$902&lt;&gt;"",ROW($R$3:$R$902)-MIN(ROW($R$3:$R$902))+1),ROWS($3:687))),"")</f>
        <v>#NUM!</v>
      </c>
      <c r="W687" s="157" t="e">
        <f>IF(INDEX('Logical Group Generator'!W:W,MATCH(U687,'Logical Group Generator'!B:B,0))="REGISTER","REGISTER","BIT")</f>
        <v>#NUM!</v>
      </c>
    </row>
    <row r="688" spans="2:23">
      <c r="B688" s="157" t="str">
        <f>IF(ISERROR(T689),"",CONCATENATE(IF(W689="BIT",$M$2,$M$1),U689,$M$3,BIN2HEX(IF(W689="BIT",INDEX('Logical Group Generator'!H:H,'Script Generator'!T689),INDEX('Logical Group Generator'!L:L,'Script Generator'!T689)),2),IF(ISERROR(T690),$M$5,$M$4)))</f>
        <v/>
      </c>
      <c r="D688" s="215"/>
      <c r="R688" s="215" t="str">
        <f>IF('Logical Group Generator'!W688="FALSE","",IF('Logical Group Generator'!B688="OTP_RSVD_38_03","",'Logical Group Generator'!B688))</f>
        <v/>
      </c>
      <c r="T688" s="157" t="e">
        <f>MATCH(U688,'Logical Group Generator'!B:B,0)</f>
        <v>#NUM!</v>
      </c>
      <c r="U688" s="157" t="e">
        <f t="array" ref="U688">IF(ROWS($3:688)&lt;=COUNTA($R$3:$R$902),INDEX($R$3:$R$902,SMALL(IF($R$3:$R$902&lt;&gt;"",ROW($R$3:$R$902)-MIN(ROW($R$3:$R$902))+1),ROWS($3:688))),"")</f>
        <v>#NUM!</v>
      </c>
      <c r="W688" s="157" t="e">
        <f>IF(INDEX('Logical Group Generator'!W:W,MATCH(U688,'Logical Group Generator'!B:B,0))="REGISTER","REGISTER","BIT")</f>
        <v>#NUM!</v>
      </c>
    </row>
    <row r="689" spans="2:23">
      <c r="B689" s="157" t="str">
        <f>IF(ISERROR(T690),"",CONCATENATE(IF(W690="BIT",$M$2,$M$1),U690,$M$3,BIN2HEX(IF(W690="BIT",INDEX('Logical Group Generator'!H:H,'Script Generator'!T690),INDEX('Logical Group Generator'!L:L,'Script Generator'!T690)),2),IF(ISERROR(T691),$M$5,$M$4)))</f>
        <v/>
      </c>
      <c r="D689" s="215"/>
      <c r="R689" s="215" t="str">
        <f>IF('Logical Group Generator'!W689="FALSE","",IF('Logical Group Generator'!B689="OTP_RSVD_38_03","",'Logical Group Generator'!B689))</f>
        <v/>
      </c>
      <c r="T689" s="157" t="e">
        <f>MATCH(U689,'Logical Group Generator'!B:B,0)</f>
        <v>#NUM!</v>
      </c>
      <c r="U689" s="157" t="e">
        <f t="array" ref="U689">IF(ROWS($3:689)&lt;=COUNTA($R$3:$R$902),INDEX($R$3:$R$902,SMALL(IF($R$3:$R$902&lt;&gt;"",ROW($R$3:$R$902)-MIN(ROW($R$3:$R$902))+1),ROWS($3:689))),"")</f>
        <v>#NUM!</v>
      </c>
      <c r="W689" s="157" t="e">
        <f>IF(INDEX('Logical Group Generator'!W:W,MATCH(U689,'Logical Group Generator'!B:B,0))="REGISTER","REGISTER","BIT")</f>
        <v>#NUM!</v>
      </c>
    </row>
    <row r="690" spans="2:23">
      <c r="B690" s="157" t="str">
        <f>IF(ISERROR(T691),"",CONCATENATE(IF(W691="BIT",$M$2,$M$1),U691,$M$3,BIN2HEX(IF(W691="BIT",INDEX('Logical Group Generator'!H:H,'Script Generator'!T691),INDEX('Logical Group Generator'!L:L,'Script Generator'!T691)),2),IF(ISERROR(T692),$M$5,$M$4)))</f>
        <v/>
      </c>
      <c r="D690" s="215"/>
      <c r="R690" s="215" t="str">
        <f>IF('Logical Group Generator'!W690="FALSE","",IF('Logical Group Generator'!B690="OTP_RSVD_38_03","",'Logical Group Generator'!B690))</f>
        <v/>
      </c>
      <c r="T690" s="157" t="e">
        <f>MATCH(U690,'Logical Group Generator'!B:B,0)</f>
        <v>#NUM!</v>
      </c>
      <c r="U690" s="157" t="e">
        <f t="array" ref="U690">IF(ROWS($3:690)&lt;=COUNTA($R$3:$R$902),INDEX($R$3:$R$902,SMALL(IF($R$3:$R$902&lt;&gt;"",ROW($R$3:$R$902)-MIN(ROW($R$3:$R$902))+1),ROWS($3:690))),"")</f>
        <v>#NUM!</v>
      </c>
      <c r="W690" s="157" t="e">
        <f>IF(INDEX('Logical Group Generator'!W:W,MATCH(U690,'Logical Group Generator'!B:B,0))="REGISTER","REGISTER","BIT")</f>
        <v>#NUM!</v>
      </c>
    </row>
    <row r="691" spans="2:23">
      <c r="B691" s="157" t="str">
        <f>IF(ISERROR(T692),"",CONCATENATE(IF(W692="BIT",$M$2,$M$1),U692,$M$3,BIN2HEX(IF(W692="BIT",INDEX('Logical Group Generator'!H:H,'Script Generator'!T692),INDEX('Logical Group Generator'!L:L,'Script Generator'!T692)),2),IF(ISERROR(T693),$M$5,$M$4)))</f>
        <v/>
      </c>
      <c r="D691" s="215"/>
      <c r="R691" s="215" t="str">
        <f>IF('Logical Group Generator'!W691="FALSE","",IF('Logical Group Generator'!B691="OTP_RSVD_38_03","",'Logical Group Generator'!B691))</f>
        <v/>
      </c>
      <c r="T691" s="157" t="e">
        <f>MATCH(U691,'Logical Group Generator'!B:B,0)</f>
        <v>#NUM!</v>
      </c>
      <c r="U691" s="157" t="e">
        <f t="array" ref="U691">IF(ROWS($3:691)&lt;=COUNTA($R$3:$R$902),INDEX($R$3:$R$902,SMALL(IF($R$3:$R$902&lt;&gt;"",ROW($R$3:$R$902)-MIN(ROW($R$3:$R$902))+1),ROWS($3:691))),"")</f>
        <v>#NUM!</v>
      </c>
      <c r="W691" s="157" t="e">
        <f>IF(INDEX('Logical Group Generator'!W:W,MATCH(U691,'Logical Group Generator'!B:B,0))="REGISTER","REGISTER","BIT")</f>
        <v>#NUM!</v>
      </c>
    </row>
    <row r="692" spans="2:23">
      <c r="B692" s="157" t="str">
        <f>IF(ISERROR(T693),"",CONCATENATE(IF(W693="BIT",$M$2,$M$1),U693,$M$3,BIN2HEX(IF(W693="BIT",INDEX('Logical Group Generator'!H:H,'Script Generator'!T693),INDEX('Logical Group Generator'!L:L,'Script Generator'!T693)),2),IF(ISERROR(T694),$M$5,$M$4)))</f>
        <v/>
      </c>
      <c r="D692" s="215"/>
      <c r="R692" s="215" t="str">
        <f>IF('Logical Group Generator'!W692="FALSE","",IF('Logical Group Generator'!B692="OTP_RSVD_38_03","",'Logical Group Generator'!B692))</f>
        <v/>
      </c>
      <c r="T692" s="157" t="e">
        <f>MATCH(U692,'Logical Group Generator'!B:B,0)</f>
        <v>#NUM!</v>
      </c>
      <c r="U692" s="157" t="e">
        <f t="array" ref="U692">IF(ROWS($3:692)&lt;=COUNTA($R$3:$R$902),INDEX($R$3:$R$902,SMALL(IF($R$3:$R$902&lt;&gt;"",ROW($R$3:$R$902)-MIN(ROW($R$3:$R$902))+1),ROWS($3:692))),"")</f>
        <v>#NUM!</v>
      </c>
      <c r="W692" s="157" t="e">
        <f>IF(INDEX('Logical Group Generator'!W:W,MATCH(U692,'Logical Group Generator'!B:B,0))="REGISTER","REGISTER","BIT")</f>
        <v>#NUM!</v>
      </c>
    </row>
    <row r="693" spans="2:23">
      <c r="B693" s="157" t="str">
        <f>IF(ISERROR(T694),"",CONCATENATE(IF(W694="BIT",$M$2,$M$1),U694,$M$3,BIN2HEX(IF(W694="BIT",INDEX('Logical Group Generator'!H:H,'Script Generator'!T694),INDEX('Logical Group Generator'!L:L,'Script Generator'!T694)),2),IF(ISERROR(T695),$M$5,$M$4)))</f>
        <v/>
      </c>
      <c r="D693" s="215"/>
      <c r="R693" s="215" t="str">
        <f>IF('Logical Group Generator'!W693="FALSE","",IF('Logical Group Generator'!B693="OTP_RSVD_38_03","",'Logical Group Generator'!B693))</f>
        <v/>
      </c>
      <c r="T693" s="157" t="e">
        <f>MATCH(U693,'Logical Group Generator'!B:B,0)</f>
        <v>#NUM!</v>
      </c>
      <c r="U693" s="157" t="e">
        <f t="array" ref="U693">IF(ROWS($3:693)&lt;=COUNTA($R$3:$R$902),INDEX($R$3:$R$902,SMALL(IF($R$3:$R$902&lt;&gt;"",ROW($R$3:$R$902)-MIN(ROW($R$3:$R$902))+1),ROWS($3:693))),"")</f>
        <v>#NUM!</v>
      </c>
      <c r="W693" s="157" t="e">
        <f>IF(INDEX('Logical Group Generator'!W:W,MATCH(U693,'Logical Group Generator'!B:B,0))="REGISTER","REGISTER","BIT")</f>
        <v>#NUM!</v>
      </c>
    </row>
    <row r="694" spans="2:23">
      <c r="B694" s="157" t="str">
        <f>IF(ISERROR(T695),"",CONCATENATE(IF(W695="BIT",$M$2,$M$1),U695,$M$3,BIN2HEX(IF(W695="BIT",INDEX('Logical Group Generator'!H:H,'Script Generator'!T695),INDEX('Logical Group Generator'!L:L,'Script Generator'!T695)),2),IF(ISERROR(T696),$M$5,$M$4)))</f>
        <v/>
      </c>
      <c r="D694" s="215"/>
      <c r="R694" s="215" t="str">
        <f>IF('Logical Group Generator'!W694="FALSE","",IF('Logical Group Generator'!B694="OTP_RSVD_38_03","",'Logical Group Generator'!B694))</f>
        <v/>
      </c>
      <c r="T694" s="157" t="e">
        <f>MATCH(U694,'Logical Group Generator'!B:B,0)</f>
        <v>#NUM!</v>
      </c>
      <c r="U694" s="157" t="e">
        <f t="array" ref="U694">IF(ROWS($3:694)&lt;=COUNTA($R$3:$R$902),INDEX($R$3:$R$902,SMALL(IF($R$3:$R$902&lt;&gt;"",ROW($R$3:$R$902)-MIN(ROW($R$3:$R$902))+1),ROWS($3:694))),"")</f>
        <v>#NUM!</v>
      </c>
      <c r="W694" s="157" t="e">
        <f>IF(INDEX('Logical Group Generator'!W:W,MATCH(U694,'Logical Group Generator'!B:B,0))="REGISTER","REGISTER","BIT")</f>
        <v>#NUM!</v>
      </c>
    </row>
    <row r="695" spans="2:23">
      <c r="B695" s="157" t="str">
        <f>IF(ISERROR(T696),"",CONCATENATE(IF(W696="BIT",$M$2,$M$1),U696,$M$3,BIN2HEX(IF(W696="BIT",INDEX('Logical Group Generator'!H:H,'Script Generator'!T696),INDEX('Logical Group Generator'!L:L,'Script Generator'!T696)),2),IF(ISERROR(T697),$M$5,$M$4)))</f>
        <v/>
      </c>
      <c r="D695" s="215"/>
      <c r="R695" s="215" t="str">
        <f>IF('Logical Group Generator'!W695="FALSE","",IF('Logical Group Generator'!B695="OTP_RSVD_38_03","",'Logical Group Generator'!B695))</f>
        <v/>
      </c>
      <c r="T695" s="157" t="e">
        <f>MATCH(U695,'Logical Group Generator'!B:B,0)</f>
        <v>#NUM!</v>
      </c>
      <c r="U695" s="157" t="e">
        <f t="array" ref="U695">IF(ROWS($3:695)&lt;=COUNTA($R$3:$R$902),INDEX($R$3:$R$902,SMALL(IF($R$3:$R$902&lt;&gt;"",ROW($R$3:$R$902)-MIN(ROW($R$3:$R$902))+1),ROWS($3:695))),"")</f>
        <v>#NUM!</v>
      </c>
      <c r="W695" s="157" t="e">
        <f>IF(INDEX('Logical Group Generator'!W:W,MATCH(U695,'Logical Group Generator'!B:B,0))="REGISTER","REGISTER","BIT")</f>
        <v>#NUM!</v>
      </c>
    </row>
    <row r="696" spans="2:23">
      <c r="B696" s="157" t="str">
        <f>IF(ISERROR(T697),"",CONCATENATE(IF(W697="BIT",$M$2,$M$1),U697,$M$3,BIN2HEX(IF(W697="BIT",INDEX('Logical Group Generator'!H:H,'Script Generator'!T697),INDEX('Logical Group Generator'!L:L,'Script Generator'!T697)),2),IF(ISERROR(T698),$M$5,$M$4)))</f>
        <v/>
      </c>
      <c r="D696" s="215"/>
      <c r="R696" s="215" t="str">
        <f>IF('Logical Group Generator'!W696="FALSE","",IF('Logical Group Generator'!B696="OTP_RSVD_38_03","",'Logical Group Generator'!B696))</f>
        <v/>
      </c>
      <c r="T696" s="157" t="e">
        <f>MATCH(U696,'Logical Group Generator'!B:B,0)</f>
        <v>#NUM!</v>
      </c>
      <c r="U696" s="157" t="e">
        <f t="array" ref="U696">IF(ROWS($3:696)&lt;=COUNTA($R$3:$R$902),INDEX($R$3:$R$902,SMALL(IF($R$3:$R$902&lt;&gt;"",ROW($R$3:$R$902)-MIN(ROW($R$3:$R$902))+1),ROWS($3:696))),"")</f>
        <v>#NUM!</v>
      </c>
      <c r="W696" s="157" t="e">
        <f>IF(INDEX('Logical Group Generator'!W:W,MATCH(U696,'Logical Group Generator'!B:B,0))="REGISTER","REGISTER","BIT")</f>
        <v>#NUM!</v>
      </c>
    </row>
    <row r="697" spans="2:23">
      <c r="B697" s="157" t="str">
        <f>IF(ISERROR(T698),"",CONCATENATE(IF(W698="BIT",$M$2,$M$1),U698,$M$3,BIN2HEX(IF(W698="BIT",INDEX('Logical Group Generator'!H:H,'Script Generator'!T698),INDEX('Logical Group Generator'!L:L,'Script Generator'!T698)),2),IF(ISERROR(T699),$M$5,$M$4)))</f>
        <v/>
      </c>
      <c r="D697" s="215"/>
      <c r="R697" s="215" t="str">
        <f>IF('Logical Group Generator'!W697="FALSE","",IF('Logical Group Generator'!B697="OTP_RSVD_38_03","",'Logical Group Generator'!B697))</f>
        <v/>
      </c>
      <c r="T697" s="157" t="e">
        <f>MATCH(U697,'Logical Group Generator'!B:B,0)</f>
        <v>#NUM!</v>
      </c>
      <c r="U697" s="157" t="e">
        <f t="array" ref="U697">IF(ROWS($3:697)&lt;=COUNTA($R$3:$R$902),INDEX($R$3:$R$902,SMALL(IF($R$3:$R$902&lt;&gt;"",ROW($R$3:$R$902)-MIN(ROW($R$3:$R$902))+1),ROWS($3:697))),"")</f>
        <v>#NUM!</v>
      </c>
      <c r="W697" s="157" t="e">
        <f>IF(INDEX('Logical Group Generator'!W:W,MATCH(U697,'Logical Group Generator'!B:B,0))="REGISTER","REGISTER","BIT")</f>
        <v>#NUM!</v>
      </c>
    </row>
    <row r="698" spans="2:23">
      <c r="B698" s="157" t="str">
        <f>IF(ISERROR(T699),"",CONCATENATE(IF(W699="BIT",$M$2,$M$1),U699,$M$3,BIN2HEX(IF(W699="BIT",INDEX('Logical Group Generator'!H:H,'Script Generator'!T699),INDEX('Logical Group Generator'!L:L,'Script Generator'!T699)),2),IF(ISERROR(T700),$M$5,$M$4)))</f>
        <v/>
      </c>
      <c r="D698" s="215"/>
      <c r="R698" s="215" t="str">
        <f>IF('Logical Group Generator'!W698="FALSE","",IF('Logical Group Generator'!B698="OTP_RSVD_38_03","",'Logical Group Generator'!B698))</f>
        <v/>
      </c>
      <c r="T698" s="157" t="e">
        <f>MATCH(U698,'Logical Group Generator'!B:B,0)</f>
        <v>#NUM!</v>
      </c>
      <c r="U698" s="157" t="e">
        <f t="array" ref="U698">IF(ROWS($3:698)&lt;=COUNTA($R$3:$R$902),INDEX($R$3:$R$902,SMALL(IF($R$3:$R$902&lt;&gt;"",ROW($R$3:$R$902)-MIN(ROW($R$3:$R$902))+1),ROWS($3:698))),"")</f>
        <v>#NUM!</v>
      </c>
      <c r="W698" s="157" t="e">
        <f>IF(INDEX('Logical Group Generator'!W:W,MATCH(U698,'Logical Group Generator'!B:B,0))="REGISTER","REGISTER","BIT")</f>
        <v>#NUM!</v>
      </c>
    </row>
    <row r="699" spans="2:23">
      <c r="B699" s="157" t="str">
        <f>IF(ISERROR(T700),"",CONCATENATE(IF(W700="BIT",$M$2,$M$1),U700,$M$3,BIN2HEX(IF(W700="BIT",INDEX('Logical Group Generator'!H:H,'Script Generator'!T700),INDEX('Logical Group Generator'!L:L,'Script Generator'!T700)),2),IF(ISERROR(T701),$M$5,$M$4)))</f>
        <v/>
      </c>
      <c r="D699" s="215"/>
      <c r="R699" s="215" t="str">
        <f>IF('Logical Group Generator'!W699="FALSE","",IF('Logical Group Generator'!B699="OTP_RSVD_38_03","",'Logical Group Generator'!B699))</f>
        <v/>
      </c>
      <c r="T699" s="157" t="e">
        <f>MATCH(U699,'Logical Group Generator'!B:B,0)</f>
        <v>#NUM!</v>
      </c>
      <c r="U699" s="157" t="e">
        <f t="array" ref="U699">IF(ROWS($3:699)&lt;=COUNTA($R$3:$R$902),INDEX($R$3:$R$902,SMALL(IF($R$3:$R$902&lt;&gt;"",ROW($R$3:$R$902)-MIN(ROW($R$3:$R$902))+1),ROWS($3:699))),"")</f>
        <v>#NUM!</v>
      </c>
      <c r="W699" s="157" t="e">
        <f>IF(INDEX('Logical Group Generator'!W:W,MATCH(U699,'Logical Group Generator'!B:B,0))="REGISTER","REGISTER","BIT")</f>
        <v>#NUM!</v>
      </c>
    </row>
    <row r="700" spans="2:23">
      <c r="B700" s="157" t="str">
        <f>IF(ISERROR(T701),"",CONCATENATE(IF(W701="BIT",$M$2,$M$1),U701,$M$3,BIN2HEX(IF(W701="BIT",INDEX('Logical Group Generator'!H:H,'Script Generator'!T701),INDEX('Logical Group Generator'!L:L,'Script Generator'!T701)),2),IF(ISERROR(T702),$M$5,$M$4)))</f>
        <v/>
      </c>
      <c r="D700" s="215"/>
      <c r="R700" s="215" t="str">
        <f>IF('Logical Group Generator'!W700="FALSE","",IF('Logical Group Generator'!B700="OTP_RSVD_38_03","",'Logical Group Generator'!B700))</f>
        <v/>
      </c>
      <c r="T700" s="157" t="e">
        <f>MATCH(U700,'Logical Group Generator'!B:B,0)</f>
        <v>#NUM!</v>
      </c>
      <c r="U700" s="157" t="e">
        <f t="array" ref="U700">IF(ROWS($3:700)&lt;=COUNTA($R$3:$R$902),INDEX($R$3:$R$902,SMALL(IF($R$3:$R$902&lt;&gt;"",ROW($R$3:$R$902)-MIN(ROW($R$3:$R$902))+1),ROWS($3:700))),"")</f>
        <v>#NUM!</v>
      </c>
      <c r="W700" s="157" t="e">
        <f>IF(INDEX('Logical Group Generator'!W:W,MATCH(U700,'Logical Group Generator'!B:B,0))="REGISTER","REGISTER","BIT")</f>
        <v>#NUM!</v>
      </c>
    </row>
    <row r="701" spans="2:23">
      <c r="B701" s="157" t="str">
        <f>IF(ISERROR(T702),"",CONCATENATE(IF(W702="BIT",$M$2,$M$1),U702,$M$3,BIN2HEX(IF(W702="BIT",INDEX('Logical Group Generator'!H:H,'Script Generator'!T702),INDEX('Logical Group Generator'!L:L,'Script Generator'!T702)),2),IF(ISERROR(T703),$M$5,$M$4)))</f>
        <v/>
      </c>
      <c r="D701" s="215"/>
      <c r="R701" s="215" t="str">
        <f>IF('Logical Group Generator'!W701="FALSE","",IF('Logical Group Generator'!B701="OTP_RSVD_38_03","",'Logical Group Generator'!B701))</f>
        <v/>
      </c>
      <c r="T701" s="157" t="e">
        <f>MATCH(U701,'Logical Group Generator'!B:B,0)</f>
        <v>#NUM!</v>
      </c>
      <c r="U701" s="157" t="e">
        <f t="array" ref="U701">IF(ROWS($3:701)&lt;=COUNTA($R$3:$R$902),INDEX($R$3:$R$902,SMALL(IF($R$3:$R$902&lt;&gt;"",ROW($R$3:$R$902)-MIN(ROW($R$3:$R$902))+1),ROWS($3:701))),"")</f>
        <v>#NUM!</v>
      </c>
      <c r="W701" s="157" t="e">
        <f>IF(INDEX('Logical Group Generator'!W:W,MATCH(U701,'Logical Group Generator'!B:B,0))="REGISTER","REGISTER","BIT")</f>
        <v>#NUM!</v>
      </c>
    </row>
    <row r="702" spans="2:23">
      <c r="B702" s="157" t="str">
        <f>IF(ISERROR(T703),"",CONCATENATE(IF(W703="BIT",$M$2,$M$1),U703,$M$3,BIN2HEX(IF(W703="BIT",INDEX('Logical Group Generator'!H:H,'Script Generator'!T703),INDEX('Logical Group Generator'!L:L,'Script Generator'!T703)),2),IF(ISERROR(T704),$M$5,$M$4)))</f>
        <v/>
      </c>
      <c r="D702" s="215"/>
      <c r="R702" s="215" t="str">
        <f>IF('Logical Group Generator'!W702="FALSE","",IF('Logical Group Generator'!B702="OTP_RSVD_38_03","",'Logical Group Generator'!B702))</f>
        <v/>
      </c>
      <c r="T702" s="157" t="e">
        <f>MATCH(U702,'Logical Group Generator'!B:B,0)</f>
        <v>#NUM!</v>
      </c>
      <c r="U702" s="157" t="e">
        <f t="array" ref="U702">IF(ROWS($3:702)&lt;=COUNTA($R$3:$R$902),INDEX($R$3:$R$902,SMALL(IF($R$3:$R$902&lt;&gt;"",ROW($R$3:$R$902)-MIN(ROW($R$3:$R$902))+1),ROWS($3:702))),"")</f>
        <v>#NUM!</v>
      </c>
      <c r="W702" s="157" t="e">
        <f>IF(INDEX('Logical Group Generator'!W:W,MATCH(U702,'Logical Group Generator'!B:B,0))="REGISTER","REGISTER","BIT")</f>
        <v>#NUM!</v>
      </c>
    </row>
    <row r="703" spans="2:23">
      <c r="B703" s="157" t="str">
        <f>IF(ISERROR(T704),"",CONCATENATE(IF(W704="BIT",$M$2,$M$1),U704,$M$3,BIN2HEX(IF(W704="BIT",INDEX('Logical Group Generator'!H:H,'Script Generator'!T704),INDEX('Logical Group Generator'!L:L,'Script Generator'!T704)),2),IF(ISERROR(T705),$M$5,$M$4)))</f>
        <v/>
      </c>
      <c r="D703" s="215"/>
      <c r="R703" s="215" t="str">
        <f>IF('Logical Group Generator'!W703="FALSE","",IF('Logical Group Generator'!B703="OTP_RSVD_38_03","",'Logical Group Generator'!B703))</f>
        <v/>
      </c>
      <c r="T703" s="157" t="e">
        <f>MATCH(U703,'Logical Group Generator'!B:B,0)</f>
        <v>#NUM!</v>
      </c>
      <c r="U703" s="157" t="e">
        <f t="array" ref="U703">IF(ROWS($3:703)&lt;=COUNTA($R$3:$R$902),INDEX($R$3:$R$902,SMALL(IF($R$3:$R$902&lt;&gt;"",ROW($R$3:$R$902)-MIN(ROW($R$3:$R$902))+1),ROWS($3:703))),"")</f>
        <v>#NUM!</v>
      </c>
      <c r="W703" s="157" t="e">
        <f>IF(INDEX('Logical Group Generator'!W:W,MATCH(U703,'Logical Group Generator'!B:B,0))="REGISTER","REGISTER","BIT")</f>
        <v>#NUM!</v>
      </c>
    </row>
    <row r="704" spans="2:23">
      <c r="B704" s="157" t="str">
        <f>IF(ISERROR(T705),"",CONCATENATE(IF(W705="BIT",$M$2,$M$1),U705,$M$3,BIN2HEX(IF(W705="BIT",INDEX('Logical Group Generator'!H:H,'Script Generator'!T705),INDEX('Logical Group Generator'!L:L,'Script Generator'!T705)),2),IF(ISERROR(T706),$M$5,$M$4)))</f>
        <v/>
      </c>
      <c r="D704" s="215"/>
      <c r="R704" s="215" t="str">
        <f>IF('Logical Group Generator'!W704="FALSE","",IF('Logical Group Generator'!B704="OTP_RSVD_38_03","",'Logical Group Generator'!B704))</f>
        <v>OTP_RSVD_38_53</v>
      </c>
      <c r="T704" s="157" t="e">
        <f>MATCH(U704,'Logical Group Generator'!B:B,0)</f>
        <v>#NUM!</v>
      </c>
      <c r="U704" s="157" t="e">
        <f t="array" ref="U704">IF(ROWS($3:704)&lt;=COUNTA($R$3:$R$902),INDEX($R$3:$R$902,SMALL(IF($R$3:$R$902&lt;&gt;"",ROW($R$3:$R$902)-MIN(ROW($R$3:$R$902))+1),ROWS($3:704))),"")</f>
        <v>#NUM!</v>
      </c>
      <c r="W704" s="157" t="e">
        <f>IF(INDEX('Logical Group Generator'!W:W,MATCH(U704,'Logical Group Generator'!B:B,0))="REGISTER","REGISTER","BIT")</f>
        <v>#NUM!</v>
      </c>
    </row>
    <row r="705" spans="2:23">
      <c r="B705" s="157" t="str">
        <f>IF(ISERROR(T706),"",CONCATENATE(IF(W706="BIT",$M$2,$M$1),U706,$M$3,BIN2HEX(IF(W706="BIT",INDEX('Logical Group Generator'!H:H,'Script Generator'!T706),INDEX('Logical Group Generator'!L:L,'Script Generator'!T706)),2),IF(ISERROR(T707),$M$5,$M$4)))</f>
        <v/>
      </c>
      <c r="D705" s="215"/>
      <c r="R705" s="215" t="str">
        <f>IF('Logical Group Generator'!W705="FALSE","",IF('Logical Group Generator'!B705="OTP_RSVD_38_03","",'Logical Group Generator'!B705))</f>
        <v/>
      </c>
      <c r="T705" s="157" t="e">
        <f>MATCH(U705,'Logical Group Generator'!B:B,0)</f>
        <v>#NUM!</v>
      </c>
      <c r="U705" s="157" t="e">
        <f t="array" ref="U705">IF(ROWS($3:705)&lt;=COUNTA($R$3:$R$902),INDEX($R$3:$R$902,SMALL(IF($R$3:$R$902&lt;&gt;"",ROW($R$3:$R$902)-MIN(ROW($R$3:$R$902))+1),ROWS($3:705))),"")</f>
        <v>#NUM!</v>
      </c>
      <c r="W705" s="157" t="e">
        <f>IF(INDEX('Logical Group Generator'!W:W,MATCH(U705,'Logical Group Generator'!B:B,0))="REGISTER","REGISTER","BIT")</f>
        <v>#NUM!</v>
      </c>
    </row>
    <row r="706" spans="2:23">
      <c r="B706" s="157" t="str">
        <f>IF(ISERROR(T707),"",CONCATENATE(IF(W707="BIT",$M$2,$M$1),U707,$M$3,BIN2HEX(IF(W707="BIT",INDEX('Logical Group Generator'!H:H,'Script Generator'!T707),INDEX('Logical Group Generator'!L:L,'Script Generator'!T707)),2),IF(ISERROR(T708),$M$5,$M$4)))</f>
        <v/>
      </c>
      <c r="D706" s="215"/>
      <c r="R706" s="215" t="str">
        <f>IF('Logical Group Generator'!W706="FALSE","",IF('Logical Group Generator'!B706="OTP_RSVD_38_03","",'Logical Group Generator'!B706))</f>
        <v/>
      </c>
      <c r="T706" s="157" t="e">
        <f>MATCH(U706,'Logical Group Generator'!B:B,0)</f>
        <v>#NUM!</v>
      </c>
      <c r="U706" s="157" t="e">
        <f t="array" ref="U706">IF(ROWS($3:706)&lt;=COUNTA($R$3:$R$902),INDEX($R$3:$R$902,SMALL(IF($R$3:$R$902&lt;&gt;"",ROW($R$3:$R$902)-MIN(ROW($R$3:$R$902))+1),ROWS($3:706))),"")</f>
        <v>#NUM!</v>
      </c>
      <c r="W706" s="157" t="e">
        <f>IF(INDEX('Logical Group Generator'!W:W,MATCH(U706,'Logical Group Generator'!B:B,0))="REGISTER","REGISTER","BIT")</f>
        <v>#NUM!</v>
      </c>
    </row>
    <row r="707" spans="2:23">
      <c r="B707" s="157" t="str">
        <f>IF(ISERROR(T708),"",CONCATENATE(IF(W708="BIT",$M$2,$M$1),U708,$M$3,BIN2HEX(IF(W708="BIT",INDEX('Logical Group Generator'!H:H,'Script Generator'!T708),INDEX('Logical Group Generator'!L:L,'Script Generator'!T708)),2),IF(ISERROR(T709),$M$5,$M$4)))</f>
        <v/>
      </c>
      <c r="D707" s="215"/>
      <c r="R707" s="215" t="str">
        <f>IF('Logical Group Generator'!W707="FALSE","",IF('Logical Group Generator'!B707="OTP_RSVD_38_03","",'Logical Group Generator'!B707))</f>
        <v/>
      </c>
      <c r="T707" s="157" t="e">
        <f>MATCH(U707,'Logical Group Generator'!B:B,0)</f>
        <v>#NUM!</v>
      </c>
      <c r="U707" s="157" t="e">
        <f t="array" ref="U707">IF(ROWS($3:707)&lt;=COUNTA($R$3:$R$902),INDEX($R$3:$R$902,SMALL(IF($R$3:$R$902&lt;&gt;"",ROW($R$3:$R$902)-MIN(ROW($R$3:$R$902))+1),ROWS($3:707))),"")</f>
        <v>#NUM!</v>
      </c>
      <c r="W707" s="157" t="e">
        <f>IF(INDEX('Logical Group Generator'!W:W,MATCH(U707,'Logical Group Generator'!B:B,0))="REGISTER","REGISTER","BIT")</f>
        <v>#NUM!</v>
      </c>
    </row>
    <row r="708" spans="2:23">
      <c r="B708" s="157" t="str">
        <f>IF(ISERROR(T709),"",CONCATENATE(IF(W709="BIT",$M$2,$M$1),U709,$M$3,BIN2HEX(IF(W709="BIT",INDEX('Logical Group Generator'!H:H,'Script Generator'!T709),INDEX('Logical Group Generator'!L:L,'Script Generator'!T709)),2),IF(ISERROR(T710),$M$5,$M$4)))</f>
        <v/>
      </c>
      <c r="D708" s="215"/>
      <c r="R708" s="215" t="str">
        <f>IF('Logical Group Generator'!W708="FALSE","",IF('Logical Group Generator'!B708="OTP_RSVD_38_03","",'Logical Group Generator'!B708))</f>
        <v/>
      </c>
      <c r="T708" s="157" t="e">
        <f>MATCH(U708,'Logical Group Generator'!B:B,0)</f>
        <v>#NUM!</v>
      </c>
      <c r="U708" s="157" t="e">
        <f t="array" ref="U708">IF(ROWS($3:708)&lt;=COUNTA($R$3:$R$902),INDEX($R$3:$R$902,SMALL(IF($R$3:$R$902&lt;&gt;"",ROW($R$3:$R$902)-MIN(ROW($R$3:$R$902))+1),ROWS($3:708))),"")</f>
        <v>#NUM!</v>
      </c>
      <c r="W708" s="157" t="e">
        <f>IF(INDEX('Logical Group Generator'!W:W,MATCH(U708,'Logical Group Generator'!B:B,0))="REGISTER","REGISTER","BIT")</f>
        <v>#NUM!</v>
      </c>
    </row>
    <row r="709" spans="2:23">
      <c r="B709" s="157" t="str">
        <f>IF(ISERROR(T710),"",CONCATENATE(IF(W710="BIT",$M$2,$M$1),U710,$M$3,BIN2HEX(IF(W710="BIT",INDEX('Logical Group Generator'!H:H,'Script Generator'!T710),INDEX('Logical Group Generator'!L:L,'Script Generator'!T710)),2),IF(ISERROR(T711),$M$5,$M$4)))</f>
        <v/>
      </c>
      <c r="D709" s="215"/>
      <c r="R709" s="215" t="str">
        <f>IF('Logical Group Generator'!W709="FALSE","",IF('Logical Group Generator'!B709="OTP_RSVD_38_03","",'Logical Group Generator'!B709))</f>
        <v/>
      </c>
      <c r="T709" s="157" t="e">
        <f>MATCH(U709,'Logical Group Generator'!B:B,0)</f>
        <v>#NUM!</v>
      </c>
      <c r="U709" s="157" t="e">
        <f t="array" ref="U709">IF(ROWS($3:709)&lt;=COUNTA($R$3:$R$902),INDEX($R$3:$R$902,SMALL(IF($R$3:$R$902&lt;&gt;"",ROW($R$3:$R$902)-MIN(ROW($R$3:$R$902))+1),ROWS($3:709))),"")</f>
        <v>#NUM!</v>
      </c>
      <c r="W709" s="157" t="e">
        <f>IF(INDEX('Logical Group Generator'!W:W,MATCH(U709,'Logical Group Generator'!B:B,0))="REGISTER","REGISTER","BIT")</f>
        <v>#NUM!</v>
      </c>
    </row>
    <row r="710" spans="2:23">
      <c r="B710" s="157" t="str">
        <f>IF(ISERROR(T711),"",CONCATENATE(IF(W711="BIT",$M$2,$M$1),U711,$M$3,BIN2HEX(IF(W711="BIT",INDEX('Logical Group Generator'!H:H,'Script Generator'!T711),INDEX('Logical Group Generator'!L:L,'Script Generator'!T711)),2),IF(ISERROR(T712),$M$5,$M$4)))</f>
        <v/>
      </c>
      <c r="D710" s="215"/>
      <c r="R710" s="215" t="str">
        <f>IF('Logical Group Generator'!W710="FALSE","",IF('Logical Group Generator'!B710="OTP_RSVD_38_03","",'Logical Group Generator'!B710))</f>
        <v/>
      </c>
      <c r="T710" s="157" t="e">
        <f>MATCH(U710,'Logical Group Generator'!B:B,0)</f>
        <v>#NUM!</v>
      </c>
      <c r="U710" s="157" t="e">
        <f t="array" ref="U710">IF(ROWS($3:710)&lt;=COUNTA($R$3:$R$902),INDEX($R$3:$R$902,SMALL(IF($R$3:$R$902&lt;&gt;"",ROW($R$3:$R$902)-MIN(ROW($R$3:$R$902))+1),ROWS($3:710))),"")</f>
        <v>#NUM!</v>
      </c>
      <c r="W710" s="157" t="e">
        <f>IF(INDEX('Logical Group Generator'!W:W,MATCH(U710,'Logical Group Generator'!B:B,0))="REGISTER","REGISTER","BIT")</f>
        <v>#NUM!</v>
      </c>
    </row>
    <row r="711" spans="2:23">
      <c r="B711" s="157" t="str">
        <f>IF(ISERROR(T712),"",CONCATENATE(IF(W712="BIT",$M$2,$M$1),U712,$M$3,BIN2HEX(IF(W712="BIT",INDEX('Logical Group Generator'!H:H,'Script Generator'!T712),INDEX('Logical Group Generator'!L:L,'Script Generator'!T712)),2),IF(ISERROR(T713),$M$5,$M$4)))</f>
        <v/>
      </c>
      <c r="D711" s="215"/>
      <c r="R711" s="215" t="str">
        <f>IF('Logical Group Generator'!W711="FALSE","",IF('Logical Group Generator'!B711="OTP_RSVD_38_03","",'Logical Group Generator'!B711))</f>
        <v/>
      </c>
      <c r="T711" s="157" t="e">
        <f>MATCH(U711,'Logical Group Generator'!B:B,0)</f>
        <v>#NUM!</v>
      </c>
      <c r="U711" s="157" t="e">
        <f t="array" ref="U711">IF(ROWS($3:711)&lt;=COUNTA($R$3:$R$902),INDEX($R$3:$R$902,SMALL(IF($R$3:$R$902&lt;&gt;"",ROW($R$3:$R$902)-MIN(ROW($R$3:$R$902))+1),ROWS($3:711))),"")</f>
        <v>#NUM!</v>
      </c>
      <c r="W711" s="157" t="e">
        <f>IF(INDEX('Logical Group Generator'!W:W,MATCH(U711,'Logical Group Generator'!B:B,0))="REGISTER","REGISTER","BIT")</f>
        <v>#NUM!</v>
      </c>
    </row>
    <row r="712" spans="2:23">
      <c r="B712" s="157" t="str">
        <f>IF(ISERROR(T713),"",CONCATENATE(IF(W713="BIT",$M$2,$M$1),U713,$M$3,BIN2HEX(IF(W713="BIT",INDEX('Logical Group Generator'!H:H,'Script Generator'!T713),INDEX('Logical Group Generator'!L:L,'Script Generator'!T713)),2),IF(ISERROR(T714),$M$5,$M$4)))</f>
        <v/>
      </c>
      <c r="D712" s="215"/>
      <c r="R712" s="215" t="str">
        <f>IF('Logical Group Generator'!W712="FALSE","",IF('Logical Group Generator'!B712="OTP_RSVD_38_03","",'Logical Group Generator'!B712))</f>
        <v/>
      </c>
      <c r="T712" s="157" t="e">
        <f>MATCH(U712,'Logical Group Generator'!B:B,0)</f>
        <v>#NUM!</v>
      </c>
      <c r="U712" s="157" t="e">
        <f t="array" ref="U712">IF(ROWS($3:712)&lt;=COUNTA($R$3:$R$902),INDEX($R$3:$R$902,SMALL(IF($R$3:$R$902&lt;&gt;"",ROW($R$3:$R$902)-MIN(ROW($R$3:$R$902))+1),ROWS($3:712))),"")</f>
        <v>#NUM!</v>
      </c>
      <c r="W712" s="157" t="e">
        <f>IF(INDEX('Logical Group Generator'!W:W,MATCH(U712,'Logical Group Generator'!B:B,0))="REGISTER","REGISTER","BIT")</f>
        <v>#NUM!</v>
      </c>
    </row>
    <row r="713" spans="2:23">
      <c r="B713" s="157" t="str">
        <f>IF(ISERROR(T714),"",CONCATENATE(IF(W714="BIT",$M$2,$M$1),U714,$M$3,BIN2HEX(IF(W714="BIT",INDEX('Logical Group Generator'!H:H,'Script Generator'!T714),INDEX('Logical Group Generator'!L:L,'Script Generator'!T714)),2),IF(ISERROR(T715),$M$5,$M$4)))</f>
        <v/>
      </c>
      <c r="D713" s="215"/>
      <c r="R713" s="215" t="str">
        <f>IF('Logical Group Generator'!W713="FALSE","",IF('Logical Group Generator'!B713="OTP_RSVD_38_03","",'Logical Group Generator'!B713))</f>
        <v/>
      </c>
      <c r="T713" s="157" t="e">
        <f>MATCH(U713,'Logical Group Generator'!B:B,0)</f>
        <v>#NUM!</v>
      </c>
      <c r="U713" s="157" t="e">
        <f t="array" ref="U713">IF(ROWS($3:713)&lt;=COUNTA($R$3:$R$902),INDEX($R$3:$R$902,SMALL(IF($R$3:$R$902&lt;&gt;"",ROW($R$3:$R$902)-MIN(ROW($R$3:$R$902))+1),ROWS($3:713))),"")</f>
        <v>#NUM!</v>
      </c>
      <c r="W713" s="157" t="e">
        <f>IF(INDEX('Logical Group Generator'!W:W,MATCH(U713,'Logical Group Generator'!B:B,0))="REGISTER","REGISTER","BIT")</f>
        <v>#NUM!</v>
      </c>
    </row>
    <row r="714" spans="2:23">
      <c r="B714" s="157" t="str">
        <f>IF(ISERROR(T715),"",CONCATENATE(IF(W715="BIT",$M$2,$M$1),U715,$M$3,BIN2HEX(IF(W715="BIT",INDEX('Logical Group Generator'!H:H,'Script Generator'!T715),INDEX('Logical Group Generator'!L:L,'Script Generator'!T715)),2),IF(ISERROR(T716),$M$5,$M$4)))</f>
        <v/>
      </c>
      <c r="D714" s="215"/>
      <c r="R714" s="215" t="str">
        <f>IF('Logical Group Generator'!W714="FALSE","",IF('Logical Group Generator'!B714="OTP_RSVD_38_03","",'Logical Group Generator'!B714))</f>
        <v/>
      </c>
      <c r="T714" s="157" t="e">
        <f>MATCH(U714,'Logical Group Generator'!B:B,0)</f>
        <v>#NUM!</v>
      </c>
      <c r="U714" s="157" t="e">
        <f t="array" ref="U714">IF(ROWS($3:714)&lt;=COUNTA($R$3:$R$902),INDEX($R$3:$R$902,SMALL(IF($R$3:$R$902&lt;&gt;"",ROW($R$3:$R$902)-MIN(ROW($R$3:$R$902))+1),ROWS($3:714))),"")</f>
        <v>#NUM!</v>
      </c>
      <c r="W714" s="157" t="e">
        <f>IF(INDEX('Logical Group Generator'!W:W,MATCH(U714,'Logical Group Generator'!B:B,0))="REGISTER","REGISTER","BIT")</f>
        <v>#NUM!</v>
      </c>
    </row>
    <row r="715" spans="2:23">
      <c r="B715" s="157" t="str">
        <f>IF(ISERROR(T716),"",CONCATENATE(IF(W716="BIT",$M$2,$M$1),U716,$M$3,BIN2HEX(IF(W716="BIT",INDEX('Logical Group Generator'!H:H,'Script Generator'!T716),INDEX('Logical Group Generator'!L:L,'Script Generator'!T716)),2),IF(ISERROR(T717),$M$5,$M$4)))</f>
        <v/>
      </c>
      <c r="D715" s="215"/>
      <c r="R715" s="215" t="str">
        <f>IF('Logical Group Generator'!W715="FALSE","",IF('Logical Group Generator'!B715="OTP_RSVD_38_03","",'Logical Group Generator'!B715))</f>
        <v/>
      </c>
      <c r="T715" s="157" t="e">
        <f>MATCH(U715,'Logical Group Generator'!B:B,0)</f>
        <v>#NUM!</v>
      </c>
      <c r="U715" s="157" t="e">
        <f t="array" ref="U715">IF(ROWS($3:715)&lt;=COUNTA($R$3:$R$902),INDEX($R$3:$R$902,SMALL(IF($R$3:$R$902&lt;&gt;"",ROW($R$3:$R$902)-MIN(ROW($R$3:$R$902))+1),ROWS($3:715))),"")</f>
        <v>#NUM!</v>
      </c>
      <c r="W715" s="157" t="e">
        <f>IF(INDEX('Logical Group Generator'!W:W,MATCH(U715,'Logical Group Generator'!B:B,0))="REGISTER","REGISTER","BIT")</f>
        <v>#NUM!</v>
      </c>
    </row>
    <row r="716" spans="2:23">
      <c r="D716" s="215"/>
      <c r="R716" s="215" t="str">
        <f>IF('Logical Group Generator'!W716="FALSE","",IF('Logical Group Generator'!B716="OTP_RSVD_38_03","",'Logical Group Generator'!B716))</f>
        <v/>
      </c>
      <c r="T716" s="157" t="e">
        <f>MATCH(U716,'Logical Group Generator'!B:B,0)</f>
        <v>#NUM!</v>
      </c>
      <c r="U716" s="157" t="e">
        <f t="array" ref="U716">IF(ROWS($3:716)&lt;=COUNTA($R$3:$R$902),INDEX($R$3:$R$902,SMALL(IF($R$3:$R$902&lt;&gt;"",ROW($R$3:$R$902)-MIN(ROW($R$3:$R$902))+1),ROWS($3:716))),"")</f>
        <v>#NUM!</v>
      </c>
      <c r="W716" s="157" t="e">
        <f>IF(INDEX('Logical Group Generator'!W:W,MATCH(U716,'Logical Group Generator'!B:B,0))="REGISTER","REGISTER","BIT")</f>
        <v>#NUM!</v>
      </c>
    </row>
    <row r="717" spans="2:23">
      <c r="D717" s="215"/>
      <c r="R717" s="215" t="str">
        <f>IF('Logical Group Generator'!W717="FALSE","",IF('Logical Group Generator'!B717="OTP_RSVD_38_03","",'Logical Group Generator'!B717))</f>
        <v/>
      </c>
      <c r="T717" s="157" t="e">
        <f>MATCH(U717,'Logical Group Generator'!B:B,0)</f>
        <v>#NUM!</v>
      </c>
      <c r="U717" s="157" t="e">
        <f t="array" ref="U717">IF(ROWS($3:717)&lt;=COUNTA($R$3:$R$902),INDEX($R$3:$R$902,SMALL(IF($R$3:$R$902&lt;&gt;"",ROW($R$3:$R$902)-MIN(ROW($R$3:$R$902))+1),ROWS($3:717))),"")</f>
        <v>#NUM!</v>
      </c>
      <c r="W717" s="157" t="e">
        <f>IF(INDEX('Logical Group Generator'!W:W,MATCH(U717,'Logical Group Generator'!B:B,0))="REGISTER","REGISTER","BIT")</f>
        <v>#NUM!</v>
      </c>
    </row>
    <row r="718" spans="2:23">
      <c r="D718" s="215"/>
      <c r="R718" s="215" t="str">
        <f>IF('Logical Group Generator'!W718="FALSE","",IF('Logical Group Generator'!B718="OTP_RSVD_38_03","",'Logical Group Generator'!B718))</f>
        <v/>
      </c>
      <c r="T718" s="157" t="e">
        <f>MATCH(U718,'Logical Group Generator'!B:B,0)</f>
        <v>#NUM!</v>
      </c>
      <c r="U718" s="157" t="e">
        <f t="array" ref="U718">IF(ROWS($3:718)&lt;=COUNTA($R$3:$R$902),INDEX($R$3:$R$902,SMALL(IF($R$3:$R$902&lt;&gt;"",ROW($R$3:$R$902)-MIN(ROW($R$3:$R$902))+1),ROWS($3:718))),"")</f>
        <v>#NUM!</v>
      </c>
      <c r="W718" s="157" t="e">
        <f>IF(INDEX('Logical Group Generator'!W:W,MATCH(U718,'Logical Group Generator'!B:B,0))="REGISTER","REGISTER","BIT")</f>
        <v>#NUM!</v>
      </c>
    </row>
    <row r="719" spans="2:23">
      <c r="D719" s="215"/>
      <c r="R719" s="215" t="str">
        <f>IF('Logical Group Generator'!W719="FALSE","",IF('Logical Group Generator'!B719="OTP_RSVD_38_03","",'Logical Group Generator'!B719))</f>
        <v/>
      </c>
      <c r="T719" s="157" t="e">
        <f>MATCH(U719,'Logical Group Generator'!B:B,0)</f>
        <v>#NUM!</v>
      </c>
      <c r="U719" s="157" t="e">
        <f t="array" ref="U719">IF(ROWS($3:719)&lt;=COUNTA($R$3:$R$902),INDEX($R$3:$R$902,SMALL(IF($R$3:$R$902&lt;&gt;"",ROW($R$3:$R$902)-MIN(ROW($R$3:$R$902))+1),ROWS($3:719))),"")</f>
        <v>#NUM!</v>
      </c>
      <c r="W719" s="157" t="e">
        <f>IF(INDEX('Logical Group Generator'!W:W,MATCH(U719,'Logical Group Generator'!B:B,0))="REGISTER","REGISTER","BIT")</f>
        <v>#NUM!</v>
      </c>
    </row>
    <row r="720" spans="2:23">
      <c r="D720" s="215"/>
      <c r="R720" s="215" t="str">
        <f>IF('Logical Group Generator'!W720="FALSE","",IF('Logical Group Generator'!B720="OTP_RSVD_38_03","",'Logical Group Generator'!B720))</f>
        <v/>
      </c>
      <c r="T720" s="157" t="e">
        <f>MATCH(U720,'Logical Group Generator'!B:B,0)</f>
        <v>#NUM!</v>
      </c>
      <c r="U720" s="157" t="e">
        <f t="array" ref="U720">IF(ROWS($3:720)&lt;=COUNTA($R$3:$R$902),INDEX($R$3:$R$902,SMALL(IF($R$3:$R$902&lt;&gt;"",ROW($R$3:$R$902)-MIN(ROW($R$3:$R$902))+1),ROWS($3:720))),"")</f>
        <v>#NUM!</v>
      </c>
      <c r="W720" s="157" t="e">
        <f>IF(INDEX('Logical Group Generator'!W:W,MATCH(U720,'Logical Group Generator'!B:B,0))="REGISTER","REGISTER","BIT")</f>
        <v>#NUM!</v>
      </c>
    </row>
    <row r="721" spans="4:23">
      <c r="D721" s="215"/>
      <c r="R721" s="215" t="str">
        <f>IF('Logical Group Generator'!W721="FALSE","",IF('Logical Group Generator'!B721="OTP_RSVD_38_03","",'Logical Group Generator'!B721))</f>
        <v/>
      </c>
      <c r="T721" s="157" t="e">
        <f>MATCH(U721,'Logical Group Generator'!B:B,0)</f>
        <v>#NUM!</v>
      </c>
      <c r="U721" s="157" t="e">
        <f t="array" ref="U721">IF(ROWS($3:721)&lt;=COUNTA($R$3:$R$902),INDEX($R$3:$R$902,SMALL(IF($R$3:$R$902&lt;&gt;"",ROW($R$3:$R$902)-MIN(ROW($R$3:$R$902))+1),ROWS($3:721))),"")</f>
        <v>#NUM!</v>
      </c>
      <c r="W721" s="157" t="e">
        <f>IF(INDEX('Logical Group Generator'!W:W,MATCH(U721,'Logical Group Generator'!B:B,0))="REGISTER","REGISTER","BIT")</f>
        <v>#NUM!</v>
      </c>
    </row>
    <row r="722" spans="4:23">
      <c r="D722" s="215"/>
      <c r="R722" s="215" t="str">
        <f>IF('Logical Group Generator'!W722="FALSE","",IF('Logical Group Generator'!B722="OTP_RSVD_38_03","",'Logical Group Generator'!B722))</f>
        <v/>
      </c>
      <c r="T722" s="157" t="e">
        <f>MATCH(U722,'Logical Group Generator'!B:B,0)</f>
        <v>#NUM!</v>
      </c>
      <c r="U722" s="157" t="e">
        <f t="array" ref="U722">IF(ROWS($3:722)&lt;=COUNTA($R$3:$R$902),INDEX($R$3:$R$902,SMALL(IF($R$3:$R$902&lt;&gt;"",ROW($R$3:$R$902)-MIN(ROW($R$3:$R$902))+1),ROWS($3:722))),"")</f>
        <v>#NUM!</v>
      </c>
      <c r="W722" s="157" t="e">
        <f>IF(INDEX('Logical Group Generator'!W:W,MATCH(U722,'Logical Group Generator'!B:B,0))="REGISTER","REGISTER","BIT")</f>
        <v>#NUM!</v>
      </c>
    </row>
    <row r="723" spans="4:23">
      <c r="D723" s="215"/>
      <c r="R723" s="215" t="str">
        <f>IF('Logical Group Generator'!W723="FALSE","",IF('Logical Group Generator'!B723="OTP_RSVD_38_03","",'Logical Group Generator'!B723))</f>
        <v/>
      </c>
      <c r="T723" s="157" t="e">
        <f>MATCH(U723,'Logical Group Generator'!B:B,0)</f>
        <v>#NUM!</v>
      </c>
      <c r="U723" s="157" t="e">
        <f t="array" ref="U723">IF(ROWS($3:723)&lt;=COUNTA($R$3:$R$902),INDEX($R$3:$R$902,SMALL(IF($R$3:$R$902&lt;&gt;"",ROW($R$3:$R$902)-MIN(ROW($R$3:$R$902))+1),ROWS($3:723))),"")</f>
        <v>#NUM!</v>
      </c>
      <c r="W723" s="157" t="e">
        <f>IF(INDEX('Logical Group Generator'!W:W,MATCH(U723,'Logical Group Generator'!B:B,0))="REGISTER","REGISTER","BIT")</f>
        <v>#NUM!</v>
      </c>
    </row>
    <row r="724" spans="4:23">
      <c r="D724" s="215"/>
      <c r="R724" s="215" t="str">
        <f>IF('Logical Group Generator'!W724="FALSE","",IF('Logical Group Generator'!B724="OTP_RSVD_38_03","",'Logical Group Generator'!B724))</f>
        <v/>
      </c>
      <c r="T724" s="157" t="e">
        <f>MATCH(U724,'Logical Group Generator'!B:B,0)</f>
        <v>#NUM!</v>
      </c>
      <c r="U724" s="157" t="e">
        <f t="array" ref="U724">IF(ROWS($3:724)&lt;=COUNTA($R$3:$R$902),INDEX($R$3:$R$902,SMALL(IF($R$3:$R$902&lt;&gt;"",ROW($R$3:$R$902)-MIN(ROW($R$3:$R$902))+1),ROWS($3:724))),"")</f>
        <v>#NUM!</v>
      </c>
      <c r="W724" s="157" t="e">
        <f>IF(INDEX('Logical Group Generator'!W:W,MATCH(U724,'Logical Group Generator'!B:B,0))="REGISTER","REGISTER","BIT")</f>
        <v>#NUM!</v>
      </c>
    </row>
    <row r="725" spans="4:23">
      <c r="D725" s="215"/>
      <c r="R725" s="215" t="str">
        <f>IF('Logical Group Generator'!W725="FALSE","",IF('Logical Group Generator'!B725="OTP_RSVD_38_03","",'Logical Group Generator'!B725))</f>
        <v/>
      </c>
      <c r="T725" s="157" t="e">
        <f>MATCH(U725,'Logical Group Generator'!B:B,0)</f>
        <v>#NUM!</v>
      </c>
      <c r="U725" s="157" t="e">
        <f t="array" ref="U725">IF(ROWS($3:725)&lt;=COUNTA($R$3:$R$902),INDEX($R$3:$R$902,SMALL(IF($R$3:$R$902&lt;&gt;"",ROW($R$3:$R$902)-MIN(ROW($R$3:$R$902))+1),ROWS($3:725))),"")</f>
        <v>#NUM!</v>
      </c>
      <c r="W725" s="157" t="e">
        <f>IF(INDEX('Logical Group Generator'!W:W,MATCH(U725,'Logical Group Generator'!B:B,0))="REGISTER","REGISTER","BIT")</f>
        <v>#NUM!</v>
      </c>
    </row>
    <row r="726" spans="4:23">
      <c r="D726" s="215"/>
      <c r="R726" s="215" t="str">
        <f>IF('Logical Group Generator'!W726="FALSE","",IF('Logical Group Generator'!B726="OTP_RSVD_38_03","",'Logical Group Generator'!B726))</f>
        <v/>
      </c>
      <c r="T726" s="157" t="e">
        <f>MATCH(U726,'Logical Group Generator'!B:B,0)</f>
        <v>#NUM!</v>
      </c>
      <c r="U726" s="157" t="e">
        <f t="array" ref="U726">IF(ROWS($3:726)&lt;=COUNTA($R$3:$R$902),INDEX($R$3:$R$902,SMALL(IF($R$3:$R$902&lt;&gt;"",ROW($R$3:$R$902)-MIN(ROW($R$3:$R$902))+1),ROWS($3:726))),"")</f>
        <v>#NUM!</v>
      </c>
      <c r="W726" s="157" t="e">
        <f>IF(INDEX('Logical Group Generator'!W:W,MATCH(U726,'Logical Group Generator'!B:B,0))="REGISTER","REGISTER","BIT")</f>
        <v>#NUM!</v>
      </c>
    </row>
    <row r="727" spans="4:23">
      <c r="D727" s="215"/>
      <c r="R727" s="215" t="str">
        <f>IF('Logical Group Generator'!W727="FALSE","",IF('Logical Group Generator'!B727="OTP_RSVD_38_03","",'Logical Group Generator'!B727))</f>
        <v/>
      </c>
      <c r="T727" s="157" t="e">
        <f>MATCH(U727,'Logical Group Generator'!B:B,0)</f>
        <v>#NUM!</v>
      </c>
      <c r="U727" s="157" t="e">
        <f t="array" ref="U727">IF(ROWS($3:727)&lt;=COUNTA($R$3:$R$902),INDEX($R$3:$R$902,SMALL(IF($R$3:$R$902&lt;&gt;"",ROW($R$3:$R$902)-MIN(ROW($R$3:$R$902))+1),ROWS($3:727))),"")</f>
        <v>#NUM!</v>
      </c>
      <c r="W727" s="157" t="e">
        <f>IF(INDEX('Logical Group Generator'!W:W,MATCH(U727,'Logical Group Generator'!B:B,0))="REGISTER","REGISTER","BIT")</f>
        <v>#NUM!</v>
      </c>
    </row>
    <row r="728" spans="4:23">
      <c r="D728" s="215"/>
      <c r="R728" s="215" t="str">
        <f>IF('Logical Group Generator'!W728="FALSE","",IF('Logical Group Generator'!B728="OTP_RSVD_38_03","",'Logical Group Generator'!B728))</f>
        <v/>
      </c>
      <c r="T728" s="157" t="e">
        <f>MATCH(U728,'Logical Group Generator'!B:B,0)</f>
        <v>#NUM!</v>
      </c>
      <c r="U728" s="157" t="e">
        <f t="array" ref="U728">IF(ROWS($3:728)&lt;=COUNTA($R$3:$R$902),INDEX($R$3:$R$902,SMALL(IF($R$3:$R$902&lt;&gt;"",ROW($R$3:$R$902)-MIN(ROW($R$3:$R$902))+1),ROWS($3:728))),"")</f>
        <v>#NUM!</v>
      </c>
      <c r="W728" s="157" t="e">
        <f>IF(INDEX('Logical Group Generator'!W:W,MATCH(U728,'Logical Group Generator'!B:B,0))="REGISTER","REGISTER","BIT")</f>
        <v>#NUM!</v>
      </c>
    </row>
    <row r="729" spans="4:23">
      <c r="D729" s="215"/>
      <c r="R729" s="215" t="str">
        <f>IF('Logical Group Generator'!W729="FALSE","",IF('Logical Group Generator'!B729="OTP_RSVD_38_03","",'Logical Group Generator'!B729))</f>
        <v/>
      </c>
      <c r="T729" s="157" t="e">
        <f>MATCH(U729,'Logical Group Generator'!B:B,0)</f>
        <v>#NUM!</v>
      </c>
      <c r="U729" s="157" t="e">
        <f t="array" ref="U729">IF(ROWS($3:729)&lt;=COUNTA($R$3:$R$902),INDEX($R$3:$R$902,SMALL(IF($R$3:$R$902&lt;&gt;"",ROW($R$3:$R$902)-MIN(ROW($R$3:$R$902))+1),ROWS($3:729))),"")</f>
        <v>#NUM!</v>
      </c>
      <c r="W729" s="157" t="e">
        <f>IF(INDEX('Logical Group Generator'!W:W,MATCH(U729,'Logical Group Generator'!B:B,0))="REGISTER","REGISTER","BIT")</f>
        <v>#NUM!</v>
      </c>
    </row>
    <row r="730" spans="4:23">
      <c r="D730" s="215"/>
      <c r="R730" s="215" t="str">
        <f>IF('Logical Group Generator'!W730="FALSE","",IF('Logical Group Generator'!B730="OTP_RSVD_38_03","",'Logical Group Generator'!B730))</f>
        <v/>
      </c>
      <c r="T730" s="157" t="e">
        <f>MATCH(U730,'Logical Group Generator'!B:B,0)</f>
        <v>#NUM!</v>
      </c>
      <c r="U730" s="157" t="e">
        <f t="array" ref="U730">IF(ROWS($3:730)&lt;=COUNTA($R$3:$R$902),INDEX($R$3:$R$902,SMALL(IF($R$3:$R$902&lt;&gt;"",ROW($R$3:$R$902)-MIN(ROW($R$3:$R$902))+1),ROWS($3:730))),"")</f>
        <v>#NUM!</v>
      </c>
      <c r="W730" s="157" t="e">
        <f>IF(INDEX('Logical Group Generator'!W:W,MATCH(U730,'Logical Group Generator'!B:B,0))="REGISTER","REGISTER","BIT")</f>
        <v>#NUM!</v>
      </c>
    </row>
    <row r="731" spans="4:23">
      <c r="D731" s="215"/>
      <c r="R731" s="215" t="str">
        <f>IF('Logical Group Generator'!W731="FALSE","",IF('Logical Group Generator'!B731="OTP_RSVD_38_03","",'Logical Group Generator'!B731))</f>
        <v/>
      </c>
      <c r="T731" s="157" t="e">
        <f>MATCH(U731,'Logical Group Generator'!B:B,0)</f>
        <v>#NUM!</v>
      </c>
      <c r="U731" s="157" t="e">
        <f t="array" ref="U731">IF(ROWS($3:731)&lt;=COUNTA($R$3:$R$902),INDEX($R$3:$R$902,SMALL(IF($R$3:$R$902&lt;&gt;"",ROW($R$3:$R$902)-MIN(ROW($R$3:$R$902))+1),ROWS($3:731))),"")</f>
        <v>#NUM!</v>
      </c>
      <c r="W731" s="157" t="e">
        <f>IF(INDEX('Logical Group Generator'!W:W,MATCH(U731,'Logical Group Generator'!B:B,0))="REGISTER","REGISTER","BIT")</f>
        <v>#NUM!</v>
      </c>
    </row>
    <row r="732" spans="4:23">
      <c r="D732" s="215"/>
      <c r="R732" s="215" t="str">
        <f>IF('Logical Group Generator'!W732="FALSE","",IF('Logical Group Generator'!B732="OTP_RSVD_38_03","",'Logical Group Generator'!B732))</f>
        <v/>
      </c>
      <c r="T732" s="157" t="e">
        <f>MATCH(U732,'Logical Group Generator'!B:B,0)</f>
        <v>#NUM!</v>
      </c>
      <c r="U732" s="157" t="e">
        <f t="array" ref="U732">IF(ROWS($3:732)&lt;=COUNTA($R$3:$R$902),INDEX($R$3:$R$902,SMALL(IF($R$3:$R$902&lt;&gt;"",ROW($R$3:$R$902)-MIN(ROW($R$3:$R$902))+1),ROWS($3:732))),"")</f>
        <v>#NUM!</v>
      </c>
      <c r="W732" s="157" t="e">
        <f>IF(INDEX('Logical Group Generator'!W:W,MATCH(U732,'Logical Group Generator'!B:B,0))="REGISTER","REGISTER","BIT")</f>
        <v>#NUM!</v>
      </c>
    </row>
    <row r="733" spans="4:23">
      <c r="D733" s="215"/>
      <c r="R733" s="215" t="str">
        <f>IF('Logical Group Generator'!W733="FALSE","",IF('Logical Group Generator'!B733="OTP_RSVD_38_03","",'Logical Group Generator'!B733))</f>
        <v>OTP_RSVD_38_5C</v>
      </c>
      <c r="T733" s="157" t="e">
        <f>MATCH(U733,'Logical Group Generator'!B:B,0)</f>
        <v>#NUM!</v>
      </c>
      <c r="U733" s="157" t="e">
        <f t="array" ref="U733">IF(ROWS($3:733)&lt;=COUNTA($R$3:$R$902),INDEX($R$3:$R$902,SMALL(IF($R$3:$R$902&lt;&gt;"",ROW($R$3:$R$902)-MIN(ROW($R$3:$R$902))+1),ROWS($3:733))),"")</f>
        <v>#NUM!</v>
      </c>
      <c r="W733" s="157" t="e">
        <f>IF(INDEX('Logical Group Generator'!W:W,MATCH(U733,'Logical Group Generator'!B:B,0))="REGISTER","REGISTER","BIT")</f>
        <v>#NUM!</v>
      </c>
    </row>
    <row r="734" spans="4:23">
      <c r="D734" s="215"/>
      <c r="R734" s="215" t="str">
        <f>IF('Logical Group Generator'!W734="FALSE","",IF('Logical Group Generator'!B734="OTP_RSVD_38_03","",'Logical Group Generator'!B734))</f>
        <v/>
      </c>
      <c r="T734" s="157" t="e">
        <f>MATCH(U734,'Logical Group Generator'!B:B,0)</f>
        <v>#NUM!</v>
      </c>
      <c r="U734" s="157" t="e">
        <f t="array" ref="U734">IF(ROWS($3:734)&lt;=COUNTA($R$3:$R$902),INDEX($R$3:$R$902,SMALL(IF($R$3:$R$902&lt;&gt;"",ROW($R$3:$R$902)-MIN(ROW($R$3:$R$902))+1),ROWS($3:734))),"")</f>
        <v>#NUM!</v>
      </c>
      <c r="W734" s="157" t="e">
        <f>IF(INDEX('Logical Group Generator'!W:W,MATCH(U734,'Logical Group Generator'!B:B,0))="REGISTER","REGISTER","BIT")</f>
        <v>#NUM!</v>
      </c>
    </row>
    <row r="735" spans="4:23">
      <c r="D735" s="215"/>
      <c r="R735" s="215" t="str">
        <f>IF('Logical Group Generator'!W735="FALSE","",IF('Logical Group Generator'!B735="OTP_RSVD_38_03","",'Logical Group Generator'!B735))</f>
        <v/>
      </c>
      <c r="T735" s="157" t="e">
        <f>MATCH(U735,'Logical Group Generator'!B:B,0)</f>
        <v>#NUM!</v>
      </c>
      <c r="U735" s="157" t="e">
        <f t="array" ref="U735">IF(ROWS($3:735)&lt;=COUNTA($R$3:$R$902),INDEX($R$3:$R$902,SMALL(IF($R$3:$R$902&lt;&gt;"",ROW($R$3:$R$902)-MIN(ROW($R$3:$R$902))+1),ROWS($3:735))),"")</f>
        <v>#NUM!</v>
      </c>
      <c r="W735" s="157" t="e">
        <f>IF(INDEX('Logical Group Generator'!W:W,MATCH(U735,'Logical Group Generator'!B:B,0))="REGISTER","REGISTER","BIT")</f>
        <v>#NUM!</v>
      </c>
    </row>
    <row r="736" spans="4:23">
      <c r="D736" s="215"/>
      <c r="R736" s="215" t="str">
        <f>IF('Logical Group Generator'!W736="FALSE","",IF('Logical Group Generator'!B736="OTP_RSVD_38_03","",'Logical Group Generator'!B736))</f>
        <v/>
      </c>
      <c r="T736" s="157" t="e">
        <f>MATCH(U736,'Logical Group Generator'!B:B,0)</f>
        <v>#NUM!</v>
      </c>
      <c r="U736" s="157" t="e">
        <f t="array" ref="U736">IF(ROWS($3:736)&lt;=COUNTA($R$3:$R$902),INDEX($R$3:$R$902,SMALL(IF($R$3:$R$902&lt;&gt;"",ROW($R$3:$R$902)-MIN(ROW($R$3:$R$902))+1),ROWS($3:736))),"")</f>
        <v>#NUM!</v>
      </c>
      <c r="W736" s="157" t="e">
        <f>IF(INDEX('Logical Group Generator'!W:W,MATCH(U736,'Logical Group Generator'!B:B,0))="REGISTER","REGISTER","BIT")</f>
        <v>#NUM!</v>
      </c>
    </row>
    <row r="737" spans="4:23">
      <c r="D737" s="215"/>
      <c r="R737" s="215" t="str">
        <f>IF('Logical Group Generator'!W737="FALSE","",IF('Logical Group Generator'!B737="OTP_RSVD_38_03","",'Logical Group Generator'!B737))</f>
        <v/>
      </c>
      <c r="T737" s="157" t="e">
        <f>MATCH(U737,'Logical Group Generator'!B:B,0)</f>
        <v>#NUM!</v>
      </c>
      <c r="U737" s="157" t="e">
        <f t="array" ref="U737">IF(ROWS($3:737)&lt;=COUNTA($R$3:$R$902),INDEX($R$3:$R$902,SMALL(IF($R$3:$R$902&lt;&gt;"",ROW($R$3:$R$902)-MIN(ROW($R$3:$R$902))+1),ROWS($3:737))),"")</f>
        <v>#NUM!</v>
      </c>
      <c r="W737" s="157" t="e">
        <f>IF(INDEX('Logical Group Generator'!W:W,MATCH(U737,'Logical Group Generator'!B:B,0))="REGISTER","REGISTER","BIT")</f>
        <v>#NUM!</v>
      </c>
    </row>
    <row r="738" spans="4:23">
      <c r="D738" s="215"/>
      <c r="R738" s="215" t="str">
        <f>IF('Logical Group Generator'!W738="FALSE","",IF('Logical Group Generator'!B738="OTP_RSVD_38_03","",'Logical Group Generator'!B738))</f>
        <v/>
      </c>
      <c r="T738" s="157" t="e">
        <f>MATCH(U738,'Logical Group Generator'!B:B,0)</f>
        <v>#NUM!</v>
      </c>
      <c r="U738" s="157" t="e">
        <f t="array" ref="U738">IF(ROWS($3:738)&lt;=COUNTA($R$3:$R$902),INDEX($R$3:$R$902,SMALL(IF($R$3:$R$902&lt;&gt;"",ROW($R$3:$R$902)-MIN(ROW($R$3:$R$902))+1),ROWS($3:738))),"")</f>
        <v>#NUM!</v>
      </c>
      <c r="W738" s="157" t="e">
        <f>IF(INDEX('Logical Group Generator'!W:W,MATCH(U738,'Logical Group Generator'!B:B,0))="REGISTER","REGISTER","BIT")</f>
        <v>#NUM!</v>
      </c>
    </row>
    <row r="739" spans="4:23">
      <c r="D739" s="215"/>
      <c r="R739" s="215" t="str">
        <f>IF('Logical Group Generator'!W739="FALSE","",IF('Logical Group Generator'!B739="OTP_RSVD_38_03","",'Logical Group Generator'!B739))</f>
        <v/>
      </c>
      <c r="T739" s="157" t="e">
        <f>MATCH(U739,'Logical Group Generator'!B:B,0)</f>
        <v>#NUM!</v>
      </c>
      <c r="U739" s="157" t="e">
        <f t="array" ref="U739">IF(ROWS($3:739)&lt;=COUNTA($R$3:$R$902),INDEX($R$3:$R$902,SMALL(IF($R$3:$R$902&lt;&gt;"",ROW($R$3:$R$902)-MIN(ROW($R$3:$R$902))+1),ROWS($3:739))),"")</f>
        <v>#NUM!</v>
      </c>
      <c r="W739" s="157" t="e">
        <f>IF(INDEX('Logical Group Generator'!W:W,MATCH(U739,'Logical Group Generator'!B:B,0))="REGISTER","REGISTER","BIT")</f>
        <v>#NUM!</v>
      </c>
    </row>
    <row r="740" spans="4:23">
      <c r="D740" s="215"/>
      <c r="R740" s="215" t="str">
        <f>IF('Logical Group Generator'!W740="FALSE","",IF('Logical Group Generator'!B740="OTP_RSVD_38_03","",'Logical Group Generator'!B740))</f>
        <v/>
      </c>
      <c r="T740" s="157" t="e">
        <f>MATCH(U740,'Logical Group Generator'!B:B,0)</f>
        <v>#NUM!</v>
      </c>
      <c r="U740" s="157" t="e">
        <f t="array" ref="U740">IF(ROWS($3:740)&lt;=COUNTA($R$3:$R$902),INDEX($R$3:$R$902,SMALL(IF($R$3:$R$902&lt;&gt;"",ROW($R$3:$R$902)-MIN(ROW($R$3:$R$902))+1),ROWS($3:740))),"")</f>
        <v>#NUM!</v>
      </c>
      <c r="W740" s="157" t="e">
        <f>IF(INDEX('Logical Group Generator'!W:W,MATCH(U740,'Logical Group Generator'!B:B,0))="REGISTER","REGISTER","BIT")</f>
        <v>#NUM!</v>
      </c>
    </row>
    <row r="741" spans="4:23">
      <c r="D741" s="215"/>
      <c r="R741" s="215" t="str">
        <f>IF('Logical Group Generator'!W741="FALSE","",IF('Logical Group Generator'!B741="OTP_RSVD_38_03","",'Logical Group Generator'!B741))</f>
        <v/>
      </c>
      <c r="T741" s="157" t="e">
        <f>MATCH(U741,'Logical Group Generator'!B:B,0)</f>
        <v>#NUM!</v>
      </c>
      <c r="U741" s="157" t="e">
        <f t="array" ref="U741">IF(ROWS($3:741)&lt;=COUNTA($R$3:$R$902),INDEX($R$3:$R$902,SMALL(IF($R$3:$R$902&lt;&gt;"",ROW($R$3:$R$902)-MIN(ROW($R$3:$R$902))+1),ROWS($3:741))),"")</f>
        <v>#NUM!</v>
      </c>
      <c r="W741" s="157" t="e">
        <f>IF(INDEX('Logical Group Generator'!W:W,MATCH(U741,'Logical Group Generator'!B:B,0))="REGISTER","REGISTER","BIT")</f>
        <v>#NUM!</v>
      </c>
    </row>
    <row r="742" spans="4:23">
      <c r="D742" s="215"/>
      <c r="R742" s="215" t="str">
        <f>IF('Logical Group Generator'!W742="FALSE","",IF('Logical Group Generator'!B742="OTP_RSVD_38_03","",'Logical Group Generator'!B742))</f>
        <v>I2CADDRESS</v>
      </c>
      <c r="T742" s="157" t="e">
        <f>MATCH(U742,'Logical Group Generator'!B:B,0)</f>
        <v>#NUM!</v>
      </c>
      <c r="U742" s="157" t="e">
        <f t="array" ref="U742">IF(ROWS($3:742)&lt;=COUNTA($R$3:$R$902),INDEX($R$3:$R$902,SMALL(IF($R$3:$R$902&lt;&gt;"",ROW($R$3:$R$902)-MIN(ROW($R$3:$R$902))+1),ROWS($3:742))),"")</f>
        <v>#NUM!</v>
      </c>
      <c r="W742" s="157" t="e">
        <f>IF(INDEX('Logical Group Generator'!W:W,MATCH(U742,'Logical Group Generator'!B:B,0))="REGISTER","REGISTER","BIT")</f>
        <v>#NUM!</v>
      </c>
    </row>
    <row r="743" spans="4:23">
      <c r="D743" s="215"/>
      <c r="R743" s="215" t="str">
        <f>IF('Logical Group Generator'!W743="FALSE","",IF('Logical Group Generator'!B743="OTP_RSVD_38_03","",'Logical Group Generator'!B743))</f>
        <v/>
      </c>
      <c r="T743" s="157" t="e">
        <f>MATCH(U743,'Logical Group Generator'!B:B,0)</f>
        <v>#NUM!</v>
      </c>
      <c r="U743" s="157" t="e">
        <f t="array" ref="U743">IF(ROWS($3:743)&lt;=COUNTA($R$3:$R$902),INDEX($R$3:$R$902,SMALL(IF($R$3:$R$902&lt;&gt;"",ROW($R$3:$R$902)-MIN(ROW($R$3:$R$902))+1),ROWS($3:743))),"")</f>
        <v>#NUM!</v>
      </c>
      <c r="W743" s="157" t="e">
        <f>IF(INDEX('Logical Group Generator'!W:W,MATCH(U743,'Logical Group Generator'!B:B,0))="REGISTER","REGISTER","BIT")</f>
        <v>#NUM!</v>
      </c>
    </row>
    <row r="744" spans="4:23">
      <c r="D744" s="215"/>
      <c r="R744" s="215" t="str">
        <f>IF('Logical Group Generator'!W744="FALSE","",IF('Logical Group Generator'!B744="OTP_RSVD_38_03","",'Logical Group Generator'!B744))</f>
        <v/>
      </c>
      <c r="T744" s="157" t="e">
        <f>MATCH(U744,'Logical Group Generator'!B:B,0)</f>
        <v>#NUM!</v>
      </c>
      <c r="U744" s="157" t="e">
        <f t="array" ref="U744">IF(ROWS($3:744)&lt;=COUNTA($R$3:$R$902),INDEX($R$3:$R$902,SMALL(IF($R$3:$R$902&lt;&gt;"",ROW($R$3:$R$902)-MIN(ROW($R$3:$R$902))+1),ROWS($3:744))),"")</f>
        <v>#NUM!</v>
      </c>
      <c r="W744" s="157" t="e">
        <f>IF(INDEX('Logical Group Generator'!W:W,MATCH(U744,'Logical Group Generator'!B:B,0))="REGISTER","REGISTER","BIT")</f>
        <v>#NUM!</v>
      </c>
    </row>
    <row r="745" spans="4:23">
      <c r="D745" s="215"/>
      <c r="R745" s="215">
        <f>IF('Logical Group Generator'!W745="FALSE","",IF('Logical Group Generator'!B745="OTP_RSVD_38_03","",'Logical Group Generator'!B745))</f>
        <v>0</v>
      </c>
      <c r="T745" s="157" t="e">
        <f>MATCH(U745,'Logical Group Generator'!B:B,0)</f>
        <v>#NUM!</v>
      </c>
      <c r="U745" s="157" t="e">
        <f t="array" ref="U745">IF(ROWS($3:745)&lt;=COUNTA($R$3:$R$902),INDEX($R$3:$R$902,SMALL(IF($R$3:$R$902&lt;&gt;"",ROW($R$3:$R$902)-MIN(ROW($R$3:$R$902))+1),ROWS($3:745))),"")</f>
        <v>#NUM!</v>
      </c>
      <c r="W745" s="157" t="e">
        <f>IF(INDEX('Logical Group Generator'!W:W,MATCH(U745,'Logical Group Generator'!B:B,0))="REGISTER","REGISTER","BIT")</f>
        <v>#NUM!</v>
      </c>
    </row>
    <row r="746" spans="4:23">
      <c r="D746" s="215"/>
      <c r="R746" s="215">
        <f>IF('Logical Group Generator'!W746="FALSE","",IF('Logical Group Generator'!B746="OTP_RSVD_38_03","",'Logical Group Generator'!B746))</f>
        <v>0</v>
      </c>
      <c r="T746" s="157" t="e">
        <f>MATCH(U746,'Logical Group Generator'!B:B,0)</f>
        <v>#NUM!</v>
      </c>
      <c r="U746" s="157" t="e">
        <f t="array" ref="U746">IF(ROWS($3:746)&lt;=COUNTA($R$3:$R$902),INDEX($R$3:$R$902,SMALL(IF($R$3:$R$902&lt;&gt;"",ROW($R$3:$R$902)-MIN(ROW($R$3:$R$902))+1),ROWS($3:746))),"")</f>
        <v>#NUM!</v>
      </c>
      <c r="W746" s="157" t="e">
        <f>IF(INDEX('Logical Group Generator'!W:W,MATCH(U746,'Logical Group Generator'!B:B,0))="REGISTER","REGISTER","BIT")</f>
        <v>#NUM!</v>
      </c>
    </row>
    <row r="747" spans="4:23">
      <c r="D747" s="215"/>
      <c r="R747" s="215">
        <f>IF('Logical Group Generator'!W747="FALSE","",IF('Logical Group Generator'!B747="OTP_RSVD_38_03","",'Logical Group Generator'!B747))</f>
        <v>0</v>
      </c>
      <c r="T747" s="157" t="e">
        <f>MATCH(U747,'Logical Group Generator'!B:B,0)</f>
        <v>#NUM!</v>
      </c>
      <c r="U747" s="157" t="e">
        <f t="array" ref="U747">IF(ROWS($3:747)&lt;=COUNTA($R$3:$R$902),INDEX($R$3:$R$902,SMALL(IF($R$3:$R$902&lt;&gt;"",ROW($R$3:$R$902)-MIN(ROW($R$3:$R$902))+1),ROWS($3:747))),"")</f>
        <v>#NUM!</v>
      </c>
      <c r="W747" s="157" t="e">
        <f>IF(INDEX('Logical Group Generator'!W:W,MATCH(U747,'Logical Group Generator'!B:B,0))="REGISTER","REGISTER","BIT")</f>
        <v>#NUM!</v>
      </c>
    </row>
    <row r="748" spans="4:23">
      <c r="D748" s="215"/>
      <c r="R748" s="215">
        <f>IF('Logical Group Generator'!W748="FALSE","",IF('Logical Group Generator'!B748="OTP_RSVD_38_03","",'Logical Group Generator'!B748))</f>
        <v>0</v>
      </c>
      <c r="T748" s="157" t="e">
        <f>MATCH(U748,'Logical Group Generator'!B:B,0)</f>
        <v>#NUM!</v>
      </c>
      <c r="U748" s="157" t="e">
        <f t="array" ref="U748">IF(ROWS($3:748)&lt;=COUNTA($R$3:$R$902),INDEX($R$3:$R$902,SMALL(IF($R$3:$R$902&lt;&gt;"",ROW($R$3:$R$902)-MIN(ROW($R$3:$R$902))+1),ROWS($3:748))),"")</f>
        <v>#NUM!</v>
      </c>
      <c r="W748" s="157" t="e">
        <f>IF(INDEX('Logical Group Generator'!W:W,MATCH(U748,'Logical Group Generator'!B:B,0))="REGISTER","REGISTER","BIT")</f>
        <v>#NUM!</v>
      </c>
    </row>
    <row r="749" spans="4:23">
      <c r="D749" s="215"/>
      <c r="R749" s="215">
        <f>IF('Logical Group Generator'!W749="FALSE","",IF('Logical Group Generator'!B749="OTP_RSVD_38_03","",'Logical Group Generator'!B749))</f>
        <v>0</v>
      </c>
      <c r="T749" s="157" t="e">
        <f>MATCH(U749,'Logical Group Generator'!B:B,0)</f>
        <v>#NUM!</v>
      </c>
      <c r="U749" s="157" t="e">
        <f t="array" ref="U749">IF(ROWS($3:749)&lt;=COUNTA($R$3:$R$902),INDEX($R$3:$R$902,SMALL(IF($R$3:$R$902&lt;&gt;"",ROW($R$3:$R$902)-MIN(ROW($R$3:$R$902))+1),ROWS($3:749))),"")</f>
        <v>#NUM!</v>
      </c>
      <c r="W749" s="157" t="e">
        <f>IF(INDEX('Logical Group Generator'!W:W,MATCH(U749,'Logical Group Generator'!B:B,0))="REGISTER","REGISTER","BIT")</f>
        <v>#NUM!</v>
      </c>
    </row>
    <row r="750" spans="4:23">
      <c r="D750" s="215"/>
      <c r="R750" s="215">
        <f>IF('Logical Group Generator'!W750="FALSE","",IF('Logical Group Generator'!B750="OTP_RSVD_38_03","",'Logical Group Generator'!B750))</f>
        <v>0</v>
      </c>
      <c r="T750" s="157" t="e">
        <f>MATCH(U750,'Logical Group Generator'!B:B,0)</f>
        <v>#NUM!</v>
      </c>
      <c r="U750" s="157" t="e">
        <f t="array" ref="U750">IF(ROWS($3:750)&lt;=COUNTA($R$3:$R$902),INDEX($R$3:$R$902,SMALL(IF($R$3:$R$902&lt;&gt;"",ROW($R$3:$R$902)-MIN(ROW($R$3:$R$902))+1),ROWS($3:750))),"")</f>
        <v>#NUM!</v>
      </c>
      <c r="W750" s="157" t="e">
        <f>IF(INDEX('Logical Group Generator'!W:W,MATCH(U750,'Logical Group Generator'!B:B,0))="REGISTER","REGISTER","BIT")</f>
        <v>#NUM!</v>
      </c>
    </row>
    <row r="751" spans="4:23">
      <c r="D751" s="215"/>
      <c r="R751" s="215">
        <f>IF('Logical Group Generator'!W751="FALSE","",IF('Logical Group Generator'!B751="OTP_RSVD_38_03","",'Logical Group Generator'!B751))</f>
        <v>0</v>
      </c>
      <c r="T751" s="157" t="e">
        <f>MATCH(U751,'Logical Group Generator'!B:B,0)</f>
        <v>#NUM!</v>
      </c>
      <c r="U751" s="157" t="e">
        <f t="array" ref="U751">IF(ROWS($3:751)&lt;=COUNTA($R$3:$R$902),INDEX($R$3:$R$902,SMALL(IF($R$3:$R$902&lt;&gt;"",ROW($R$3:$R$902)-MIN(ROW($R$3:$R$902))+1),ROWS($3:751))),"")</f>
        <v>#NUM!</v>
      </c>
      <c r="W751" s="157" t="e">
        <f>IF(INDEX('Logical Group Generator'!W:W,MATCH(U751,'Logical Group Generator'!B:B,0))="REGISTER","REGISTER","BIT")</f>
        <v>#NUM!</v>
      </c>
    </row>
    <row r="752" spans="4:23">
      <c r="D752" s="215"/>
      <c r="R752" s="215">
        <f>IF('Logical Group Generator'!W752="FALSE","",IF('Logical Group Generator'!B752="OTP_RSVD_38_03","",'Logical Group Generator'!B752))</f>
        <v>0</v>
      </c>
      <c r="T752" s="157" t="e">
        <f>MATCH(U752,'Logical Group Generator'!B:B,0)</f>
        <v>#NUM!</v>
      </c>
      <c r="U752" s="157" t="e">
        <f t="array" ref="U752">IF(ROWS($3:752)&lt;=COUNTA($R$3:$R$902),INDEX($R$3:$R$902,SMALL(IF($R$3:$R$902&lt;&gt;"",ROW($R$3:$R$902)-MIN(ROW($R$3:$R$902))+1),ROWS($3:752))),"")</f>
        <v>#NUM!</v>
      </c>
      <c r="W752" s="157" t="e">
        <f>IF(INDEX('Logical Group Generator'!W:W,MATCH(U752,'Logical Group Generator'!B:B,0))="REGISTER","REGISTER","BIT")</f>
        <v>#NUM!</v>
      </c>
    </row>
    <row r="753" spans="4:23">
      <c r="D753" s="215"/>
      <c r="R753" s="215">
        <f>IF('Logical Group Generator'!W753="FALSE","",IF('Logical Group Generator'!B753="OTP_RSVD_38_03","",'Logical Group Generator'!B753))</f>
        <v>0</v>
      </c>
      <c r="T753" s="157" t="e">
        <f>MATCH(U753,'Logical Group Generator'!B:B,0)</f>
        <v>#NUM!</v>
      </c>
      <c r="U753" s="157" t="e">
        <f t="array" ref="U753">IF(ROWS($3:753)&lt;=COUNTA($R$3:$R$902),INDEX($R$3:$R$902,SMALL(IF($R$3:$R$902&lt;&gt;"",ROW($R$3:$R$902)-MIN(ROW($R$3:$R$902))+1),ROWS($3:753))),"")</f>
        <v>#NUM!</v>
      </c>
      <c r="W753" s="157" t="e">
        <f>IF(INDEX('Logical Group Generator'!W:W,MATCH(U753,'Logical Group Generator'!B:B,0))="REGISTER","REGISTER","BIT")</f>
        <v>#NUM!</v>
      </c>
    </row>
    <row r="754" spans="4:23">
      <c r="D754" s="215"/>
      <c r="R754" s="215">
        <f>IF('Logical Group Generator'!W754="FALSE","",IF('Logical Group Generator'!B754="OTP_RSVD_38_03","",'Logical Group Generator'!B754))</f>
        <v>0</v>
      </c>
      <c r="T754" s="157" t="e">
        <f>MATCH(U754,'Logical Group Generator'!B:B,0)</f>
        <v>#NUM!</v>
      </c>
      <c r="U754" s="157" t="e">
        <f t="array" ref="U754">IF(ROWS($3:754)&lt;=COUNTA($R$3:$R$902),INDEX($R$3:$R$902,SMALL(IF($R$3:$R$902&lt;&gt;"",ROW($R$3:$R$902)-MIN(ROW($R$3:$R$902))+1),ROWS($3:754))),"")</f>
        <v>#NUM!</v>
      </c>
      <c r="W754" s="157" t="e">
        <f>IF(INDEX('Logical Group Generator'!W:W,MATCH(U754,'Logical Group Generator'!B:B,0))="REGISTER","REGISTER","BIT")</f>
        <v>#NUM!</v>
      </c>
    </row>
    <row r="755" spans="4:23">
      <c r="D755" s="215"/>
      <c r="R755" s="215">
        <f>IF('Logical Group Generator'!W755="FALSE","",IF('Logical Group Generator'!B755="OTP_RSVD_38_03","",'Logical Group Generator'!B755))</f>
        <v>0</v>
      </c>
      <c r="T755" s="157" t="e">
        <f>MATCH(U755,'Logical Group Generator'!B:B,0)</f>
        <v>#NUM!</v>
      </c>
      <c r="U755" s="157" t="e">
        <f t="array" ref="U755">IF(ROWS($3:755)&lt;=COUNTA($R$3:$R$902),INDEX($R$3:$R$902,SMALL(IF($R$3:$R$902&lt;&gt;"",ROW($R$3:$R$902)-MIN(ROW($R$3:$R$902))+1),ROWS($3:755))),"")</f>
        <v>#NUM!</v>
      </c>
      <c r="W755" s="157" t="e">
        <f>IF(INDEX('Logical Group Generator'!W:W,MATCH(U755,'Logical Group Generator'!B:B,0))="REGISTER","REGISTER","BIT")</f>
        <v>#NUM!</v>
      </c>
    </row>
    <row r="756" spans="4:23">
      <c r="D756" s="215"/>
      <c r="R756" s="215">
        <f>IF('Logical Group Generator'!W756="FALSE","",IF('Logical Group Generator'!B756="OTP_RSVD_38_03","",'Logical Group Generator'!B756))</f>
        <v>0</v>
      </c>
      <c r="T756" s="157" t="e">
        <f>MATCH(U756,'Logical Group Generator'!B:B,0)</f>
        <v>#NUM!</v>
      </c>
      <c r="U756" s="157" t="e">
        <f t="array" ref="U756">IF(ROWS($3:756)&lt;=COUNTA($R$3:$R$902),INDEX($R$3:$R$902,SMALL(IF($R$3:$R$902&lt;&gt;"",ROW($R$3:$R$902)-MIN(ROW($R$3:$R$902))+1),ROWS($3:756))),"")</f>
        <v>#NUM!</v>
      </c>
      <c r="W756" s="157" t="e">
        <f>IF(INDEX('Logical Group Generator'!W:W,MATCH(U756,'Logical Group Generator'!B:B,0))="REGISTER","REGISTER","BIT")</f>
        <v>#NUM!</v>
      </c>
    </row>
    <row r="757" spans="4:23">
      <c r="D757" s="215"/>
      <c r="R757" s="215">
        <f>IF('Logical Group Generator'!W757="FALSE","",IF('Logical Group Generator'!B757="OTP_RSVD_38_03","",'Logical Group Generator'!B757))</f>
        <v>0</v>
      </c>
      <c r="T757" s="157" t="e">
        <f>MATCH(U757,'Logical Group Generator'!B:B,0)</f>
        <v>#NUM!</v>
      </c>
      <c r="U757" s="157" t="e">
        <f t="array" ref="U757">IF(ROWS($3:757)&lt;=COUNTA($R$3:$R$902),INDEX($R$3:$R$902,SMALL(IF($R$3:$R$902&lt;&gt;"",ROW($R$3:$R$902)-MIN(ROW($R$3:$R$902))+1),ROWS($3:757))),"")</f>
        <v>#NUM!</v>
      </c>
      <c r="W757" s="157" t="e">
        <f>IF(INDEX('Logical Group Generator'!W:W,MATCH(U757,'Logical Group Generator'!B:B,0))="REGISTER","REGISTER","BIT")</f>
        <v>#NUM!</v>
      </c>
    </row>
    <row r="758" spans="4:23">
      <c r="D758" s="215"/>
      <c r="R758" s="215">
        <f>IF('Logical Group Generator'!W758="FALSE","",IF('Logical Group Generator'!B758="OTP_RSVD_38_03","",'Logical Group Generator'!B758))</f>
        <v>0</v>
      </c>
      <c r="T758" s="157" t="e">
        <f>MATCH(U758,'Logical Group Generator'!B:B,0)</f>
        <v>#NUM!</v>
      </c>
      <c r="U758" s="157" t="e">
        <f t="array" ref="U758">IF(ROWS($3:758)&lt;=COUNTA($R$3:$R$902),INDEX($R$3:$R$902,SMALL(IF($R$3:$R$902&lt;&gt;"",ROW($R$3:$R$902)-MIN(ROW($R$3:$R$902))+1),ROWS($3:758))),"")</f>
        <v>#NUM!</v>
      </c>
      <c r="W758" s="157" t="e">
        <f>IF(INDEX('Logical Group Generator'!W:W,MATCH(U758,'Logical Group Generator'!B:B,0))="REGISTER","REGISTER","BIT")</f>
        <v>#NUM!</v>
      </c>
    </row>
    <row r="759" spans="4:23">
      <c r="D759" s="215"/>
      <c r="R759" s="215">
        <f>IF('Logical Group Generator'!W759="FALSE","",IF('Logical Group Generator'!B759="OTP_RSVD_38_03","",'Logical Group Generator'!B759))</f>
        <v>0</v>
      </c>
      <c r="T759" s="157" t="e">
        <f>MATCH(U759,'Logical Group Generator'!B:B,0)</f>
        <v>#NUM!</v>
      </c>
      <c r="U759" s="157" t="e">
        <f t="array" ref="U759">IF(ROWS($3:759)&lt;=COUNTA($R$3:$R$902),INDEX($R$3:$R$902,SMALL(IF($R$3:$R$902&lt;&gt;"",ROW($R$3:$R$902)-MIN(ROW($R$3:$R$902))+1),ROWS($3:759))),"")</f>
        <v>#NUM!</v>
      </c>
      <c r="W759" s="157" t="e">
        <f>IF(INDEX('Logical Group Generator'!W:W,MATCH(U759,'Logical Group Generator'!B:B,0))="REGISTER","REGISTER","BIT")</f>
        <v>#NUM!</v>
      </c>
    </row>
    <row r="760" spans="4:23">
      <c r="D760" s="215"/>
      <c r="R760" s="215">
        <f>IF('Logical Group Generator'!W760="FALSE","",IF('Logical Group Generator'!B760="OTP_RSVD_38_03","",'Logical Group Generator'!B760))</f>
        <v>0</v>
      </c>
      <c r="T760" s="157" t="e">
        <f>MATCH(U760,'Logical Group Generator'!B:B,0)</f>
        <v>#NUM!</v>
      </c>
      <c r="U760" s="157" t="e">
        <f t="array" ref="U760">IF(ROWS($3:760)&lt;=COUNTA($R$3:$R$902),INDEX($R$3:$R$902,SMALL(IF($R$3:$R$902&lt;&gt;"",ROW($R$3:$R$902)-MIN(ROW($R$3:$R$902))+1),ROWS($3:760))),"")</f>
        <v>#NUM!</v>
      </c>
      <c r="W760" s="157" t="e">
        <f>IF(INDEX('Logical Group Generator'!W:W,MATCH(U760,'Logical Group Generator'!B:B,0))="REGISTER","REGISTER","BIT")</f>
        <v>#NUM!</v>
      </c>
    </row>
    <row r="761" spans="4:23">
      <c r="D761" s="215"/>
      <c r="R761" s="215">
        <f>IF('Logical Group Generator'!W761="FALSE","",IF('Logical Group Generator'!B761="OTP_RSVD_38_03","",'Logical Group Generator'!B761))</f>
        <v>0</v>
      </c>
      <c r="T761" s="157" t="e">
        <f>MATCH(U761,'Logical Group Generator'!B:B,0)</f>
        <v>#NUM!</v>
      </c>
      <c r="U761" s="157" t="e">
        <f t="array" ref="U761">IF(ROWS($3:761)&lt;=COUNTA($R$3:$R$902),INDEX($R$3:$R$902,SMALL(IF($R$3:$R$902&lt;&gt;"",ROW($R$3:$R$902)-MIN(ROW($R$3:$R$902))+1),ROWS($3:761))),"")</f>
        <v>#NUM!</v>
      </c>
      <c r="W761" s="157" t="e">
        <f>IF(INDEX('Logical Group Generator'!W:W,MATCH(U761,'Logical Group Generator'!B:B,0))="REGISTER","REGISTER","BIT")</f>
        <v>#NUM!</v>
      </c>
    </row>
    <row r="762" spans="4:23">
      <c r="D762" s="215"/>
      <c r="R762" s="215">
        <f>IF('Logical Group Generator'!W762="FALSE","",IF('Logical Group Generator'!B762="OTP_RSVD_38_03","",'Logical Group Generator'!B762))</f>
        <v>0</v>
      </c>
      <c r="T762" s="157" t="e">
        <f>MATCH(U762,'Logical Group Generator'!B:B,0)</f>
        <v>#NUM!</v>
      </c>
      <c r="U762" s="157" t="e">
        <f t="array" ref="U762">IF(ROWS($3:762)&lt;=COUNTA($R$3:$R$902),INDEX($R$3:$R$902,SMALL(IF($R$3:$R$902&lt;&gt;"",ROW($R$3:$R$902)-MIN(ROW($R$3:$R$902))+1),ROWS($3:762))),"")</f>
        <v>#NUM!</v>
      </c>
      <c r="W762" s="157" t="e">
        <f>IF(INDEX('Logical Group Generator'!W:W,MATCH(U762,'Logical Group Generator'!B:B,0))="REGISTER","REGISTER","BIT")</f>
        <v>#NUM!</v>
      </c>
    </row>
    <row r="763" spans="4:23">
      <c r="D763" s="215"/>
      <c r="R763" s="215">
        <f>IF('Logical Group Generator'!W763="FALSE","",IF('Logical Group Generator'!B763="OTP_RSVD_38_03","",'Logical Group Generator'!B763))</f>
        <v>0</v>
      </c>
      <c r="T763" s="157" t="e">
        <f>MATCH(U763,'Logical Group Generator'!B:B,0)</f>
        <v>#NUM!</v>
      </c>
      <c r="U763" s="157" t="e">
        <f t="array" ref="U763">IF(ROWS($3:763)&lt;=COUNTA($R$3:$R$902),INDEX($R$3:$R$902,SMALL(IF($R$3:$R$902&lt;&gt;"",ROW($R$3:$R$902)-MIN(ROW($R$3:$R$902))+1),ROWS($3:763))),"")</f>
        <v>#NUM!</v>
      </c>
      <c r="W763" s="157" t="e">
        <f>IF(INDEX('Logical Group Generator'!W:W,MATCH(U763,'Logical Group Generator'!B:B,0))="REGISTER","REGISTER","BIT")</f>
        <v>#NUM!</v>
      </c>
    </row>
    <row r="764" spans="4:23">
      <c r="D764" s="215"/>
      <c r="R764" s="215">
        <f>IF('Logical Group Generator'!W764="FALSE","",IF('Logical Group Generator'!B764="OTP_RSVD_38_03","",'Logical Group Generator'!B764))</f>
        <v>0</v>
      </c>
      <c r="T764" s="157" t="e">
        <f>MATCH(U764,'Logical Group Generator'!B:B,0)</f>
        <v>#NUM!</v>
      </c>
      <c r="U764" s="157" t="e">
        <f t="array" ref="U764">IF(ROWS($3:764)&lt;=COUNTA($R$3:$R$902),INDEX($R$3:$R$902,SMALL(IF($R$3:$R$902&lt;&gt;"",ROW($R$3:$R$902)-MIN(ROW($R$3:$R$902))+1),ROWS($3:764))),"")</f>
        <v>#NUM!</v>
      </c>
      <c r="W764" s="157" t="e">
        <f>IF(INDEX('Logical Group Generator'!W:W,MATCH(U764,'Logical Group Generator'!B:B,0))="REGISTER","REGISTER","BIT")</f>
        <v>#NUM!</v>
      </c>
    </row>
    <row r="765" spans="4:23">
      <c r="D765" s="215"/>
      <c r="R765" s="215">
        <f>IF('Logical Group Generator'!W765="FALSE","",IF('Logical Group Generator'!B765="OTP_RSVD_38_03","",'Logical Group Generator'!B765))</f>
        <v>0</v>
      </c>
      <c r="T765" s="157" t="e">
        <f>MATCH(U765,'Logical Group Generator'!B:B,0)</f>
        <v>#NUM!</v>
      </c>
      <c r="U765" s="157" t="e">
        <f t="array" ref="U765">IF(ROWS($3:765)&lt;=COUNTA($R$3:$R$902),INDEX($R$3:$R$902,SMALL(IF($R$3:$R$902&lt;&gt;"",ROW($R$3:$R$902)-MIN(ROW($R$3:$R$902))+1),ROWS($3:765))),"")</f>
        <v>#NUM!</v>
      </c>
      <c r="W765" s="157" t="e">
        <f>IF(INDEX('Logical Group Generator'!W:W,MATCH(U765,'Logical Group Generator'!B:B,0))="REGISTER","REGISTER","BIT")</f>
        <v>#NUM!</v>
      </c>
    </row>
    <row r="766" spans="4:23">
      <c r="D766" s="215"/>
      <c r="R766" s="215">
        <f>IF('Logical Group Generator'!W766="FALSE","",IF('Logical Group Generator'!B766="OTP_RSVD_38_03","",'Logical Group Generator'!B766))</f>
        <v>0</v>
      </c>
      <c r="T766" s="157" t="e">
        <f>MATCH(U766,'Logical Group Generator'!B:B,0)</f>
        <v>#NUM!</v>
      </c>
      <c r="U766" s="157" t="e">
        <f t="array" ref="U766">IF(ROWS($3:766)&lt;=COUNTA($R$3:$R$902),INDEX($R$3:$R$902,SMALL(IF($R$3:$R$902&lt;&gt;"",ROW($R$3:$R$902)-MIN(ROW($R$3:$R$902))+1),ROWS($3:766))),"")</f>
        <v>#NUM!</v>
      </c>
      <c r="W766" s="157" t="e">
        <f>IF(INDEX('Logical Group Generator'!W:W,MATCH(U766,'Logical Group Generator'!B:B,0))="REGISTER","REGISTER","BIT")</f>
        <v>#NUM!</v>
      </c>
    </row>
    <row r="767" spans="4:23">
      <c r="D767" s="215"/>
      <c r="R767" s="215">
        <f>IF('Logical Group Generator'!W767="FALSE","",IF('Logical Group Generator'!B767="OTP_RSVD_38_03","",'Logical Group Generator'!B767))</f>
        <v>0</v>
      </c>
      <c r="T767" s="157" t="e">
        <f>MATCH(U767,'Logical Group Generator'!B:B,0)</f>
        <v>#NUM!</v>
      </c>
      <c r="U767" s="157" t="e">
        <f t="array" ref="U767">IF(ROWS($3:767)&lt;=COUNTA($R$3:$R$902),INDEX($R$3:$R$902,SMALL(IF($R$3:$R$902&lt;&gt;"",ROW($R$3:$R$902)-MIN(ROW($R$3:$R$902))+1),ROWS($3:767))),"")</f>
        <v>#NUM!</v>
      </c>
      <c r="W767" s="157" t="e">
        <f>IF(INDEX('Logical Group Generator'!W:W,MATCH(U767,'Logical Group Generator'!B:B,0))="REGISTER","REGISTER","BIT")</f>
        <v>#NUM!</v>
      </c>
    </row>
    <row r="768" spans="4:23">
      <c r="D768" s="215"/>
      <c r="R768" s="215">
        <f>IF('Logical Group Generator'!W768="FALSE","",IF('Logical Group Generator'!B768="OTP_RSVD_38_03","",'Logical Group Generator'!B768))</f>
        <v>0</v>
      </c>
      <c r="T768" s="157" t="e">
        <f>MATCH(U768,'Logical Group Generator'!B:B,0)</f>
        <v>#NUM!</v>
      </c>
      <c r="U768" s="157" t="e">
        <f t="array" ref="U768">IF(ROWS($3:768)&lt;=COUNTA($R$3:$R$902),INDEX($R$3:$R$902,SMALL(IF($R$3:$R$902&lt;&gt;"",ROW($R$3:$R$902)-MIN(ROW($R$3:$R$902))+1),ROWS($3:768))),"")</f>
        <v>#NUM!</v>
      </c>
      <c r="W768" s="157" t="e">
        <f>IF(INDEX('Logical Group Generator'!W:W,MATCH(U768,'Logical Group Generator'!B:B,0))="REGISTER","REGISTER","BIT")</f>
        <v>#NUM!</v>
      </c>
    </row>
    <row r="769" spans="4:23">
      <c r="D769" s="215" t="str">
        <f>RIGHT(INDEX('Logical Group Generator'!E:E,T775),2)</f>
        <v/>
      </c>
      <c r="R769" s="215">
        <f>IF('Logical Group Generator'!W769="FALSE","",IF('Logical Group Generator'!B769="OTP_RSVD_38_03","",'Logical Group Generator'!B769))</f>
        <v>0</v>
      </c>
      <c r="T769" s="157" t="e">
        <f>MATCH(U769,'Logical Group Generator'!B:B,0)</f>
        <v>#NUM!</v>
      </c>
      <c r="U769" s="157" t="e">
        <f t="array" ref="U769">IF(ROWS($3:769)&lt;=COUNTA($R$3:$R$902),INDEX($R$3:$R$902,SMALL(IF($R$3:$R$902&lt;&gt;"",ROW($R$3:$R$902)-MIN(ROW($R$3:$R$902))+1),ROWS($3:769))),"")</f>
        <v>#NUM!</v>
      </c>
      <c r="W769" s="157" t="e">
        <f>IF(INDEX('Logical Group Generator'!W:W,MATCH(U769,'Logical Group Generator'!B:B,0))="REGISTER","REGISTER","BIT")</f>
        <v>#NUM!</v>
      </c>
    </row>
    <row r="770" spans="4:23">
      <c r="D770" s="215" t="str">
        <f>RIGHT(INDEX('Logical Group Generator'!E:E,T776),2)</f>
        <v/>
      </c>
      <c r="R770" s="215">
        <f>IF('Logical Group Generator'!W770="FALSE","",IF('Logical Group Generator'!B770="OTP_RSVD_38_03","",'Logical Group Generator'!B770))</f>
        <v>0</v>
      </c>
      <c r="T770" s="157" t="e">
        <f>MATCH(U770,'Logical Group Generator'!B:B,0)</f>
        <v>#NUM!</v>
      </c>
      <c r="U770" s="157" t="e">
        <f t="array" ref="U770">IF(ROWS($3:770)&lt;=COUNTA($R$3:$R$902),INDEX($R$3:$R$902,SMALL(IF($R$3:$R$902&lt;&gt;"",ROW($R$3:$R$902)-MIN(ROW($R$3:$R$902))+1),ROWS($3:770))),"")</f>
        <v>#NUM!</v>
      </c>
      <c r="W770" s="157" t="e">
        <f>IF(INDEX('Logical Group Generator'!W:W,MATCH(U770,'Logical Group Generator'!B:B,0))="REGISTER","REGISTER","BIT")</f>
        <v>#NUM!</v>
      </c>
    </row>
    <row r="771" spans="4:23">
      <c r="D771" s="215" t="str">
        <f>RIGHT(INDEX('Logical Group Generator'!E:E,T777),2)</f>
        <v/>
      </c>
      <c r="R771" s="215">
        <f>IF('Logical Group Generator'!W771="FALSE","",IF('Logical Group Generator'!B771="OTP_RSVD_38_03","",'Logical Group Generator'!B771))</f>
        <v>0</v>
      </c>
      <c r="T771" s="157" t="e">
        <f>MATCH(U771,'Logical Group Generator'!B:B,0)</f>
        <v>#NUM!</v>
      </c>
      <c r="U771" s="157" t="e">
        <f t="array" ref="U771">IF(ROWS($3:771)&lt;=COUNTA($R$3:$R$902),INDEX($R$3:$R$902,SMALL(IF($R$3:$R$902&lt;&gt;"",ROW($R$3:$R$902)-MIN(ROW($R$3:$R$902))+1),ROWS($3:771))),"")</f>
        <v>#NUM!</v>
      </c>
      <c r="W771" s="157" t="e">
        <f>IF(INDEX('Logical Group Generator'!W:W,MATCH(U771,'Logical Group Generator'!B:B,0))="REGISTER","REGISTER","BIT")</f>
        <v>#NUM!</v>
      </c>
    </row>
    <row r="772" spans="4:23">
      <c r="D772" s="215" t="str">
        <f>RIGHT(INDEX('Logical Group Generator'!E:E,T778),2)</f>
        <v/>
      </c>
      <c r="R772" s="215">
        <f>IF('Logical Group Generator'!W772="FALSE","",IF('Logical Group Generator'!B772="OTP_RSVD_38_03","",'Logical Group Generator'!B772))</f>
        <v>0</v>
      </c>
      <c r="T772" s="157" t="e">
        <f>MATCH(U772,'Logical Group Generator'!B:B,0)</f>
        <v>#NUM!</v>
      </c>
      <c r="U772" s="157" t="e">
        <f t="array" ref="U772">IF(ROWS($3:772)&lt;=COUNTA($R$3:$R$902),INDEX($R$3:$R$902,SMALL(IF($R$3:$R$902&lt;&gt;"",ROW($R$3:$R$902)-MIN(ROW($R$3:$R$902))+1),ROWS($3:772))),"")</f>
        <v>#NUM!</v>
      </c>
      <c r="W772" s="157" t="e">
        <f>IF(INDEX('Logical Group Generator'!W:W,MATCH(U772,'Logical Group Generator'!B:B,0))="REGISTER","REGISTER","BIT")</f>
        <v>#NUM!</v>
      </c>
    </row>
    <row r="773" spans="4:23">
      <c r="D773" s="215" t="str">
        <f>RIGHT(INDEX('Logical Group Generator'!E:E,T779),2)</f>
        <v/>
      </c>
      <c r="R773" s="215">
        <f>IF('Logical Group Generator'!W773="FALSE","",IF('Logical Group Generator'!B773="OTP_RSVD_38_03","",'Logical Group Generator'!B773))</f>
        <v>0</v>
      </c>
      <c r="T773" s="157" t="e">
        <f>MATCH(U773,'Logical Group Generator'!B:B,0)</f>
        <v>#NUM!</v>
      </c>
      <c r="U773" s="157" t="e">
        <f t="array" ref="U773">IF(ROWS($3:773)&lt;=COUNTA($R$3:$R$902),INDEX($R$3:$R$902,SMALL(IF($R$3:$R$902&lt;&gt;"",ROW($R$3:$R$902)-MIN(ROW($R$3:$R$902))+1),ROWS($3:773))),"")</f>
        <v>#NUM!</v>
      </c>
      <c r="W773" s="157" t="e">
        <f>IF(INDEX('Logical Group Generator'!W:W,MATCH(U773,'Logical Group Generator'!B:B,0))="REGISTER","REGISTER","BIT")</f>
        <v>#NUM!</v>
      </c>
    </row>
    <row r="774" spans="4:23">
      <c r="D774" s="215" t="str">
        <f>RIGHT(INDEX('Logical Group Generator'!E:E,T780),2)</f>
        <v/>
      </c>
      <c r="R774" s="215">
        <f>IF('Logical Group Generator'!W774="FALSE","",IF('Logical Group Generator'!B774="OTP_RSVD_38_03","",'Logical Group Generator'!B774))</f>
        <v>0</v>
      </c>
      <c r="T774" s="157" t="e">
        <f>MATCH(U774,'Logical Group Generator'!B:B,0)</f>
        <v>#NUM!</v>
      </c>
      <c r="U774" s="157" t="e">
        <f t="array" ref="U774">IF(ROWS($3:774)&lt;=COUNTA($R$3:$R$902),INDEX($R$3:$R$902,SMALL(IF($R$3:$R$902&lt;&gt;"",ROW($R$3:$R$902)-MIN(ROW($R$3:$R$902))+1),ROWS($3:774))),"")</f>
        <v>#NUM!</v>
      </c>
      <c r="W774" s="157" t="e">
        <f>IF(INDEX('Logical Group Generator'!W:W,MATCH(U774,'Logical Group Generator'!B:B,0))="REGISTER","REGISTER","BIT")</f>
        <v>#NUM!</v>
      </c>
    </row>
    <row r="775" spans="4:23">
      <c r="D775" s="215" t="str">
        <f>RIGHT(INDEX('Logical Group Generator'!E:E,T781),2)</f>
        <v/>
      </c>
      <c r="R775" s="215">
        <f>IF('Logical Group Generator'!W775="FALSE","",IF('Logical Group Generator'!B775="OTP_RSVD_38_03","",'Logical Group Generator'!B775))</f>
        <v>0</v>
      </c>
      <c r="W775" s="157" t="e">
        <f>IF(INDEX('Logical Group Generator'!W:W,MATCH(U775,'Logical Group Generator'!B:B,0))="REGISTER","REGISTER","BIT")</f>
        <v>#N/A</v>
      </c>
    </row>
    <row r="776" spans="4:23">
      <c r="D776" s="215" t="str">
        <f>RIGHT(INDEX('Logical Group Generator'!E:E,T782),2)</f>
        <v/>
      </c>
      <c r="R776" s="215">
        <f>IF('Logical Group Generator'!W776="FALSE","",IF('Logical Group Generator'!B776="OTP_RSVD_38_03","",'Logical Group Generator'!B776))</f>
        <v>0</v>
      </c>
      <c r="W776" s="157" t="e">
        <f>IF(INDEX('Logical Group Generator'!W:W,MATCH(U776,'Logical Group Generator'!B:B,0))="REGISTER","REGISTER","BIT")</f>
        <v>#N/A</v>
      </c>
    </row>
    <row r="777" spans="4:23">
      <c r="D777" s="215" t="str">
        <f>RIGHT(INDEX('Logical Group Generator'!E:E,T783),2)</f>
        <v/>
      </c>
      <c r="R777" s="215">
        <f>IF('Logical Group Generator'!W777="FALSE","",IF('Logical Group Generator'!B777="OTP_RSVD_38_03","",'Logical Group Generator'!B777))</f>
        <v>0</v>
      </c>
      <c r="W777" s="157" t="e">
        <f>IF(INDEX('Logical Group Generator'!W:W,MATCH(U777,'Logical Group Generator'!B:B,0))="REGISTER","REGISTER","BIT")</f>
        <v>#N/A</v>
      </c>
    </row>
    <row r="778" spans="4:23">
      <c r="D778" s="215" t="str">
        <f>RIGHT(INDEX('Logical Group Generator'!E:E,T784),2)</f>
        <v/>
      </c>
      <c r="R778" s="215">
        <f>IF('Logical Group Generator'!W778="FALSE","",IF('Logical Group Generator'!B778="OTP_RSVD_38_03","",'Logical Group Generator'!B778))</f>
        <v>0</v>
      </c>
      <c r="W778" s="157" t="e">
        <f>IF(INDEX('Logical Group Generator'!W:W,MATCH(U778,'Logical Group Generator'!B:B,0))="REGISTER","REGISTER","BIT")</f>
        <v>#N/A</v>
      </c>
    </row>
    <row r="779" spans="4:23">
      <c r="D779" s="215" t="str">
        <f>RIGHT(INDEX('Logical Group Generator'!E:E,T785),2)</f>
        <v/>
      </c>
      <c r="R779" s="215">
        <f>IF('Logical Group Generator'!W779="FALSE","",IF('Logical Group Generator'!B779="OTP_RSVD_38_03","",'Logical Group Generator'!B779))</f>
        <v>0</v>
      </c>
      <c r="W779" s="157" t="e">
        <f>IF(INDEX('Logical Group Generator'!W:W,MATCH(U779,'Logical Group Generator'!B:B,0))="REGISTER","REGISTER","BIT")</f>
        <v>#N/A</v>
      </c>
    </row>
    <row r="780" spans="4:23">
      <c r="D780" s="215" t="str">
        <f>RIGHT(INDEX('Logical Group Generator'!E:E,T786),2)</f>
        <v/>
      </c>
      <c r="R780" s="215">
        <f>IF('Logical Group Generator'!W780="FALSE","",IF('Logical Group Generator'!B780="OTP_RSVD_38_03","",'Logical Group Generator'!B780))</f>
        <v>0</v>
      </c>
      <c r="W780" s="157" t="e">
        <f>IF(INDEX('Logical Group Generator'!W:W,MATCH(U780,'Logical Group Generator'!B:B,0))="REGISTER","REGISTER","BIT")</f>
        <v>#N/A</v>
      </c>
    </row>
    <row r="781" spans="4:23">
      <c r="D781" s="215" t="str">
        <f>RIGHT(INDEX('Logical Group Generator'!E:E,T787),2)</f>
        <v/>
      </c>
      <c r="R781" s="215">
        <f>IF('Logical Group Generator'!W781="FALSE","",IF('Logical Group Generator'!B781="OTP_RSVD_38_03","",'Logical Group Generator'!B781))</f>
        <v>0</v>
      </c>
      <c r="W781" s="157" t="e">
        <f>IF(INDEX('Logical Group Generator'!W:W,MATCH(U781,'Logical Group Generator'!B:B,0))="REGISTER","REGISTER","BIT")</f>
        <v>#N/A</v>
      </c>
    </row>
    <row r="782" spans="4:23">
      <c r="D782" s="215" t="str">
        <f>RIGHT(INDEX('Logical Group Generator'!E:E,T788),2)</f>
        <v/>
      </c>
      <c r="R782" s="215">
        <f>IF('Logical Group Generator'!W782="FALSE","",IF('Logical Group Generator'!B782="OTP_RSVD_38_03","",'Logical Group Generator'!B782))</f>
        <v>0</v>
      </c>
      <c r="W782" s="157" t="e">
        <f>IF(INDEX('Logical Group Generator'!W:W,MATCH(U782,'Logical Group Generator'!B:B,0))="REGISTER","REGISTER","BIT")</f>
        <v>#N/A</v>
      </c>
    </row>
    <row r="783" spans="4:23">
      <c r="D783" s="215" t="str">
        <f>RIGHT(INDEX('Logical Group Generator'!E:E,T789),2)</f>
        <v/>
      </c>
      <c r="R783" s="215">
        <f>IF('Logical Group Generator'!W783="FALSE","",IF('Logical Group Generator'!B783="OTP_RSVD_38_03","",'Logical Group Generator'!B783))</f>
        <v>0</v>
      </c>
      <c r="W783" s="157" t="e">
        <f>IF(INDEX('Logical Group Generator'!W:W,MATCH(U783,'Logical Group Generator'!B:B,0))="REGISTER","REGISTER","BIT")</f>
        <v>#N/A</v>
      </c>
    </row>
    <row r="784" spans="4:23">
      <c r="D784" s="215" t="str">
        <f>RIGHT(INDEX('Logical Group Generator'!E:E,T790),2)</f>
        <v/>
      </c>
      <c r="R784" s="215">
        <f>IF('Logical Group Generator'!W784="FALSE","",IF('Logical Group Generator'!B784="OTP_RSVD_38_03","",'Logical Group Generator'!B784))</f>
        <v>0</v>
      </c>
      <c r="W784" s="157" t="e">
        <f>IF(INDEX('Logical Group Generator'!W:W,MATCH(U784,'Logical Group Generator'!B:B,0))="REGISTER","REGISTER","BIT")</f>
        <v>#N/A</v>
      </c>
    </row>
    <row r="785" spans="4:23">
      <c r="D785" s="215" t="str">
        <f>RIGHT(INDEX('Logical Group Generator'!E:E,T791),2)</f>
        <v/>
      </c>
      <c r="R785" s="215">
        <f>IF('Logical Group Generator'!W785="FALSE","",IF('Logical Group Generator'!B785="OTP_RSVD_38_03","",'Logical Group Generator'!B785))</f>
        <v>0</v>
      </c>
      <c r="W785" s="157" t="e">
        <f>IF(INDEX('Logical Group Generator'!W:W,MATCH(U785,'Logical Group Generator'!B:B,0))="REGISTER","REGISTER","BIT")</f>
        <v>#N/A</v>
      </c>
    </row>
    <row r="786" spans="4:23">
      <c r="D786" s="215" t="str">
        <f>RIGHT(INDEX('Logical Group Generator'!E:E,T792),2)</f>
        <v/>
      </c>
      <c r="R786" s="215">
        <f>IF('Logical Group Generator'!W786="FALSE","",IF('Logical Group Generator'!B786="OTP_RSVD_38_03","",'Logical Group Generator'!B786))</f>
        <v>0</v>
      </c>
      <c r="W786" s="157" t="e">
        <f>IF(INDEX('Logical Group Generator'!W:W,MATCH(U786,'Logical Group Generator'!B:B,0))="REGISTER","REGISTER","BIT")</f>
        <v>#N/A</v>
      </c>
    </row>
    <row r="787" spans="4:23">
      <c r="D787" s="215" t="str">
        <f>RIGHT(INDEX('Logical Group Generator'!E:E,T793),2)</f>
        <v/>
      </c>
      <c r="R787" s="215">
        <f>IF('Logical Group Generator'!W787="FALSE","",IF('Logical Group Generator'!B787="OTP_RSVD_38_03","",'Logical Group Generator'!B787))</f>
        <v>0</v>
      </c>
      <c r="W787" s="157" t="e">
        <f>IF(INDEX('Logical Group Generator'!W:W,MATCH(U787,'Logical Group Generator'!B:B,0))="REGISTER","REGISTER","BIT")</f>
        <v>#N/A</v>
      </c>
    </row>
    <row r="788" spans="4:23">
      <c r="D788" s="215" t="str">
        <f>RIGHT(INDEX('Logical Group Generator'!E:E,T794),2)</f>
        <v/>
      </c>
      <c r="R788" s="215">
        <f>IF('Logical Group Generator'!W788="FALSE","",IF('Logical Group Generator'!B788="OTP_RSVD_38_03","",'Logical Group Generator'!B788))</f>
        <v>0</v>
      </c>
      <c r="W788" s="157" t="e">
        <f>IF(INDEX('Logical Group Generator'!W:W,MATCH(U788,'Logical Group Generator'!B:B,0))="REGISTER","REGISTER","BIT")</f>
        <v>#N/A</v>
      </c>
    </row>
    <row r="789" spans="4:23">
      <c r="D789" s="215" t="str">
        <f>RIGHT(INDEX('Logical Group Generator'!E:E,T795),2)</f>
        <v/>
      </c>
      <c r="R789" s="215">
        <f>IF('Logical Group Generator'!W789="FALSE","",IF('Logical Group Generator'!B789="OTP_RSVD_38_03","",'Logical Group Generator'!B789))</f>
        <v>0</v>
      </c>
      <c r="W789" s="157" t="e">
        <f>IF(INDEX('Logical Group Generator'!W:W,MATCH(U789,'Logical Group Generator'!B:B,0))="REGISTER","REGISTER","BIT")</f>
        <v>#N/A</v>
      </c>
    </row>
    <row r="790" spans="4:23">
      <c r="D790" s="215" t="str">
        <f>RIGHT(INDEX('Logical Group Generator'!E:E,T796),2)</f>
        <v/>
      </c>
      <c r="R790" s="215">
        <f>IF('Logical Group Generator'!W790="FALSE","",IF('Logical Group Generator'!B790="OTP_RSVD_38_03","",'Logical Group Generator'!B790))</f>
        <v>0</v>
      </c>
      <c r="W790" s="157" t="e">
        <f>IF(INDEX('Logical Group Generator'!W:W,MATCH(U790,'Logical Group Generator'!B:B,0))="REGISTER","REGISTER","BIT")</f>
        <v>#N/A</v>
      </c>
    </row>
    <row r="791" spans="4:23">
      <c r="D791" s="215" t="str">
        <f>RIGHT(INDEX('Logical Group Generator'!E:E,T797),2)</f>
        <v/>
      </c>
      <c r="R791" s="215">
        <f>IF('Logical Group Generator'!W791="FALSE","",IF('Logical Group Generator'!B791="OTP_RSVD_38_03","",'Logical Group Generator'!B791))</f>
        <v>0</v>
      </c>
      <c r="W791" s="157" t="e">
        <f>IF(INDEX('Logical Group Generator'!W:W,MATCH(U791,'Logical Group Generator'!B:B,0))="REGISTER","REGISTER","BIT")</f>
        <v>#N/A</v>
      </c>
    </row>
    <row r="792" spans="4:23">
      <c r="D792" s="215" t="str">
        <f>RIGHT(INDEX('Logical Group Generator'!E:E,T798),2)</f>
        <v/>
      </c>
      <c r="R792" s="215">
        <f>IF('Logical Group Generator'!W792="FALSE","",IF('Logical Group Generator'!B792="OTP_RSVD_38_03","",'Logical Group Generator'!B792))</f>
        <v>0</v>
      </c>
      <c r="W792" s="157" t="e">
        <f>IF(INDEX('Logical Group Generator'!W:W,MATCH(U792,'Logical Group Generator'!B:B,0))="REGISTER","REGISTER","BIT")</f>
        <v>#N/A</v>
      </c>
    </row>
    <row r="793" spans="4:23">
      <c r="D793" s="215" t="str">
        <f>RIGHT(INDEX('Logical Group Generator'!E:E,T799),2)</f>
        <v/>
      </c>
      <c r="R793" s="215">
        <f>IF('Logical Group Generator'!W793="FALSE","",IF('Logical Group Generator'!B793="OTP_RSVD_38_03","",'Logical Group Generator'!B793))</f>
        <v>0</v>
      </c>
      <c r="W793" s="157" t="e">
        <f>IF(INDEX('Logical Group Generator'!W:W,MATCH(U793,'Logical Group Generator'!B:B,0))="REGISTER","REGISTER","BIT")</f>
        <v>#N/A</v>
      </c>
    </row>
    <row r="794" spans="4:23">
      <c r="D794" s="215" t="str">
        <f>RIGHT(INDEX('Logical Group Generator'!E:E,T800),2)</f>
        <v/>
      </c>
      <c r="R794" s="215">
        <f>IF('Logical Group Generator'!W794="FALSE","",IF('Logical Group Generator'!B794="OTP_RSVD_38_03","",'Logical Group Generator'!B794))</f>
        <v>0</v>
      </c>
      <c r="W794" s="157" t="e">
        <f>IF(INDEX('Logical Group Generator'!W:W,MATCH(U794,'Logical Group Generator'!B:B,0))="REGISTER","REGISTER","BIT")</f>
        <v>#N/A</v>
      </c>
    </row>
    <row r="795" spans="4:23">
      <c r="D795" s="215" t="str">
        <f>RIGHT(INDEX('Logical Group Generator'!E:E,T801),2)</f>
        <v/>
      </c>
      <c r="R795" s="215">
        <f>IF('Logical Group Generator'!W795="FALSE","",IF('Logical Group Generator'!B795="OTP_RSVD_38_03","",'Logical Group Generator'!B795))</f>
        <v>0</v>
      </c>
      <c r="W795" s="157" t="e">
        <f>IF(INDEX('Logical Group Generator'!W:W,MATCH(U795,'Logical Group Generator'!B:B,0))="REGISTER","REGISTER","BIT")</f>
        <v>#N/A</v>
      </c>
    </row>
    <row r="796" spans="4:23">
      <c r="D796" s="215" t="str">
        <f>RIGHT(INDEX('Logical Group Generator'!E:E,T802),2)</f>
        <v/>
      </c>
      <c r="R796" s="215">
        <f>IF('Logical Group Generator'!W796="FALSE","",IF('Logical Group Generator'!B796="OTP_RSVD_38_03","",'Logical Group Generator'!B796))</f>
        <v>0</v>
      </c>
      <c r="W796" s="157" t="e">
        <f>IF(INDEX('Logical Group Generator'!W:W,MATCH(U796,'Logical Group Generator'!B:B,0))="REGISTER","REGISTER","BIT")</f>
        <v>#N/A</v>
      </c>
    </row>
    <row r="797" spans="4:23">
      <c r="D797" s="215" t="str">
        <f>RIGHT(INDEX('Logical Group Generator'!E:E,T803),2)</f>
        <v/>
      </c>
      <c r="R797" s="215">
        <f>IF('Logical Group Generator'!W797="FALSE","",IF('Logical Group Generator'!B797="OTP_RSVD_38_03","",'Logical Group Generator'!B797))</f>
        <v>0</v>
      </c>
      <c r="W797" s="157" t="e">
        <f>IF(INDEX('Logical Group Generator'!W:W,MATCH(U797,'Logical Group Generator'!B:B,0))="REGISTER","REGISTER","BIT")</f>
        <v>#N/A</v>
      </c>
    </row>
    <row r="798" spans="4:23">
      <c r="D798" s="215" t="str">
        <f>RIGHT(INDEX('Logical Group Generator'!E:E,T804),2)</f>
        <v/>
      </c>
      <c r="R798" s="215">
        <f>IF('Logical Group Generator'!W798="FALSE","",IF('Logical Group Generator'!B798="OTP_RSVD_38_03","",'Logical Group Generator'!B798))</f>
        <v>0</v>
      </c>
      <c r="W798" s="157" t="e">
        <f>IF(INDEX('Logical Group Generator'!W:W,MATCH(U798,'Logical Group Generator'!B:B,0))="REGISTER","REGISTER","BIT")</f>
        <v>#N/A</v>
      </c>
    </row>
    <row r="799" spans="4:23">
      <c r="D799" s="215" t="str">
        <f>RIGHT(INDEX('Logical Group Generator'!E:E,T805),2)</f>
        <v/>
      </c>
      <c r="R799" s="215">
        <f>IF('Logical Group Generator'!W799="FALSE","",IF('Logical Group Generator'!B799="OTP_RSVD_38_03","",'Logical Group Generator'!B799))</f>
        <v>0</v>
      </c>
      <c r="W799" s="157" t="e">
        <f>IF(INDEX('Logical Group Generator'!W:W,MATCH(U799,'Logical Group Generator'!B:B,0))="REGISTER","REGISTER","BIT")</f>
        <v>#N/A</v>
      </c>
    </row>
    <row r="800" spans="4:23">
      <c r="D800" s="215" t="str">
        <f>RIGHT(INDEX('Logical Group Generator'!E:E,T806),2)</f>
        <v/>
      </c>
      <c r="R800" s="215">
        <f>IF('Logical Group Generator'!W800="FALSE","",IF('Logical Group Generator'!B800="OTP_RSVD_38_03","",'Logical Group Generator'!B800))</f>
        <v>0</v>
      </c>
      <c r="W800" s="157" t="e">
        <f>IF(INDEX('Logical Group Generator'!W:W,MATCH(U800,'Logical Group Generator'!B:B,0))="REGISTER","REGISTER","BIT")</f>
        <v>#N/A</v>
      </c>
    </row>
    <row r="801" spans="4:23">
      <c r="D801" s="215" t="str">
        <f>RIGHT(INDEX('Logical Group Generator'!E:E,T807),2)</f>
        <v/>
      </c>
      <c r="R801" s="215">
        <f>IF('Logical Group Generator'!W801="FALSE","",IF('Logical Group Generator'!B801="OTP_RSVD_38_03","",'Logical Group Generator'!B801))</f>
        <v>0</v>
      </c>
      <c r="W801" s="157" t="e">
        <f>IF(INDEX('Logical Group Generator'!W:W,MATCH(U801,'Logical Group Generator'!B:B,0))="REGISTER","REGISTER","BIT")</f>
        <v>#N/A</v>
      </c>
    </row>
    <row r="802" spans="4:23">
      <c r="R802" s="215">
        <f>IF('Logical Group Generator'!W802="FALSE","",IF('Logical Group Generator'!B802="OTP_RSVD_38_03","",'Logical Group Generator'!B802))</f>
        <v>0</v>
      </c>
      <c r="W802" s="157" t="e">
        <f>IF(INDEX('Logical Group Generator'!W:W,MATCH(U802,'Logical Group Generator'!B:B,0))="REGISTER","REGISTER","BIT")</f>
        <v>#N/A</v>
      </c>
    </row>
    <row r="803" spans="4:23">
      <c r="R803" s="215">
        <f>IF('Logical Group Generator'!W803="FALSE","",IF('Logical Group Generator'!B803="OTP_RSVD_38_03","",'Logical Group Generator'!B803))</f>
        <v>0</v>
      </c>
      <c r="W803" s="157" t="e">
        <f>IF(INDEX('Logical Group Generator'!W:W,MATCH(U803,'Logical Group Generator'!B:B,0))="REGISTER","REGISTER","BIT")</f>
        <v>#N/A</v>
      </c>
    </row>
    <row r="804" spans="4:23">
      <c r="R804" s="215">
        <f>IF('Logical Group Generator'!W804="FALSE","",IF('Logical Group Generator'!B804="OTP_RSVD_38_03","",'Logical Group Generator'!B804))</f>
        <v>0</v>
      </c>
      <c r="W804" s="157" t="e">
        <f>IF(INDEX('Logical Group Generator'!W:W,MATCH(U804,'Logical Group Generator'!B:B,0))="REGISTER","REGISTER","BIT")</f>
        <v>#N/A</v>
      </c>
    </row>
    <row r="805" spans="4:23">
      <c r="R805" s="215">
        <f>IF('Logical Group Generator'!W805="FALSE","",IF('Logical Group Generator'!B805="OTP_RSVD_38_03","",'Logical Group Generator'!B805))</f>
        <v>0</v>
      </c>
      <c r="W805" s="157" t="e">
        <f>IF(INDEX('Logical Group Generator'!W:W,MATCH(U805,'Logical Group Generator'!B:B,0))="REGISTER","REGISTER","BIT")</f>
        <v>#N/A</v>
      </c>
    </row>
    <row r="806" spans="4:23">
      <c r="R806" s="215">
        <f>IF('Logical Group Generator'!W806="FALSE","",IF('Logical Group Generator'!B806="OTP_RSVD_38_03","",'Logical Group Generator'!B806))</f>
        <v>0</v>
      </c>
      <c r="W806" s="157" t="e">
        <f>IF(INDEX('Logical Group Generator'!W:W,MATCH(U806,'Logical Group Generator'!B:B,0))="REGISTER","REGISTER","BIT")</f>
        <v>#N/A</v>
      </c>
    </row>
    <row r="807" spans="4:23">
      <c r="R807" s="215">
        <f>IF('Logical Group Generator'!W807="FALSE","",IF('Logical Group Generator'!B807="OTP_RSVD_38_03","",'Logical Group Generator'!B807))</f>
        <v>0</v>
      </c>
      <c r="W807" s="157" t="e">
        <f>IF(INDEX('Logical Group Generator'!W:W,MATCH(U807,'Logical Group Generator'!B:B,0))="REGISTER","REGISTER","BIT")</f>
        <v>#N/A</v>
      </c>
    </row>
  </sheetData>
  <sheetProtection password="CA35" sheet="1" objects="1" scenarios="1"/>
  <mergeCells count="1">
    <mergeCell ref="D1:G1"/>
  </mergeCells>
  <conditionalFormatting sqref="J2:J96">
    <cfRule type="cellIs" dxfId="0" priority="1" operator="equal">
      <formula>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FF00"/>
  </sheetPr>
  <dimension ref="B3:W369"/>
  <sheetViews>
    <sheetView topLeftCell="B1" zoomScaleNormal="100" workbookViewId="0">
      <selection activeCell="O31" sqref="O31"/>
    </sheetView>
  </sheetViews>
  <sheetFormatPr defaultRowHeight="14.5"/>
  <cols>
    <col min="6" max="7" width="16" bestFit="1" customWidth="1"/>
    <col min="8" max="9" width="15.81640625" bestFit="1" customWidth="1"/>
  </cols>
  <sheetData>
    <row r="3" spans="2:23">
      <c r="E3" s="289" t="s">
        <v>129</v>
      </c>
      <c r="F3" s="289"/>
      <c r="G3" s="289"/>
      <c r="I3" s="289" t="s">
        <v>134</v>
      </c>
      <c r="J3" s="289"/>
      <c r="K3" s="257"/>
      <c r="L3" s="257"/>
      <c r="M3" s="257"/>
      <c r="P3" s="3" t="s">
        <v>638</v>
      </c>
      <c r="Q3" s="3"/>
      <c r="R3" s="3"/>
      <c r="S3" s="3" t="s">
        <v>639</v>
      </c>
      <c r="T3" s="3"/>
      <c r="U3" s="3"/>
      <c r="V3" s="3" t="s">
        <v>640</v>
      </c>
      <c r="W3" s="3"/>
    </row>
    <row r="4" spans="2:23">
      <c r="E4" t="s">
        <v>130</v>
      </c>
      <c r="F4" t="s">
        <v>131</v>
      </c>
      <c r="G4" t="s">
        <v>132</v>
      </c>
      <c r="I4" t="s">
        <v>130</v>
      </c>
      <c r="J4" t="s">
        <v>131</v>
      </c>
      <c r="P4" s="3" t="s">
        <v>641</v>
      </c>
      <c r="Q4" s="3" t="s">
        <v>642</v>
      </c>
      <c r="R4" s="3"/>
      <c r="S4" s="3" t="s">
        <v>641</v>
      </c>
      <c r="T4" s="3" t="s">
        <v>642</v>
      </c>
      <c r="U4" s="3"/>
      <c r="V4" s="3" t="s">
        <v>641</v>
      </c>
      <c r="W4" s="3" t="s">
        <v>642</v>
      </c>
    </row>
    <row r="5" spans="2:23">
      <c r="E5" t="s">
        <v>0</v>
      </c>
      <c r="F5" t="s">
        <v>133</v>
      </c>
      <c r="G5" t="s">
        <v>133</v>
      </c>
      <c r="I5" t="s">
        <v>0</v>
      </c>
      <c r="J5" t="s">
        <v>133</v>
      </c>
      <c r="P5" s="2" t="s">
        <v>643</v>
      </c>
      <c r="Q5" s="3">
        <v>1.35</v>
      </c>
      <c r="R5" s="3"/>
      <c r="S5" s="2" t="s">
        <v>643</v>
      </c>
      <c r="T5" s="3">
        <v>0.7</v>
      </c>
      <c r="U5" s="3"/>
      <c r="V5" s="2" t="s">
        <v>643</v>
      </c>
      <c r="W5" s="3">
        <v>0.7</v>
      </c>
    </row>
    <row r="6" spans="2:23">
      <c r="B6" t="str">
        <f>IF(C13="-","-",IF(COUNTIF('VID Tables'!$F$6:$F$133,Overview!C14),"Y","N"))</f>
        <v>N</v>
      </c>
      <c r="E6" t="s">
        <v>1</v>
      </c>
      <c r="F6">
        <v>0</v>
      </c>
      <c r="G6">
        <v>0</v>
      </c>
      <c r="J6" t="s">
        <v>146</v>
      </c>
      <c r="P6" s="2" t="s">
        <v>644</v>
      </c>
      <c r="Q6" s="3">
        <v>1.5</v>
      </c>
      <c r="R6" s="3"/>
      <c r="S6" s="2" t="s">
        <v>644</v>
      </c>
      <c r="T6" s="3">
        <v>0.75</v>
      </c>
      <c r="U6" s="3"/>
      <c r="V6" s="2" t="s">
        <v>644</v>
      </c>
      <c r="W6" s="3">
        <v>0.75</v>
      </c>
    </row>
    <row r="7" spans="2:23">
      <c r="E7" t="s">
        <v>2</v>
      </c>
      <c r="F7">
        <v>1</v>
      </c>
      <c r="G7">
        <v>0.41</v>
      </c>
      <c r="I7" t="s">
        <v>1</v>
      </c>
      <c r="J7">
        <v>0</v>
      </c>
      <c r="P7" s="2" t="s">
        <v>645</v>
      </c>
      <c r="Q7" s="3">
        <v>1.6</v>
      </c>
      <c r="R7" s="3"/>
      <c r="S7" s="2" t="s">
        <v>645</v>
      </c>
      <c r="T7" s="3">
        <v>0.8</v>
      </c>
      <c r="U7" s="3"/>
      <c r="V7" s="2" t="s">
        <v>645</v>
      </c>
      <c r="W7" s="3">
        <v>0.8</v>
      </c>
    </row>
    <row r="8" spans="2:23">
      <c r="B8">
        <f>SUMIF(F6:F8,0)</f>
        <v>0</v>
      </c>
      <c r="E8" t="s">
        <v>3</v>
      </c>
      <c r="F8">
        <v>1</v>
      </c>
      <c r="G8">
        <v>0.42</v>
      </c>
      <c r="I8" t="s">
        <v>2</v>
      </c>
      <c r="J8">
        <v>0.42499999999999999</v>
      </c>
      <c r="P8" s="2" t="s">
        <v>646</v>
      </c>
      <c r="Q8" s="3">
        <v>1.7</v>
      </c>
      <c r="R8" s="3"/>
      <c r="S8" s="2" t="s">
        <v>646</v>
      </c>
      <c r="T8" s="3">
        <v>0.85</v>
      </c>
      <c r="U8" s="3"/>
      <c r="V8" s="2" t="s">
        <v>646</v>
      </c>
      <c r="W8" s="3">
        <v>0.85</v>
      </c>
    </row>
    <row r="9" spans="2:23">
      <c r="E9" t="s">
        <v>4</v>
      </c>
      <c r="F9">
        <v>1</v>
      </c>
      <c r="G9">
        <v>0.43</v>
      </c>
      <c r="I9" t="s">
        <v>3</v>
      </c>
      <c r="J9">
        <v>0.45</v>
      </c>
      <c r="P9" s="2" t="s">
        <v>647</v>
      </c>
      <c r="Q9" s="3">
        <v>1.8</v>
      </c>
      <c r="R9" s="3"/>
      <c r="S9" s="2" t="s">
        <v>647</v>
      </c>
      <c r="T9" s="3">
        <v>0.9</v>
      </c>
      <c r="U9" s="3"/>
      <c r="V9" s="2" t="s">
        <v>647</v>
      </c>
      <c r="W9" s="3">
        <v>0.9</v>
      </c>
    </row>
    <row r="10" spans="2:23">
      <c r="E10" t="s">
        <v>5</v>
      </c>
      <c r="F10">
        <v>1</v>
      </c>
      <c r="G10">
        <v>0.44</v>
      </c>
      <c r="I10" t="s">
        <v>4</v>
      </c>
      <c r="J10">
        <v>0.47499999999999998</v>
      </c>
      <c r="P10" s="2" t="s">
        <v>648</v>
      </c>
      <c r="Q10" s="3">
        <v>1.9</v>
      </c>
      <c r="R10" s="3"/>
      <c r="S10" s="2" t="s">
        <v>648</v>
      </c>
      <c r="T10" s="3">
        <v>0.95</v>
      </c>
      <c r="U10" s="3"/>
      <c r="V10" s="2" t="s">
        <v>648</v>
      </c>
      <c r="W10" s="3">
        <v>0.95</v>
      </c>
    </row>
    <row r="11" spans="2:23">
      <c r="E11" t="s">
        <v>6</v>
      </c>
      <c r="F11">
        <v>1</v>
      </c>
      <c r="G11">
        <v>0.45</v>
      </c>
      <c r="I11" t="s">
        <v>5</v>
      </c>
      <c r="J11">
        <v>0.5</v>
      </c>
      <c r="P11" s="2" t="s">
        <v>649</v>
      </c>
      <c r="Q11" s="3">
        <v>2</v>
      </c>
      <c r="R11" s="3"/>
      <c r="S11" s="2" t="s">
        <v>649</v>
      </c>
      <c r="T11" s="3">
        <v>1</v>
      </c>
      <c r="U11" s="3"/>
      <c r="V11" s="2" t="s">
        <v>649</v>
      </c>
      <c r="W11" s="3">
        <v>1</v>
      </c>
    </row>
    <row r="12" spans="2:23">
      <c r="E12" t="s">
        <v>7</v>
      </c>
      <c r="F12">
        <v>1</v>
      </c>
      <c r="G12">
        <v>0.46</v>
      </c>
      <c r="I12" t="s">
        <v>6</v>
      </c>
      <c r="J12">
        <v>0.52500000000000002</v>
      </c>
      <c r="P12" s="2" t="s">
        <v>650</v>
      </c>
      <c r="Q12" s="3">
        <v>2.1</v>
      </c>
      <c r="R12" s="3"/>
      <c r="S12" s="2" t="s">
        <v>650</v>
      </c>
      <c r="T12" s="3">
        <v>1.05</v>
      </c>
      <c r="U12" s="3"/>
      <c r="V12" s="2" t="s">
        <v>650</v>
      </c>
      <c r="W12" s="3">
        <v>1.05</v>
      </c>
    </row>
    <row r="13" spans="2:23">
      <c r="C13">
        <v>0</v>
      </c>
      <c r="E13" t="s">
        <v>8</v>
      </c>
      <c r="F13">
        <v>1</v>
      </c>
      <c r="G13">
        <v>0.47</v>
      </c>
      <c r="I13" t="s">
        <v>7</v>
      </c>
      <c r="J13">
        <v>0.55000000000000004</v>
      </c>
      <c r="P13" s="2" t="s">
        <v>651</v>
      </c>
      <c r="Q13" s="3">
        <v>2.2999999999999998</v>
      </c>
      <c r="R13" s="3"/>
      <c r="S13" s="2" t="s">
        <v>651</v>
      </c>
      <c r="T13" s="3">
        <v>1.1000000000000001</v>
      </c>
      <c r="U13" s="3"/>
      <c r="V13" s="2" t="s">
        <v>651</v>
      </c>
      <c r="W13" s="3">
        <v>1.1000000000000001</v>
      </c>
    </row>
    <row r="14" spans="2:23">
      <c r="E14" t="s">
        <v>9</v>
      </c>
      <c r="F14">
        <v>1</v>
      </c>
      <c r="G14">
        <v>0.48</v>
      </c>
      <c r="I14" t="s">
        <v>8</v>
      </c>
      <c r="J14">
        <v>0.57499999999999996</v>
      </c>
      <c r="P14" s="2" t="s">
        <v>652</v>
      </c>
      <c r="Q14" s="3">
        <v>2.4</v>
      </c>
      <c r="R14" s="3"/>
      <c r="S14" s="2" t="s">
        <v>652</v>
      </c>
      <c r="T14" s="3">
        <v>1.1499999999999999</v>
      </c>
      <c r="U14" s="3"/>
      <c r="V14" s="2" t="s">
        <v>652</v>
      </c>
      <c r="W14" s="3">
        <v>1.1499999999999999</v>
      </c>
    </row>
    <row r="15" spans="2:23">
      <c r="E15" t="s">
        <v>10</v>
      </c>
      <c r="F15">
        <v>1</v>
      </c>
      <c r="G15">
        <v>0.49</v>
      </c>
      <c r="I15" t="s">
        <v>9</v>
      </c>
      <c r="J15">
        <v>0.6</v>
      </c>
      <c r="P15" s="2" t="s">
        <v>653</v>
      </c>
      <c r="Q15" s="3">
        <v>2.5</v>
      </c>
      <c r="R15" s="3"/>
      <c r="S15" s="2" t="s">
        <v>653</v>
      </c>
      <c r="T15" s="3">
        <v>1.2</v>
      </c>
      <c r="U15" s="3"/>
      <c r="V15" s="2" t="s">
        <v>653</v>
      </c>
      <c r="W15" s="3">
        <v>1.2</v>
      </c>
    </row>
    <row r="16" spans="2:23">
      <c r="E16" t="s">
        <v>11</v>
      </c>
      <c r="F16">
        <v>1</v>
      </c>
      <c r="G16">
        <v>0.5</v>
      </c>
      <c r="I16" t="s">
        <v>10</v>
      </c>
      <c r="J16">
        <v>0.625</v>
      </c>
      <c r="P16" s="2" t="s">
        <v>654</v>
      </c>
      <c r="Q16" s="3">
        <v>2.7</v>
      </c>
      <c r="R16" s="3"/>
      <c r="S16" s="2" t="s">
        <v>654</v>
      </c>
      <c r="T16" s="3">
        <v>1.25</v>
      </c>
      <c r="U16" s="3"/>
      <c r="V16" s="2" t="s">
        <v>654</v>
      </c>
      <c r="W16" s="3">
        <v>1.24</v>
      </c>
    </row>
    <row r="17" spans="5:23">
      <c r="E17" t="s">
        <v>12</v>
      </c>
      <c r="F17">
        <v>1</v>
      </c>
      <c r="G17">
        <v>0.51</v>
      </c>
      <c r="I17" t="s">
        <v>11</v>
      </c>
      <c r="J17">
        <v>0.65</v>
      </c>
      <c r="P17" s="2" t="s">
        <v>655</v>
      </c>
      <c r="Q17" s="3">
        <v>2.85</v>
      </c>
      <c r="R17" s="3"/>
      <c r="S17" s="2" t="s">
        <v>655</v>
      </c>
      <c r="T17" s="3">
        <v>1.3</v>
      </c>
      <c r="U17" s="3"/>
      <c r="V17" s="2" t="s">
        <v>655</v>
      </c>
      <c r="W17" s="3">
        <v>1.3</v>
      </c>
    </row>
    <row r="18" spans="5:23">
      <c r="E18" t="s">
        <v>13</v>
      </c>
      <c r="F18">
        <v>1</v>
      </c>
      <c r="G18">
        <v>0.52</v>
      </c>
      <c r="I18" t="s">
        <v>12</v>
      </c>
      <c r="J18">
        <v>0.67500000000000004</v>
      </c>
      <c r="P18" s="2" t="s">
        <v>656</v>
      </c>
      <c r="Q18" s="3">
        <v>3</v>
      </c>
      <c r="R18" s="3"/>
      <c r="S18" s="2" t="s">
        <v>656</v>
      </c>
      <c r="T18" s="3">
        <v>1.35</v>
      </c>
      <c r="U18" s="3"/>
      <c r="V18" s="2" t="s">
        <v>656</v>
      </c>
      <c r="W18" s="3">
        <v>1.35</v>
      </c>
    </row>
    <row r="19" spans="5:23">
      <c r="E19" t="s">
        <v>14</v>
      </c>
      <c r="F19">
        <v>1</v>
      </c>
      <c r="G19">
        <v>0.53</v>
      </c>
      <c r="I19" t="s">
        <v>13</v>
      </c>
      <c r="J19">
        <v>0.7</v>
      </c>
      <c r="P19" s="2" t="s">
        <v>657</v>
      </c>
      <c r="Q19" s="3">
        <v>3.3</v>
      </c>
      <c r="R19" s="3"/>
      <c r="S19" s="2" t="s">
        <v>657</v>
      </c>
      <c r="T19" s="3">
        <v>1.4</v>
      </c>
      <c r="U19" s="3"/>
      <c r="V19" s="2" t="s">
        <v>657</v>
      </c>
      <c r="W19" s="3">
        <v>1.4</v>
      </c>
    </row>
    <row r="20" spans="5:23">
      <c r="E20" t="s">
        <v>15</v>
      </c>
      <c r="F20">
        <v>1</v>
      </c>
      <c r="G20">
        <v>0.54</v>
      </c>
      <c r="I20" t="s">
        <v>14</v>
      </c>
      <c r="J20">
        <v>0.72499999999999998</v>
      </c>
      <c r="P20" s="2" t="s">
        <v>658</v>
      </c>
      <c r="Q20" s="3" t="s">
        <v>1437</v>
      </c>
      <c r="R20" s="3"/>
      <c r="S20" s="2" t="s">
        <v>658</v>
      </c>
      <c r="T20" s="3">
        <v>1.5</v>
      </c>
      <c r="U20" s="3"/>
      <c r="V20" s="2" t="s">
        <v>658</v>
      </c>
      <c r="W20" s="3">
        <v>1.5</v>
      </c>
    </row>
    <row r="21" spans="5:23">
      <c r="E21" t="s">
        <v>16</v>
      </c>
      <c r="F21">
        <v>1</v>
      </c>
      <c r="G21">
        <v>0.55000000000000004</v>
      </c>
      <c r="I21" t="s">
        <v>15</v>
      </c>
      <c r="J21">
        <v>0.75</v>
      </c>
      <c r="Q21" t="s">
        <v>146</v>
      </c>
      <c r="T21" t="s">
        <v>146</v>
      </c>
      <c r="W21" t="s">
        <v>146</v>
      </c>
    </row>
    <row r="22" spans="5:23">
      <c r="E22" t="s">
        <v>17</v>
      </c>
      <c r="F22">
        <v>1</v>
      </c>
      <c r="G22">
        <v>0.56000000000000005</v>
      </c>
      <c r="I22" t="s">
        <v>16</v>
      </c>
      <c r="J22">
        <v>0.77500000000000002</v>
      </c>
    </row>
    <row r="23" spans="5:23">
      <c r="E23" t="s">
        <v>18</v>
      </c>
      <c r="F23">
        <v>1</v>
      </c>
      <c r="G23">
        <v>0.56999999999999995</v>
      </c>
      <c r="I23" t="s">
        <v>17</v>
      </c>
      <c r="J23">
        <v>0.8</v>
      </c>
    </row>
    <row r="24" spans="5:23">
      <c r="E24" t="s">
        <v>19</v>
      </c>
      <c r="F24">
        <v>1</v>
      </c>
      <c r="G24">
        <v>0.57999999999999996</v>
      </c>
      <c r="I24" t="s">
        <v>18</v>
      </c>
      <c r="J24">
        <v>0.82499999999999996</v>
      </c>
    </row>
    <row r="25" spans="5:23">
      <c r="E25" t="s">
        <v>20</v>
      </c>
      <c r="F25">
        <v>1</v>
      </c>
      <c r="G25">
        <v>0.59</v>
      </c>
      <c r="I25" t="s">
        <v>19</v>
      </c>
      <c r="J25">
        <v>0.85</v>
      </c>
    </row>
    <row r="26" spans="5:23">
      <c r="E26" t="s">
        <v>21</v>
      </c>
      <c r="F26">
        <v>1</v>
      </c>
      <c r="G26">
        <v>0.6</v>
      </c>
      <c r="I26" t="s">
        <v>20</v>
      </c>
      <c r="J26">
        <v>0.875</v>
      </c>
    </row>
    <row r="27" spans="5:23">
      <c r="E27" t="s">
        <v>22</v>
      </c>
      <c r="F27">
        <v>1</v>
      </c>
      <c r="G27">
        <v>0.61</v>
      </c>
      <c r="I27" t="s">
        <v>21</v>
      </c>
      <c r="J27">
        <v>0.9</v>
      </c>
    </row>
    <row r="28" spans="5:23">
      <c r="E28" t="s">
        <v>23</v>
      </c>
      <c r="F28">
        <v>1</v>
      </c>
      <c r="G28">
        <v>0.62</v>
      </c>
      <c r="I28" t="s">
        <v>22</v>
      </c>
      <c r="J28">
        <v>0.92500000000000004</v>
      </c>
    </row>
    <row r="29" spans="5:23">
      <c r="E29" t="s">
        <v>24</v>
      </c>
      <c r="F29">
        <v>1</v>
      </c>
      <c r="G29">
        <v>0.63</v>
      </c>
      <c r="I29" t="s">
        <v>23</v>
      </c>
      <c r="J29">
        <v>0.95</v>
      </c>
    </row>
    <row r="30" spans="5:23">
      <c r="E30" t="s">
        <v>25</v>
      </c>
      <c r="F30">
        <v>1</v>
      </c>
      <c r="G30">
        <v>0.64</v>
      </c>
      <c r="I30" t="s">
        <v>24</v>
      </c>
      <c r="J30">
        <v>0.97499999999999998</v>
      </c>
    </row>
    <row r="31" spans="5:23">
      <c r="E31" t="s">
        <v>26</v>
      </c>
      <c r="F31">
        <v>1.0249999999999999</v>
      </c>
      <c r="G31">
        <v>0.65</v>
      </c>
      <c r="I31" t="s">
        <v>25</v>
      </c>
      <c r="J31">
        <v>1</v>
      </c>
    </row>
    <row r="32" spans="5:23">
      <c r="E32" t="s">
        <v>27</v>
      </c>
      <c r="F32">
        <v>1.05</v>
      </c>
      <c r="G32">
        <v>0.66</v>
      </c>
      <c r="I32" t="s">
        <v>26</v>
      </c>
      <c r="J32">
        <v>1.0249999999999999</v>
      </c>
    </row>
    <row r="33" spans="4:10">
      <c r="E33" t="s">
        <v>28</v>
      </c>
      <c r="F33">
        <v>1.075</v>
      </c>
      <c r="G33">
        <v>0.67</v>
      </c>
      <c r="I33" t="s">
        <v>27</v>
      </c>
      <c r="J33">
        <v>1.05</v>
      </c>
    </row>
    <row r="34" spans="4:10">
      <c r="E34" t="s">
        <v>29</v>
      </c>
      <c r="F34">
        <v>1.1000000000000001</v>
      </c>
      <c r="G34">
        <v>0.68</v>
      </c>
      <c r="I34" t="s">
        <v>28</v>
      </c>
      <c r="J34">
        <v>1.075</v>
      </c>
    </row>
    <row r="35" spans="4:10">
      <c r="D35" s="1"/>
      <c r="E35" t="s">
        <v>30</v>
      </c>
      <c r="F35">
        <v>1.125</v>
      </c>
      <c r="G35">
        <v>0.69</v>
      </c>
      <c r="I35" t="s">
        <v>29</v>
      </c>
      <c r="J35">
        <v>1.1000000000000001</v>
      </c>
    </row>
    <row r="36" spans="4:10">
      <c r="D36" s="1"/>
      <c r="E36" t="s">
        <v>31</v>
      </c>
      <c r="F36">
        <v>1.1499999999999999</v>
      </c>
      <c r="G36">
        <v>0.7</v>
      </c>
      <c r="I36" t="s">
        <v>30</v>
      </c>
      <c r="J36">
        <v>1.125</v>
      </c>
    </row>
    <row r="37" spans="4:10">
      <c r="D37" s="1"/>
      <c r="E37" t="s">
        <v>32</v>
      </c>
      <c r="F37">
        <v>1.175</v>
      </c>
      <c r="G37">
        <v>0.71</v>
      </c>
      <c r="I37" t="s">
        <v>31</v>
      </c>
      <c r="J37">
        <v>1.1499999999999999</v>
      </c>
    </row>
    <row r="38" spans="4:10">
      <c r="D38" s="1"/>
      <c r="E38" t="s">
        <v>33</v>
      </c>
      <c r="F38">
        <v>1.2</v>
      </c>
      <c r="G38">
        <v>0.72</v>
      </c>
      <c r="I38" t="s">
        <v>32</v>
      </c>
      <c r="J38">
        <v>1.175</v>
      </c>
    </row>
    <row r="39" spans="4:10">
      <c r="D39" s="1"/>
      <c r="E39" t="s">
        <v>34</v>
      </c>
      <c r="F39">
        <v>1.2250000000000001</v>
      </c>
      <c r="G39">
        <v>0.73</v>
      </c>
      <c r="I39" t="s">
        <v>33</v>
      </c>
      <c r="J39">
        <v>1.2</v>
      </c>
    </row>
    <row r="40" spans="4:10">
      <c r="D40" s="1"/>
      <c r="E40" t="s">
        <v>35</v>
      </c>
      <c r="F40">
        <v>1.25</v>
      </c>
      <c r="G40">
        <v>0.74</v>
      </c>
      <c r="I40" t="s">
        <v>34</v>
      </c>
      <c r="J40">
        <v>1.2250000000000001</v>
      </c>
    </row>
    <row r="41" spans="4:10">
      <c r="D41" s="1"/>
      <c r="E41" t="s">
        <v>36</v>
      </c>
      <c r="F41">
        <v>1.2749999999999999</v>
      </c>
      <c r="G41">
        <v>0.75</v>
      </c>
      <c r="I41" t="s">
        <v>35</v>
      </c>
      <c r="J41">
        <v>1.25</v>
      </c>
    </row>
    <row r="42" spans="4:10">
      <c r="D42" s="1"/>
      <c r="E42" t="s">
        <v>37</v>
      </c>
      <c r="F42">
        <v>1.3</v>
      </c>
      <c r="G42">
        <v>0.76</v>
      </c>
      <c r="I42" t="s">
        <v>36</v>
      </c>
      <c r="J42">
        <v>1.2749999999999999</v>
      </c>
    </row>
    <row r="43" spans="4:10">
      <c r="D43" s="1"/>
      <c r="E43" t="s">
        <v>38</v>
      </c>
      <c r="F43">
        <v>1.325</v>
      </c>
      <c r="G43">
        <v>0.77</v>
      </c>
      <c r="I43" t="s">
        <v>37</v>
      </c>
      <c r="J43">
        <v>1.3</v>
      </c>
    </row>
    <row r="44" spans="4:10">
      <c r="D44" s="1"/>
      <c r="E44" t="s">
        <v>39</v>
      </c>
      <c r="F44">
        <v>1.35</v>
      </c>
      <c r="G44">
        <v>0.78</v>
      </c>
      <c r="I44" t="s">
        <v>38</v>
      </c>
      <c r="J44">
        <v>1.325</v>
      </c>
    </row>
    <row r="45" spans="4:10">
      <c r="D45" s="1"/>
      <c r="E45" t="s">
        <v>40</v>
      </c>
      <c r="F45">
        <v>1.375</v>
      </c>
      <c r="G45">
        <v>0.79</v>
      </c>
      <c r="I45" t="s">
        <v>39</v>
      </c>
      <c r="J45">
        <v>1.35</v>
      </c>
    </row>
    <row r="46" spans="4:10">
      <c r="D46" s="1"/>
      <c r="E46" t="s">
        <v>41</v>
      </c>
      <c r="F46">
        <v>1.4</v>
      </c>
      <c r="G46">
        <v>0.8</v>
      </c>
      <c r="I46" t="s">
        <v>40</v>
      </c>
      <c r="J46">
        <v>1.375</v>
      </c>
    </row>
    <row r="47" spans="4:10">
      <c r="D47" s="1"/>
      <c r="E47" t="s">
        <v>42</v>
      </c>
      <c r="F47">
        <v>1.425</v>
      </c>
      <c r="G47">
        <v>0.81</v>
      </c>
      <c r="I47" t="s">
        <v>41</v>
      </c>
      <c r="J47">
        <v>1.4</v>
      </c>
    </row>
    <row r="48" spans="4:10">
      <c r="D48" s="1"/>
      <c r="E48" t="s">
        <v>43</v>
      </c>
      <c r="F48">
        <v>1.45</v>
      </c>
      <c r="G48">
        <v>0.82</v>
      </c>
      <c r="I48" t="s">
        <v>42</v>
      </c>
      <c r="J48">
        <v>1.425</v>
      </c>
    </row>
    <row r="49" spans="4:10">
      <c r="D49" s="1"/>
      <c r="E49" t="s">
        <v>44</v>
      </c>
      <c r="F49">
        <v>1.4750000000000001</v>
      </c>
      <c r="G49">
        <v>0.83</v>
      </c>
      <c r="I49" t="s">
        <v>43</v>
      </c>
      <c r="J49">
        <v>1.45</v>
      </c>
    </row>
    <row r="50" spans="4:10">
      <c r="D50" s="1"/>
      <c r="E50" t="s">
        <v>45</v>
      </c>
      <c r="F50">
        <v>1.5</v>
      </c>
      <c r="G50">
        <v>0.84</v>
      </c>
      <c r="I50" t="s">
        <v>44</v>
      </c>
      <c r="J50">
        <v>1.4750000000000001</v>
      </c>
    </row>
    <row r="51" spans="4:10">
      <c r="D51" s="1"/>
      <c r="E51" t="s">
        <v>46</v>
      </c>
      <c r="F51">
        <v>1.5249999999999999</v>
      </c>
      <c r="G51">
        <v>0.85</v>
      </c>
      <c r="I51" t="s">
        <v>45</v>
      </c>
      <c r="J51">
        <v>1.5</v>
      </c>
    </row>
    <row r="52" spans="4:10">
      <c r="D52" s="1"/>
      <c r="E52" t="s">
        <v>47</v>
      </c>
      <c r="F52">
        <v>1.55</v>
      </c>
      <c r="G52">
        <v>0.86</v>
      </c>
      <c r="I52" t="s">
        <v>46</v>
      </c>
      <c r="J52">
        <v>1.5249999999999999</v>
      </c>
    </row>
    <row r="53" spans="4:10">
      <c r="D53" s="1"/>
      <c r="E53" t="s">
        <v>48</v>
      </c>
      <c r="F53">
        <v>1.575</v>
      </c>
      <c r="G53">
        <v>0.87</v>
      </c>
      <c r="I53" t="s">
        <v>47</v>
      </c>
      <c r="J53">
        <v>1.55</v>
      </c>
    </row>
    <row r="54" spans="4:10">
      <c r="D54" s="1"/>
      <c r="E54" t="s">
        <v>49</v>
      </c>
      <c r="F54">
        <v>1.6</v>
      </c>
      <c r="G54">
        <v>0.88</v>
      </c>
      <c r="I54" t="s">
        <v>48</v>
      </c>
      <c r="J54">
        <v>1.575</v>
      </c>
    </row>
    <row r="55" spans="4:10">
      <c r="D55" s="1"/>
      <c r="E55" t="s">
        <v>50</v>
      </c>
      <c r="F55">
        <v>1.625</v>
      </c>
      <c r="G55">
        <v>0.89</v>
      </c>
      <c r="I55" t="s">
        <v>49</v>
      </c>
      <c r="J55">
        <v>1.6</v>
      </c>
    </row>
    <row r="56" spans="4:10">
      <c r="D56" s="1"/>
      <c r="E56" t="s">
        <v>51</v>
      </c>
      <c r="F56">
        <v>1.65</v>
      </c>
      <c r="G56">
        <v>0.9</v>
      </c>
      <c r="I56" t="s">
        <v>50</v>
      </c>
      <c r="J56">
        <v>1.625</v>
      </c>
    </row>
    <row r="57" spans="4:10">
      <c r="D57" s="1"/>
      <c r="E57" t="s">
        <v>52</v>
      </c>
      <c r="F57">
        <v>1.675</v>
      </c>
      <c r="G57">
        <v>0.91</v>
      </c>
      <c r="I57" t="s">
        <v>51</v>
      </c>
      <c r="J57">
        <v>1.65</v>
      </c>
    </row>
    <row r="58" spans="4:10">
      <c r="D58" s="1"/>
      <c r="E58" t="s">
        <v>53</v>
      </c>
      <c r="F58">
        <v>1.7</v>
      </c>
      <c r="G58">
        <v>0.92</v>
      </c>
      <c r="I58" t="s">
        <v>52</v>
      </c>
      <c r="J58">
        <v>1.675</v>
      </c>
    </row>
    <row r="59" spans="4:10">
      <c r="D59" s="1"/>
      <c r="E59" t="s">
        <v>54</v>
      </c>
      <c r="F59">
        <v>1.7250000000000001</v>
      </c>
      <c r="G59">
        <v>0.93</v>
      </c>
      <c r="I59" t="s">
        <v>53</v>
      </c>
      <c r="J59">
        <v>1.7</v>
      </c>
    </row>
    <row r="60" spans="4:10">
      <c r="D60" s="1"/>
      <c r="E60" t="s">
        <v>55</v>
      </c>
      <c r="F60">
        <v>1.75</v>
      </c>
      <c r="G60">
        <v>0.94</v>
      </c>
      <c r="I60" t="s">
        <v>54</v>
      </c>
      <c r="J60">
        <v>1.7250000000000001</v>
      </c>
    </row>
    <row r="61" spans="4:10">
      <c r="D61" s="1"/>
      <c r="E61" t="s">
        <v>56</v>
      </c>
      <c r="F61">
        <v>1.7749999999999999</v>
      </c>
      <c r="G61">
        <v>0.95</v>
      </c>
      <c r="I61" t="s">
        <v>55</v>
      </c>
      <c r="J61">
        <v>1.75</v>
      </c>
    </row>
    <row r="62" spans="4:10">
      <c r="D62" s="1"/>
      <c r="E62" t="s">
        <v>57</v>
      </c>
      <c r="F62">
        <v>1.8</v>
      </c>
      <c r="G62">
        <v>0.96</v>
      </c>
      <c r="I62" t="s">
        <v>56</v>
      </c>
      <c r="J62">
        <v>1.7749999999999999</v>
      </c>
    </row>
    <row r="63" spans="4:10">
      <c r="D63" s="1"/>
      <c r="E63" t="s">
        <v>58</v>
      </c>
      <c r="F63">
        <v>1.825</v>
      </c>
      <c r="G63">
        <v>0.97</v>
      </c>
      <c r="I63" t="s">
        <v>57</v>
      </c>
      <c r="J63">
        <v>1.8</v>
      </c>
    </row>
    <row r="64" spans="4:10">
      <c r="D64" s="1"/>
      <c r="E64" t="s">
        <v>59</v>
      </c>
      <c r="F64">
        <v>1.85</v>
      </c>
      <c r="G64">
        <v>0.98</v>
      </c>
      <c r="I64" t="s">
        <v>58</v>
      </c>
      <c r="J64">
        <v>1.825</v>
      </c>
    </row>
    <row r="65" spans="4:10">
      <c r="D65" s="1"/>
      <c r="E65" t="s">
        <v>60</v>
      </c>
      <c r="F65">
        <v>1.875</v>
      </c>
      <c r="G65">
        <v>0.99</v>
      </c>
      <c r="I65" t="s">
        <v>59</v>
      </c>
      <c r="J65">
        <v>1.85</v>
      </c>
    </row>
    <row r="66" spans="4:10">
      <c r="D66" s="1"/>
      <c r="E66" t="s">
        <v>61</v>
      </c>
      <c r="F66">
        <v>1.9</v>
      </c>
      <c r="G66">
        <v>1</v>
      </c>
      <c r="I66" t="s">
        <v>60</v>
      </c>
      <c r="J66">
        <v>1.875</v>
      </c>
    </row>
    <row r="67" spans="4:10">
      <c r="D67" s="1"/>
      <c r="E67" t="s">
        <v>62</v>
      </c>
      <c r="F67">
        <v>1.925</v>
      </c>
      <c r="G67">
        <v>1.01</v>
      </c>
      <c r="I67" t="s">
        <v>61</v>
      </c>
      <c r="J67">
        <v>1.9</v>
      </c>
    </row>
    <row r="68" spans="4:10">
      <c r="D68" s="1"/>
      <c r="E68" t="s">
        <v>63</v>
      </c>
      <c r="F68">
        <v>1.95</v>
      </c>
      <c r="G68">
        <v>1.02</v>
      </c>
      <c r="I68" t="s">
        <v>62</v>
      </c>
      <c r="J68">
        <v>1.925</v>
      </c>
    </row>
    <row r="69" spans="4:10">
      <c r="D69" s="1"/>
      <c r="E69" t="s">
        <v>64</v>
      </c>
      <c r="F69">
        <v>1.9750000000000001</v>
      </c>
      <c r="G69">
        <v>1.03</v>
      </c>
      <c r="I69" t="s">
        <v>63</v>
      </c>
      <c r="J69">
        <v>1.95</v>
      </c>
    </row>
    <row r="70" spans="4:10">
      <c r="D70" s="1"/>
      <c r="E70" t="s">
        <v>65</v>
      </c>
      <c r="F70">
        <v>2</v>
      </c>
      <c r="G70">
        <v>1.04</v>
      </c>
      <c r="I70" t="s">
        <v>64</v>
      </c>
      <c r="J70">
        <v>1.9750000000000001</v>
      </c>
    </row>
    <row r="71" spans="4:10">
      <c r="D71" s="1"/>
      <c r="E71" t="s">
        <v>66</v>
      </c>
      <c r="F71">
        <v>2.0249999999999999</v>
      </c>
      <c r="G71">
        <v>1.05</v>
      </c>
      <c r="I71" t="s">
        <v>65</v>
      </c>
      <c r="J71">
        <v>2</v>
      </c>
    </row>
    <row r="72" spans="4:10">
      <c r="D72" s="1"/>
      <c r="E72" t="s">
        <v>67</v>
      </c>
      <c r="F72">
        <v>2.0499999999999998</v>
      </c>
      <c r="G72">
        <v>1.06</v>
      </c>
      <c r="I72" t="s">
        <v>66</v>
      </c>
      <c r="J72">
        <v>2.0249999999999999</v>
      </c>
    </row>
    <row r="73" spans="4:10">
      <c r="D73" s="1"/>
      <c r="E73" t="s">
        <v>68</v>
      </c>
      <c r="F73">
        <v>2.0750000000000002</v>
      </c>
      <c r="G73">
        <v>1.07</v>
      </c>
      <c r="I73" t="s">
        <v>67</v>
      </c>
      <c r="J73">
        <v>2.0499999999999998</v>
      </c>
    </row>
    <row r="74" spans="4:10">
      <c r="D74" s="1"/>
      <c r="E74" t="s">
        <v>69</v>
      </c>
      <c r="F74">
        <v>2.1</v>
      </c>
      <c r="G74">
        <v>1.08</v>
      </c>
      <c r="I74" t="s">
        <v>68</v>
      </c>
      <c r="J74">
        <v>2.0750000000000002</v>
      </c>
    </row>
    <row r="75" spans="4:10">
      <c r="D75" s="1"/>
      <c r="E75" t="s">
        <v>70</v>
      </c>
      <c r="F75">
        <v>2.125</v>
      </c>
      <c r="G75">
        <v>1.0900000000000001</v>
      </c>
      <c r="I75" t="s">
        <v>69</v>
      </c>
      <c r="J75">
        <v>2.1</v>
      </c>
    </row>
    <row r="76" spans="4:10">
      <c r="D76" s="1"/>
      <c r="E76" t="s">
        <v>71</v>
      </c>
      <c r="F76">
        <v>2.15</v>
      </c>
      <c r="G76">
        <v>1.1000000000000001</v>
      </c>
      <c r="I76" t="s">
        <v>70</v>
      </c>
      <c r="J76">
        <v>2.125</v>
      </c>
    </row>
    <row r="77" spans="4:10">
      <c r="D77" s="1"/>
      <c r="E77" t="s">
        <v>72</v>
      </c>
      <c r="F77">
        <v>2.1749999999999998</v>
      </c>
      <c r="G77">
        <v>1.1100000000000001</v>
      </c>
      <c r="I77" t="s">
        <v>71</v>
      </c>
      <c r="J77">
        <v>2.15</v>
      </c>
    </row>
    <row r="78" spans="4:10">
      <c r="D78" s="1"/>
      <c r="E78" t="s">
        <v>73</v>
      </c>
      <c r="F78">
        <v>2.2000000000000002</v>
      </c>
      <c r="G78">
        <v>1.1200000000000001</v>
      </c>
      <c r="I78" t="s">
        <v>72</v>
      </c>
      <c r="J78">
        <v>2.1749999999999998</v>
      </c>
    </row>
    <row r="79" spans="4:10">
      <c r="D79" s="1"/>
      <c r="E79" t="s">
        <v>74</v>
      </c>
      <c r="F79">
        <v>2.2250000000000001</v>
      </c>
      <c r="G79">
        <v>1.1299999999999999</v>
      </c>
      <c r="I79" t="s">
        <v>73</v>
      </c>
      <c r="J79">
        <v>2.2000000000000002</v>
      </c>
    </row>
    <row r="80" spans="4:10">
      <c r="D80" s="1"/>
      <c r="E80" t="s">
        <v>75</v>
      </c>
      <c r="F80">
        <v>2.25</v>
      </c>
      <c r="G80">
        <v>1.1399999999999999</v>
      </c>
      <c r="I80" t="s">
        <v>74</v>
      </c>
      <c r="J80">
        <v>2.2250000000000001</v>
      </c>
    </row>
    <row r="81" spans="4:10">
      <c r="D81" s="1"/>
      <c r="E81" t="s">
        <v>76</v>
      </c>
      <c r="F81">
        <v>2.2749999999999999</v>
      </c>
      <c r="G81">
        <v>1.1499999999999999</v>
      </c>
      <c r="I81" t="s">
        <v>75</v>
      </c>
      <c r="J81">
        <v>2.25</v>
      </c>
    </row>
    <row r="82" spans="4:10">
      <c r="D82" s="1"/>
      <c r="E82" t="s">
        <v>77</v>
      </c>
      <c r="F82">
        <v>2.2999999999999998</v>
      </c>
      <c r="G82">
        <v>1.1599999999999999</v>
      </c>
      <c r="I82" t="s">
        <v>76</v>
      </c>
      <c r="J82">
        <v>2.2749999999999999</v>
      </c>
    </row>
    <row r="83" spans="4:10">
      <c r="D83" s="1"/>
      <c r="E83" t="s">
        <v>78</v>
      </c>
      <c r="F83">
        <v>2.3250000000000002</v>
      </c>
      <c r="G83">
        <v>1.17</v>
      </c>
      <c r="I83" t="s">
        <v>77</v>
      </c>
      <c r="J83">
        <v>2.2999999999999998</v>
      </c>
    </row>
    <row r="84" spans="4:10">
      <c r="D84" s="1"/>
      <c r="E84" t="s">
        <v>79</v>
      </c>
      <c r="F84">
        <v>2.35</v>
      </c>
      <c r="G84">
        <v>1.18</v>
      </c>
      <c r="I84" t="s">
        <v>78</v>
      </c>
      <c r="J84">
        <v>2.3250000000000002</v>
      </c>
    </row>
    <row r="85" spans="4:10">
      <c r="D85" s="1"/>
      <c r="E85" t="s">
        <v>80</v>
      </c>
      <c r="F85">
        <v>2.375</v>
      </c>
      <c r="G85">
        <v>1.19</v>
      </c>
      <c r="I85" t="s">
        <v>79</v>
      </c>
      <c r="J85">
        <v>2.35</v>
      </c>
    </row>
    <row r="86" spans="4:10">
      <c r="D86" s="1"/>
      <c r="E86" t="s">
        <v>81</v>
      </c>
      <c r="F86">
        <v>2.4</v>
      </c>
      <c r="G86">
        <v>1.2</v>
      </c>
      <c r="I86" t="s">
        <v>80</v>
      </c>
      <c r="J86">
        <v>2.375</v>
      </c>
    </row>
    <row r="87" spans="4:10">
      <c r="D87" s="1"/>
      <c r="E87" t="s">
        <v>82</v>
      </c>
      <c r="F87">
        <v>2.4249999999999998</v>
      </c>
      <c r="G87">
        <v>1.21</v>
      </c>
      <c r="I87" t="s">
        <v>81</v>
      </c>
      <c r="J87">
        <v>2.4</v>
      </c>
    </row>
    <row r="88" spans="4:10">
      <c r="D88" s="1"/>
      <c r="E88" t="s">
        <v>83</v>
      </c>
      <c r="F88">
        <v>2.4500000000000002</v>
      </c>
      <c r="G88">
        <v>1.22</v>
      </c>
      <c r="I88" t="s">
        <v>82</v>
      </c>
      <c r="J88">
        <v>2.4249999999999998</v>
      </c>
    </row>
    <row r="89" spans="4:10">
      <c r="D89" s="1"/>
      <c r="E89" t="s">
        <v>84</v>
      </c>
      <c r="F89">
        <v>2.4750000000000001</v>
      </c>
      <c r="G89">
        <v>1.23</v>
      </c>
      <c r="I89" t="s">
        <v>83</v>
      </c>
      <c r="J89">
        <v>2.4500000000000002</v>
      </c>
    </row>
    <row r="90" spans="4:10">
      <c r="D90" s="1"/>
      <c r="E90" t="s">
        <v>85</v>
      </c>
      <c r="F90">
        <v>2.5</v>
      </c>
      <c r="G90">
        <v>1.24</v>
      </c>
      <c r="I90" t="s">
        <v>84</v>
      </c>
      <c r="J90">
        <v>2.4750000000000001</v>
      </c>
    </row>
    <row r="91" spans="4:10">
      <c r="D91" s="1"/>
      <c r="E91" t="s">
        <v>86</v>
      </c>
      <c r="F91">
        <v>2.5249999999999999</v>
      </c>
      <c r="G91">
        <v>1.25</v>
      </c>
      <c r="I91" t="s">
        <v>85</v>
      </c>
      <c r="J91">
        <v>2.5</v>
      </c>
    </row>
    <row r="92" spans="4:10">
      <c r="D92" s="1"/>
      <c r="E92" t="s">
        <v>87</v>
      </c>
      <c r="F92">
        <v>2.5499999999999998</v>
      </c>
      <c r="G92">
        <v>1.26</v>
      </c>
      <c r="I92" t="s">
        <v>86</v>
      </c>
      <c r="J92">
        <v>2.5249999999999999</v>
      </c>
    </row>
    <row r="93" spans="4:10">
      <c r="D93" s="1"/>
      <c r="E93" t="s">
        <v>88</v>
      </c>
      <c r="F93">
        <v>2.5750000000000002</v>
      </c>
      <c r="G93">
        <v>1.27</v>
      </c>
      <c r="I93" t="s">
        <v>87</v>
      </c>
      <c r="J93">
        <v>2.5499999999999998</v>
      </c>
    </row>
    <row r="94" spans="4:10">
      <c r="D94" s="1"/>
      <c r="E94" t="s">
        <v>89</v>
      </c>
      <c r="F94">
        <v>2.6</v>
      </c>
      <c r="G94">
        <v>1.28</v>
      </c>
      <c r="I94" t="s">
        <v>88</v>
      </c>
      <c r="J94">
        <v>2.5750000000000002</v>
      </c>
    </row>
    <row r="95" spans="4:10">
      <c r="D95" s="1"/>
      <c r="E95" t="s">
        <v>90</v>
      </c>
      <c r="F95">
        <v>2.625</v>
      </c>
      <c r="G95">
        <v>1.29</v>
      </c>
      <c r="I95" t="s">
        <v>89</v>
      </c>
      <c r="J95">
        <v>2.6</v>
      </c>
    </row>
    <row r="96" spans="4:10">
      <c r="D96" s="1"/>
      <c r="E96" t="s">
        <v>91</v>
      </c>
      <c r="F96">
        <v>2.65</v>
      </c>
      <c r="G96">
        <v>1.3</v>
      </c>
      <c r="I96" t="s">
        <v>90</v>
      </c>
      <c r="J96">
        <v>2.625</v>
      </c>
    </row>
    <row r="97" spans="4:10">
      <c r="D97" s="1"/>
      <c r="E97" t="s">
        <v>92</v>
      </c>
      <c r="F97">
        <v>2.6749999999999998</v>
      </c>
      <c r="G97">
        <v>1.31</v>
      </c>
      <c r="I97" t="s">
        <v>91</v>
      </c>
      <c r="J97">
        <v>2.65</v>
      </c>
    </row>
    <row r="98" spans="4:10">
      <c r="D98" s="1"/>
      <c r="E98" t="s">
        <v>93</v>
      </c>
      <c r="F98">
        <v>2.7</v>
      </c>
      <c r="G98">
        <v>1.32</v>
      </c>
      <c r="I98" t="s">
        <v>92</v>
      </c>
      <c r="J98">
        <v>2.6749999999999998</v>
      </c>
    </row>
    <row r="99" spans="4:10">
      <c r="D99" s="1"/>
      <c r="E99" t="s">
        <v>94</v>
      </c>
      <c r="F99">
        <v>2.7250000000000001</v>
      </c>
      <c r="G99">
        <v>1.33</v>
      </c>
      <c r="I99" t="s">
        <v>93</v>
      </c>
      <c r="J99">
        <v>2.7</v>
      </c>
    </row>
    <row r="100" spans="4:10">
      <c r="D100" s="1"/>
      <c r="E100" t="s">
        <v>95</v>
      </c>
      <c r="F100">
        <v>2.75</v>
      </c>
      <c r="G100">
        <v>1.34</v>
      </c>
      <c r="I100" t="s">
        <v>94</v>
      </c>
      <c r="J100">
        <v>2.7250000000000001</v>
      </c>
    </row>
    <row r="101" spans="4:10">
      <c r="D101" s="1"/>
      <c r="E101" t="s">
        <v>96</v>
      </c>
      <c r="F101">
        <v>2.7749999999999999</v>
      </c>
      <c r="G101">
        <v>1.35</v>
      </c>
      <c r="I101" t="s">
        <v>95</v>
      </c>
      <c r="J101">
        <v>2.75</v>
      </c>
    </row>
    <row r="102" spans="4:10">
      <c r="D102" s="1"/>
      <c r="E102" t="s">
        <v>97</v>
      </c>
      <c r="F102">
        <v>2.8</v>
      </c>
      <c r="G102">
        <v>1.36</v>
      </c>
      <c r="I102" t="s">
        <v>96</v>
      </c>
      <c r="J102">
        <v>2.7749999999999999</v>
      </c>
    </row>
    <row r="103" spans="4:10">
      <c r="D103" s="1"/>
      <c r="E103" t="s">
        <v>98</v>
      </c>
      <c r="F103">
        <v>2.8250000000000002</v>
      </c>
      <c r="G103">
        <v>1.37</v>
      </c>
      <c r="I103" t="s">
        <v>97</v>
      </c>
      <c r="J103">
        <v>2.8</v>
      </c>
    </row>
    <row r="104" spans="4:10">
      <c r="D104" s="1"/>
      <c r="E104" t="s">
        <v>99</v>
      </c>
      <c r="F104">
        <v>2.85</v>
      </c>
      <c r="G104">
        <v>1.38</v>
      </c>
      <c r="I104" t="s">
        <v>98</v>
      </c>
      <c r="J104">
        <v>2.8250000000000002</v>
      </c>
    </row>
    <row r="105" spans="4:10">
      <c r="D105" s="1"/>
      <c r="E105" t="s">
        <v>100</v>
      </c>
      <c r="F105">
        <v>2.875</v>
      </c>
      <c r="G105">
        <v>1.39</v>
      </c>
      <c r="I105" t="s">
        <v>99</v>
      </c>
      <c r="J105">
        <v>2.85</v>
      </c>
    </row>
    <row r="106" spans="4:10">
      <c r="D106" s="1"/>
      <c r="E106" t="s">
        <v>101</v>
      </c>
      <c r="F106">
        <v>2.9</v>
      </c>
      <c r="G106">
        <v>1.4</v>
      </c>
      <c r="I106" t="s">
        <v>100</v>
      </c>
      <c r="J106">
        <v>2.875</v>
      </c>
    </row>
    <row r="107" spans="4:10">
      <c r="D107" s="1"/>
      <c r="E107" t="s">
        <v>102</v>
      </c>
      <c r="F107">
        <v>2.9249999999999998</v>
      </c>
      <c r="G107">
        <v>1.41</v>
      </c>
      <c r="I107" t="s">
        <v>101</v>
      </c>
      <c r="J107">
        <v>2.9</v>
      </c>
    </row>
    <row r="108" spans="4:10">
      <c r="D108" s="1"/>
      <c r="E108" t="s">
        <v>103</v>
      </c>
      <c r="F108">
        <v>2.95</v>
      </c>
      <c r="G108">
        <v>1.42</v>
      </c>
      <c r="I108" t="s">
        <v>102</v>
      </c>
      <c r="J108">
        <v>2.9249999999999998</v>
      </c>
    </row>
    <row r="109" spans="4:10">
      <c r="D109" s="1"/>
      <c r="E109" t="s">
        <v>104</v>
      </c>
      <c r="F109">
        <v>2.9750000000000001</v>
      </c>
      <c r="G109">
        <v>1.43</v>
      </c>
      <c r="I109" t="s">
        <v>103</v>
      </c>
      <c r="J109">
        <v>2.95</v>
      </c>
    </row>
    <row r="110" spans="4:10">
      <c r="D110" s="1"/>
      <c r="E110" t="s">
        <v>105</v>
      </c>
      <c r="F110">
        <v>3</v>
      </c>
      <c r="G110">
        <v>1.44</v>
      </c>
      <c r="I110" t="s">
        <v>104</v>
      </c>
      <c r="J110">
        <v>2.9750000000000001</v>
      </c>
    </row>
    <row r="111" spans="4:10">
      <c r="D111" s="1"/>
      <c r="E111" t="s">
        <v>106</v>
      </c>
      <c r="F111">
        <v>3.0249999999999999</v>
      </c>
      <c r="G111">
        <v>1.45</v>
      </c>
      <c r="I111" t="s">
        <v>105</v>
      </c>
      <c r="J111">
        <v>3</v>
      </c>
    </row>
    <row r="112" spans="4:10">
      <c r="D112" s="1"/>
      <c r="E112" t="s">
        <v>107</v>
      </c>
      <c r="F112">
        <v>3.05</v>
      </c>
      <c r="G112">
        <v>1.46</v>
      </c>
      <c r="I112" t="s">
        <v>106</v>
      </c>
      <c r="J112">
        <v>3.0249999999999999</v>
      </c>
    </row>
    <row r="113" spans="4:10">
      <c r="D113" s="1"/>
      <c r="E113" t="s">
        <v>108</v>
      </c>
      <c r="F113">
        <v>3.0750000000000002</v>
      </c>
      <c r="G113">
        <v>1.47</v>
      </c>
      <c r="I113" t="s">
        <v>107</v>
      </c>
      <c r="J113">
        <v>3.05</v>
      </c>
    </row>
    <row r="114" spans="4:10">
      <c r="D114" s="1"/>
      <c r="E114" t="s">
        <v>109</v>
      </c>
      <c r="F114">
        <v>3.1</v>
      </c>
      <c r="G114">
        <v>1.48</v>
      </c>
      <c r="I114" t="s">
        <v>108</v>
      </c>
      <c r="J114">
        <v>3.0750000000000002</v>
      </c>
    </row>
    <row r="115" spans="4:10">
      <c r="D115" s="1"/>
      <c r="E115" t="s">
        <v>110</v>
      </c>
      <c r="F115">
        <v>3.125</v>
      </c>
      <c r="G115">
        <v>1.49</v>
      </c>
      <c r="I115" t="s">
        <v>109</v>
      </c>
      <c r="J115">
        <v>3.1</v>
      </c>
    </row>
    <row r="116" spans="4:10">
      <c r="D116" s="1"/>
      <c r="E116" t="s">
        <v>111</v>
      </c>
      <c r="F116">
        <v>3.15</v>
      </c>
      <c r="G116">
        <v>1.5</v>
      </c>
      <c r="I116" t="s">
        <v>110</v>
      </c>
      <c r="J116">
        <v>3.125</v>
      </c>
    </row>
    <row r="117" spans="4:10">
      <c r="D117" s="1"/>
      <c r="E117" t="s">
        <v>112</v>
      </c>
      <c r="F117">
        <v>3.1749999999999998</v>
      </c>
      <c r="G117">
        <v>1.51</v>
      </c>
      <c r="I117" t="s">
        <v>111</v>
      </c>
      <c r="J117">
        <v>3.15</v>
      </c>
    </row>
    <row r="118" spans="4:10">
      <c r="D118" s="1"/>
      <c r="E118" t="s">
        <v>113</v>
      </c>
      <c r="F118">
        <v>3.2</v>
      </c>
      <c r="G118">
        <v>1.52</v>
      </c>
      <c r="I118" t="s">
        <v>112</v>
      </c>
      <c r="J118">
        <v>3.1749999999999998</v>
      </c>
    </row>
    <row r="119" spans="4:10">
      <c r="D119" s="1"/>
      <c r="E119" t="s">
        <v>114</v>
      </c>
      <c r="F119">
        <v>3.2250000000000001</v>
      </c>
      <c r="G119">
        <v>1.53</v>
      </c>
      <c r="I119" t="s">
        <v>113</v>
      </c>
      <c r="J119">
        <v>3.2</v>
      </c>
    </row>
    <row r="120" spans="4:10">
      <c r="D120" s="1"/>
      <c r="E120" t="s">
        <v>115</v>
      </c>
      <c r="F120">
        <v>3.25</v>
      </c>
      <c r="G120">
        <v>1.54</v>
      </c>
      <c r="I120" t="s">
        <v>114</v>
      </c>
      <c r="J120">
        <v>3.2250000000000001</v>
      </c>
    </row>
    <row r="121" spans="4:10">
      <c r="D121" s="1"/>
      <c r="E121" t="s">
        <v>116</v>
      </c>
      <c r="F121">
        <v>3.2749999999999999</v>
      </c>
      <c r="G121">
        <v>1.55</v>
      </c>
      <c r="I121" t="s">
        <v>115</v>
      </c>
      <c r="J121">
        <v>3.25</v>
      </c>
    </row>
    <row r="122" spans="4:10">
      <c r="D122" s="1"/>
      <c r="E122" t="s">
        <v>117</v>
      </c>
      <c r="F122">
        <v>3.3</v>
      </c>
      <c r="G122">
        <v>1.56</v>
      </c>
      <c r="I122" t="s">
        <v>116</v>
      </c>
      <c r="J122">
        <v>3.2749999999999999</v>
      </c>
    </row>
    <row r="123" spans="4:10">
      <c r="D123" s="1"/>
      <c r="E123" t="s">
        <v>118</v>
      </c>
      <c r="F123">
        <v>3.3250000000000002</v>
      </c>
      <c r="G123">
        <v>1.57</v>
      </c>
      <c r="I123" t="s">
        <v>117</v>
      </c>
      <c r="J123">
        <v>3.3</v>
      </c>
    </row>
    <row r="124" spans="4:10">
      <c r="D124" s="1"/>
      <c r="E124" t="s">
        <v>119</v>
      </c>
      <c r="F124">
        <v>3.35</v>
      </c>
      <c r="G124">
        <v>1.58</v>
      </c>
      <c r="I124" t="s">
        <v>118</v>
      </c>
      <c r="J124">
        <v>3.3250000000000002</v>
      </c>
    </row>
    <row r="125" spans="4:10">
      <c r="D125" s="1"/>
      <c r="E125" t="s">
        <v>120</v>
      </c>
      <c r="F125">
        <v>3.375</v>
      </c>
      <c r="G125">
        <v>1.59</v>
      </c>
      <c r="I125" t="s">
        <v>119</v>
      </c>
      <c r="J125">
        <v>3.35</v>
      </c>
    </row>
    <row r="126" spans="4:10">
      <c r="D126" s="1"/>
      <c r="E126" t="s">
        <v>121</v>
      </c>
      <c r="F126">
        <v>3.4</v>
      </c>
      <c r="G126">
        <v>1.6</v>
      </c>
      <c r="I126" t="s">
        <v>120</v>
      </c>
      <c r="J126">
        <v>3.375</v>
      </c>
    </row>
    <row r="127" spans="4:10">
      <c r="D127" s="1"/>
      <c r="E127" t="s">
        <v>122</v>
      </c>
      <c r="F127">
        <v>3.4249999999999998</v>
      </c>
      <c r="G127">
        <v>1.61</v>
      </c>
      <c r="I127" t="s">
        <v>121</v>
      </c>
      <c r="J127">
        <v>3.4</v>
      </c>
    </row>
    <row r="128" spans="4:10">
      <c r="D128" s="1"/>
      <c r="E128" t="s">
        <v>123</v>
      </c>
      <c r="F128">
        <v>3.45</v>
      </c>
      <c r="G128">
        <v>1.62</v>
      </c>
      <c r="I128" t="s">
        <v>122</v>
      </c>
      <c r="J128">
        <v>3.4249999999999998</v>
      </c>
    </row>
    <row r="129" spans="4:10">
      <c r="D129" s="1"/>
      <c r="E129" t="s">
        <v>124</v>
      </c>
      <c r="F129">
        <v>3.4750000000000001</v>
      </c>
      <c r="G129">
        <v>1.63</v>
      </c>
      <c r="I129" t="s">
        <v>123</v>
      </c>
      <c r="J129">
        <v>3.45</v>
      </c>
    </row>
    <row r="130" spans="4:10">
      <c r="D130" s="1"/>
      <c r="E130" t="s">
        <v>125</v>
      </c>
      <c r="F130">
        <v>3.5</v>
      </c>
      <c r="G130">
        <v>1.64</v>
      </c>
      <c r="I130" t="s">
        <v>124</v>
      </c>
      <c r="J130">
        <v>3.4750000000000001</v>
      </c>
    </row>
    <row r="131" spans="4:10">
      <c r="D131" s="1"/>
      <c r="E131" t="s">
        <v>126</v>
      </c>
      <c r="F131">
        <v>3.5249999999999999</v>
      </c>
      <c r="G131">
        <v>1.65</v>
      </c>
      <c r="I131" t="s">
        <v>125</v>
      </c>
      <c r="J131">
        <v>3.5</v>
      </c>
    </row>
    <row r="132" spans="4:10">
      <c r="D132" s="1"/>
      <c r="E132" t="s">
        <v>127</v>
      </c>
      <c r="F132">
        <v>3.55</v>
      </c>
      <c r="G132">
        <v>1.66</v>
      </c>
      <c r="I132" t="s">
        <v>126</v>
      </c>
      <c r="J132">
        <v>3.5249999999999999</v>
      </c>
    </row>
    <row r="133" spans="4:10">
      <c r="D133" s="1"/>
      <c r="E133" t="s">
        <v>128</v>
      </c>
      <c r="F133">
        <v>3.5750000000000002</v>
      </c>
      <c r="G133">
        <v>1.67</v>
      </c>
      <c r="I133" t="s">
        <v>127</v>
      </c>
      <c r="J133">
        <v>3.55</v>
      </c>
    </row>
    <row r="134" spans="4:10" s="117" customFormat="1">
      <c r="E134" s="135" t="s">
        <v>2</v>
      </c>
      <c r="F134" s="117" t="s">
        <v>707</v>
      </c>
      <c r="G134" s="117" t="s">
        <v>707</v>
      </c>
      <c r="I134" t="s">
        <v>128</v>
      </c>
      <c r="J134">
        <v>3.5750000000000002</v>
      </c>
    </row>
    <row r="135" spans="4:10">
      <c r="D135" s="1"/>
    </row>
    <row r="136" spans="4:10">
      <c r="D136" s="1"/>
      <c r="E136" t="s">
        <v>145</v>
      </c>
      <c r="J136" s="1"/>
    </row>
    <row r="137" spans="4:10">
      <c r="D137" s="1"/>
      <c r="E137" t="s">
        <v>146</v>
      </c>
      <c r="F137" s="157">
        <v>0</v>
      </c>
      <c r="J137" s="1"/>
    </row>
    <row r="138" spans="4:10">
      <c r="D138" s="1"/>
      <c r="E138" s="1">
        <v>0</v>
      </c>
      <c r="F138" s="157">
        <v>0.41</v>
      </c>
      <c r="J138" s="1"/>
    </row>
    <row r="139" spans="4:10">
      <c r="D139" s="1"/>
      <c r="E139" s="1">
        <v>0.41</v>
      </c>
      <c r="F139" s="157">
        <v>0.42</v>
      </c>
      <c r="J139" s="1"/>
    </row>
    <row r="140" spans="4:10">
      <c r="D140" s="1"/>
      <c r="E140" s="1">
        <v>0.42</v>
      </c>
      <c r="F140" s="157">
        <v>0.43</v>
      </c>
      <c r="J140" s="1"/>
    </row>
    <row r="141" spans="4:10">
      <c r="D141" s="1"/>
      <c r="E141" s="1">
        <v>0.43</v>
      </c>
      <c r="F141" s="157">
        <v>0.44</v>
      </c>
      <c r="J141" s="1"/>
    </row>
    <row r="142" spans="4:10">
      <c r="D142" s="1"/>
      <c r="E142" s="1">
        <v>0.44</v>
      </c>
      <c r="F142" s="157">
        <v>0.45</v>
      </c>
      <c r="J142" s="1"/>
    </row>
    <row r="143" spans="4:10">
      <c r="D143" s="1"/>
      <c r="E143" s="1">
        <v>0.45</v>
      </c>
      <c r="F143" s="157">
        <v>0.46</v>
      </c>
      <c r="J143" s="1"/>
    </row>
    <row r="144" spans="4:10">
      <c r="E144" s="1">
        <v>0.46</v>
      </c>
      <c r="F144" s="157">
        <v>0.47</v>
      </c>
      <c r="J144" s="1"/>
    </row>
    <row r="145" spans="5:10">
      <c r="E145" s="1">
        <v>0.47</v>
      </c>
      <c r="F145" s="157">
        <v>0.48</v>
      </c>
      <c r="J145" s="1"/>
    </row>
    <row r="146" spans="5:10">
      <c r="E146" s="1">
        <v>0.48</v>
      </c>
      <c r="F146" s="157">
        <v>0.49</v>
      </c>
      <c r="J146" s="1"/>
    </row>
    <row r="147" spans="5:10">
      <c r="E147" s="1">
        <v>0.49</v>
      </c>
      <c r="F147" s="157">
        <v>0.5</v>
      </c>
      <c r="J147" s="1"/>
    </row>
    <row r="148" spans="5:10">
      <c r="E148" s="1">
        <v>0.5</v>
      </c>
      <c r="F148" s="157">
        <v>0.51</v>
      </c>
      <c r="J148" s="1"/>
    </row>
    <row r="149" spans="5:10">
      <c r="E149" s="1">
        <v>0.51</v>
      </c>
      <c r="F149" s="157">
        <v>0.52</v>
      </c>
      <c r="J149" s="1"/>
    </row>
    <row r="150" spans="5:10">
      <c r="E150" s="1">
        <v>0.52</v>
      </c>
      <c r="F150" s="157">
        <v>0.53</v>
      </c>
      <c r="J150" s="1"/>
    </row>
    <row r="151" spans="5:10">
      <c r="E151" s="1">
        <v>0.53</v>
      </c>
      <c r="F151" s="157">
        <v>0.54</v>
      </c>
      <c r="J151" s="1"/>
    </row>
    <row r="152" spans="5:10">
      <c r="E152" s="1">
        <v>0.54</v>
      </c>
      <c r="F152" s="157">
        <v>0.55000000000000004</v>
      </c>
      <c r="J152" s="1"/>
    </row>
    <row r="153" spans="5:10">
      <c r="E153" s="1">
        <v>0.55000000000000004</v>
      </c>
      <c r="F153" s="157">
        <v>0.56000000000000005</v>
      </c>
      <c r="J153" s="1"/>
    </row>
    <row r="154" spans="5:10">
      <c r="E154" s="1">
        <v>0.56000000000000005</v>
      </c>
      <c r="F154" s="157">
        <v>0.56999999999999995</v>
      </c>
      <c r="J154" s="1"/>
    </row>
    <row r="155" spans="5:10">
      <c r="E155" s="1">
        <v>0.56999999999999995</v>
      </c>
      <c r="F155" s="157">
        <v>0.57999999999999996</v>
      </c>
      <c r="J155" s="1"/>
    </row>
    <row r="156" spans="5:10">
      <c r="E156" s="1">
        <v>0.57999999999999996</v>
      </c>
      <c r="F156" s="157">
        <v>0.59</v>
      </c>
      <c r="J156" s="1"/>
    </row>
    <row r="157" spans="5:10">
      <c r="E157" s="1">
        <v>0.59</v>
      </c>
      <c r="F157" s="157">
        <v>0.6</v>
      </c>
      <c r="J157" s="1"/>
    </row>
    <row r="158" spans="5:10">
      <c r="E158" s="1">
        <v>0.6</v>
      </c>
      <c r="F158" s="157">
        <v>0.61</v>
      </c>
      <c r="J158" s="1"/>
    </row>
    <row r="159" spans="5:10">
      <c r="E159" s="1">
        <v>0.61</v>
      </c>
      <c r="F159" s="157">
        <v>0.62</v>
      </c>
      <c r="J159" s="1"/>
    </row>
    <row r="160" spans="5:10">
      <c r="E160" s="1">
        <v>0.62</v>
      </c>
      <c r="F160" s="157">
        <v>0.63</v>
      </c>
      <c r="J160" s="1"/>
    </row>
    <row r="161" spans="5:10">
      <c r="E161" s="1">
        <v>0.63</v>
      </c>
      <c r="F161" s="157">
        <v>0.64</v>
      </c>
      <c r="J161" s="1"/>
    </row>
    <row r="162" spans="5:10">
      <c r="E162" s="1">
        <v>0.64</v>
      </c>
      <c r="F162" s="157">
        <v>0.65</v>
      </c>
      <c r="J162" s="1"/>
    </row>
    <row r="163" spans="5:10">
      <c r="E163" s="1">
        <v>0.65</v>
      </c>
      <c r="F163" s="157">
        <v>0.66</v>
      </c>
      <c r="J163" s="1"/>
    </row>
    <row r="164" spans="5:10">
      <c r="E164" s="1">
        <v>0.66</v>
      </c>
      <c r="F164" s="157">
        <v>0.67</v>
      </c>
      <c r="J164" s="1"/>
    </row>
    <row r="165" spans="5:10">
      <c r="E165" s="1">
        <v>0.67</v>
      </c>
      <c r="F165" s="157">
        <v>0.68</v>
      </c>
      <c r="J165" s="1"/>
    </row>
    <row r="166" spans="5:10">
      <c r="E166" s="1">
        <v>0.68</v>
      </c>
      <c r="F166" s="157">
        <v>0.69</v>
      </c>
      <c r="J166" s="1"/>
    </row>
    <row r="167" spans="5:10">
      <c r="E167" s="1">
        <v>0.69</v>
      </c>
      <c r="F167" s="157">
        <v>0.7</v>
      </c>
      <c r="J167" s="1"/>
    </row>
    <row r="168" spans="5:10">
      <c r="E168" s="1">
        <v>0.7</v>
      </c>
      <c r="F168" s="157">
        <v>0.71</v>
      </c>
      <c r="J168" s="1"/>
    </row>
    <row r="169" spans="5:10">
      <c r="E169" s="1">
        <v>0.71</v>
      </c>
      <c r="F169" s="157">
        <v>0.72</v>
      </c>
      <c r="J169" s="1"/>
    </row>
    <row r="170" spans="5:10">
      <c r="E170" s="1">
        <v>0.72</v>
      </c>
      <c r="F170" s="157">
        <v>0.73</v>
      </c>
      <c r="J170" s="1"/>
    </row>
    <row r="171" spans="5:10">
      <c r="E171" s="1">
        <v>0.73</v>
      </c>
      <c r="F171" s="157">
        <v>0.74</v>
      </c>
      <c r="J171" s="1"/>
    </row>
    <row r="172" spans="5:10">
      <c r="E172" s="1">
        <v>0.74</v>
      </c>
      <c r="F172" s="157">
        <v>0.75</v>
      </c>
      <c r="J172" s="1"/>
    </row>
    <row r="173" spans="5:10">
      <c r="E173" s="1">
        <v>0.75</v>
      </c>
      <c r="F173" s="157">
        <v>0.76</v>
      </c>
      <c r="J173" s="1"/>
    </row>
    <row r="174" spans="5:10">
      <c r="E174" s="1">
        <v>0.76</v>
      </c>
      <c r="F174" s="157">
        <v>0.77</v>
      </c>
      <c r="J174" s="1"/>
    </row>
    <row r="175" spans="5:10">
      <c r="E175" s="1">
        <v>0.77</v>
      </c>
      <c r="F175" s="157">
        <v>0.78</v>
      </c>
      <c r="J175" s="1"/>
    </row>
    <row r="176" spans="5:10">
      <c r="E176" s="1">
        <v>0.78</v>
      </c>
      <c r="F176" s="157">
        <v>0.79</v>
      </c>
      <c r="J176" s="1"/>
    </row>
    <row r="177" spans="5:10">
      <c r="E177" s="1">
        <v>0.79</v>
      </c>
      <c r="F177" s="157">
        <v>0.8</v>
      </c>
      <c r="J177" s="1"/>
    </row>
    <row r="178" spans="5:10">
      <c r="E178" s="1">
        <v>0.8</v>
      </c>
      <c r="F178" s="157">
        <v>0.81</v>
      </c>
      <c r="J178" s="1"/>
    </row>
    <row r="179" spans="5:10">
      <c r="E179" s="1">
        <v>0.81</v>
      </c>
      <c r="F179" s="157">
        <v>0.82</v>
      </c>
      <c r="J179" s="1"/>
    </row>
    <row r="180" spans="5:10">
      <c r="E180" s="1">
        <v>0.82</v>
      </c>
      <c r="F180" s="157">
        <v>0.83</v>
      </c>
      <c r="J180" s="1"/>
    </row>
    <row r="181" spans="5:10">
      <c r="E181" s="1">
        <v>0.83</v>
      </c>
      <c r="F181" s="157">
        <v>0.84</v>
      </c>
      <c r="J181" s="1"/>
    </row>
    <row r="182" spans="5:10">
      <c r="E182" s="1">
        <v>0.84</v>
      </c>
      <c r="F182" s="157">
        <v>0.85</v>
      </c>
      <c r="J182" s="1"/>
    </row>
    <row r="183" spans="5:10">
      <c r="E183" s="1">
        <v>0.85</v>
      </c>
      <c r="F183" s="157">
        <v>0.86</v>
      </c>
      <c r="J183" s="1"/>
    </row>
    <row r="184" spans="5:10">
      <c r="E184" s="1">
        <v>0.86</v>
      </c>
      <c r="F184" s="157">
        <v>0.87</v>
      </c>
      <c r="J184" s="1"/>
    </row>
    <row r="185" spans="5:10">
      <c r="E185" s="1">
        <v>0.87</v>
      </c>
      <c r="F185" s="157">
        <v>0.88</v>
      </c>
      <c r="J185" s="1"/>
    </row>
    <row r="186" spans="5:10">
      <c r="E186" s="1">
        <v>0.88</v>
      </c>
      <c r="F186" s="157">
        <v>0.89</v>
      </c>
      <c r="J186" s="1"/>
    </row>
    <row r="187" spans="5:10">
      <c r="E187" s="1">
        <v>0.89</v>
      </c>
      <c r="F187" s="157">
        <v>0.9</v>
      </c>
      <c r="J187" s="1"/>
    </row>
    <row r="188" spans="5:10">
      <c r="E188" s="1">
        <v>0.9</v>
      </c>
      <c r="F188" s="157">
        <v>0.91</v>
      </c>
      <c r="J188" s="1"/>
    </row>
    <row r="189" spans="5:10">
      <c r="E189" s="1">
        <v>0.91</v>
      </c>
      <c r="F189" s="157">
        <v>0.92</v>
      </c>
      <c r="J189" s="1"/>
    </row>
    <row r="190" spans="5:10">
      <c r="E190" s="1">
        <v>0.92</v>
      </c>
      <c r="F190" s="157">
        <v>0.93</v>
      </c>
      <c r="J190" s="1"/>
    </row>
    <row r="191" spans="5:10">
      <c r="E191" s="1">
        <v>0.93</v>
      </c>
      <c r="F191" s="157">
        <v>0.94</v>
      </c>
      <c r="J191" s="1"/>
    </row>
    <row r="192" spans="5:10">
      <c r="E192" s="1">
        <v>0.94</v>
      </c>
      <c r="F192" s="157">
        <v>0.95</v>
      </c>
      <c r="J192" s="1"/>
    </row>
    <row r="193" spans="5:10">
      <c r="E193" s="1">
        <v>0.95</v>
      </c>
      <c r="F193" s="157">
        <v>0.96</v>
      </c>
      <c r="J193" s="1"/>
    </row>
    <row r="194" spans="5:10">
      <c r="E194" s="1">
        <v>0.96</v>
      </c>
      <c r="F194" s="157">
        <v>0.97</v>
      </c>
      <c r="J194" s="1"/>
    </row>
    <row r="195" spans="5:10">
      <c r="E195" s="1">
        <v>0.97</v>
      </c>
      <c r="F195" s="157">
        <v>0.98</v>
      </c>
      <c r="J195" s="1"/>
    </row>
    <row r="196" spans="5:10">
      <c r="E196" s="1">
        <v>0.98</v>
      </c>
      <c r="F196" s="157">
        <v>0.99</v>
      </c>
      <c r="J196" s="1"/>
    </row>
    <row r="197" spans="5:10">
      <c r="E197" s="1">
        <v>0.99</v>
      </c>
      <c r="F197" s="157">
        <v>1</v>
      </c>
      <c r="J197" s="1"/>
    </row>
    <row r="198" spans="5:10">
      <c r="E198" s="1">
        <v>1</v>
      </c>
      <c r="F198" s="157">
        <v>1.01</v>
      </c>
      <c r="J198" s="1"/>
    </row>
    <row r="199" spans="5:10">
      <c r="E199" s="1">
        <v>1.01</v>
      </c>
      <c r="F199" s="157">
        <v>1.02</v>
      </c>
      <c r="J199" s="1"/>
    </row>
    <row r="200" spans="5:10">
      <c r="E200" s="1">
        <v>1.02</v>
      </c>
      <c r="F200" s="157">
        <v>1.0249999999999999</v>
      </c>
      <c r="J200" s="1"/>
    </row>
    <row r="201" spans="5:10">
      <c r="E201" s="1">
        <v>1.0249999999999999</v>
      </c>
      <c r="F201" s="157">
        <v>1.03</v>
      </c>
      <c r="J201" s="1"/>
    </row>
    <row r="202" spans="5:10">
      <c r="E202" s="1">
        <v>1.03</v>
      </c>
      <c r="F202" s="157">
        <v>1.04</v>
      </c>
      <c r="J202" s="1"/>
    </row>
    <row r="203" spans="5:10">
      <c r="E203" s="1">
        <v>1.04</v>
      </c>
      <c r="F203" s="157">
        <v>1.05</v>
      </c>
      <c r="J203" s="1"/>
    </row>
    <row r="204" spans="5:10">
      <c r="E204" s="1">
        <v>1.05</v>
      </c>
      <c r="F204" s="157">
        <v>1.06</v>
      </c>
      <c r="J204" s="1"/>
    </row>
    <row r="205" spans="5:10">
      <c r="E205" s="1">
        <v>1.06</v>
      </c>
      <c r="F205" s="157">
        <v>1.07</v>
      </c>
      <c r="J205" s="1"/>
    </row>
    <row r="206" spans="5:10">
      <c r="E206" s="1">
        <v>1.07</v>
      </c>
      <c r="F206" s="157">
        <v>1.075</v>
      </c>
      <c r="J206" s="1"/>
    </row>
    <row r="207" spans="5:10">
      <c r="E207" s="1">
        <v>1.075</v>
      </c>
      <c r="F207" s="157">
        <v>1.08</v>
      </c>
      <c r="J207" s="1"/>
    </row>
    <row r="208" spans="5:10">
      <c r="E208" s="1">
        <v>1.08</v>
      </c>
      <c r="F208" s="157">
        <v>1.0900000000000001</v>
      </c>
      <c r="J208" s="1"/>
    </row>
    <row r="209" spans="5:10">
      <c r="E209" s="1">
        <v>1.0900000000000001</v>
      </c>
      <c r="F209" s="157">
        <v>1.1000000000000001</v>
      </c>
      <c r="J209" s="1"/>
    </row>
    <row r="210" spans="5:10">
      <c r="E210" s="1">
        <v>1.1000000000000001</v>
      </c>
      <c r="F210" s="157">
        <v>1.1100000000000001</v>
      </c>
      <c r="J210" s="1"/>
    </row>
    <row r="211" spans="5:10">
      <c r="E211" s="1">
        <v>1.1100000000000001</v>
      </c>
      <c r="F211" s="157">
        <v>1.1200000000000001</v>
      </c>
      <c r="J211" s="1"/>
    </row>
    <row r="212" spans="5:10">
      <c r="E212" s="1">
        <v>1.1200000000000001</v>
      </c>
      <c r="F212" s="157">
        <v>1.125</v>
      </c>
      <c r="J212" s="1"/>
    </row>
    <row r="213" spans="5:10">
      <c r="E213" s="1">
        <v>1.125</v>
      </c>
      <c r="F213" s="157">
        <v>1.1299999999999999</v>
      </c>
      <c r="J213" s="1"/>
    </row>
    <row r="214" spans="5:10">
      <c r="E214" s="1">
        <v>1.1299999999999999</v>
      </c>
      <c r="F214" s="157">
        <v>1.1399999999999999</v>
      </c>
      <c r="J214" s="1"/>
    </row>
    <row r="215" spans="5:10">
      <c r="E215" s="1">
        <v>1.1399999999999999</v>
      </c>
      <c r="F215" s="157">
        <v>1.1499999999999999</v>
      </c>
      <c r="J215" s="1"/>
    </row>
    <row r="216" spans="5:10">
      <c r="E216" s="1">
        <v>1.1499999999999999</v>
      </c>
      <c r="F216" s="157">
        <v>1.1599999999999999</v>
      </c>
      <c r="J216" s="1"/>
    </row>
    <row r="217" spans="5:10">
      <c r="E217" s="1">
        <v>1.1599999999999999</v>
      </c>
      <c r="F217" s="157">
        <v>1.17</v>
      </c>
      <c r="J217" s="1"/>
    </row>
    <row r="218" spans="5:10">
      <c r="E218" s="1">
        <v>1.17</v>
      </c>
      <c r="F218" s="157">
        <v>1.175</v>
      </c>
      <c r="J218" s="1"/>
    </row>
    <row r="219" spans="5:10">
      <c r="E219" s="1">
        <v>1.175</v>
      </c>
      <c r="F219" s="157">
        <v>1.18</v>
      </c>
      <c r="J219" s="1"/>
    </row>
    <row r="220" spans="5:10">
      <c r="E220" s="1">
        <v>1.18</v>
      </c>
      <c r="F220" s="157">
        <v>1.19</v>
      </c>
      <c r="J220" s="1"/>
    </row>
    <row r="221" spans="5:10">
      <c r="E221" s="1">
        <v>1.19</v>
      </c>
      <c r="F221" s="157">
        <v>1.2</v>
      </c>
      <c r="J221" s="1"/>
    </row>
    <row r="222" spans="5:10">
      <c r="E222" s="1">
        <v>1.2</v>
      </c>
      <c r="F222" s="157">
        <v>1.21</v>
      </c>
      <c r="J222" s="1"/>
    </row>
    <row r="223" spans="5:10">
      <c r="E223" s="1">
        <v>1.21</v>
      </c>
      <c r="F223" s="157">
        <v>1.22</v>
      </c>
      <c r="J223" s="1"/>
    </row>
    <row r="224" spans="5:10">
      <c r="E224" s="1">
        <v>1.22</v>
      </c>
      <c r="F224" s="157">
        <v>1.2250000000000001</v>
      </c>
      <c r="J224" s="1"/>
    </row>
    <row r="225" spans="5:10">
      <c r="E225" s="1">
        <v>1.2250000000000001</v>
      </c>
      <c r="F225" s="157">
        <v>1.23</v>
      </c>
      <c r="J225" s="1"/>
    </row>
    <row r="226" spans="5:10">
      <c r="E226" s="1">
        <v>1.23</v>
      </c>
      <c r="F226" s="157">
        <v>1.24</v>
      </c>
      <c r="J226" s="1"/>
    </row>
    <row r="227" spans="5:10">
      <c r="E227" s="1">
        <v>1.24</v>
      </c>
      <c r="F227" s="157">
        <v>1.25</v>
      </c>
      <c r="J227" s="1"/>
    </row>
    <row r="228" spans="5:10">
      <c r="E228" s="1">
        <v>1.25</v>
      </c>
      <c r="F228" s="157">
        <v>1.26</v>
      </c>
      <c r="J228" s="1"/>
    </row>
    <row r="229" spans="5:10">
      <c r="E229" s="1">
        <v>1.26</v>
      </c>
      <c r="F229" s="157">
        <v>1.27</v>
      </c>
      <c r="J229" s="1"/>
    </row>
    <row r="230" spans="5:10">
      <c r="E230" s="1">
        <v>1.27</v>
      </c>
      <c r="F230" s="157">
        <v>1.2749999999999999</v>
      </c>
      <c r="J230" s="1"/>
    </row>
    <row r="231" spans="5:10">
      <c r="E231" s="1">
        <v>1.2749999999999999</v>
      </c>
      <c r="F231" s="157">
        <v>1.28</v>
      </c>
      <c r="J231" s="1"/>
    </row>
    <row r="232" spans="5:10">
      <c r="E232" s="1">
        <v>1.28</v>
      </c>
      <c r="F232" s="157">
        <v>1.29</v>
      </c>
      <c r="J232" s="1"/>
    </row>
    <row r="233" spans="5:10">
      <c r="E233" s="1">
        <v>1.29</v>
      </c>
      <c r="F233" s="157">
        <v>1.3</v>
      </c>
      <c r="J233" s="1"/>
    </row>
    <row r="234" spans="5:10">
      <c r="E234" s="1">
        <v>1.3</v>
      </c>
      <c r="F234" s="157">
        <v>1.31</v>
      </c>
      <c r="J234" s="1"/>
    </row>
    <row r="235" spans="5:10">
      <c r="E235" s="1">
        <v>1.31</v>
      </c>
      <c r="F235" s="157">
        <v>1.32</v>
      </c>
      <c r="J235" s="1"/>
    </row>
    <row r="236" spans="5:10">
      <c r="E236" s="1">
        <v>1.32</v>
      </c>
      <c r="F236" s="157">
        <v>1.325</v>
      </c>
      <c r="J236" s="1"/>
    </row>
    <row r="237" spans="5:10">
      <c r="E237" s="1">
        <v>1.325</v>
      </c>
      <c r="F237" s="157">
        <v>1.33</v>
      </c>
      <c r="J237" s="1"/>
    </row>
    <row r="238" spans="5:10">
      <c r="E238" s="1">
        <v>1.33</v>
      </c>
      <c r="F238" s="157">
        <v>1.34</v>
      </c>
      <c r="J238" s="1"/>
    </row>
    <row r="239" spans="5:10">
      <c r="E239" s="1">
        <v>1.34</v>
      </c>
      <c r="F239" s="157">
        <v>1.35</v>
      </c>
      <c r="J239" s="1"/>
    </row>
    <row r="240" spans="5:10">
      <c r="E240" s="1">
        <v>1.35</v>
      </c>
      <c r="F240" s="157">
        <v>1.36</v>
      </c>
      <c r="J240" s="1"/>
    </row>
    <row r="241" spans="5:10">
      <c r="E241" s="1">
        <v>1.36</v>
      </c>
      <c r="F241" s="157">
        <v>1.37</v>
      </c>
      <c r="J241" s="1"/>
    </row>
    <row r="242" spans="5:10">
      <c r="E242" s="1">
        <v>1.37</v>
      </c>
      <c r="F242" s="157">
        <v>1.375</v>
      </c>
      <c r="J242" s="1"/>
    </row>
    <row r="243" spans="5:10">
      <c r="E243" s="1">
        <v>1.375</v>
      </c>
      <c r="F243" s="157">
        <v>1.38</v>
      </c>
      <c r="J243" s="1"/>
    </row>
    <row r="244" spans="5:10">
      <c r="E244" s="1">
        <v>1.38</v>
      </c>
      <c r="F244" s="157">
        <v>1.39</v>
      </c>
      <c r="J244" s="1"/>
    </row>
    <row r="245" spans="5:10">
      <c r="E245" s="1">
        <v>1.39</v>
      </c>
      <c r="F245" s="157">
        <v>1.4</v>
      </c>
      <c r="J245" s="1"/>
    </row>
    <row r="246" spans="5:10">
      <c r="E246" s="1">
        <v>1.4</v>
      </c>
      <c r="F246" s="157">
        <v>1.41</v>
      </c>
      <c r="J246" s="1"/>
    </row>
    <row r="247" spans="5:10">
      <c r="E247" s="1">
        <v>1.41</v>
      </c>
      <c r="F247" s="157">
        <v>1.42</v>
      </c>
      <c r="J247" s="1"/>
    </row>
    <row r="248" spans="5:10">
      <c r="E248" s="1">
        <v>1.42</v>
      </c>
      <c r="F248" s="157">
        <v>1.425</v>
      </c>
      <c r="J248" s="1"/>
    </row>
    <row r="249" spans="5:10">
      <c r="E249" s="1">
        <v>1.425</v>
      </c>
      <c r="F249" s="157">
        <v>1.43</v>
      </c>
      <c r="J249" s="1"/>
    </row>
    <row r="250" spans="5:10">
      <c r="E250" s="1">
        <v>1.43</v>
      </c>
      <c r="F250" s="157">
        <v>1.44</v>
      </c>
      <c r="J250" s="1"/>
    </row>
    <row r="251" spans="5:10">
      <c r="E251" s="1">
        <v>1.44</v>
      </c>
      <c r="F251" s="157">
        <v>1.45</v>
      </c>
      <c r="J251" s="1"/>
    </row>
    <row r="252" spans="5:10">
      <c r="E252" s="1">
        <v>1.45</v>
      </c>
      <c r="F252" s="157">
        <v>1.46</v>
      </c>
      <c r="J252" s="1"/>
    </row>
    <row r="253" spans="5:10">
      <c r="E253" s="1">
        <v>1.46</v>
      </c>
      <c r="F253" s="157">
        <v>1.47</v>
      </c>
      <c r="J253" s="1"/>
    </row>
    <row r="254" spans="5:10">
      <c r="E254" s="1">
        <v>1.47</v>
      </c>
      <c r="F254" s="157">
        <v>1.4750000000000001</v>
      </c>
      <c r="J254" s="1"/>
    </row>
    <row r="255" spans="5:10">
      <c r="E255" s="1">
        <v>1.4750000000000001</v>
      </c>
      <c r="F255" s="157">
        <v>1.48</v>
      </c>
      <c r="J255" s="1"/>
    </row>
    <row r="256" spans="5:10">
      <c r="E256" s="1">
        <v>1.48</v>
      </c>
      <c r="F256" s="157">
        <v>1.49</v>
      </c>
      <c r="J256" s="1"/>
    </row>
    <row r="257" spans="5:10">
      <c r="E257" s="1">
        <v>1.49</v>
      </c>
      <c r="F257" s="157">
        <v>1.5</v>
      </c>
      <c r="J257" s="1"/>
    </row>
    <row r="258" spans="5:10">
      <c r="E258" s="1">
        <v>1.5</v>
      </c>
      <c r="F258" s="157">
        <v>1.51</v>
      </c>
      <c r="J258" s="1"/>
    </row>
    <row r="259" spans="5:10">
      <c r="E259" s="1">
        <v>1.51</v>
      </c>
      <c r="F259" s="157">
        <v>1.52</v>
      </c>
      <c r="J259" s="1"/>
    </row>
    <row r="260" spans="5:10">
      <c r="E260" s="1">
        <v>1.52</v>
      </c>
      <c r="F260" s="157">
        <v>1.5249999999999999</v>
      </c>
      <c r="J260" s="1"/>
    </row>
    <row r="261" spans="5:10">
      <c r="E261" s="1">
        <v>1.5249999999999999</v>
      </c>
      <c r="F261" s="157">
        <v>1.53</v>
      </c>
      <c r="J261" s="1"/>
    </row>
    <row r="262" spans="5:10">
      <c r="E262" s="1">
        <v>1.53</v>
      </c>
      <c r="F262" s="157">
        <v>1.54</v>
      </c>
      <c r="J262" s="1"/>
    </row>
    <row r="263" spans="5:10">
      <c r="E263" s="1">
        <v>1.54</v>
      </c>
      <c r="F263" s="157">
        <v>1.55</v>
      </c>
      <c r="J263" s="1"/>
    </row>
    <row r="264" spans="5:10">
      <c r="E264" s="1">
        <v>1.55</v>
      </c>
      <c r="F264" s="157">
        <v>1.56</v>
      </c>
      <c r="J264" s="1"/>
    </row>
    <row r="265" spans="5:10">
      <c r="E265" s="1">
        <v>1.56</v>
      </c>
      <c r="F265" s="157">
        <v>1.57</v>
      </c>
      <c r="J265" s="1"/>
    </row>
    <row r="266" spans="5:10">
      <c r="E266" s="1">
        <v>1.57</v>
      </c>
      <c r="F266" s="157">
        <v>1.575</v>
      </c>
      <c r="J266" s="157"/>
    </row>
    <row r="267" spans="5:10">
      <c r="E267" s="1">
        <v>1.575</v>
      </c>
      <c r="F267" s="157">
        <v>1.58</v>
      </c>
      <c r="G267" s="1"/>
      <c r="H267" s="1"/>
      <c r="J267" s="157"/>
    </row>
    <row r="268" spans="5:10">
      <c r="E268" s="1">
        <v>1.58</v>
      </c>
      <c r="F268" s="157">
        <v>1.59</v>
      </c>
      <c r="G268" s="1"/>
      <c r="H268" s="1"/>
      <c r="J268" s="157"/>
    </row>
    <row r="269" spans="5:10">
      <c r="E269" s="1">
        <v>1.59</v>
      </c>
      <c r="F269" s="157">
        <v>1.6</v>
      </c>
      <c r="G269" s="1"/>
      <c r="H269" s="1"/>
      <c r="J269" s="157"/>
    </row>
    <row r="270" spans="5:10">
      <c r="E270" s="1">
        <v>1.6</v>
      </c>
      <c r="F270" s="157">
        <v>1.61</v>
      </c>
      <c r="G270" s="1"/>
      <c r="H270" s="1"/>
      <c r="J270" s="157"/>
    </row>
    <row r="271" spans="5:10">
      <c r="E271" s="1">
        <v>1.61</v>
      </c>
      <c r="F271" s="157">
        <v>1.62</v>
      </c>
      <c r="G271" s="1"/>
      <c r="H271" s="1"/>
      <c r="J271" s="157"/>
    </row>
    <row r="272" spans="5:10">
      <c r="E272" s="1">
        <v>1.62</v>
      </c>
      <c r="F272" s="157">
        <v>1.625</v>
      </c>
      <c r="G272" s="1"/>
      <c r="H272" s="1"/>
      <c r="J272" s="157"/>
    </row>
    <row r="273" spans="5:10">
      <c r="E273" s="1">
        <v>1.625</v>
      </c>
      <c r="F273" s="157">
        <v>1.63</v>
      </c>
      <c r="G273" s="1"/>
      <c r="H273" s="1"/>
      <c r="J273" s="157"/>
    </row>
    <row r="274" spans="5:10">
      <c r="E274" s="1">
        <v>1.63</v>
      </c>
      <c r="F274" s="157">
        <v>1.64</v>
      </c>
      <c r="G274" s="1"/>
      <c r="H274" s="1"/>
      <c r="J274" s="157"/>
    </row>
    <row r="275" spans="5:10">
      <c r="E275" s="1">
        <v>1.64</v>
      </c>
      <c r="F275" s="157">
        <v>1.65</v>
      </c>
      <c r="G275" s="1"/>
      <c r="H275" s="1"/>
      <c r="J275" s="157"/>
    </row>
    <row r="276" spans="5:10">
      <c r="E276" s="1">
        <v>1.65</v>
      </c>
      <c r="F276" s="157">
        <v>1.66</v>
      </c>
      <c r="G276" s="1"/>
      <c r="H276" s="1"/>
      <c r="J276" s="157"/>
    </row>
    <row r="277" spans="5:10">
      <c r="E277" s="1">
        <v>1.66</v>
      </c>
      <c r="F277" s="157">
        <v>1.67</v>
      </c>
      <c r="G277" s="1"/>
      <c r="H277" s="1"/>
      <c r="J277" s="157"/>
    </row>
    <row r="278" spans="5:10">
      <c r="E278" s="1">
        <v>1.67</v>
      </c>
      <c r="F278" s="157">
        <v>1.675</v>
      </c>
      <c r="G278" s="1"/>
      <c r="H278" s="1"/>
      <c r="J278" s="157"/>
    </row>
    <row r="279" spans="5:10">
      <c r="E279" s="1">
        <v>1.675</v>
      </c>
      <c r="F279" s="157">
        <v>1.7</v>
      </c>
      <c r="G279" s="1"/>
      <c r="H279" s="1"/>
      <c r="J279" s="157"/>
    </row>
    <row r="280" spans="5:10">
      <c r="E280" s="1">
        <v>1.7</v>
      </c>
      <c r="F280" s="157">
        <v>1.7250000000000001</v>
      </c>
      <c r="G280" s="1"/>
      <c r="H280" s="1"/>
      <c r="J280" s="157"/>
    </row>
    <row r="281" spans="5:10">
      <c r="E281" s="1">
        <v>1.7250000000000001</v>
      </c>
      <c r="F281" s="157">
        <v>1.75</v>
      </c>
      <c r="G281" s="1"/>
      <c r="H281" s="1"/>
      <c r="J281" s="157"/>
    </row>
    <row r="282" spans="5:10">
      <c r="E282" s="1">
        <v>1.75</v>
      </c>
      <c r="F282" s="157">
        <v>1.7749999999999999</v>
      </c>
      <c r="G282" s="1"/>
      <c r="H282" s="1"/>
      <c r="J282" s="157"/>
    </row>
    <row r="283" spans="5:10">
      <c r="E283" s="1">
        <v>1.7749999999999999</v>
      </c>
      <c r="F283" s="157">
        <v>1.8</v>
      </c>
      <c r="G283" s="1"/>
      <c r="H283" s="1"/>
      <c r="J283" s="157"/>
    </row>
    <row r="284" spans="5:10">
      <c r="E284" s="1">
        <v>1.8</v>
      </c>
      <c r="F284" s="157">
        <v>1.825</v>
      </c>
      <c r="G284" s="1"/>
      <c r="H284" s="1"/>
      <c r="J284" s="157"/>
    </row>
    <row r="285" spans="5:10">
      <c r="E285" s="1">
        <v>1.825</v>
      </c>
      <c r="F285" s="157">
        <v>1.85</v>
      </c>
      <c r="G285" s="1"/>
      <c r="H285" s="1"/>
      <c r="J285" s="157"/>
    </row>
    <row r="286" spans="5:10">
      <c r="E286" s="1">
        <v>1.85</v>
      </c>
      <c r="F286" s="157">
        <v>1.875</v>
      </c>
      <c r="G286" s="1"/>
      <c r="H286" s="1"/>
      <c r="J286" s="157"/>
    </row>
    <row r="287" spans="5:10">
      <c r="E287" s="1">
        <v>1.875</v>
      </c>
      <c r="F287" s="157">
        <v>1.9</v>
      </c>
      <c r="G287" s="1"/>
      <c r="H287" s="1"/>
      <c r="J287" s="157"/>
    </row>
    <row r="288" spans="5:10">
      <c r="E288" s="1">
        <v>1.9</v>
      </c>
      <c r="F288" s="157">
        <v>1.925</v>
      </c>
      <c r="G288" s="1"/>
      <c r="H288" s="1"/>
      <c r="J288" s="157"/>
    </row>
    <row r="289" spans="5:10">
      <c r="E289" s="1">
        <v>1.925</v>
      </c>
      <c r="F289" s="157">
        <v>1.95</v>
      </c>
      <c r="G289" s="1"/>
      <c r="H289" s="1"/>
      <c r="J289" s="157"/>
    </row>
    <row r="290" spans="5:10">
      <c r="E290" s="1">
        <v>1.95</v>
      </c>
      <c r="F290" s="157">
        <v>1.9750000000000001</v>
      </c>
      <c r="G290" s="1"/>
      <c r="H290" s="1"/>
      <c r="J290" s="157"/>
    </row>
    <row r="291" spans="5:10">
      <c r="E291" s="1">
        <v>1.9750000000000001</v>
      </c>
      <c r="F291" s="157">
        <v>2</v>
      </c>
      <c r="G291" s="1"/>
      <c r="H291" s="1"/>
      <c r="J291" s="157"/>
    </row>
    <row r="292" spans="5:10">
      <c r="E292" s="1">
        <v>2</v>
      </c>
      <c r="F292" s="157">
        <v>2.0249999999999999</v>
      </c>
      <c r="G292" s="1"/>
      <c r="H292" s="1"/>
      <c r="J292" s="157"/>
    </row>
    <row r="293" spans="5:10">
      <c r="E293" s="1">
        <v>2.0249999999999999</v>
      </c>
      <c r="F293" s="157">
        <v>2.0499999999999998</v>
      </c>
      <c r="G293" s="1"/>
      <c r="H293" s="1"/>
      <c r="J293" s="157"/>
    </row>
    <row r="294" spans="5:10">
      <c r="E294" s="1">
        <v>2.0499999999999998</v>
      </c>
      <c r="F294" s="157">
        <v>2.0750000000000002</v>
      </c>
      <c r="G294" s="1"/>
      <c r="H294" s="1"/>
      <c r="J294" s="157"/>
    </row>
    <row r="295" spans="5:10">
      <c r="E295" s="1">
        <v>2.0750000000000002</v>
      </c>
      <c r="F295" s="157">
        <v>2.1</v>
      </c>
      <c r="G295" s="1"/>
      <c r="H295" s="1"/>
      <c r="J295" s="157"/>
    </row>
    <row r="296" spans="5:10">
      <c r="E296" s="1">
        <v>2.1</v>
      </c>
      <c r="F296" s="157">
        <v>2.125</v>
      </c>
      <c r="G296" s="1"/>
      <c r="H296" s="1"/>
      <c r="J296" s="157"/>
    </row>
    <row r="297" spans="5:10">
      <c r="E297" s="1">
        <v>2.125</v>
      </c>
      <c r="F297" s="157">
        <v>2.15</v>
      </c>
      <c r="G297" s="1"/>
      <c r="H297" s="1"/>
      <c r="J297" s="157"/>
    </row>
    <row r="298" spans="5:10">
      <c r="E298" s="1">
        <v>2.15</v>
      </c>
      <c r="F298" s="157">
        <v>2.1749999999999998</v>
      </c>
      <c r="G298" s="1"/>
      <c r="H298" s="1"/>
      <c r="J298" s="157"/>
    </row>
    <row r="299" spans="5:10">
      <c r="E299" s="1">
        <v>2.1749999999999998</v>
      </c>
      <c r="F299" s="157">
        <v>2.2000000000000002</v>
      </c>
      <c r="G299" s="1"/>
      <c r="H299" s="1"/>
      <c r="J299" s="157"/>
    </row>
    <row r="300" spans="5:10">
      <c r="E300" s="1">
        <v>2.2000000000000002</v>
      </c>
      <c r="F300" s="157">
        <v>2.2250000000000001</v>
      </c>
      <c r="G300" s="1"/>
      <c r="H300" s="1"/>
      <c r="J300" s="157"/>
    </row>
    <row r="301" spans="5:10">
      <c r="E301" s="1">
        <v>2.2250000000000001</v>
      </c>
      <c r="F301" s="157">
        <v>2.25</v>
      </c>
      <c r="G301" s="1"/>
      <c r="H301" s="1"/>
      <c r="J301" s="157"/>
    </row>
    <row r="302" spans="5:10">
      <c r="E302" s="1">
        <v>2.25</v>
      </c>
      <c r="F302" s="157">
        <v>2.2749999999999999</v>
      </c>
      <c r="G302" s="1"/>
      <c r="H302" s="1"/>
      <c r="J302" s="157"/>
    </row>
    <row r="303" spans="5:10">
      <c r="E303" s="1">
        <v>2.2749999999999999</v>
      </c>
      <c r="F303" s="157">
        <v>2.2999999999999998</v>
      </c>
      <c r="G303" s="1"/>
      <c r="H303" s="1"/>
      <c r="J303" s="157"/>
    </row>
    <row r="304" spans="5:10">
      <c r="E304" s="1">
        <v>2.2999999999999998</v>
      </c>
      <c r="F304" s="157">
        <v>2.3250000000000002</v>
      </c>
      <c r="G304" s="1"/>
      <c r="H304" s="1"/>
      <c r="J304" s="157"/>
    </row>
    <row r="305" spans="5:10">
      <c r="E305" s="1">
        <v>2.3250000000000002</v>
      </c>
      <c r="F305" s="157">
        <v>2.35</v>
      </c>
      <c r="G305" s="1"/>
      <c r="H305" s="1"/>
      <c r="J305" s="157"/>
    </row>
    <row r="306" spans="5:10">
      <c r="E306" s="1">
        <v>2.35</v>
      </c>
      <c r="F306" s="157">
        <v>2.375</v>
      </c>
      <c r="G306" s="1"/>
      <c r="H306" s="1"/>
      <c r="J306" s="157"/>
    </row>
    <row r="307" spans="5:10">
      <c r="E307" s="1">
        <v>2.375</v>
      </c>
      <c r="F307" s="157">
        <v>2.4</v>
      </c>
      <c r="G307" s="1"/>
      <c r="H307" s="1"/>
      <c r="J307" s="157"/>
    </row>
    <row r="308" spans="5:10">
      <c r="E308" s="1">
        <v>2.4</v>
      </c>
      <c r="F308" s="157">
        <v>2.4249999999999998</v>
      </c>
      <c r="G308" s="1"/>
      <c r="H308" s="1"/>
      <c r="J308" s="157"/>
    </row>
    <row r="309" spans="5:10">
      <c r="E309" s="1">
        <v>2.4249999999999998</v>
      </c>
      <c r="F309" s="157">
        <v>2.4500000000000002</v>
      </c>
      <c r="G309" s="1"/>
      <c r="H309" s="1"/>
      <c r="J309" s="157"/>
    </row>
    <row r="310" spans="5:10">
      <c r="E310" s="1">
        <v>2.4500000000000002</v>
      </c>
      <c r="F310" s="157">
        <v>2.4750000000000001</v>
      </c>
      <c r="G310" s="1"/>
      <c r="H310" s="1"/>
      <c r="J310" s="157"/>
    </row>
    <row r="311" spans="5:10">
      <c r="E311" s="1">
        <v>2.4750000000000001</v>
      </c>
      <c r="F311" s="157">
        <v>2.5</v>
      </c>
      <c r="G311" s="1"/>
      <c r="H311" s="1"/>
      <c r="J311" s="157"/>
    </row>
    <row r="312" spans="5:10">
      <c r="E312" s="1">
        <v>2.5</v>
      </c>
      <c r="F312" s="157">
        <v>2.5249999999999999</v>
      </c>
      <c r="G312" s="1"/>
      <c r="H312" s="1"/>
      <c r="J312" s="157"/>
    </row>
    <row r="313" spans="5:10">
      <c r="E313" s="1">
        <v>2.5249999999999999</v>
      </c>
      <c r="F313" s="157">
        <v>2.5499999999999998</v>
      </c>
      <c r="G313" s="1"/>
      <c r="H313" s="1"/>
      <c r="J313" s="157"/>
    </row>
    <row r="314" spans="5:10">
      <c r="E314" s="1">
        <v>2.5499999999999998</v>
      </c>
      <c r="F314" s="157">
        <v>2.5750000000000002</v>
      </c>
      <c r="G314" s="1"/>
      <c r="H314" s="1"/>
      <c r="J314" s="157"/>
    </row>
    <row r="315" spans="5:10">
      <c r="E315" s="1">
        <v>2.5750000000000002</v>
      </c>
      <c r="F315" s="157">
        <v>2.6</v>
      </c>
      <c r="G315" s="1"/>
      <c r="H315" s="1"/>
      <c r="J315" s="157"/>
    </row>
    <row r="316" spans="5:10">
      <c r="E316" s="1">
        <v>2.6</v>
      </c>
      <c r="F316" s="157">
        <v>2.625</v>
      </c>
      <c r="G316" s="1"/>
      <c r="H316" s="1"/>
      <c r="J316" s="157"/>
    </row>
    <row r="317" spans="5:10">
      <c r="E317" s="1">
        <v>2.625</v>
      </c>
      <c r="F317" s="157">
        <v>2.65</v>
      </c>
      <c r="G317" s="1"/>
      <c r="H317" s="1"/>
      <c r="J317" s="157"/>
    </row>
    <row r="318" spans="5:10">
      <c r="E318" s="1">
        <v>2.65</v>
      </c>
      <c r="F318" s="157">
        <v>2.6749999999999998</v>
      </c>
      <c r="G318" s="1"/>
      <c r="H318" s="1"/>
      <c r="J318" s="157"/>
    </row>
    <row r="319" spans="5:10">
      <c r="E319" s="1">
        <v>2.6749999999999998</v>
      </c>
      <c r="F319" s="157">
        <v>2.7</v>
      </c>
      <c r="G319" s="1"/>
      <c r="H319" s="1"/>
      <c r="J319" s="157"/>
    </row>
    <row r="320" spans="5:10">
      <c r="E320" s="1">
        <v>2.7</v>
      </c>
      <c r="F320" s="157">
        <v>2.7250000000000001</v>
      </c>
      <c r="G320" s="1"/>
      <c r="H320" s="1"/>
      <c r="J320" s="157"/>
    </row>
    <row r="321" spans="5:10">
      <c r="E321" s="1">
        <v>2.7250000000000001</v>
      </c>
      <c r="F321" s="157">
        <v>2.75</v>
      </c>
      <c r="G321" s="1"/>
      <c r="H321" s="1"/>
      <c r="J321" s="157"/>
    </row>
    <row r="322" spans="5:10">
      <c r="E322" s="1">
        <v>2.75</v>
      </c>
      <c r="F322" s="157">
        <v>2.7749999999999999</v>
      </c>
      <c r="G322" s="1"/>
      <c r="H322" s="1"/>
      <c r="J322" s="157"/>
    </row>
    <row r="323" spans="5:10">
      <c r="E323" s="1">
        <v>2.7749999999999999</v>
      </c>
      <c r="F323" s="157">
        <v>2.8</v>
      </c>
      <c r="G323" s="1"/>
      <c r="H323" s="1"/>
      <c r="J323" s="157"/>
    </row>
    <row r="324" spans="5:10">
      <c r="E324" s="1">
        <v>2.8</v>
      </c>
      <c r="F324" s="157">
        <v>2.8250000000000002</v>
      </c>
      <c r="G324" s="1"/>
      <c r="H324" s="1"/>
      <c r="J324" s="157"/>
    </row>
    <row r="325" spans="5:10">
      <c r="E325" s="1">
        <v>2.8250000000000002</v>
      </c>
      <c r="F325" s="157">
        <v>2.85</v>
      </c>
      <c r="G325" s="1"/>
      <c r="H325" s="1"/>
      <c r="J325" s="157"/>
    </row>
    <row r="326" spans="5:10">
      <c r="E326" s="1">
        <v>2.85</v>
      </c>
      <c r="F326" s="157">
        <v>2.875</v>
      </c>
      <c r="G326" s="1"/>
      <c r="H326" s="1"/>
      <c r="J326" s="157"/>
    </row>
    <row r="327" spans="5:10">
      <c r="E327" s="1">
        <v>2.875</v>
      </c>
      <c r="F327" s="157">
        <v>2.9</v>
      </c>
      <c r="G327" s="1"/>
      <c r="H327" s="1"/>
      <c r="J327" s="157"/>
    </row>
    <row r="328" spans="5:10">
      <c r="E328" s="1">
        <v>2.9</v>
      </c>
      <c r="F328" s="157">
        <v>2.9249999999999998</v>
      </c>
      <c r="G328" s="1"/>
      <c r="H328" s="1"/>
      <c r="J328" s="157"/>
    </row>
    <row r="329" spans="5:10">
      <c r="E329" s="1">
        <v>2.9249999999999998</v>
      </c>
      <c r="F329" s="157">
        <v>2.95</v>
      </c>
      <c r="G329" s="1"/>
      <c r="H329" s="1"/>
      <c r="J329" s="157"/>
    </row>
    <row r="330" spans="5:10">
      <c r="E330" s="1">
        <v>2.95</v>
      </c>
      <c r="F330" s="157">
        <v>2.9750000000000001</v>
      </c>
      <c r="G330" s="1"/>
      <c r="H330" s="1"/>
      <c r="J330" s="157"/>
    </row>
    <row r="331" spans="5:10">
      <c r="E331" s="1">
        <v>2.9750000000000001</v>
      </c>
      <c r="F331" s="157">
        <v>3</v>
      </c>
      <c r="G331" s="1"/>
      <c r="H331" s="1"/>
      <c r="J331" s="157"/>
    </row>
    <row r="332" spans="5:10">
      <c r="E332" s="1">
        <v>3</v>
      </c>
      <c r="F332" s="157">
        <v>3.0249999999999999</v>
      </c>
      <c r="G332" s="1"/>
      <c r="H332" s="1"/>
      <c r="J332" s="157"/>
    </row>
    <row r="333" spans="5:10">
      <c r="E333" s="1">
        <v>3.0249999999999999</v>
      </c>
      <c r="F333" s="157">
        <v>3.05</v>
      </c>
      <c r="G333" s="1"/>
      <c r="H333" s="1"/>
      <c r="J333" s="157"/>
    </row>
    <row r="334" spans="5:10">
      <c r="E334" s="1">
        <v>3.05</v>
      </c>
      <c r="F334" s="157">
        <v>3.0750000000000002</v>
      </c>
      <c r="G334" s="1"/>
      <c r="H334" s="1"/>
      <c r="J334" s="157"/>
    </row>
    <row r="335" spans="5:10">
      <c r="E335" s="1">
        <v>3.0750000000000002</v>
      </c>
      <c r="F335" s="157">
        <v>3.1</v>
      </c>
      <c r="G335" s="1"/>
      <c r="H335" s="1"/>
      <c r="J335" s="157"/>
    </row>
    <row r="336" spans="5:10">
      <c r="E336" s="1">
        <v>3.1</v>
      </c>
      <c r="F336" s="157">
        <v>3.125</v>
      </c>
      <c r="G336" s="1"/>
      <c r="H336" s="1"/>
      <c r="J336" s="157"/>
    </row>
    <row r="337" spans="5:10">
      <c r="E337" s="1">
        <v>3.125</v>
      </c>
      <c r="F337" s="157">
        <v>3.15</v>
      </c>
      <c r="G337" s="1"/>
      <c r="H337" s="1"/>
      <c r="J337" s="157"/>
    </row>
    <row r="338" spans="5:10">
      <c r="E338" s="1">
        <v>3.15</v>
      </c>
      <c r="F338" s="157">
        <v>3.1749999999999998</v>
      </c>
      <c r="G338" s="1"/>
      <c r="H338" s="1"/>
      <c r="J338" s="157"/>
    </row>
    <row r="339" spans="5:10">
      <c r="E339" s="1">
        <v>3.1749999999999998</v>
      </c>
      <c r="F339" s="157">
        <v>3.2</v>
      </c>
      <c r="G339" s="1"/>
      <c r="H339" s="1"/>
      <c r="J339" s="157"/>
    </row>
    <row r="340" spans="5:10">
      <c r="E340" s="1">
        <v>3.2</v>
      </c>
      <c r="F340" s="157">
        <v>3.2250000000000001</v>
      </c>
      <c r="G340" s="1"/>
      <c r="H340" s="1"/>
      <c r="J340" s="157"/>
    </row>
    <row r="341" spans="5:10">
      <c r="E341" s="1">
        <v>3.2250000000000001</v>
      </c>
      <c r="F341" s="157">
        <v>3.25</v>
      </c>
      <c r="G341" s="1"/>
      <c r="H341" s="1"/>
      <c r="J341" s="157"/>
    </row>
    <row r="342" spans="5:10">
      <c r="E342" s="1">
        <v>3.25</v>
      </c>
      <c r="F342" s="157">
        <v>3.2749999999999999</v>
      </c>
      <c r="G342" s="1"/>
      <c r="H342" s="1"/>
      <c r="J342" s="157"/>
    </row>
    <row r="343" spans="5:10">
      <c r="E343" s="1">
        <v>3.2749999999999999</v>
      </c>
      <c r="F343" s="157">
        <v>3.3</v>
      </c>
      <c r="G343" s="1"/>
      <c r="H343" s="1"/>
      <c r="J343" s="157"/>
    </row>
    <row r="344" spans="5:10">
      <c r="E344" s="1">
        <v>3.3</v>
      </c>
      <c r="F344" s="157">
        <v>3.3250000000000002</v>
      </c>
      <c r="G344" s="1"/>
      <c r="H344" s="1"/>
      <c r="J344" s="157"/>
    </row>
    <row r="345" spans="5:10">
      <c r="E345" s="1">
        <v>3.3250000000000002</v>
      </c>
      <c r="F345" s="157">
        <v>3.35</v>
      </c>
      <c r="G345" s="1"/>
      <c r="H345" s="1"/>
      <c r="J345" s="157"/>
    </row>
    <row r="346" spans="5:10">
      <c r="E346" s="1">
        <v>3.35</v>
      </c>
      <c r="F346" s="157">
        <v>3.375</v>
      </c>
      <c r="G346" s="1"/>
      <c r="H346" s="1"/>
      <c r="J346" s="157"/>
    </row>
    <row r="347" spans="5:10">
      <c r="E347" s="1">
        <v>3.375</v>
      </c>
      <c r="F347" s="157">
        <v>3.4</v>
      </c>
      <c r="G347" s="1"/>
      <c r="H347" s="1"/>
      <c r="J347" s="157"/>
    </row>
    <row r="348" spans="5:10">
      <c r="E348" s="1">
        <v>3.4</v>
      </c>
      <c r="F348" s="157">
        <v>3.4249999999999998</v>
      </c>
      <c r="G348" s="1"/>
      <c r="H348" s="1"/>
      <c r="J348" s="157"/>
    </row>
    <row r="349" spans="5:10">
      <c r="E349" s="1">
        <v>3.4249999999999998</v>
      </c>
      <c r="F349" s="157">
        <v>3.45</v>
      </c>
      <c r="G349" s="1"/>
      <c r="H349" s="1"/>
      <c r="J349" s="157"/>
    </row>
    <row r="350" spans="5:10">
      <c r="E350" s="1">
        <v>3.45</v>
      </c>
      <c r="F350" s="157">
        <v>3.4750000000000001</v>
      </c>
      <c r="G350" s="1"/>
      <c r="H350" s="1"/>
      <c r="J350" s="157"/>
    </row>
    <row r="351" spans="5:10">
      <c r="E351" s="1">
        <v>3.4750000000000001</v>
      </c>
      <c r="F351" s="157">
        <v>3.5</v>
      </c>
      <c r="G351" s="1"/>
      <c r="H351" s="1"/>
      <c r="J351" s="157"/>
    </row>
    <row r="352" spans="5:10">
      <c r="E352" s="1">
        <v>3.5</v>
      </c>
      <c r="F352" s="157">
        <v>3.5249999999999999</v>
      </c>
      <c r="G352" s="1"/>
      <c r="H352" s="1"/>
      <c r="J352" s="157"/>
    </row>
    <row r="353" spans="5:10">
      <c r="E353" s="1">
        <v>3.5249999999999999</v>
      </c>
      <c r="F353" s="157">
        <v>3.55</v>
      </c>
      <c r="G353" s="1"/>
      <c r="H353" s="1"/>
      <c r="J353" s="157"/>
    </row>
    <row r="354" spans="5:10">
      <c r="E354" s="1">
        <v>3.55</v>
      </c>
      <c r="F354" s="157">
        <v>3.5750000000000002</v>
      </c>
      <c r="G354" s="1"/>
      <c r="H354" s="1"/>
      <c r="J354" s="157"/>
    </row>
    <row r="355" spans="5:10">
      <c r="E355" s="1">
        <v>3.5750000000000002</v>
      </c>
      <c r="F355" s="157" t="s">
        <v>707</v>
      </c>
      <c r="G355" s="1"/>
      <c r="H355" s="1"/>
      <c r="J355" s="157"/>
    </row>
    <row r="356" spans="5:10">
      <c r="E356" t="s">
        <v>707</v>
      </c>
      <c r="F356" s="1"/>
      <c r="G356" s="1"/>
      <c r="H356" s="1"/>
      <c r="J356" s="157"/>
    </row>
    <row r="357" spans="5:10">
      <c r="F357" s="1"/>
      <c r="G357" s="1"/>
      <c r="H357" s="1"/>
      <c r="J357" s="157"/>
    </row>
    <row r="358" spans="5:10">
      <c r="F358" s="1"/>
      <c r="G358" s="1"/>
      <c r="H358" s="1"/>
      <c r="J358" s="157"/>
    </row>
    <row r="359" spans="5:10">
      <c r="F359" s="1"/>
      <c r="G359" s="1"/>
      <c r="H359" s="1"/>
      <c r="J359" s="157"/>
    </row>
    <row r="360" spans="5:10">
      <c r="F360" s="1"/>
      <c r="G360" s="1"/>
      <c r="H360" s="1"/>
      <c r="J360" s="157"/>
    </row>
    <row r="361" spans="5:10">
      <c r="F361" s="1"/>
      <c r="G361" s="1"/>
      <c r="H361" s="1"/>
      <c r="J361" s="157"/>
    </row>
    <row r="362" spans="5:10">
      <c r="F362" s="1"/>
      <c r="G362" s="1"/>
      <c r="H362" s="1"/>
      <c r="J362" s="157"/>
    </row>
    <row r="363" spans="5:10">
      <c r="F363" s="1"/>
      <c r="G363" s="1"/>
      <c r="H363" s="1"/>
      <c r="J363" s="157"/>
    </row>
    <row r="364" spans="5:10">
      <c r="F364" s="1"/>
      <c r="G364" s="1"/>
      <c r="H364" s="1"/>
      <c r="J364" s="157"/>
    </row>
    <row r="365" spans="5:10">
      <c r="F365" s="1"/>
      <c r="G365" s="1"/>
      <c r="H365" s="1"/>
      <c r="J365" s="157"/>
    </row>
    <row r="366" spans="5:10">
      <c r="F366" s="1"/>
      <c r="G366" s="1"/>
      <c r="H366" s="1"/>
      <c r="J366" s="157"/>
    </row>
    <row r="367" spans="5:10">
      <c r="F367" s="1"/>
      <c r="G367" s="1"/>
      <c r="H367" s="1"/>
      <c r="J367" s="157"/>
    </row>
    <row r="368" spans="5:10">
      <c r="F368" s="1"/>
      <c r="G368" s="1"/>
      <c r="H368" s="1"/>
    </row>
    <row r="369" spans="7:8">
      <c r="G369" s="1"/>
      <c r="H369" s="1"/>
    </row>
  </sheetData>
  <sortState xmlns:xlrd2="http://schemas.microsoft.com/office/spreadsheetml/2017/richdata2" ref="J138:J393">
    <sortCondition ref="J138:J393"/>
  </sortState>
  <mergeCells count="2">
    <mergeCell ref="E3:G3"/>
    <mergeCell ref="I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X902"/>
  <sheetViews>
    <sheetView topLeftCell="A834" zoomScale="70" zoomScaleNormal="70" workbookViewId="0">
      <selection activeCell="Y848" sqref="Y848"/>
    </sheetView>
  </sheetViews>
  <sheetFormatPr defaultColWidth="9.08984375" defaultRowHeight="14.5"/>
  <cols>
    <col min="1" max="1" width="5" style="113" bestFit="1" customWidth="1"/>
    <col min="2" max="2" width="7.81640625" style="113" bestFit="1" customWidth="1"/>
    <col min="3" max="3" width="16.26953125" style="113" bestFit="1" customWidth="1"/>
    <col min="4" max="9" width="1.81640625" style="113" customWidth="1"/>
    <col min="10" max="11" width="2.7265625" style="113" customWidth="1"/>
    <col min="12" max="12" width="24.26953125" style="113" customWidth="1"/>
    <col min="13" max="15" width="6.81640625" style="113" customWidth="1"/>
    <col min="16" max="16" width="4.08984375" style="113" customWidth="1"/>
    <col min="17" max="17" width="7.36328125" style="113" customWidth="1"/>
    <col min="18" max="18" width="9.08984375" style="113" customWidth="1"/>
    <col min="19" max="19" width="8.36328125" style="113" customWidth="1"/>
    <col min="20" max="20" width="5.7265625" style="113" customWidth="1"/>
    <col min="21" max="21" width="8.26953125" style="113" customWidth="1"/>
    <col min="22" max="22" width="16" style="154" bestFit="1" customWidth="1"/>
    <col min="23" max="23" width="16" style="157" bestFit="1" customWidth="1"/>
    <col min="24" max="16384" width="9.08984375" style="113"/>
  </cols>
  <sheetData>
    <row r="1" spans="1:23" ht="13" hidden="1">
      <c r="A1" s="116">
        <v>1</v>
      </c>
      <c r="B1" s="116">
        <v>2</v>
      </c>
      <c r="C1" s="116">
        <v>3</v>
      </c>
      <c r="D1" s="116">
        <v>4</v>
      </c>
      <c r="E1" s="116">
        <v>5</v>
      </c>
      <c r="F1" s="116">
        <v>6</v>
      </c>
      <c r="G1" s="116">
        <v>7</v>
      </c>
      <c r="H1" s="116">
        <v>8</v>
      </c>
      <c r="I1" s="116">
        <v>9</v>
      </c>
      <c r="J1" s="116">
        <v>10</v>
      </c>
      <c r="K1" s="116">
        <v>11</v>
      </c>
      <c r="L1" s="115"/>
      <c r="M1" s="116"/>
      <c r="N1" s="116"/>
      <c r="O1" s="116">
        <v>14</v>
      </c>
      <c r="P1" s="116">
        <v>15</v>
      </c>
      <c r="Q1" s="116">
        <v>16</v>
      </c>
      <c r="R1" s="116">
        <v>17</v>
      </c>
      <c r="S1" s="116">
        <v>18</v>
      </c>
      <c r="T1" s="116">
        <v>19</v>
      </c>
      <c r="U1" s="114">
        <v>20</v>
      </c>
      <c r="V1" s="137"/>
      <c r="W1" s="195"/>
    </row>
    <row r="2" spans="1:23" ht="12.75" customHeight="1">
      <c r="A2" s="116"/>
      <c r="B2" s="116"/>
      <c r="C2" s="116"/>
      <c r="D2" s="302" t="s">
        <v>183</v>
      </c>
      <c r="E2" s="302"/>
      <c r="F2" s="302"/>
      <c r="G2" s="302"/>
      <c r="H2" s="302"/>
      <c r="I2" s="302"/>
      <c r="J2" s="302"/>
      <c r="K2" s="302"/>
      <c r="L2" s="116"/>
      <c r="M2" s="116"/>
      <c r="N2" s="116"/>
      <c r="O2" s="116"/>
      <c r="P2" s="116"/>
      <c r="Q2" s="116"/>
      <c r="R2" s="116"/>
      <c r="S2" s="116"/>
      <c r="T2" s="116"/>
      <c r="U2" s="114"/>
      <c r="V2" s="137"/>
      <c r="W2" s="195"/>
    </row>
    <row r="3" spans="1:23" ht="56.25" customHeight="1">
      <c r="A3" s="112" t="s">
        <v>184</v>
      </c>
      <c r="B3" s="111" t="s">
        <v>185</v>
      </c>
      <c r="C3" s="110" t="s">
        <v>186</v>
      </c>
      <c r="D3" s="109">
        <v>7</v>
      </c>
      <c r="E3" s="109">
        <v>6</v>
      </c>
      <c r="F3" s="109">
        <v>5</v>
      </c>
      <c r="G3" s="109">
        <v>4</v>
      </c>
      <c r="H3" s="109">
        <v>3</v>
      </c>
      <c r="I3" s="109">
        <v>2</v>
      </c>
      <c r="J3" s="109">
        <v>1</v>
      </c>
      <c r="K3" s="109">
        <v>0</v>
      </c>
      <c r="L3" s="110" t="s">
        <v>1537</v>
      </c>
      <c r="M3" s="108" t="s">
        <v>1377</v>
      </c>
      <c r="N3" s="108" t="s">
        <v>1382</v>
      </c>
      <c r="O3" s="108" t="s">
        <v>187</v>
      </c>
      <c r="P3" s="108" t="s">
        <v>188</v>
      </c>
      <c r="Q3" s="108" t="s">
        <v>189</v>
      </c>
      <c r="R3" s="108" t="s">
        <v>190</v>
      </c>
      <c r="S3" s="108" t="s">
        <v>191</v>
      </c>
      <c r="T3" s="108" t="s">
        <v>192</v>
      </c>
      <c r="U3" s="107" t="s">
        <v>193</v>
      </c>
      <c r="V3" s="138" t="str">
        <f>CONCATENATE(Overview!C5,CHAR(10),Overview!C6)</f>
        <v>Programming
TPS65086100</v>
      </c>
      <c r="W3" s="138" t="s">
        <v>1530</v>
      </c>
    </row>
    <row r="4" spans="1:23" ht="12.75" customHeight="1" thickBot="1">
      <c r="A4" s="106"/>
      <c r="B4" s="105"/>
      <c r="C4" s="104"/>
      <c r="D4" s="103"/>
      <c r="E4" s="103"/>
      <c r="F4" s="103"/>
      <c r="G4" s="103"/>
      <c r="H4" s="103"/>
      <c r="I4" s="103"/>
      <c r="J4" s="103"/>
      <c r="K4" s="103"/>
      <c r="L4" s="102"/>
      <c r="M4" s="105"/>
      <c r="N4" s="105"/>
      <c r="O4" s="105"/>
      <c r="P4" s="105"/>
      <c r="Q4" s="105"/>
      <c r="R4" s="105"/>
      <c r="S4" s="105"/>
      <c r="T4" s="105"/>
      <c r="U4" s="105"/>
      <c r="V4" s="139"/>
      <c r="W4" s="139"/>
    </row>
    <row r="5" spans="1:23" ht="13.5" customHeight="1" thickBot="1">
      <c r="A5" s="101" t="s">
        <v>194</v>
      </c>
      <c r="B5" s="100" t="s">
        <v>195</v>
      </c>
      <c r="C5" s="99" t="s">
        <v>196</v>
      </c>
      <c r="D5" s="294"/>
      <c r="E5" s="294"/>
      <c r="F5" s="294"/>
      <c r="G5" s="294"/>
      <c r="H5" s="294"/>
      <c r="I5" s="294"/>
      <c r="J5" s="294"/>
      <c r="K5" s="294"/>
      <c r="L5" s="98" t="s">
        <v>1428</v>
      </c>
      <c r="M5" s="97"/>
      <c r="N5" s="97"/>
      <c r="O5" s="97" t="s">
        <v>197</v>
      </c>
      <c r="P5" s="97" t="s">
        <v>198</v>
      </c>
      <c r="Q5" s="97">
        <v>80</v>
      </c>
      <c r="R5" s="97" t="s">
        <v>198</v>
      </c>
      <c r="S5" s="97"/>
      <c r="T5" s="97" t="s">
        <v>199</v>
      </c>
      <c r="U5" s="97" t="s">
        <v>198</v>
      </c>
      <c r="V5" s="140"/>
      <c r="W5" s="196"/>
    </row>
    <row r="6" spans="1:23" ht="23.25" customHeight="1" thickBot="1">
      <c r="A6" s="96"/>
      <c r="B6" s="95"/>
      <c r="C6" s="94"/>
      <c r="D6" s="93">
        <v>7</v>
      </c>
      <c r="E6" s="93">
        <v>6</v>
      </c>
      <c r="F6" s="93">
        <v>5</v>
      </c>
      <c r="G6" s="93">
        <v>4</v>
      </c>
      <c r="H6" s="93">
        <v>3</v>
      </c>
      <c r="I6" s="93">
        <v>2</v>
      </c>
      <c r="J6" s="93">
        <v>1</v>
      </c>
      <c r="K6" s="93">
        <v>0</v>
      </c>
      <c r="L6" s="92" t="s">
        <v>761</v>
      </c>
      <c r="M6" s="91"/>
      <c r="N6" s="91"/>
      <c r="O6" s="91" t="s">
        <v>197</v>
      </c>
      <c r="P6" s="91" t="s">
        <v>198</v>
      </c>
      <c r="Q6" s="91"/>
      <c r="R6" s="91" t="s">
        <v>198</v>
      </c>
      <c r="S6" s="91"/>
      <c r="T6" s="91" t="s">
        <v>199</v>
      </c>
      <c r="U6" s="91" t="s">
        <v>198</v>
      </c>
      <c r="V6" s="132" t="str">
        <f>IF(LEFT(Overview!K6,9)="TPS650861",CONCATENATE("8b",HEX2BIN(RIGHT(Overview!K6,2),8)),"8b00100010")</f>
        <v>8b00000000</v>
      </c>
      <c r="W6" s="132" t="s">
        <v>166</v>
      </c>
    </row>
    <row r="7" spans="1:23" ht="13.5" customHeight="1" thickBot="1">
      <c r="A7" s="101" t="s">
        <v>194</v>
      </c>
      <c r="B7" s="100" t="s">
        <v>200</v>
      </c>
      <c r="C7" s="90" t="s">
        <v>201</v>
      </c>
      <c r="D7" s="294"/>
      <c r="E7" s="294"/>
      <c r="F7" s="294"/>
      <c r="G7" s="294"/>
      <c r="H7" s="294"/>
      <c r="I7" s="294"/>
      <c r="J7" s="294"/>
      <c r="K7" s="294"/>
      <c r="L7" s="98" t="s">
        <v>1429</v>
      </c>
      <c r="M7" s="97"/>
      <c r="N7" s="97"/>
      <c r="O7" s="97" t="s">
        <v>197</v>
      </c>
      <c r="P7" s="97" t="s">
        <v>198</v>
      </c>
      <c r="Q7" s="97">
        <v>81</v>
      </c>
      <c r="R7" s="97" t="s">
        <v>198</v>
      </c>
      <c r="S7" s="97"/>
      <c r="T7" s="97" t="s">
        <v>199</v>
      </c>
      <c r="U7" s="97" t="s">
        <v>198</v>
      </c>
      <c r="V7" s="140"/>
      <c r="W7" s="196"/>
    </row>
    <row r="8" spans="1:23" ht="124.5" customHeight="1" thickBot="1">
      <c r="A8" s="96"/>
      <c r="B8" s="95"/>
      <c r="C8" s="94"/>
      <c r="D8" s="93"/>
      <c r="E8" s="93"/>
      <c r="F8" s="93"/>
      <c r="G8" s="93"/>
      <c r="H8" s="93">
        <v>3</v>
      </c>
      <c r="I8" s="93">
        <v>2</v>
      </c>
      <c r="J8" s="93">
        <v>1</v>
      </c>
      <c r="K8" s="93">
        <v>0</v>
      </c>
      <c r="L8" s="92" t="s">
        <v>761</v>
      </c>
      <c r="M8" s="91"/>
      <c r="N8" s="91"/>
      <c r="O8" s="91" t="s">
        <v>197</v>
      </c>
      <c r="P8" s="91" t="s">
        <v>198</v>
      </c>
      <c r="Q8" s="91"/>
      <c r="R8" s="91" t="s">
        <v>198</v>
      </c>
      <c r="S8" s="91"/>
      <c r="T8" s="91" t="s">
        <v>199</v>
      </c>
      <c r="U8" s="91" t="s">
        <v>198</v>
      </c>
      <c r="V8" s="132" t="str">
        <f>IF(LEFT(Overview!K6,9)="TPS650861",CONCATENATE("4b",HEX2BIN(LEFT(RIGHT(Overview!K6,3),1),4)),"Error")</f>
        <v>4b0001</v>
      </c>
      <c r="W8" s="132" t="s">
        <v>609</v>
      </c>
    </row>
    <row r="9" spans="1:23" ht="57" customHeight="1" thickBot="1">
      <c r="A9" s="96"/>
      <c r="B9" s="89"/>
      <c r="C9" s="94"/>
      <c r="D9" s="93"/>
      <c r="E9" s="93"/>
      <c r="F9" s="93">
        <v>1</v>
      </c>
      <c r="G9" s="93">
        <v>0</v>
      </c>
      <c r="H9" s="93"/>
      <c r="I9" s="93"/>
      <c r="J9" s="93"/>
      <c r="K9" s="93"/>
      <c r="L9" s="92" t="s">
        <v>760</v>
      </c>
      <c r="M9" s="91"/>
      <c r="N9" s="91"/>
      <c r="O9" s="91" t="s">
        <v>197</v>
      </c>
      <c r="P9" s="91" t="s">
        <v>198</v>
      </c>
      <c r="Q9" s="91"/>
      <c r="R9" s="91" t="s">
        <v>198</v>
      </c>
      <c r="S9" s="91"/>
      <c r="T9" s="91" t="s">
        <v>199</v>
      </c>
      <c r="U9" s="91" t="s">
        <v>198</v>
      </c>
      <c r="V9" s="132" t="str">
        <f>IF(Overview!C7="A","2b00",IF(Overview!C7="B","2b01",IF(Overview!C7="C","2b10","2b11")))</f>
        <v>2b00</v>
      </c>
      <c r="W9" s="132" t="s">
        <v>156</v>
      </c>
    </row>
    <row r="10" spans="1:23" ht="13.5" customHeight="1" thickBot="1">
      <c r="A10" s="96"/>
      <c r="B10" s="95"/>
      <c r="C10" s="94"/>
      <c r="D10" s="93">
        <v>1</v>
      </c>
      <c r="E10" s="93">
        <v>0</v>
      </c>
      <c r="F10" s="93"/>
      <c r="G10" s="93"/>
      <c r="H10" s="93"/>
      <c r="I10" s="93"/>
      <c r="J10" s="93"/>
      <c r="K10" s="93"/>
      <c r="L10" s="92" t="s">
        <v>201</v>
      </c>
      <c r="M10" s="91"/>
      <c r="N10" s="91"/>
      <c r="O10" s="91" t="s">
        <v>197</v>
      </c>
      <c r="P10" s="91" t="s">
        <v>198</v>
      </c>
      <c r="Q10" s="91"/>
      <c r="R10" s="91" t="s">
        <v>198</v>
      </c>
      <c r="S10" s="91"/>
      <c r="T10" s="91" t="s">
        <v>199</v>
      </c>
      <c r="U10" s="91" t="s">
        <v>198</v>
      </c>
      <c r="V10" s="132" t="s">
        <v>156</v>
      </c>
      <c r="W10" s="132" t="s">
        <v>156</v>
      </c>
    </row>
    <row r="11" spans="1:23" ht="12" customHeight="1" thickBot="1">
      <c r="A11" s="101" t="s">
        <v>194</v>
      </c>
      <c r="B11" s="100" t="s">
        <v>202</v>
      </c>
      <c r="C11" s="90" t="s">
        <v>203</v>
      </c>
      <c r="D11" s="303"/>
      <c r="E11" s="303"/>
      <c r="F11" s="303"/>
      <c r="G11" s="303"/>
      <c r="H11" s="303"/>
      <c r="I11" s="303"/>
      <c r="J11" s="303"/>
      <c r="K11" s="303"/>
      <c r="L11" s="88" t="s">
        <v>203</v>
      </c>
      <c r="M11" s="87"/>
      <c r="N11" s="87"/>
      <c r="O11" s="87" t="s">
        <v>197</v>
      </c>
      <c r="P11" s="87" t="s">
        <v>204</v>
      </c>
      <c r="Q11" s="87"/>
      <c r="R11" s="87" t="s">
        <v>204</v>
      </c>
      <c r="S11" s="87"/>
      <c r="T11" s="87" t="s">
        <v>199</v>
      </c>
      <c r="U11" s="87" t="s">
        <v>198</v>
      </c>
      <c r="V11" s="133"/>
      <c r="W11" s="197"/>
    </row>
    <row r="12" spans="1:23" ht="34.5" customHeight="1" thickBot="1">
      <c r="A12" s="86"/>
      <c r="B12" s="89"/>
      <c r="C12" s="94"/>
      <c r="D12" s="93"/>
      <c r="E12" s="93"/>
      <c r="F12" s="93"/>
      <c r="G12" s="93"/>
      <c r="H12" s="93"/>
      <c r="I12" s="93"/>
      <c r="J12" s="93"/>
      <c r="K12" s="93">
        <v>0</v>
      </c>
      <c r="L12" s="92" t="s">
        <v>205</v>
      </c>
      <c r="M12" s="91"/>
      <c r="N12" s="91"/>
      <c r="O12" s="91" t="s">
        <v>197</v>
      </c>
      <c r="P12" s="91" t="s">
        <v>204</v>
      </c>
      <c r="Q12" s="91"/>
      <c r="R12" s="91" t="s">
        <v>204</v>
      </c>
      <c r="S12" s="91"/>
      <c r="T12" s="91" t="s">
        <v>199</v>
      </c>
      <c r="U12" s="91" t="s">
        <v>198</v>
      </c>
      <c r="V12" s="132" t="s">
        <v>157</v>
      </c>
      <c r="W12" s="132" t="s">
        <v>157</v>
      </c>
    </row>
    <row r="13" spans="1:23" ht="12" customHeight="1" thickBot="1">
      <c r="A13" s="86"/>
      <c r="B13" s="89"/>
      <c r="C13" s="94"/>
      <c r="D13" s="93"/>
      <c r="E13" s="93"/>
      <c r="F13" s="93"/>
      <c r="G13" s="93"/>
      <c r="H13" s="93"/>
      <c r="I13" s="93">
        <v>1</v>
      </c>
      <c r="J13" s="93">
        <v>0</v>
      </c>
      <c r="K13" s="93"/>
      <c r="L13" s="85"/>
      <c r="M13" s="91"/>
      <c r="N13" s="91"/>
      <c r="O13" s="91" t="s">
        <v>206</v>
      </c>
      <c r="P13" s="91" t="s">
        <v>204</v>
      </c>
      <c r="Q13" s="91"/>
      <c r="R13" s="91" t="s">
        <v>204</v>
      </c>
      <c r="S13" s="91"/>
      <c r="T13" s="91" t="s">
        <v>199</v>
      </c>
      <c r="U13" s="91" t="s">
        <v>198</v>
      </c>
      <c r="V13" s="132" t="s">
        <v>156</v>
      </c>
      <c r="W13" s="132" t="s">
        <v>156</v>
      </c>
    </row>
    <row r="14" spans="1:23" ht="34.5" customHeight="1" thickBot="1">
      <c r="A14" s="86"/>
      <c r="B14" s="89"/>
      <c r="C14" s="94"/>
      <c r="D14" s="93"/>
      <c r="E14" s="93"/>
      <c r="F14" s="93"/>
      <c r="G14" s="93"/>
      <c r="H14" s="93">
        <v>0</v>
      </c>
      <c r="I14" s="93"/>
      <c r="J14" s="93"/>
      <c r="K14" s="93"/>
      <c r="L14" s="92" t="s">
        <v>1430</v>
      </c>
      <c r="M14" s="91"/>
      <c r="N14" s="91"/>
      <c r="O14" s="91" t="s">
        <v>197</v>
      </c>
      <c r="P14" s="91" t="s">
        <v>204</v>
      </c>
      <c r="Q14" s="91"/>
      <c r="R14" s="91" t="s">
        <v>204</v>
      </c>
      <c r="S14" s="91"/>
      <c r="T14" s="91" t="s">
        <v>199</v>
      </c>
      <c r="U14" s="91" t="s">
        <v>198</v>
      </c>
      <c r="V14" s="132" t="s">
        <v>157</v>
      </c>
      <c r="W14" s="132" t="s">
        <v>157</v>
      </c>
    </row>
    <row r="15" spans="1:23" ht="12" customHeight="1" thickBot="1">
      <c r="A15" s="96"/>
      <c r="B15" s="89"/>
      <c r="C15" s="94"/>
      <c r="D15" s="93"/>
      <c r="E15" s="93">
        <v>2</v>
      </c>
      <c r="F15" s="93">
        <v>1</v>
      </c>
      <c r="G15" s="93">
        <v>0</v>
      </c>
      <c r="H15" s="93"/>
      <c r="I15" s="93"/>
      <c r="J15" s="93"/>
      <c r="K15" s="93"/>
      <c r="L15" s="85"/>
      <c r="M15" s="91"/>
      <c r="N15" s="91"/>
      <c r="O15" s="91" t="s">
        <v>206</v>
      </c>
      <c r="P15" s="91" t="s">
        <v>204</v>
      </c>
      <c r="Q15" s="91"/>
      <c r="R15" s="91" t="s">
        <v>204</v>
      </c>
      <c r="S15" s="91"/>
      <c r="T15" s="91" t="s">
        <v>199</v>
      </c>
      <c r="U15" s="91" t="s">
        <v>198</v>
      </c>
      <c r="V15" s="132" t="s">
        <v>158</v>
      </c>
      <c r="W15" s="132" t="s">
        <v>158</v>
      </c>
    </row>
    <row r="16" spans="1:23" ht="34.5" customHeight="1" thickBot="1">
      <c r="A16" s="96"/>
      <c r="B16" s="95"/>
      <c r="C16" s="94"/>
      <c r="D16" s="93">
        <v>0</v>
      </c>
      <c r="E16" s="93"/>
      <c r="F16" s="93"/>
      <c r="G16" s="93"/>
      <c r="H16" s="93"/>
      <c r="I16" s="93"/>
      <c r="J16" s="93"/>
      <c r="K16" s="93"/>
      <c r="L16" s="92" t="s">
        <v>1431</v>
      </c>
      <c r="M16" s="91"/>
      <c r="N16" s="91"/>
      <c r="O16" s="91" t="s">
        <v>197</v>
      </c>
      <c r="P16" s="91" t="s">
        <v>204</v>
      </c>
      <c r="Q16" s="91"/>
      <c r="R16" s="91" t="s">
        <v>204</v>
      </c>
      <c r="S16" s="91"/>
      <c r="T16" s="91" t="s">
        <v>199</v>
      </c>
      <c r="U16" s="91" t="s">
        <v>198</v>
      </c>
      <c r="V16" s="132" t="s">
        <v>157</v>
      </c>
      <c r="W16" s="132" t="s">
        <v>157</v>
      </c>
    </row>
    <row r="17" spans="1:23" ht="12" customHeight="1" thickBot="1">
      <c r="A17" s="101" t="s">
        <v>194</v>
      </c>
      <c r="B17" s="100" t="s">
        <v>207</v>
      </c>
      <c r="C17" s="90" t="s">
        <v>208</v>
      </c>
      <c r="D17" s="303"/>
      <c r="E17" s="303"/>
      <c r="F17" s="303"/>
      <c r="G17" s="303"/>
      <c r="H17" s="303"/>
      <c r="I17" s="303"/>
      <c r="J17" s="303"/>
      <c r="K17" s="303"/>
      <c r="L17" s="88" t="s">
        <v>208</v>
      </c>
      <c r="M17" s="87"/>
      <c r="N17" s="87"/>
      <c r="O17" s="87" t="s">
        <v>197</v>
      </c>
      <c r="P17" s="87" t="s">
        <v>204</v>
      </c>
      <c r="Q17" s="87"/>
      <c r="R17" s="87" t="s">
        <v>204</v>
      </c>
      <c r="S17" s="87"/>
      <c r="T17" s="87" t="s">
        <v>199</v>
      </c>
      <c r="U17" s="87" t="s">
        <v>198</v>
      </c>
      <c r="V17" s="141"/>
      <c r="W17" s="198"/>
    </row>
    <row r="18" spans="1:23" ht="34.5" customHeight="1" thickBot="1">
      <c r="A18" s="96"/>
      <c r="B18" s="89"/>
      <c r="C18" s="94"/>
      <c r="D18" s="93"/>
      <c r="E18" s="93"/>
      <c r="F18" s="93"/>
      <c r="G18" s="93"/>
      <c r="H18" s="93"/>
      <c r="I18" s="93"/>
      <c r="J18" s="93"/>
      <c r="K18" s="93">
        <v>0</v>
      </c>
      <c r="L18" s="92" t="s">
        <v>210</v>
      </c>
      <c r="M18" s="91"/>
      <c r="N18" s="91"/>
      <c r="O18" s="91" t="s">
        <v>197</v>
      </c>
      <c r="P18" s="91" t="s">
        <v>204</v>
      </c>
      <c r="Q18" s="91"/>
      <c r="R18" s="91" t="s">
        <v>204</v>
      </c>
      <c r="S18" s="91"/>
      <c r="T18" s="91" t="s">
        <v>199</v>
      </c>
      <c r="U18" s="91" t="s">
        <v>198</v>
      </c>
      <c r="V18" s="132" t="s">
        <v>159</v>
      </c>
      <c r="W18" s="132" t="s">
        <v>159</v>
      </c>
    </row>
    <row r="19" spans="1:23" ht="12" customHeight="1" thickBot="1">
      <c r="A19" s="96"/>
      <c r="B19" s="89"/>
      <c r="C19" s="94"/>
      <c r="D19" s="93"/>
      <c r="E19" s="93"/>
      <c r="F19" s="93"/>
      <c r="G19" s="93"/>
      <c r="H19" s="93"/>
      <c r="I19" s="93">
        <v>1</v>
      </c>
      <c r="J19" s="93">
        <v>0</v>
      </c>
      <c r="K19" s="93"/>
      <c r="L19" s="85"/>
      <c r="M19" s="91"/>
      <c r="N19" s="91"/>
      <c r="O19" s="91" t="s">
        <v>206</v>
      </c>
      <c r="P19" s="91" t="s">
        <v>204</v>
      </c>
      <c r="Q19" s="91"/>
      <c r="R19" s="91" t="s">
        <v>204</v>
      </c>
      <c r="S19" s="91"/>
      <c r="T19" s="91" t="s">
        <v>199</v>
      </c>
      <c r="U19" s="91" t="s">
        <v>198</v>
      </c>
      <c r="V19" s="132" t="s">
        <v>160</v>
      </c>
      <c r="W19" s="132" t="s">
        <v>160</v>
      </c>
    </row>
    <row r="20" spans="1:23" ht="34.5" customHeight="1" thickBot="1">
      <c r="A20" s="96"/>
      <c r="B20" s="89"/>
      <c r="C20" s="94"/>
      <c r="D20" s="93"/>
      <c r="E20" s="93"/>
      <c r="F20" s="93"/>
      <c r="G20" s="93"/>
      <c r="H20" s="93">
        <v>0</v>
      </c>
      <c r="I20" s="93"/>
      <c r="J20" s="93"/>
      <c r="K20" s="93"/>
      <c r="L20" s="92" t="s">
        <v>1432</v>
      </c>
      <c r="M20" s="91"/>
      <c r="N20" s="91"/>
      <c r="O20" s="91" t="s">
        <v>197</v>
      </c>
      <c r="P20" s="91" t="s">
        <v>204</v>
      </c>
      <c r="Q20" s="91"/>
      <c r="R20" s="91" t="s">
        <v>204</v>
      </c>
      <c r="S20" s="91"/>
      <c r="T20" s="91" t="s">
        <v>199</v>
      </c>
      <c r="U20" s="91" t="s">
        <v>198</v>
      </c>
      <c r="V20" s="132" t="s">
        <v>159</v>
      </c>
      <c r="W20" s="132" t="s">
        <v>159</v>
      </c>
    </row>
    <row r="21" spans="1:23" ht="12" customHeight="1" thickBot="1">
      <c r="A21" s="96"/>
      <c r="B21" s="89"/>
      <c r="C21" s="84"/>
      <c r="D21" s="93"/>
      <c r="E21" s="93">
        <v>2</v>
      </c>
      <c r="F21" s="93">
        <v>1</v>
      </c>
      <c r="G21" s="93">
        <v>0</v>
      </c>
      <c r="H21" s="93"/>
      <c r="I21" s="93"/>
      <c r="J21" s="93"/>
      <c r="K21" s="93"/>
      <c r="L21" s="85"/>
      <c r="M21" s="91"/>
      <c r="N21" s="91"/>
      <c r="O21" s="91" t="s">
        <v>206</v>
      </c>
      <c r="P21" s="91" t="s">
        <v>204</v>
      </c>
      <c r="Q21" s="91"/>
      <c r="R21" s="91" t="s">
        <v>204</v>
      </c>
      <c r="S21" s="91"/>
      <c r="T21" s="91" t="s">
        <v>199</v>
      </c>
      <c r="U21" s="91" t="s">
        <v>198</v>
      </c>
      <c r="V21" s="132" t="s">
        <v>161</v>
      </c>
      <c r="W21" s="132" t="s">
        <v>161</v>
      </c>
    </row>
    <row r="22" spans="1:23" ht="34.5" customHeight="1" thickBot="1">
      <c r="A22" s="96"/>
      <c r="B22" s="95"/>
      <c r="C22" s="94"/>
      <c r="D22" s="93">
        <v>0</v>
      </c>
      <c r="E22" s="93"/>
      <c r="F22" s="93"/>
      <c r="G22" s="93"/>
      <c r="H22" s="93"/>
      <c r="I22" s="93"/>
      <c r="J22" s="93"/>
      <c r="K22" s="93"/>
      <c r="L22" s="92" t="s">
        <v>1433</v>
      </c>
      <c r="M22" s="91"/>
      <c r="N22" s="91"/>
      <c r="O22" s="91" t="s">
        <v>197</v>
      </c>
      <c r="P22" s="91" t="s">
        <v>204</v>
      </c>
      <c r="Q22" s="91"/>
      <c r="R22" s="91" t="s">
        <v>204</v>
      </c>
      <c r="S22" s="91"/>
      <c r="T22" s="91" t="s">
        <v>199</v>
      </c>
      <c r="U22" s="91" t="s">
        <v>198</v>
      </c>
      <c r="V22" s="132" t="s">
        <v>159</v>
      </c>
      <c r="W22" s="132" t="s">
        <v>159</v>
      </c>
    </row>
    <row r="23" spans="1:23" ht="12" customHeight="1" thickBot="1">
      <c r="A23" s="101" t="s">
        <v>194</v>
      </c>
      <c r="B23" s="100" t="s">
        <v>211</v>
      </c>
      <c r="C23" s="90" t="s">
        <v>212</v>
      </c>
      <c r="D23" s="303"/>
      <c r="E23" s="303"/>
      <c r="F23" s="303"/>
      <c r="G23" s="303"/>
      <c r="H23" s="303"/>
      <c r="I23" s="303"/>
      <c r="J23" s="303"/>
      <c r="K23" s="303"/>
      <c r="L23" s="88" t="s">
        <v>212</v>
      </c>
      <c r="M23" s="87"/>
      <c r="N23" s="87"/>
      <c r="O23" s="87" t="s">
        <v>206</v>
      </c>
      <c r="P23" s="87" t="s">
        <v>204</v>
      </c>
      <c r="Q23" s="87"/>
      <c r="R23" s="87" t="s">
        <v>204</v>
      </c>
      <c r="S23" s="87"/>
      <c r="T23" s="87" t="s">
        <v>199</v>
      </c>
      <c r="U23" s="87" t="s">
        <v>198</v>
      </c>
      <c r="V23" s="133"/>
      <c r="W23" s="197"/>
    </row>
    <row r="24" spans="1:23" ht="34.5" customHeight="1" thickBot="1">
      <c r="A24" s="96"/>
      <c r="B24" s="89"/>
      <c r="C24" s="94"/>
      <c r="D24" s="93"/>
      <c r="E24" s="93"/>
      <c r="F24" s="93"/>
      <c r="G24" s="93"/>
      <c r="H24" s="93"/>
      <c r="I24" s="93"/>
      <c r="J24" s="93"/>
      <c r="K24" s="93">
        <v>0</v>
      </c>
      <c r="L24" s="92" t="s">
        <v>213</v>
      </c>
      <c r="M24" s="91"/>
      <c r="N24" s="91"/>
      <c r="O24" s="91" t="s">
        <v>206</v>
      </c>
      <c r="P24" s="91" t="s">
        <v>204</v>
      </c>
      <c r="Q24" s="91"/>
      <c r="R24" s="91" t="s">
        <v>204</v>
      </c>
      <c r="S24" s="91"/>
      <c r="T24" s="91" t="s">
        <v>199</v>
      </c>
      <c r="U24" s="91" t="s">
        <v>198</v>
      </c>
      <c r="V24" s="132" t="s">
        <v>157</v>
      </c>
      <c r="W24" s="132" t="s">
        <v>157</v>
      </c>
    </row>
    <row r="25" spans="1:23" ht="12" customHeight="1" thickBot="1">
      <c r="A25" s="96"/>
      <c r="B25" s="95"/>
      <c r="C25" s="94"/>
      <c r="D25" s="93">
        <v>6</v>
      </c>
      <c r="E25" s="93">
        <v>5</v>
      </c>
      <c r="F25" s="93">
        <v>4</v>
      </c>
      <c r="G25" s="93">
        <v>3</v>
      </c>
      <c r="H25" s="93">
        <v>2</v>
      </c>
      <c r="I25" s="93">
        <v>1</v>
      </c>
      <c r="J25" s="93">
        <v>0</v>
      </c>
      <c r="K25" s="93"/>
      <c r="L25" s="85"/>
      <c r="M25" s="91"/>
      <c r="N25" s="91"/>
      <c r="O25" s="91" t="s">
        <v>206</v>
      </c>
      <c r="P25" s="91" t="s">
        <v>204</v>
      </c>
      <c r="Q25" s="91"/>
      <c r="R25" s="91" t="s">
        <v>204</v>
      </c>
      <c r="S25" s="91"/>
      <c r="T25" s="91" t="s">
        <v>199</v>
      </c>
      <c r="U25" s="91" t="s">
        <v>198</v>
      </c>
      <c r="V25" s="132" t="s">
        <v>162</v>
      </c>
      <c r="W25" s="132" t="s">
        <v>162</v>
      </c>
    </row>
    <row r="26" spans="1:23" ht="12" customHeight="1" thickBot="1">
      <c r="A26" s="101" t="s">
        <v>194</v>
      </c>
      <c r="B26" s="100" t="s">
        <v>214</v>
      </c>
      <c r="C26" s="90" t="s">
        <v>215</v>
      </c>
      <c r="D26" s="304"/>
      <c r="E26" s="305"/>
      <c r="F26" s="305"/>
      <c r="G26" s="305"/>
      <c r="H26" s="305"/>
      <c r="I26" s="305"/>
      <c r="J26" s="305"/>
      <c r="K26" s="306"/>
      <c r="L26" s="88" t="s">
        <v>1434</v>
      </c>
      <c r="M26" s="87"/>
      <c r="N26" s="87"/>
      <c r="O26" s="87" t="s">
        <v>197</v>
      </c>
      <c r="P26" s="87" t="s">
        <v>204</v>
      </c>
      <c r="Q26" s="87"/>
      <c r="R26" s="87" t="s">
        <v>204</v>
      </c>
      <c r="S26" s="87"/>
      <c r="T26" s="87" t="s">
        <v>199</v>
      </c>
      <c r="U26" s="87" t="s">
        <v>198</v>
      </c>
      <c r="V26" s="133"/>
      <c r="W26" s="197"/>
    </row>
    <row r="27" spans="1:23" ht="45.75" customHeight="1">
      <c r="A27" s="83"/>
      <c r="B27" s="89"/>
      <c r="C27" s="94"/>
      <c r="D27" s="93"/>
      <c r="E27" s="93"/>
      <c r="F27" s="93"/>
      <c r="G27" s="93"/>
      <c r="H27" s="93"/>
      <c r="I27" s="93"/>
      <c r="J27" s="93"/>
      <c r="K27" s="93">
        <v>0</v>
      </c>
      <c r="L27" s="92" t="s">
        <v>216</v>
      </c>
      <c r="M27" s="91"/>
      <c r="N27" s="91"/>
      <c r="O27" s="91" t="s">
        <v>197</v>
      </c>
      <c r="P27" s="91" t="s">
        <v>204</v>
      </c>
      <c r="Q27" s="91"/>
      <c r="R27" s="91" t="s">
        <v>204</v>
      </c>
      <c r="S27" s="91"/>
      <c r="T27" s="91" t="s">
        <v>199</v>
      </c>
      <c r="U27" s="91" t="s">
        <v>198</v>
      </c>
      <c r="V27" s="132" t="s">
        <v>157</v>
      </c>
      <c r="W27" s="132" t="s">
        <v>157</v>
      </c>
    </row>
    <row r="28" spans="1:23" ht="45.75" customHeight="1">
      <c r="A28" s="83"/>
      <c r="B28" s="89"/>
      <c r="C28" s="94"/>
      <c r="D28" s="93"/>
      <c r="E28" s="93"/>
      <c r="F28" s="93"/>
      <c r="G28" s="93"/>
      <c r="H28" s="93"/>
      <c r="I28" s="93"/>
      <c r="J28" s="93">
        <v>0</v>
      </c>
      <c r="K28" s="93"/>
      <c r="L28" s="92" t="s">
        <v>217</v>
      </c>
      <c r="M28" s="91"/>
      <c r="N28" s="91"/>
      <c r="O28" s="91" t="s">
        <v>197</v>
      </c>
      <c r="P28" s="91" t="s">
        <v>204</v>
      </c>
      <c r="Q28" s="91"/>
      <c r="R28" s="91" t="s">
        <v>204</v>
      </c>
      <c r="S28" s="91"/>
      <c r="T28" s="91" t="s">
        <v>199</v>
      </c>
      <c r="U28" s="91" t="s">
        <v>198</v>
      </c>
      <c r="V28" s="132" t="s">
        <v>157</v>
      </c>
      <c r="W28" s="132" t="s">
        <v>157</v>
      </c>
    </row>
    <row r="29" spans="1:23" ht="57" customHeight="1" thickBot="1">
      <c r="A29" s="86"/>
      <c r="B29" s="89"/>
      <c r="C29" s="94"/>
      <c r="D29" s="93"/>
      <c r="E29" s="93"/>
      <c r="F29" s="93"/>
      <c r="G29" s="93"/>
      <c r="H29" s="93"/>
      <c r="I29" s="93">
        <v>0</v>
      </c>
      <c r="J29" s="93"/>
      <c r="K29" s="93"/>
      <c r="L29" s="92" t="s">
        <v>218</v>
      </c>
      <c r="M29" s="91"/>
      <c r="N29" s="91"/>
      <c r="O29" s="91" t="s">
        <v>197</v>
      </c>
      <c r="P29" s="91" t="s">
        <v>204</v>
      </c>
      <c r="Q29" s="91"/>
      <c r="R29" s="91" t="s">
        <v>204</v>
      </c>
      <c r="S29" s="91"/>
      <c r="T29" s="91" t="s">
        <v>199</v>
      </c>
      <c r="U29" s="91" t="s">
        <v>198</v>
      </c>
      <c r="V29" s="132" t="s">
        <v>157</v>
      </c>
      <c r="W29" s="132" t="s">
        <v>157</v>
      </c>
    </row>
    <row r="30" spans="1:23" ht="34.5" customHeight="1" thickBot="1">
      <c r="A30" s="96"/>
      <c r="B30" s="89"/>
      <c r="C30" s="84"/>
      <c r="D30" s="82"/>
      <c r="E30" s="82"/>
      <c r="F30" s="82"/>
      <c r="G30" s="93"/>
      <c r="H30" s="93">
        <v>0</v>
      </c>
      <c r="I30" s="82"/>
      <c r="J30" s="82"/>
      <c r="K30" s="82"/>
      <c r="L30" s="92" t="s">
        <v>219</v>
      </c>
      <c r="M30" s="91"/>
      <c r="N30" s="91"/>
      <c r="O30" s="91" t="s">
        <v>197</v>
      </c>
      <c r="P30" s="91" t="s">
        <v>204</v>
      </c>
      <c r="Q30" s="91"/>
      <c r="R30" s="91" t="s">
        <v>204</v>
      </c>
      <c r="S30" s="91"/>
      <c r="T30" s="91" t="s">
        <v>199</v>
      </c>
      <c r="U30" s="91" t="s">
        <v>198</v>
      </c>
      <c r="V30" s="132" t="s">
        <v>157</v>
      </c>
      <c r="W30" s="132" t="s">
        <v>157</v>
      </c>
    </row>
    <row r="31" spans="1:23" ht="12" customHeight="1" thickBot="1">
      <c r="A31" s="96"/>
      <c r="B31" s="95"/>
      <c r="C31" s="94"/>
      <c r="D31" s="93">
        <v>3</v>
      </c>
      <c r="E31" s="93">
        <v>2</v>
      </c>
      <c r="F31" s="93">
        <v>1</v>
      </c>
      <c r="G31" s="93">
        <v>0</v>
      </c>
      <c r="H31" s="93"/>
      <c r="I31" s="93"/>
      <c r="J31" s="93"/>
      <c r="K31" s="93"/>
      <c r="L31" s="85"/>
      <c r="M31" s="91"/>
      <c r="N31" s="91"/>
      <c r="O31" s="91" t="s">
        <v>206</v>
      </c>
      <c r="P31" s="91" t="s">
        <v>204</v>
      </c>
      <c r="Q31" s="91"/>
      <c r="R31" s="91" t="s">
        <v>204</v>
      </c>
      <c r="S31" s="91"/>
      <c r="T31" s="91" t="s">
        <v>199</v>
      </c>
      <c r="U31" s="91" t="s">
        <v>198</v>
      </c>
      <c r="V31" s="132" t="s">
        <v>163</v>
      </c>
      <c r="W31" s="132" t="s">
        <v>163</v>
      </c>
    </row>
    <row r="32" spans="1:23" ht="13.5" customHeight="1" thickBot="1">
      <c r="A32" s="81" t="s">
        <v>194</v>
      </c>
      <c r="B32" s="100" t="s">
        <v>220</v>
      </c>
      <c r="C32" s="99" t="s">
        <v>221</v>
      </c>
      <c r="D32" s="294"/>
      <c r="E32" s="294"/>
      <c r="F32" s="294"/>
      <c r="G32" s="294"/>
      <c r="H32" s="294"/>
      <c r="I32" s="294"/>
      <c r="J32" s="294"/>
      <c r="K32" s="294"/>
      <c r="L32" s="98" t="s">
        <v>221</v>
      </c>
      <c r="M32" s="97"/>
      <c r="N32" s="97"/>
      <c r="O32" s="97" t="s">
        <v>197</v>
      </c>
      <c r="P32" s="97" t="s">
        <v>198</v>
      </c>
      <c r="Q32" s="97">
        <v>82</v>
      </c>
      <c r="R32" s="97" t="s">
        <v>204</v>
      </c>
      <c r="S32" s="97"/>
      <c r="T32" s="97" t="s">
        <v>199</v>
      </c>
      <c r="U32" s="97" t="s">
        <v>198</v>
      </c>
      <c r="V32" s="142"/>
      <c r="W32" s="199"/>
    </row>
    <row r="33" spans="1:23" ht="34.5" customHeight="1" thickBot="1">
      <c r="A33" s="96"/>
      <c r="B33" s="89"/>
      <c r="C33" s="94"/>
      <c r="D33" s="93"/>
      <c r="E33" s="93"/>
      <c r="F33" s="93"/>
      <c r="G33" s="93"/>
      <c r="H33" s="93"/>
      <c r="I33" s="93"/>
      <c r="J33" s="93"/>
      <c r="K33" s="93">
        <v>0</v>
      </c>
      <c r="L33" s="92" t="s">
        <v>222</v>
      </c>
      <c r="M33" s="91"/>
      <c r="N33" s="91"/>
      <c r="O33" s="91" t="s">
        <v>197</v>
      </c>
      <c r="P33" s="91" t="s">
        <v>198</v>
      </c>
      <c r="Q33" s="91"/>
      <c r="R33" s="91" t="s">
        <v>204</v>
      </c>
      <c r="S33" s="91"/>
      <c r="T33" s="91" t="s">
        <v>199</v>
      </c>
      <c r="U33" s="91" t="s">
        <v>198</v>
      </c>
      <c r="V33" s="132" t="str">
        <f>IF('Additional Details'!C46="Decay","1b1","1b0")</f>
        <v>1b0</v>
      </c>
      <c r="W33" s="132" t="s">
        <v>157</v>
      </c>
    </row>
    <row r="34" spans="1:23" ht="34.5" customHeight="1" thickBot="1">
      <c r="A34" s="96"/>
      <c r="B34" s="95"/>
      <c r="C34" s="94"/>
      <c r="D34" s="93">
        <v>6</v>
      </c>
      <c r="E34" s="93">
        <v>5</v>
      </c>
      <c r="F34" s="93">
        <v>4</v>
      </c>
      <c r="G34" s="93">
        <v>3</v>
      </c>
      <c r="H34" s="93">
        <v>2</v>
      </c>
      <c r="I34" s="93">
        <v>1</v>
      </c>
      <c r="J34" s="93">
        <v>0</v>
      </c>
      <c r="K34" s="93"/>
      <c r="L34" s="92" t="s">
        <v>223</v>
      </c>
      <c r="M34" s="91"/>
      <c r="N34" s="91"/>
      <c r="O34" s="91" t="s">
        <v>197</v>
      </c>
      <c r="P34" s="91" t="s">
        <v>198</v>
      </c>
      <c r="Q34" s="91"/>
      <c r="R34" s="91" t="s">
        <v>204</v>
      </c>
      <c r="S34" s="91"/>
      <c r="T34" s="91" t="s">
        <v>199</v>
      </c>
      <c r="U34" s="91" t="s">
        <v>198</v>
      </c>
      <c r="V34" s="132" t="str">
        <f>CONCATENATE("7b",Overview!E13)</f>
        <v>7b0111000</v>
      </c>
      <c r="W34" s="132" t="s">
        <v>162</v>
      </c>
    </row>
    <row r="35" spans="1:23" ht="13.5" customHeight="1" thickBot="1">
      <c r="A35" s="81" t="s">
        <v>194</v>
      </c>
      <c r="B35" s="100" t="s">
        <v>224</v>
      </c>
      <c r="C35" s="99" t="s">
        <v>225</v>
      </c>
      <c r="D35" s="294"/>
      <c r="E35" s="294"/>
      <c r="F35" s="294"/>
      <c r="G35" s="294"/>
      <c r="H35" s="294"/>
      <c r="I35" s="294"/>
      <c r="J35" s="294"/>
      <c r="K35" s="294"/>
      <c r="L35" s="98" t="s">
        <v>225</v>
      </c>
      <c r="M35" s="97"/>
      <c r="N35" s="97"/>
      <c r="O35" s="97" t="s">
        <v>197</v>
      </c>
      <c r="P35" s="97" t="s">
        <v>198</v>
      </c>
      <c r="Q35" s="97">
        <v>83</v>
      </c>
      <c r="R35" s="97" t="s">
        <v>204</v>
      </c>
      <c r="S35" s="97"/>
      <c r="T35" s="97" t="s">
        <v>199</v>
      </c>
      <c r="U35" s="97" t="s">
        <v>198</v>
      </c>
      <c r="V35" s="142"/>
      <c r="W35" s="199"/>
    </row>
    <row r="36" spans="1:23" ht="34.5" customHeight="1" thickBot="1">
      <c r="A36" s="96"/>
      <c r="B36" s="89"/>
      <c r="C36" s="94"/>
      <c r="D36" s="93"/>
      <c r="E36" s="93"/>
      <c r="F36" s="93"/>
      <c r="G36" s="93"/>
      <c r="H36" s="93"/>
      <c r="I36" s="93"/>
      <c r="J36" s="93"/>
      <c r="K36" s="93">
        <v>0</v>
      </c>
      <c r="L36" s="92" t="s">
        <v>226</v>
      </c>
      <c r="M36" s="91"/>
      <c r="N36" s="91"/>
      <c r="O36" s="91" t="s">
        <v>197</v>
      </c>
      <c r="P36" s="91" t="s">
        <v>198</v>
      </c>
      <c r="Q36" s="91"/>
      <c r="R36" s="91" t="s">
        <v>204</v>
      </c>
      <c r="S36" s="91"/>
      <c r="T36" s="91" t="s">
        <v>199</v>
      </c>
      <c r="U36" s="91" t="s">
        <v>198</v>
      </c>
      <c r="V36" s="132" t="str">
        <f>IF('Additional Details'!C47="Decay","1b1","1b0")</f>
        <v>1b0</v>
      </c>
      <c r="W36" s="132" t="s">
        <v>157</v>
      </c>
    </row>
    <row r="37" spans="1:23" ht="34.5" customHeight="1" thickBot="1">
      <c r="A37" s="96"/>
      <c r="B37" s="95"/>
      <c r="C37" s="94"/>
      <c r="D37" s="93">
        <v>6</v>
      </c>
      <c r="E37" s="93">
        <v>5</v>
      </c>
      <c r="F37" s="93">
        <v>4</v>
      </c>
      <c r="G37" s="93">
        <v>3</v>
      </c>
      <c r="H37" s="93">
        <v>2</v>
      </c>
      <c r="I37" s="93">
        <v>1</v>
      </c>
      <c r="J37" s="93">
        <v>0</v>
      </c>
      <c r="K37" s="93"/>
      <c r="L37" s="92" t="s">
        <v>227</v>
      </c>
      <c r="M37" s="91"/>
      <c r="N37" s="91"/>
      <c r="O37" s="91" t="s">
        <v>197</v>
      </c>
      <c r="P37" s="91" t="s">
        <v>198</v>
      </c>
      <c r="Q37" s="91"/>
      <c r="R37" s="91" t="s">
        <v>204</v>
      </c>
      <c r="S37" s="91"/>
      <c r="T37" s="91" t="s">
        <v>199</v>
      </c>
      <c r="U37" s="91" t="s">
        <v>198</v>
      </c>
      <c r="V37" s="132" t="str">
        <f>CONCATENATE("7b",Overview!E15)</f>
        <v>7b0111100</v>
      </c>
      <c r="W37" s="132" t="s">
        <v>162</v>
      </c>
    </row>
    <row r="38" spans="1:23" ht="13.5" customHeight="1" thickBot="1">
      <c r="A38" s="101" t="s">
        <v>194</v>
      </c>
      <c r="B38" s="100" t="s">
        <v>228</v>
      </c>
      <c r="C38" s="99" t="s">
        <v>229</v>
      </c>
      <c r="D38" s="294"/>
      <c r="E38" s="294"/>
      <c r="F38" s="294"/>
      <c r="G38" s="294"/>
      <c r="H38" s="294"/>
      <c r="I38" s="294"/>
      <c r="J38" s="294"/>
      <c r="K38" s="294"/>
      <c r="L38" s="98" t="s">
        <v>764</v>
      </c>
      <c r="M38" s="97"/>
      <c r="N38" s="97"/>
      <c r="O38" s="97" t="s">
        <v>197</v>
      </c>
      <c r="P38" s="97" t="s">
        <v>198</v>
      </c>
      <c r="Q38" s="97">
        <v>84</v>
      </c>
      <c r="R38" s="97" t="s">
        <v>204</v>
      </c>
      <c r="S38" s="97"/>
      <c r="T38" s="97" t="s">
        <v>199</v>
      </c>
      <c r="U38" s="97" t="s">
        <v>198</v>
      </c>
      <c r="V38" s="142"/>
      <c r="W38" s="199"/>
    </row>
    <row r="39" spans="1:23" ht="34.5" customHeight="1" thickBot="1">
      <c r="A39" s="96"/>
      <c r="B39" s="89"/>
      <c r="C39" s="94"/>
      <c r="D39" s="93"/>
      <c r="E39" s="93"/>
      <c r="F39" s="93"/>
      <c r="G39" s="93"/>
      <c r="H39" s="93"/>
      <c r="I39" s="93"/>
      <c r="J39" s="93"/>
      <c r="K39" s="93">
        <v>0</v>
      </c>
      <c r="L39" s="92" t="s">
        <v>230</v>
      </c>
      <c r="M39" s="91"/>
      <c r="N39" s="91"/>
      <c r="O39" s="91" t="s">
        <v>197</v>
      </c>
      <c r="P39" s="91" t="s">
        <v>198</v>
      </c>
      <c r="Q39" s="91"/>
      <c r="R39" s="91" t="s">
        <v>204</v>
      </c>
      <c r="S39" s="91"/>
      <c r="T39" s="91" t="s">
        <v>199</v>
      </c>
      <c r="U39" s="91" t="s">
        <v>198</v>
      </c>
      <c r="V39" s="132" t="str">
        <f>IF('Additional Details'!C48="Decay","1b1","1b0")</f>
        <v>1b0</v>
      </c>
      <c r="W39" s="132" t="s">
        <v>157</v>
      </c>
    </row>
    <row r="40" spans="1:23" ht="13.5" customHeight="1" thickBot="1">
      <c r="A40" s="96"/>
      <c r="B40" s="95"/>
      <c r="C40" s="94"/>
      <c r="D40" s="93">
        <v>6</v>
      </c>
      <c r="E40" s="93">
        <v>5</v>
      </c>
      <c r="F40" s="93">
        <v>4</v>
      </c>
      <c r="G40" s="93">
        <v>3</v>
      </c>
      <c r="H40" s="93">
        <v>2</v>
      </c>
      <c r="I40" s="93">
        <v>1</v>
      </c>
      <c r="J40" s="93">
        <v>0</v>
      </c>
      <c r="K40" s="93"/>
      <c r="L40" s="92" t="s">
        <v>825</v>
      </c>
      <c r="M40" s="91"/>
      <c r="N40" s="91"/>
      <c r="O40" s="91" t="s">
        <v>197</v>
      </c>
      <c r="P40" s="91" t="s">
        <v>198</v>
      </c>
      <c r="Q40" s="91"/>
      <c r="R40" s="91" t="s">
        <v>204</v>
      </c>
      <c r="S40" s="91"/>
      <c r="T40" s="91" t="s">
        <v>199</v>
      </c>
      <c r="U40" s="91" t="s">
        <v>198</v>
      </c>
      <c r="V40" s="132" t="str">
        <f>CONCATENATE("7b",Overview!E17)</f>
        <v>7b1110100</v>
      </c>
      <c r="W40" s="132" t="s">
        <v>162</v>
      </c>
    </row>
    <row r="41" spans="1:23" ht="13.5" customHeight="1" thickBot="1">
      <c r="A41" s="101" t="s">
        <v>194</v>
      </c>
      <c r="B41" s="100" t="s">
        <v>232</v>
      </c>
      <c r="C41" s="99" t="s">
        <v>233</v>
      </c>
      <c r="D41" s="294"/>
      <c r="E41" s="294"/>
      <c r="F41" s="294"/>
      <c r="G41" s="294"/>
      <c r="H41" s="294"/>
      <c r="I41" s="294"/>
      <c r="J41" s="294"/>
      <c r="K41" s="294"/>
      <c r="L41" s="98" t="s">
        <v>763</v>
      </c>
      <c r="M41" s="97"/>
      <c r="N41" s="97"/>
      <c r="O41" s="97" t="s">
        <v>197</v>
      </c>
      <c r="P41" s="97" t="s">
        <v>198</v>
      </c>
      <c r="Q41" s="97">
        <v>85</v>
      </c>
      <c r="R41" s="97" t="s">
        <v>204</v>
      </c>
      <c r="S41" s="97"/>
      <c r="T41" s="97" t="s">
        <v>199</v>
      </c>
      <c r="U41" s="97" t="s">
        <v>198</v>
      </c>
      <c r="V41" s="142"/>
      <c r="W41" s="199"/>
    </row>
    <row r="42" spans="1:23" ht="13.5" customHeight="1" thickBot="1">
      <c r="A42" s="96"/>
      <c r="B42" s="89"/>
      <c r="C42" s="94"/>
      <c r="D42" s="93"/>
      <c r="E42" s="93"/>
      <c r="F42" s="93"/>
      <c r="G42" s="93"/>
      <c r="H42" s="93"/>
      <c r="I42" s="93"/>
      <c r="J42" s="93"/>
      <c r="K42" s="93">
        <v>0</v>
      </c>
      <c r="L42" s="92" t="s">
        <v>1392</v>
      </c>
      <c r="M42" s="91"/>
      <c r="N42" s="91"/>
      <c r="O42" s="91" t="s">
        <v>197</v>
      </c>
      <c r="P42" s="91" t="s">
        <v>198</v>
      </c>
      <c r="Q42" s="91"/>
      <c r="R42" s="91" t="s">
        <v>204</v>
      </c>
      <c r="S42" s="91"/>
      <c r="T42" s="91" t="s">
        <v>199</v>
      </c>
      <c r="U42" s="91" t="s">
        <v>198</v>
      </c>
      <c r="V42" s="132" t="s">
        <v>157</v>
      </c>
      <c r="W42" s="132" t="s">
        <v>157</v>
      </c>
    </row>
    <row r="43" spans="1:23" ht="23.25" customHeight="1" thickBot="1">
      <c r="A43" s="96"/>
      <c r="B43" s="95"/>
      <c r="C43" s="94"/>
      <c r="D43" s="93">
        <v>6</v>
      </c>
      <c r="E43" s="93">
        <v>5</v>
      </c>
      <c r="F43" s="93">
        <v>4</v>
      </c>
      <c r="G43" s="93">
        <v>3</v>
      </c>
      <c r="H43" s="93">
        <v>2</v>
      </c>
      <c r="I43" s="93">
        <v>1</v>
      </c>
      <c r="J43" s="93">
        <v>0</v>
      </c>
      <c r="K43" s="93"/>
      <c r="L43" s="92" t="s">
        <v>231</v>
      </c>
      <c r="M43" s="91"/>
      <c r="N43" s="91"/>
      <c r="O43" s="91" t="s">
        <v>197</v>
      </c>
      <c r="P43" s="91" t="s">
        <v>198</v>
      </c>
      <c r="Q43" s="91"/>
      <c r="R43" s="91" t="s">
        <v>204</v>
      </c>
      <c r="S43" s="91"/>
      <c r="T43" s="91" t="s">
        <v>199</v>
      </c>
      <c r="U43" s="91" t="s">
        <v>198</v>
      </c>
      <c r="V43" s="132" t="str">
        <f>CONCATENATE("7b",Overview!E17)</f>
        <v>7b1110100</v>
      </c>
      <c r="W43" s="132" t="s">
        <v>162</v>
      </c>
    </row>
    <row r="44" spans="1:23" ht="13.5" customHeight="1" thickBot="1">
      <c r="A44" s="101" t="s">
        <v>194</v>
      </c>
      <c r="B44" s="100" t="s">
        <v>234</v>
      </c>
      <c r="C44" s="99" t="s">
        <v>235</v>
      </c>
      <c r="D44" s="294"/>
      <c r="E44" s="294"/>
      <c r="F44" s="294"/>
      <c r="G44" s="294"/>
      <c r="H44" s="294"/>
      <c r="I44" s="294"/>
      <c r="J44" s="294"/>
      <c r="K44" s="294"/>
      <c r="L44" s="98" t="s">
        <v>765</v>
      </c>
      <c r="M44" s="97"/>
      <c r="N44" s="97"/>
      <c r="O44" s="97" t="s">
        <v>197</v>
      </c>
      <c r="P44" s="97" t="s">
        <v>198</v>
      </c>
      <c r="Q44" s="97">
        <v>126</v>
      </c>
      <c r="R44" s="97" t="s">
        <v>204</v>
      </c>
      <c r="S44" s="97"/>
      <c r="T44" s="97" t="s">
        <v>199</v>
      </c>
      <c r="U44" s="97" t="s">
        <v>198</v>
      </c>
      <c r="V44" s="142"/>
      <c r="W44" s="199"/>
    </row>
    <row r="45" spans="1:23" ht="34.5" customHeight="1" thickBot="1">
      <c r="A45" s="96"/>
      <c r="B45" s="89"/>
      <c r="C45" s="94"/>
      <c r="D45" s="93"/>
      <c r="E45" s="93"/>
      <c r="F45" s="93"/>
      <c r="G45" s="93"/>
      <c r="H45" s="93"/>
      <c r="I45" s="93"/>
      <c r="J45" s="93"/>
      <c r="K45" s="93">
        <v>0</v>
      </c>
      <c r="L45" s="80" t="s">
        <v>766</v>
      </c>
      <c r="M45" s="91"/>
      <c r="N45" s="91"/>
      <c r="O45" s="91" t="s">
        <v>206</v>
      </c>
      <c r="P45" s="91" t="s">
        <v>198</v>
      </c>
      <c r="Q45" s="91"/>
      <c r="R45" s="91" t="s">
        <v>204</v>
      </c>
      <c r="S45" s="91"/>
      <c r="T45" s="91" t="s">
        <v>199</v>
      </c>
      <c r="U45" s="91" t="s">
        <v>198</v>
      </c>
      <c r="V45" s="132" t="str">
        <f>IF(Sequencing!G7="No","1b0","1b1")</f>
        <v>1b0</v>
      </c>
      <c r="W45" s="132" t="s">
        <v>157</v>
      </c>
    </row>
    <row r="46" spans="1:23" ht="23.25" customHeight="1" thickBot="1">
      <c r="A46" s="96"/>
      <c r="B46" s="89"/>
      <c r="C46" s="94"/>
      <c r="D46" s="93">
        <v>6</v>
      </c>
      <c r="E46" s="93">
        <v>5</v>
      </c>
      <c r="F46" s="93">
        <v>4</v>
      </c>
      <c r="G46" s="93">
        <v>3</v>
      </c>
      <c r="H46" s="93">
        <v>2</v>
      </c>
      <c r="I46" s="93">
        <v>1</v>
      </c>
      <c r="J46" s="93">
        <v>0</v>
      </c>
      <c r="K46" s="93"/>
      <c r="L46" s="92" t="s">
        <v>236</v>
      </c>
      <c r="M46" s="91"/>
      <c r="N46" s="91"/>
      <c r="O46" s="91" t="s">
        <v>197</v>
      </c>
      <c r="P46" s="91" t="s">
        <v>198</v>
      </c>
      <c r="Q46" s="91"/>
      <c r="R46" s="91" t="s">
        <v>204</v>
      </c>
      <c r="S46" s="91"/>
      <c r="T46" s="91" t="s">
        <v>199</v>
      </c>
      <c r="U46" s="91" t="s">
        <v>198</v>
      </c>
      <c r="V46" s="132" t="str">
        <f>CONCATENATE("7b",Overview!E18)</f>
        <v>7b1110100</v>
      </c>
      <c r="W46" s="132" t="s">
        <v>162</v>
      </c>
    </row>
    <row r="47" spans="1:23" ht="13.5" customHeight="1" thickBot="1">
      <c r="A47" s="101" t="s">
        <v>194</v>
      </c>
      <c r="B47" s="100" t="s">
        <v>237</v>
      </c>
      <c r="C47" s="99" t="s">
        <v>238</v>
      </c>
      <c r="D47" s="294"/>
      <c r="E47" s="294"/>
      <c r="F47" s="294"/>
      <c r="G47" s="294"/>
      <c r="H47" s="294"/>
      <c r="I47" s="294"/>
      <c r="J47" s="294"/>
      <c r="K47" s="294"/>
      <c r="L47" s="98" t="s">
        <v>238</v>
      </c>
      <c r="M47" s="97"/>
      <c r="N47" s="97"/>
      <c r="O47" s="97" t="s">
        <v>197</v>
      </c>
      <c r="P47" s="97" t="s">
        <v>198</v>
      </c>
      <c r="Q47" s="97">
        <v>87</v>
      </c>
      <c r="R47" s="97" t="s">
        <v>204</v>
      </c>
      <c r="S47" s="97"/>
      <c r="T47" s="97" t="s">
        <v>199</v>
      </c>
      <c r="U47" s="97" t="s">
        <v>198</v>
      </c>
      <c r="V47" s="142"/>
      <c r="W47" s="199"/>
    </row>
    <row r="48" spans="1:23" ht="34.5" customHeight="1" thickBot="1">
      <c r="A48" s="96"/>
      <c r="B48" s="89"/>
      <c r="C48" s="94"/>
      <c r="D48" s="93"/>
      <c r="E48" s="93"/>
      <c r="F48" s="93"/>
      <c r="G48" s="93"/>
      <c r="H48" s="93"/>
      <c r="I48" s="93"/>
      <c r="J48" s="93"/>
      <c r="K48" s="93">
        <v>0</v>
      </c>
      <c r="L48" s="80" t="s">
        <v>258</v>
      </c>
      <c r="M48" s="91"/>
      <c r="N48" s="91"/>
      <c r="O48" s="91" t="s">
        <v>197</v>
      </c>
      <c r="P48" s="91" t="s">
        <v>198</v>
      </c>
      <c r="Q48" s="91"/>
      <c r="R48" s="91" t="s">
        <v>204</v>
      </c>
      <c r="S48" s="91"/>
      <c r="T48" s="91" t="s">
        <v>199</v>
      </c>
      <c r="U48" s="91" t="s">
        <v>198</v>
      </c>
      <c r="V48" s="132" t="str">
        <f>IF(Sequencing!D8="Yes","1b0","1b1")</f>
        <v>1b1</v>
      </c>
      <c r="W48" s="132" t="s">
        <v>157</v>
      </c>
    </row>
    <row r="49" spans="1:23" ht="34.5" customHeight="1" thickBot="1">
      <c r="A49" s="96"/>
      <c r="B49" s="89"/>
      <c r="C49" s="94"/>
      <c r="D49" s="93"/>
      <c r="E49" s="93"/>
      <c r="F49" s="93"/>
      <c r="G49" s="93"/>
      <c r="H49" s="93"/>
      <c r="I49" s="93"/>
      <c r="J49" s="93">
        <v>0</v>
      </c>
      <c r="K49" s="93"/>
      <c r="L49" s="92" t="s">
        <v>240</v>
      </c>
      <c r="M49" s="91"/>
      <c r="N49" s="91"/>
      <c r="O49" s="91" t="s">
        <v>197</v>
      </c>
      <c r="P49" s="91" t="s">
        <v>198</v>
      </c>
      <c r="Q49" s="91"/>
      <c r="R49" s="91" t="s">
        <v>204</v>
      </c>
      <c r="S49" s="91"/>
      <c r="T49" s="91" t="s">
        <v>199</v>
      </c>
      <c r="U49" s="91" t="s">
        <v>198</v>
      </c>
      <c r="V49" s="132" t="str">
        <f>IF('Additional Details'!C7="AUTO","1b0","1b1")</f>
        <v>1b1</v>
      </c>
      <c r="W49" s="132" t="s">
        <v>157</v>
      </c>
    </row>
    <row r="50" spans="1:23" ht="68.25" customHeight="1" thickBot="1">
      <c r="A50" s="96"/>
      <c r="B50" s="89"/>
      <c r="C50" s="94"/>
      <c r="D50" s="93"/>
      <c r="E50" s="93"/>
      <c r="F50" s="93"/>
      <c r="G50" s="93"/>
      <c r="H50" s="93">
        <v>1</v>
      </c>
      <c r="I50" s="93">
        <v>0</v>
      </c>
      <c r="J50" s="93"/>
      <c r="K50" s="93"/>
      <c r="L50" s="92" t="s">
        <v>768</v>
      </c>
      <c r="M50" s="91"/>
      <c r="N50" s="91"/>
      <c r="O50" s="91" t="s">
        <v>197</v>
      </c>
      <c r="P50" s="91" t="s">
        <v>198</v>
      </c>
      <c r="Q50" s="91"/>
      <c r="R50" s="91" t="s">
        <v>204</v>
      </c>
      <c r="S50" s="91"/>
      <c r="T50" s="91" t="s">
        <v>199</v>
      </c>
      <c r="U50" s="91" t="s">
        <v>198</v>
      </c>
      <c r="V50" s="132" t="s">
        <v>160</v>
      </c>
      <c r="W50" s="132" t="s">
        <v>160</v>
      </c>
    </row>
    <row r="51" spans="1:23" ht="45.75" customHeight="1" thickBot="1">
      <c r="A51" s="96"/>
      <c r="B51" s="89"/>
      <c r="C51" s="94"/>
      <c r="D51" s="93"/>
      <c r="E51" s="93"/>
      <c r="F51" s="93">
        <v>1</v>
      </c>
      <c r="G51" s="93">
        <v>0</v>
      </c>
      <c r="H51" s="93"/>
      <c r="I51" s="93"/>
      <c r="J51" s="93"/>
      <c r="K51" s="93"/>
      <c r="L51" s="80" t="s">
        <v>767</v>
      </c>
      <c r="M51" s="91"/>
      <c r="N51" s="91"/>
      <c r="O51" s="91" t="s">
        <v>197</v>
      </c>
      <c r="P51" s="91" t="s">
        <v>198</v>
      </c>
      <c r="Q51" s="91"/>
      <c r="R51" s="91" t="s">
        <v>204</v>
      </c>
      <c r="S51" s="91"/>
      <c r="T51" s="91" t="s">
        <v>199</v>
      </c>
      <c r="U51" s="91" t="s">
        <v>198</v>
      </c>
      <c r="V51" s="132" t="str">
        <f>IF(Sequencing!G8="No","2b00","2b11")</f>
        <v>2b00</v>
      </c>
      <c r="W51" s="132" t="s">
        <v>156</v>
      </c>
    </row>
    <row r="52" spans="1:23" ht="12" customHeight="1" thickBot="1">
      <c r="A52" s="96"/>
      <c r="B52" s="95"/>
      <c r="C52" s="94"/>
      <c r="D52" s="93">
        <v>1</v>
      </c>
      <c r="E52" s="93">
        <v>0</v>
      </c>
      <c r="F52" s="93"/>
      <c r="G52" s="93"/>
      <c r="H52" s="93"/>
      <c r="I52" s="93"/>
      <c r="J52" s="93"/>
      <c r="K52" s="93"/>
      <c r="L52" s="92" t="s">
        <v>1400</v>
      </c>
      <c r="M52" s="79"/>
      <c r="N52" s="79"/>
      <c r="O52" s="79" t="s">
        <v>206</v>
      </c>
      <c r="P52" s="91" t="s">
        <v>204</v>
      </c>
      <c r="Q52" s="91"/>
      <c r="R52" s="91" t="s">
        <v>204</v>
      </c>
      <c r="S52" s="91"/>
      <c r="T52" s="91" t="s">
        <v>199</v>
      </c>
      <c r="U52" s="91" t="s">
        <v>198</v>
      </c>
      <c r="V52" s="132" t="s">
        <v>156</v>
      </c>
      <c r="W52" s="132" t="s">
        <v>156</v>
      </c>
    </row>
    <row r="53" spans="1:23" ht="13.5" customHeight="1" thickBot="1">
      <c r="A53" s="101" t="s">
        <v>194</v>
      </c>
      <c r="B53" s="100" t="s">
        <v>241</v>
      </c>
      <c r="C53" s="99" t="s">
        <v>242</v>
      </c>
      <c r="D53" s="294"/>
      <c r="E53" s="294"/>
      <c r="F53" s="294"/>
      <c r="G53" s="294"/>
      <c r="H53" s="294"/>
      <c r="I53" s="294"/>
      <c r="J53" s="294"/>
      <c r="K53" s="294"/>
      <c r="L53" s="98" t="s">
        <v>242</v>
      </c>
      <c r="M53" s="97"/>
      <c r="N53" s="97"/>
      <c r="O53" s="97" t="s">
        <v>197</v>
      </c>
      <c r="P53" s="97" t="s">
        <v>198</v>
      </c>
      <c r="Q53" s="97">
        <v>88</v>
      </c>
      <c r="R53" s="97" t="s">
        <v>204</v>
      </c>
      <c r="S53" s="97"/>
      <c r="T53" s="97" t="s">
        <v>199</v>
      </c>
      <c r="U53" s="97" t="s">
        <v>198</v>
      </c>
      <c r="V53" s="142"/>
      <c r="W53" s="199"/>
    </row>
    <row r="54" spans="1:23" ht="34.5" customHeight="1" thickBot="1">
      <c r="A54" s="96"/>
      <c r="B54" s="89"/>
      <c r="C54" s="94"/>
      <c r="D54" s="93"/>
      <c r="E54" s="93"/>
      <c r="F54" s="93"/>
      <c r="G54" s="93"/>
      <c r="H54" s="93"/>
      <c r="I54" s="93"/>
      <c r="J54" s="93"/>
      <c r="K54" s="93">
        <v>0</v>
      </c>
      <c r="L54" s="80" t="s">
        <v>261</v>
      </c>
      <c r="M54" s="91"/>
      <c r="N54" s="91"/>
      <c r="O54" s="91" t="s">
        <v>197</v>
      </c>
      <c r="P54" s="91" t="s">
        <v>198</v>
      </c>
      <c r="Q54" s="91"/>
      <c r="R54" s="91" t="s">
        <v>204</v>
      </c>
      <c r="S54" s="91"/>
      <c r="T54" s="91" t="s">
        <v>199</v>
      </c>
      <c r="U54" s="91" t="s">
        <v>198</v>
      </c>
      <c r="V54" s="132" t="str">
        <f>IF(Sequencing!D9="Yes","1b0","1b1")</f>
        <v>1b0</v>
      </c>
      <c r="W54" s="132" t="s">
        <v>157</v>
      </c>
    </row>
    <row r="55" spans="1:23" ht="34.5" customHeight="1" thickBot="1">
      <c r="A55" s="96"/>
      <c r="B55" s="89"/>
      <c r="C55" s="94"/>
      <c r="D55" s="93"/>
      <c r="E55" s="93"/>
      <c r="F55" s="93"/>
      <c r="G55" s="93"/>
      <c r="H55" s="93"/>
      <c r="I55" s="93"/>
      <c r="J55" s="93">
        <v>0</v>
      </c>
      <c r="K55" s="93"/>
      <c r="L55" s="92" t="s">
        <v>244</v>
      </c>
      <c r="M55" s="91"/>
      <c r="N55" s="91"/>
      <c r="O55" s="91" t="s">
        <v>197</v>
      </c>
      <c r="P55" s="91" t="s">
        <v>198</v>
      </c>
      <c r="Q55" s="91"/>
      <c r="R55" s="91" t="s">
        <v>204</v>
      </c>
      <c r="S55" s="91"/>
      <c r="T55" s="91" t="s">
        <v>199</v>
      </c>
      <c r="U55" s="91" t="s">
        <v>198</v>
      </c>
      <c r="V55" s="132" t="str">
        <f>IF('Additional Details'!C8="AUTO","1b0","1b1")</f>
        <v>1b1</v>
      </c>
      <c r="W55" s="132" t="s">
        <v>157</v>
      </c>
    </row>
    <row r="56" spans="1:23" ht="57" customHeight="1" thickBot="1">
      <c r="A56" s="96"/>
      <c r="B56" s="89"/>
      <c r="C56" s="94"/>
      <c r="D56" s="93"/>
      <c r="E56" s="93"/>
      <c r="F56" s="93"/>
      <c r="G56" s="93"/>
      <c r="H56" s="93">
        <v>1</v>
      </c>
      <c r="I56" s="93">
        <v>0</v>
      </c>
      <c r="J56" s="93"/>
      <c r="K56" s="93"/>
      <c r="L56" s="92" t="s">
        <v>769</v>
      </c>
      <c r="M56" s="91"/>
      <c r="N56" s="91"/>
      <c r="O56" s="91" t="s">
        <v>197</v>
      </c>
      <c r="P56" s="91" t="s">
        <v>198</v>
      </c>
      <c r="Q56" s="91"/>
      <c r="R56" s="91" t="s">
        <v>204</v>
      </c>
      <c r="S56" s="91"/>
      <c r="T56" s="91" t="s">
        <v>199</v>
      </c>
      <c r="U56" s="91" t="s">
        <v>198</v>
      </c>
      <c r="V56" s="132" t="s">
        <v>160</v>
      </c>
      <c r="W56" s="132" t="s">
        <v>160</v>
      </c>
    </row>
    <row r="57" spans="1:23" ht="45.75" customHeight="1" thickBot="1">
      <c r="A57" s="96"/>
      <c r="B57" s="89"/>
      <c r="C57" s="94"/>
      <c r="D57" s="93"/>
      <c r="E57" s="93"/>
      <c r="F57" s="93">
        <v>1</v>
      </c>
      <c r="G57" s="93">
        <v>0</v>
      </c>
      <c r="H57" s="93"/>
      <c r="I57" s="93"/>
      <c r="J57" s="93"/>
      <c r="K57" s="93"/>
      <c r="L57" s="80" t="s">
        <v>770</v>
      </c>
      <c r="M57" s="91"/>
      <c r="N57" s="91"/>
      <c r="O57" s="91" t="s">
        <v>197</v>
      </c>
      <c r="P57" s="91" t="s">
        <v>198</v>
      </c>
      <c r="Q57" s="91"/>
      <c r="R57" s="91" t="s">
        <v>204</v>
      </c>
      <c r="S57" s="91"/>
      <c r="T57" s="91" t="s">
        <v>199</v>
      </c>
      <c r="U57" s="91" t="s">
        <v>198</v>
      </c>
      <c r="V57" s="132" t="str">
        <f>IF(Sequencing!G9="No","2b00","2b11")</f>
        <v>2b00</v>
      </c>
      <c r="W57" s="132" t="s">
        <v>156</v>
      </c>
    </row>
    <row r="58" spans="1:23" ht="12" customHeight="1" thickBot="1">
      <c r="A58" s="96"/>
      <c r="B58" s="95"/>
      <c r="C58" s="94"/>
      <c r="D58" s="93">
        <v>1</v>
      </c>
      <c r="E58" s="93">
        <v>0</v>
      </c>
      <c r="F58" s="93"/>
      <c r="G58" s="93"/>
      <c r="H58" s="93"/>
      <c r="I58" s="93"/>
      <c r="J58" s="93"/>
      <c r="K58" s="93"/>
      <c r="L58" s="92" t="s">
        <v>1393</v>
      </c>
      <c r="M58" s="79"/>
      <c r="N58" s="79"/>
      <c r="O58" s="79" t="s">
        <v>206</v>
      </c>
      <c r="P58" s="91" t="s">
        <v>204</v>
      </c>
      <c r="Q58" s="91"/>
      <c r="R58" s="91" t="s">
        <v>204</v>
      </c>
      <c r="S58" s="91"/>
      <c r="T58" s="91" t="s">
        <v>199</v>
      </c>
      <c r="U58" s="91" t="s">
        <v>198</v>
      </c>
      <c r="V58" s="132" t="s">
        <v>156</v>
      </c>
      <c r="W58" s="132" t="s">
        <v>156</v>
      </c>
    </row>
    <row r="59" spans="1:23" ht="13.5" customHeight="1" thickBot="1">
      <c r="A59" s="101" t="s">
        <v>194</v>
      </c>
      <c r="B59" s="100" t="s">
        <v>245</v>
      </c>
      <c r="C59" s="99" t="s">
        <v>246</v>
      </c>
      <c r="D59" s="294"/>
      <c r="E59" s="294"/>
      <c r="F59" s="294"/>
      <c r="G59" s="294"/>
      <c r="H59" s="294"/>
      <c r="I59" s="294"/>
      <c r="J59" s="294"/>
      <c r="K59" s="294"/>
      <c r="L59" s="98" t="s">
        <v>246</v>
      </c>
      <c r="M59" s="97"/>
      <c r="N59" s="97"/>
      <c r="O59" s="97" t="s">
        <v>197</v>
      </c>
      <c r="P59" s="97" t="s">
        <v>198</v>
      </c>
      <c r="Q59" s="97">
        <v>89</v>
      </c>
      <c r="R59" s="97" t="s">
        <v>204</v>
      </c>
      <c r="S59" s="97"/>
      <c r="T59" s="97" t="s">
        <v>199</v>
      </c>
      <c r="U59" s="97" t="s">
        <v>198</v>
      </c>
      <c r="V59" s="142"/>
      <c r="W59" s="199"/>
    </row>
    <row r="60" spans="1:23" ht="34.5" customHeight="1" thickBot="1">
      <c r="A60" s="96"/>
      <c r="B60" s="89"/>
      <c r="C60" s="94"/>
      <c r="D60" s="93"/>
      <c r="E60" s="93"/>
      <c r="F60" s="93"/>
      <c r="G60" s="93"/>
      <c r="H60" s="93"/>
      <c r="I60" s="93"/>
      <c r="J60" s="93"/>
      <c r="K60" s="93">
        <v>0</v>
      </c>
      <c r="L60" s="80" t="s">
        <v>262</v>
      </c>
      <c r="M60" s="91"/>
      <c r="N60" s="91"/>
      <c r="O60" s="91" t="s">
        <v>197</v>
      </c>
      <c r="P60" s="91" t="s">
        <v>198</v>
      </c>
      <c r="Q60" s="91"/>
      <c r="R60" s="91" t="s">
        <v>204</v>
      </c>
      <c r="S60" s="91"/>
      <c r="T60" s="91" t="s">
        <v>199</v>
      </c>
      <c r="U60" s="91" t="s">
        <v>198</v>
      </c>
      <c r="V60" s="132" t="str">
        <f>IF(Sequencing!D10="Yes","1b0","1b1")</f>
        <v>1b1</v>
      </c>
      <c r="W60" s="132" t="s">
        <v>157</v>
      </c>
    </row>
    <row r="61" spans="1:23" ht="34.5" customHeight="1" thickBot="1">
      <c r="A61" s="96"/>
      <c r="B61" s="89"/>
      <c r="C61" s="94"/>
      <c r="D61" s="93"/>
      <c r="E61" s="93"/>
      <c r="F61" s="93"/>
      <c r="G61" s="93"/>
      <c r="H61" s="93"/>
      <c r="I61" s="93"/>
      <c r="J61" s="93">
        <v>0</v>
      </c>
      <c r="K61" s="93"/>
      <c r="L61" s="92" t="s">
        <v>248</v>
      </c>
      <c r="M61" s="91"/>
      <c r="N61" s="91"/>
      <c r="O61" s="91" t="s">
        <v>197</v>
      </c>
      <c r="P61" s="91" t="s">
        <v>198</v>
      </c>
      <c r="Q61" s="91"/>
      <c r="R61" s="91" t="s">
        <v>204</v>
      </c>
      <c r="S61" s="91"/>
      <c r="T61" s="91" t="s">
        <v>199</v>
      </c>
      <c r="U61" s="91" t="s">
        <v>198</v>
      </c>
      <c r="V61" s="132" t="str">
        <f>IF('Additional Details'!C9="AUTO","1b0","1b1")</f>
        <v>1b1</v>
      </c>
      <c r="W61" s="132" t="s">
        <v>157</v>
      </c>
    </row>
    <row r="62" spans="1:23" ht="57" customHeight="1" thickBot="1">
      <c r="A62" s="96"/>
      <c r="B62" s="89"/>
      <c r="C62" s="94"/>
      <c r="D62" s="93"/>
      <c r="E62" s="93"/>
      <c r="F62" s="93"/>
      <c r="G62" s="93"/>
      <c r="H62" s="93">
        <v>1</v>
      </c>
      <c r="I62" s="93">
        <v>0</v>
      </c>
      <c r="J62" s="93"/>
      <c r="K62" s="93"/>
      <c r="L62" s="80" t="s">
        <v>772</v>
      </c>
      <c r="M62" s="91"/>
      <c r="N62" s="91"/>
      <c r="O62" s="91" t="s">
        <v>197</v>
      </c>
      <c r="P62" s="91" t="s">
        <v>198</v>
      </c>
      <c r="Q62" s="91"/>
      <c r="R62" s="91" t="s">
        <v>204</v>
      </c>
      <c r="S62" s="91"/>
      <c r="T62" s="91" t="s">
        <v>199</v>
      </c>
      <c r="U62" s="91" t="s">
        <v>198</v>
      </c>
      <c r="V62" s="132" t="s">
        <v>160</v>
      </c>
      <c r="W62" s="132" t="s">
        <v>160</v>
      </c>
    </row>
    <row r="63" spans="1:23" ht="45.75" customHeight="1" thickBot="1">
      <c r="A63" s="96"/>
      <c r="B63" s="89"/>
      <c r="C63" s="94"/>
      <c r="D63" s="93"/>
      <c r="E63" s="93"/>
      <c r="F63" s="93">
        <v>1</v>
      </c>
      <c r="G63" s="93">
        <v>0</v>
      </c>
      <c r="H63" s="93"/>
      <c r="I63" s="93"/>
      <c r="J63" s="93"/>
      <c r="K63" s="93"/>
      <c r="L63" s="80" t="s">
        <v>771</v>
      </c>
      <c r="M63" s="91"/>
      <c r="N63" s="91"/>
      <c r="O63" s="91" t="s">
        <v>197</v>
      </c>
      <c r="P63" s="91" t="s">
        <v>198</v>
      </c>
      <c r="Q63" s="91"/>
      <c r="R63" s="91" t="s">
        <v>204</v>
      </c>
      <c r="S63" s="91"/>
      <c r="T63" s="91" t="s">
        <v>199</v>
      </c>
      <c r="U63" s="91" t="s">
        <v>198</v>
      </c>
      <c r="V63" s="132" t="str">
        <f>IF(Sequencing!G10="No","2b00","2b11")</f>
        <v>2b00</v>
      </c>
      <c r="W63" s="132" t="s">
        <v>156</v>
      </c>
    </row>
    <row r="64" spans="1:23" ht="12" customHeight="1" thickBot="1">
      <c r="A64" s="96"/>
      <c r="B64" s="95"/>
      <c r="C64" s="94"/>
      <c r="D64" s="93">
        <v>1</v>
      </c>
      <c r="E64" s="93">
        <v>0</v>
      </c>
      <c r="F64" s="93"/>
      <c r="G64" s="93"/>
      <c r="H64" s="93"/>
      <c r="I64" s="93"/>
      <c r="J64" s="93"/>
      <c r="K64" s="93"/>
      <c r="L64" s="92" t="s">
        <v>1394</v>
      </c>
      <c r="M64" s="79"/>
      <c r="N64" s="79"/>
      <c r="O64" s="79" t="s">
        <v>206</v>
      </c>
      <c r="P64" s="91" t="s">
        <v>204</v>
      </c>
      <c r="Q64" s="91"/>
      <c r="R64" s="91" t="s">
        <v>204</v>
      </c>
      <c r="S64" s="91"/>
      <c r="T64" s="91" t="s">
        <v>199</v>
      </c>
      <c r="U64" s="91" t="s">
        <v>198</v>
      </c>
      <c r="V64" s="132" t="s">
        <v>156</v>
      </c>
      <c r="W64" s="132" t="s">
        <v>156</v>
      </c>
    </row>
    <row r="65" spans="1:24" ht="13.5" customHeight="1" thickBot="1">
      <c r="A65" s="101" t="s">
        <v>194</v>
      </c>
      <c r="B65" s="100" t="s">
        <v>249</v>
      </c>
      <c r="C65" s="99" t="s">
        <v>250</v>
      </c>
      <c r="D65" s="294"/>
      <c r="E65" s="294"/>
      <c r="F65" s="294"/>
      <c r="G65" s="294"/>
      <c r="H65" s="294"/>
      <c r="I65" s="294"/>
      <c r="J65" s="294"/>
      <c r="K65" s="294"/>
      <c r="L65" s="98" t="s">
        <v>773</v>
      </c>
      <c r="M65" s="97"/>
      <c r="N65" s="97"/>
      <c r="O65" s="97" t="s">
        <v>197</v>
      </c>
      <c r="P65" s="97" t="s">
        <v>198</v>
      </c>
      <c r="Q65" s="97">
        <v>90</v>
      </c>
      <c r="R65" s="97" t="s">
        <v>204</v>
      </c>
      <c r="S65" s="97"/>
      <c r="T65" s="97" t="s">
        <v>199</v>
      </c>
      <c r="U65" s="97" t="s">
        <v>198</v>
      </c>
      <c r="V65" s="142"/>
      <c r="W65" s="199"/>
    </row>
    <row r="66" spans="1:24" ht="13" thickBot="1">
      <c r="A66" s="96"/>
      <c r="B66" s="89"/>
      <c r="C66" s="94"/>
      <c r="D66" s="93"/>
      <c r="E66" s="93"/>
      <c r="F66" s="93"/>
      <c r="G66" s="93"/>
      <c r="H66" s="93"/>
      <c r="I66" s="93"/>
      <c r="J66" s="93"/>
      <c r="K66" s="93">
        <v>0</v>
      </c>
      <c r="L66" s="80" t="s">
        <v>774</v>
      </c>
      <c r="M66" s="91"/>
      <c r="N66" s="91"/>
      <c r="O66" s="91" t="s">
        <v>197</v>
      </c>
      <c r="P66" s="91" t="s">
        <v>198</v>
      </c>
      <c r="Q66" s="91"/>
      <c r="R66" s="91" t="s">
        <v>204</v>
      </c>
      <c r="S66" s="91"/>
      <c r="T66" s="91" t="s">
        <v>199</v>
      </c>
      <c r="U66" s="91" t="s">
        <v>198</v>
      </c>
      <c r="V66" s="132" t="str">
        <f>IF(Sequencing!D11="Yes","1b0","1b1")</f>
        <v>1b0</v>
      </c>
      <c r="W66" s="132" t="s">
        <v>157</v>
      </c>
    </row>
    <row r="67" spans="1:24" ht="68.25" customHeight="1" thickBot="1">
      <c r="A67" s="96"/>
      <c r="B67" s="89"/>
      <c r="C67" s="94"/>
      <c r="D67" s="93"/>
      <c r="E67" s="93"/>
      <c r="F67" s="93"/>
      <c r="G67" s="93"/>
      <c r="H67" s="93"/>
      <c r="I67" s="93"/>
      <c r="J67" s="93">
        <v>0</v>
      </c>
      <c r="K67" s="93"/>
      <c r="L67" s="92" t="s">
        <v>775</v>
      </c>
      <c r="M67" s="91"/>
      <c r="N67" s="91"/>
      <c r="O67" s="91" t="s">
        <v>197</v>
      </c>
      <c r="P67" s="91" t="s">
        <v>198</v>
      </c>
      <c r="Q67" s="91"/>
      <c r="R67" s="91" t="s">
        <v>204</v>
      </c>
      <c r="S67" s="91"/>
      <c r="T67" s="91" t="s">
        <v>199</v>
      </c>
      <c r="U67" s="91" t="s">
        <v>198</v>
      </c>
      <c r="V67" s="132" t="s">
        <v>157</v>
      </c>
      <c r="W67" s="132" t="s">
        <v>157</v>
      </c>
      <c r="X67" s="136"/>
    </row>
    <row r="68" spans="1:24" ht="68.25" customHeight="1" thickBot="1">
      <c r="A68" s="96"/>
      <c r="B68" s="89"/>
      <c r="C68" s="94"/>
      <c r="D68" s="93"/>
      <c r="E68" s="93"/>
      <c r="F68" s="93"/>
      <c r="G68" s="93"/>
      <c r="H68" s="93">
        <v>1</v>
      </c>
      <c r="I68" s="93">
        <v>0</v>
      </c>
      <c r="J68" s="93"/>
      <c r="K68" s="93"/>
      <c r="L68" s="92" t="s">
        <v>776</v>
      </c>
      <c r="M68" s="91"/>
      <c r="N68" s="91"/>
      <c r="O68" s="91" t="s">
        <v>197</v>
      </c>
      <c r="P68" s="91" t="s">
        <v>198</v>
      </c>
      <c r="Q68" s="91"/>
      <c r="R68" s="91" t="s">
        <v>204</v>
      </c>
      <c r="S68" s="91"/>
      <c r="T68" s="91" t="s">
        <v>199</v>
      </c>
      <c r="U68" s="91" t="s">
        <v>198</v>
      </c>
      <c r="V68" s="132" t="s">
        <v>160</v>
      </c>
      <c r="W68" s="132" t="s">
        <v>160</v>
      </c>
    </row>
    <row r="69" spans="1:24" ht="68.25" customHeight="1" thickBot="1">
      <c r="A69" s="96"/>
      <c r="B69" s="89"/>
      <c r="C69" s="94"/>
      <c r="D69" s="93"/>
      <c r="E69" s="93"/>
      <c r="F69" s="93">
        <v>1</v>
      </c>
      <c r="G69" s="93">
        <v>0</v>
      </c>
      <c r="H69" s="93"/>
      <c r="I69" s="93"/>
      <c r="J69" s="93"/>
      <c r="K69" s="93"/>
      <c r="L69" s="92" t="s">
        <v>777</v>
      </c>
      <c r="M69" s="91"/>
      <c r="N69" s="91"/>
      <c r="O69" s="91" t="s">
        <v>197</v>
      </c>
      <c r="P69" s="91" t="s">
        <v>198</v>
      </c>
      <c r="Q69" s="91"/>
      <c r="R69" s="91" t="s">
        <v>204</v>
      </c>
      <c r="S69" s="91"/>
      <c r="T69" s="91" t="s">
        <v>199</v>
      </c>
      <c r="U69" s="91" t="s">
        <v>198</v>
      </c>
      <c r="V69" s="132" t="str">
        <f>IF(Sequencing!G11="No","2b00","2b11")</f>
        <v>2b00</v>
      </c>
      <c r="W69" s="132" t="s">
        <v>156</v>
      </c>
      <c r="X69" s="136"/>
    </row>
    <row r="70" spans="1:24" ht="12" customHeight="1" thickBot="1">
      <c r="A70" s="96"/>
      <c r="B70" s="95"/>
      <c r="C70" s="94"/>
      <c r="D70" s="93">
        <v>1</v>
      </c>
      <c r="E70" s="93">
        <v>0</v>
      </c>
      <c r="F70" s="93"/>
      <c r="G70" s="93"/>
      <c r="H70" s="93"/>
      <c r="I70" s="93"/>
      <c r="J70" s="93"/>
      <c r="K70" s="93"/>
      <c r="L70" s="92" t="s">
        <v>1395</v>
      </c>
      <c r="M70" s="79"/>
      <c r="N70" s="79"/>
      <c r="O70" s="79" t="s">
        <v>206</v>
      </c>
      <c r="P70" s="91" t="s">
        <v>204</v>
      </c>
      <c r="Q70" s="91"/>
      <c r="R70" s="91" t="s">
        <v>204</v>
      </c>
      <c r="S70" s="91"/>
      <c r="T70" s="91" t="s">
        <v>199</v>
      </c>
      <c r="U70" s="91" t="s">
        <v>198</v>
      </c>
      <c r="V70" s="132" t="s">
        <v>156</v>
      </c>
      <c r="W70" s="132" t="s">
        <v>156</v>
      </c>
    </row>
    <row r="71" spans="1:24" ht="13.5" customHeight="1" thickBot="1">
      <c r="A71" s="101" t="s">
        <v>194</v>
      </c>
      <c r="B71" s="100" t="s">
        <v>251</v>
      </c>
      <c r="C71" s="99" t="s">
        <v>252</v>
      </c>
      <c r="D71" s="294"/>
      <c r="E71" s="294"/>
      <c r="F71" s="294"/>
      <c r="G71" s="294"/>
      <c r="H71" s="294"/>
      <c r="I71" s="294"/>
      <c r="J71" s="294"/>
      <c r="K71" s="294"/>
      <c r="L71" s="98" t="s">
        <v>778</v>
      </c>
      <c r="M71" s="97"/>
      <c r="N71" s="97"/>
      <c r="O71" s="97" t="s">
        <v>197</v>
      </c>
      <c r="P71" s="97" t="s">
        <v>198</v>
      </c>
      <c r="Q71" s="97">
        <v>91</v>
      </c>
      <c r="R71" s="97" t="s">
        <v>204</v>
      </c>
      <c r="S71" s="97"/>
      <c r="T71" s="97" t="s">
        <v>199</v>
      </c>
      <c r="U71" s="97" t="s">
        <v>198</v>
      </c>
      <c r="V71" s="142"/>
      <c r="W71" s="199"/>
    </row>
    <row r="72" spans="1:24" ht="34.5" customHeight="1" thickBot="1">
      <c r="A72" s="96"/>
      <c r="B72" s="89"/>
      <c r="C72" s="94"/>
      <c r="D72" s="93"/>
      <c r="E72" s="93"/>
      <c r="F72" s="93"/>
      <c r="G72" s="93"/>
      <c r="H72" s="93"/>
      <c r="I72" s="93"/>
      <c r="J72" s="93"/>
      <c r="K72" s="93">
        <v>0</v>
      </c>
      <c r="L72" s="80" t="s">
        <v>779</v>
      </c>
      <c r="M72" s="91"/>
      <c r="N72" s="91"/>
      <c r="O72" s="91" t="s">
        <v>197</v>
      </c>
      <c r="P72" s="91" t="s">
        <v>198</v>
      </c>
      <c r="Q72" s="91"/>
      <c r="R72" s="91" t="s">
        <v>204</v>
      </c>
      <c r="S72" s="91"/>
      <c r="T72" s="91" t="s">
        <v>199</v>
      </c>
      <c r="U72" s="91" t="s">
        <v>198</v>
      </c>
      <c r="V72" s="132" t="str">
        <f>IF(Sequencing!D12="Yes","1b0","1b1")</f>
        <v>1b1</v>
      </c>
      <c r="W72" s="132" t="s">
        <v>157</v>
      </c>
    </row>
    <row r="73" spans="1:24" ht="13.5" customHeight="1" thickBot="1">
      <c r="A73" s="96"/>
      <c r="B73" s="89"/>
      <c r="C73" s="94"/>
      <c r="D73" s="93"/>
      <c r="E73" s="93"/>
      <c r="F73" s="93"/>
      <c r="G73" s="93"/>
      <c r="H73" s="93"/>
      <c r="I73" s="93"/>
      <c r="J73" s="93">
        <v>0</v>
      </c>
      <c r="K73" s="93"/>
      <c r="L73" s="85" t="s">
        <v>781</v>
      </c>
      <c r="M73" s="91"/>
      <c r="N73" s="91"/>
      <c r="O73" s="91" t="s">
        <v>206</v>
      </c>
      <c r="P73" s="91" t="s">
        <v>198</v>
      </c>
      <c r="Q73" s="91"/>
      <c r="R73" s="91" t="s">
        <v>204</v>
      </c>
      <c r="S73" s="91"/>
      <c r="T73" s="91" t="s">
        <v>199</v>
      </c>
      <c r="U73" s="91" t="s">
        <v>198</v>
      </c>
      <c r="V73" s="132" t="s">
        <v>157</v>
      </c>
      <c r="W73" s="132" t="s">
        <v>157</v>
      </c>
    </row>
    <row r="74" spans="1:24" ht="68.25" customHeight="1" thickBot="1">
      <c r="A74" s="96"/>
      <c r="B74" s="89"/>
      <c r="C74" s="94"/>
      <c r="D74" s="93"/>
      <c r="E74" s="93"/>
      <c r="F74" s="93"/>
      <c r="G74" s="93"/>
      <c r="H74" s="93">
        <v>1</v>
      </c>
      <c r="I74" s="93">
        <v>0</v>
      </c>
      <c r="J74" s="93"/>
      <c r="K74" s="93"/>
      <c r="L74" s="92" t="s">
        <v>1401</v>
      </c>
      <c r="M74" s="91"/>
      <c r="N74" s="91"/>
      <c r="O74" s="91" t="s">
        <v>197</v>
      </c>
      <c r="P74" s="91" t="s">
        <v>198</v>
      </c>
      <c r="Q74" s="91"/>
      <c r="R74" s="91" t="s">
        <v>204</v>
      </c>
      <c r="S74" s="91"/>
      <c r="T74" s="91" t="s">
        <v>199</v>
      </c>
      <c r="U74" s="91" t="s">
        <v>198</v>
      </c>
      <c r="V74" s="132" t="s">
        <v>160</v>
      </c>
      <c r="W74" s="132" t="s">
        <v>160</v>
      </c>
    </row>
    <row r="75" spans="1:24" ht="57" customHeight="1" thickBot="1">
      <c r="A75" s="96"/>
      <c r="B75" s="89"/>
      <c r="C75" s="94"/>
      <c r="D75" s="93"/>
      <c r="E75" s="93"/>
      <c r="F75" s="93">
        <v>1</v>
      </c>
      <c r="G75" s="93">
        <v>0</v>
      </c>
      <c r="H75" s="93"/>
      <c r="I75" s="93"/>
      <c r="J75" s="93"/>
      <c r="K75" s="93"/>
      <c r="L75" s="80" t="s">
        <v>780</v>
      </c>
      <c r="M75" s="91"/>
      <c r="N75" s="91"/>
      <c r="O75" s="91" t="s">
        <v>197</v>
      </c>
      <c r="P75" s="91" t="s">
        <v>198</v>
      </c>
      <c r="Q75" s="91"/>
      <c r="R75" s="91" t="s">
        <v>204</v>
      </c>
      <c r="S75" s="91"/>
      <c r="T75" s="91" t="s">
        <v>199</v>
      </c>
      <c r="U75" s="91" t="s">
        <v>198</v>
      </c>
      <c r="V75" s="132" t="str">
        <f>IF(Sequencing!G12="No","2b00","2b11")</f>
        <v>2b00</v>
      </c>
      <c r="W75" s="132" t="s">
        <v>156</v>
      </c>
    </row>
    <row r="76" spans="1:24" ht="12" customHeight="1" thickBot="1">
      <c r="A76" s="96"/>
      <c r="B76" s="95"/>
      <c r="C76" s="94"/>
      <c r="D76" s="93">
        <v>1</v>
      </c>
      <c r="E76" s="93">
        <v>0</v>
      </c>
      <c r="F76" s="93"/>
      <c r="G76" s="93"/>
      <c r="H76" s="93"/>
      <c r="I76" s="93"/>
      <c r="J76" s="93"/>
      <c r="K76" s="93"/>
      <c r="L76" s="92" t="s">
        <v>1396</v>
      </c>
      <c r="M76" s="79"/>
      <c r="N76" s="79"/>
      <c r="O76" s="79" t="s">
        <v>206</v>
      </c>
      <c r="P76" s="91" t="s">
        <v>204</v>
      </c>
      <c r="Q76" s="91"/>
      <c r="R76" s="91" t="s">
        <v>204</v>
      </c>
      <c r="S76" s="91"/>
      <c r="T76" s="91" t="s">
        <v>199</v>
      </c>
      <c r="U76" s="91" t="s">
        <v>198</v>
      </c>
      <c r="V76" s="132" t="s">
        <v>156</v>
      </c>
      <c r="W76" s="132" t="s">
        <v>156</v>
      </c>
    </row>
    <row r="77" spans="1:24" ht="13.5" customHeight="1" thickBot="1">
      <c r="A77" s="81" t="s">
        <v>194</v>
      </c>
      <c r="B77" s="100" t="s">
        <v>253</v>
      </c>
      <c r="C77" s="99" t="s">
        <v>254</v>
      </c>
      <c r="D77" s="294"/>
      <c r="E77" s="294"/>
      <c r="F77" s="294"/>
      <c r="G77" s="294"/>
      <c r="H77" s="294"/>
      <c r="I77" s="294"/>
      <c r="J77" s="294"/>
      <c r="K77" s="294"/>
      <c r="L77" s="98" t="s">
        <v>782</v>
      </c>
      <c r="M77" s="97"/>
      <c r="N77" s="97"/>
      <c r="O77" s="97" t="s">
        <v>197</v>
      </c>
      <c r="P77" s="97" t="s">
        <v>198</v>
      </c>
      <c r="Q77" s="97">
        <v>92</v>
      </c>
      <c r="R77" s="97" t="s">
        <v>204</v>
      </c>
      <c r="S77" s="97"/>
      <c r="T77" s="97" t="s">
        <v>199</v>
      </c>
      <c r="U77" s="97" t="s">
        <v>198</v>
      </c>
      <c r="V77" s="142"/>
      <c r="W77" s="199"/>
    </row>
    <row r="78" spans="1:24" ht="57" customHeight="1" thickBot="1">
      <c r="A78" s="96"/>
      <c r="B78" s="89"/>
      <c r="C78" s="94"/>
      <c r="D78" s="93"/>
      <c r="E78" s="93"/>
      <c r="F78" s="93"/>
      <c r="G78" s="93"/>
      <c r="H78" s="93"/>
      <c r="I78" s="93"/>
      <c r="J78" s="93">
        <v>1</v>
      </c>
      <c r="K78" s="93">
        <v>0</v>
      </c>
      <c r="L78" s="92" t="s">
        <v>783</v>
      </c>
      <c r="M78" s="91"/>
      <c r="N78" s="91"/>
      <c r="O78" s="91" t="s">
        <v>197</v>
      </c>
      <c r="P78" s="91" t="s">
        <v>198</v>
      </c>
      <c r="Q78" s="91"/>
      <c r="R78" s="91" t="s">
        <v>204</v>
      </c>
      <c r="S78" s="91"/>
      <c r="T78" s="91" t="s">
        <v>199</v>
      </c>
      <c r="U78" s="91" t="s">
        <v>198</v>
      </c>
      <c r="V78" s="132" t="str">
        <f>INDEX('Additional Details'!$O$12:$O$15,MATCH('Additional Details'!C12,'Additional Details'!$N$12:$N$15,0))</f>
        <v>2b00</v>
      </c>
      <c r="W78" s="132" t="s">
        <v>156</v>
      </c>
    </row>
    <row r="79" spans="1:24" ht="57" customHeight="1" thickBot="1">
      <c r="A79" s="96"/>
      <c r="B79" s="89"/>
      <c r="C79" s="94"/>
      <c r="D79" s="93"/>
      <c r="E79" s="93"/>
      <c r="F79" s="93"/>
      <c r="G79" s="93"/>
      <c r="H79" s="93">
        <v>1</v>
      </c>
      <c r="I79" s="93">
        <v>0</v>
      </c>
      <c r="J79" s="93"/>
      <c r="K79" s="93"/>
      <c r="L79" s="92" t="s">
        <v>784</v>
      </c>
      <c r="M79" s="91"/>
      <c r="N79" s="91"/>
      <c r="O79" s="91" t="s">
        <v>197</v>
      </c>
      <c r="P79" s="91" t="s">
        <v>198</v>
      </c>
      <c r="Q79" s="91"/>
      <c r="R79" s="91" t="s">
        <v>204</v>
      </c>
      <c r="S79" s="91"/>
      <c r="T79" s="91" t="s">
        <v>199</v>
      </c>
      <c r="U79" s="91" t="s">
        <v>198</v>
      </c>
      <c r="V79" s="132" t="str">
        <f>INDEX('Additional Details'!$O$12:$O$15,MATCH('Additional Details'!C13,'Additional Details'!$N$12:$N$15,0))</f>
        <v>2b00</v>
      </c>
      <c r="W79" s="132" t="s">
        <v>156</v>
      </c>
    </row>
    <row r="80" spans="1:24" ht="57" customHeight="1" thickBot="1">
      <c r="A80" s="96"/>
      <c r="B80" s="89"/>
      <c r="C80" s="94"/>
      <c r="D80" s="93"/>
      <c r="E80" s="93"/>
      <c r="F80" s="93">
        <v>1</v>
      </c>
      <c r="G80" s="93">
        <v>0</v>
      </c>
      <c r="H80" s="93"/>
      <c r="I80" s="93"/>
      <c r="J80" s="93"/>
      <c r="K80" s="93"/>
      <c r="L80" s="92" t="s">
        <v>785</v>
      </c>
      <c r="M80" s="91"/>
      <c r="N80" s="91"/>
      <c r="O80" s="91" t="s">
        <v>197</v>
      </c>
      <c r="P80" s="91" t="s">
        <v>198</v>
      </c>
      <c r="Q80" s="91"/>
      <c r="R80" s="91" t="s">
        <v>204</v>
      </c>
      <c r="S80" s="91"/>
      <c r="T80" s="91" t="s">
        <v>199</v>
      </c>
      <c r="U80" s="91" t="s">
        <v>198</v>
      </c>
      <c r="V80" s="132" t="str">
        <f>INDEX('Additional Details'!$O$12:$O$15,MATCH('Additional Details'!C14,'Additional Details'!$N$12:$N$15,0))</f>
        <v>2b00</v>
      </c>
      <c r="W80" s="132" t="s">
        <v>156</v>
      </c>
    </row>
    <row r="81" spans="1:23" ht="57" customHeight="1" thickBot="1">
      <c r="A81" s="96"/>
      <c r="B81" s="89"/>
      <c r="C81" s="94"/>
      <c r="D81" s="93">
        <v>1</v>
      </c>
      <c r="E81" s="93">
        <v>0</v>
      </c>
      <c r="F81" s="93"/>
      <c r="G81" s="93"/>
      <c r="H81" s="93"/>
      <c r="I81" s="93"/>
      <c r="J81" s="93"/>
      <c r="K81" s="93"/>
      <c r="L81" s="92" t="s">
        <v>786</v>
      </c>
      <c r="M81" s="91"/>
      <c r="N81" s="91"/>
      <c r="O81" s="91" t="s">
        <v>197</v>
      </c>
      <c r="P81" s="91" t="s">
        <v>198</v>
      </c>
      <c r="Q81" s="91"/>
      <c r="R81" s="91" t="s">
        <v>204</v>
      </c>
      <c r="S81" s="91"/>
      <c r="T81" s="91" t="s">
        <v>199</v>
      </c>
      <c r="U81" s="91" t="s">
        <v>198</v>
      </c>
      <c r="V81" s="132" t="str">
        <f>INDEX('Additional Details'!$O$12:$O$15,MATCH('Additional Details'!C15,'Additional Details'!$N$12:$N$15,0))</f>
        <v>2b00</v>
      </c>
      <c r="W81" s="132" t="s">
        <v>156</v>
      </c>
    </row>
    <row r="82" spans="1:23" ht="13.5" customHeight="1" thickBot="1">
      <c r="A82" s="81" t="s">
        <v>194</v>
      </c>
      <c r="B82" s="100" t="s">
        <v>259</v>
      </c>
      <c r="C82" s="99" t="s">
        <v>260</v>
      </c>
      <c r="D82" s="294"/>
      <c r="E82" s="294"/>
      <c r="F82" s="294"/>
      <c r="G82" s="294"/>
      <c r="H82" s="294"/>
      <c r="I82" s="294"/>
      <c r="J82" s="294"/>
      <c r="K82" s="294"/>
      <c r="L82" s="98" t="s">
        <v>787</v>
      </c>
      <c r="M82" s="97"/>
      <c r="N82" s="97"/>
      <c r="O82" s="97" t="s">
        <v>197</v>
      </c>
      <c r="P82" s="97" t="s">
        <v>198</v>
      </c>
      <c r="Q82" s="97">
        <v>93</v>
      </c>
      <c r="R82" s="97" t="s">
        <v>204</v>
      </c>
      <c r="S82" s="97"/>
      <c r="T82" s="97" t="s">
        <v>199</v>
      </c>
      <c r="U82" s="97" t="s">
        <v>198</v>
      </c>
      <c r="V82" s="142"/>
      <c r="W82" s="199"/>
    </row>
    <row r="83" spans="1:23" ht="57" customHeight="1" thickBot="1">
      <c r="A83" s="78"/>
      <c r="B83" s="89"/>
      <c r="C83" s="94"/>
      <c r="D83" s="93"/>
      <c r="E83" s="93"/>
      <c r="F83" s="93"/>
      <c r="G83" s="93"/>
      <c r="H83" s="93"/>
      <c r="I83" s="93"/>
      <c r="J83" s="93">
        <v>1</v>
      </c>
      <c r="K83" s="93">
        <v>0</v>
      </c>
      <c r="L83" s="92" t="s">
        <v>791</v>
      </c>
      <c r="M83" s="91"/>
      <c r="N83" s="91"/>
      <c r="O83" s="91" t="s">
        <v>197</v>
      </c>
      <c r="P83" s="91" t="s">
        <v>198</v>
      </c>
      <c r="Q83" s="91"/>
      <c r="R83" s="91" t="s">
        <v>204</v>
      </c>
      <c r="S83" s="91"/>
      <c r="T83" s="91" t="s">
        <v>199</v>
      </c>
      <c r="U83" s="91" t="s">
        <v>198</v>
      </c>
      <c r="V83" s="132" t="str">
        <f>INDEX('Additional Details'!$O$12:$O$15,MATCH('Additional Details'!C16,'Additional Details'!$N$12:$N$15,0))</f>
        <v>2b00</v>
      </c>
      <c r="W83" s="132" t="s">
        <v>156</v>
      </c>
    </row>
    <row r="84" spans="1:23" ht="57" customHeight="1" thickBot="1">
      <c r="A84" s="78"/>
      <c r="B84" s="89"/>
      <c r="C84" s="94"/>
      <c r="D84" s="93"/>
      <c r="E84" s="93"/>
      <c r="F84" s="93"/>
      <c r="G84" s="93"/>
      <c r="H84" s="93">
        <v>1</v>
      </c>
      <c r="I84" s="93">
        <v>0</v>
      </c>
      <c r="J84" s="93"/>
      <c r="K84" s="93"/>
      <c r="L84" s="92" t="s">
        <v>790</v>
      </c>
      <c r="M84" s="91"/>
      <c r="N84" s="91"/>
      <c r="O84" s="91" t="s">
        <v>197</v>
      </c>
      <c r="P84" s="91" t="s">
        <v>198</v>
      </c>
      <c r="Q84" s="91"/>
      <c r="R84" s="91" t="s">
        <v>204</v>
      </c>
      <c r="S84" s="91"/>
      <c r="T84" s="91" t="s">
        <v>199</v>
      </c>
      <c r="U84" s="91" t="s">
        <v>198</v>
      </c>
      <c r="V84" s="132" t="str">
        <f>INDEX('Additional Details'!$O$12:$O$15,MATCH('Additional Details'!C17,'Additional Details'!$N$12:$N$15,0))</f>
        <v>2b00</v>
      </c>
      <c r="W84" s="132" t="s">
        <v>156</v>
      </c>
    </row>
    <row r="85" spans="1:23" ht="57" customHeight="1" thickBot="1">
      <c r="A85" s="78"/>
      <c r="B85" s="89"/>
      <c r="C85" s="94"/>
      <c r="D85" s="93"/>
      <c r="E85" s="93"/>
      <c r="F85" s="93">
        <v>1</v>
      </c>
      <c r="G85" s="93">
        <v>0</v>
      </c>
      <c r="H85" s="93"/>
      <c r="I85" s="93"/>
      <c r="J85" s="93"/>
      <c r="K85" s="93"/>
      <c r="L85" s="92" t="s">
        <v>789</v>
      </c>
      <c r="M85" s="91"/>
      <c r="N85" s="91"/>
      <c r="O85" s="91" t="s">
        <v>197</v>
      </c>
      <c r="P85" s="91" t="s">
        <v>198</v>
      </c>
      <c r="Q85" s="91"/>
      <c r="R85" s="91" t="s">
        <v>204</v>
      </c>
      <c r="S85" s="91"/>
      <c r="T85" s="91" t="s">
        <v>199</v>
      </c>
      <c r="U85" s="91" t="s">
        <v>198</v>
      </c>
      <c r="V85" s="132" t="str">
        <f>INDEX('Additional Details'!$O$12:$O$15,MATCH('Additional Details'!C21,'Additional Details'!$N$12:$N$15,0))</f>
        <v>2b00</v>
      </c>
      <c r="W85" s="132" t="s">
        <v>156</v>
      </c>
    </row>
    <row r="86" spans="1:23" ht="57" customHeight="1" thickBot="1">
      <c r="A86" s="78"/>
      <c r="B86" s="89"/>
      <c r="C86" s="94"/>
      <c r="D86" s="93">
        <v>1</v>
      </c>
      <c r="E86" s="93">
        <v>0</v>
      </c>
      <c r="F86" s="93"/>
      <c r="G86" s="93"/>
      <c r="H86" s="93"/>
      <c r="I86" s="93"/>
      <c r="J86" s="93"/>
      <c r="K86" s="93"/>
      <c r="L86" s="92" t="s">
        <v>788</v>
      </c>
      <c r="M86" s="91"/>
      <c r="N86" s="91"/>
      <c r="O86" s="91" t="s">
        <v>197</v>
      </c>
      <c r="P86" s="91" t="s">
        <v>198</v>
      </c>
      <c r="Q86" s="91"/>
      <c r="R86" s="91" t="s">
        <v>204</v>
      </c>
      <c r="S86" s="91"/>
      <c r="T86" s="91" t="s">
        <v>199</v>
      </c>
      <c r="U86" s="91" t="s">
        <v>198</v>
      </c>
      <c r="V86" s="132" t="str">
        <f>INDEX('Additional Details'!$O$12:$O$15,MATCH('Additional Details'!C19,'Additional Details'!$N$12:$N$15,0))</f>
        <v>2b00</v>
      </c>
      <c r="W86" s="132" t="s">
        <v>156</v>
      </c>
    </row>
    <row r="87" spans="1:23" ht="13.5" customHeight="1" thickBot="1">
      <c r="A87" s="81" t="s">
        <v>194</v>
      </c>
      <c r="B87" s="100" t="s">
        <v>263</v>
      </c>
      <c r="C87" s="99" t="s">
        <v>264</v>
      </c>
      <c r="D87" s="294"/>
      <c r="E87" s="294"/>
      <c r="F87" s="294"/>
      <c r="G87" s="294"/>
      <c r="H87" s="294"/>
      <c r="I87" s="294"/>
      <c r="J87" s="294"/>
      <c r="K87" s="294"/>
      <c r="L87" s="98" t="s">
        <v>792</v>
      </c>
      <c r="M87" s="97"/>
      <c r="N87" s="97"/>
      <c r="O87" s="97" t="s">
        <v>197</v>
      </c>
      <c r="P87" s="97" t="s">
        <v>198</v>
      </c>
      <c r="Q87" s="97">
        <v>94</v>
      </c>
      <c r="R87" s="97" t="s">
        <v>204</v>
      </c>
      <c r="S87" s="97"/>
      <c r="T87" s="97" t="s">
        <v>199</v>
      </c>
      <c r="U87" s="97" t="s">
        <v>198</v>
      </c>
      <c r="V87" s="142"/>
      <c r="W87" s="199"/>
    </row>
    <row r="88" spans="1:23" ht="57" customHeight="1" thickBot="1">
      <c r="A88" s="78"/>
      <c r="B88" s="89"/>
      <c r="C88" s="94"/>
      <c r="D88" s="93"/>
      <c r="E88" s="93"/>
      <c r="F88" s="93"/>
      <c r="G88" s="93"/>
      <c r="H88" s="93"/>
      <c r="I88" s="93"/>
      <c r="J88" s="93">
        <v>1</v>
      </c>
      <c r="K88" s="93">
        <v>0</v>
      </c>
      <c r="L88" s="92" t="s">
        <v>793</v>
      </c>
      <c r="M88" s="91"/>
      <c r="N88" s="91"/>
      <c r="O88" s="91" t="s">
        <v>197</v>
      </c>
      <c r="P88" s="91" t="s">
        <v>198</v>
      </c>
      <c r="Q88" s="91"/>
      <c r="R88" s="91" t="s">
        <v>204</v>
      </c>
      <c r="S88" s="91"/>
      <c r="T88" s="91" t="s">
        <v>199</v>
      </c>
      <c r="U88" s="91" t="s">
        <v>198</v>
      </c>
      <c r="V88" s="132" t="str">
        <f>INDEX('Additional Details'!$O$12:$O$15,MATCH('Additional Details'!C20,'Additional Details'!$N$12:$N$15,0))</f>
        <v>2b00</v>
      </c>
      <c r="W88" s="132" t="s">
        <v>156</v>
      </c>
    </row>
    <row r="89" spans="1:23" ht="57" customHeight="1" thickBot="1">
      <c r="A89" s="78"/>
      <c r="B89" s="89"/>
      <c r="C89" s="94"/>
      <c r="D89" s="93"/>
      <c r="E89" s="93"/>
      <c r="F89" s="93"/>
      <c r="G89" s="93"/>
      <c r="H89" s="93">
        <v>1</v>
      </c>
      <c r="I89" s="93">
        <v>0</v>
      </c>
      <c r="J89" s="93"/>
      <c r="K89" s="93"/>
      <c r="L89" s="92" t="s">
        <v>794</v>
      </c>
      <c r="M89" s="91"/>
      <c r="N89" s="91"/>
      <c r="O89" s="91" t="s">
        <v>197</v>
      </c>
      <c r="P89" s="91" t="s">
        <v>198</v>
      </c>
      <c r="Q89" s="91"/>
      <c r="R89" s="91" t="s">
        <v>204</v>
      </c>
      <c r="S89" s="91"/>
      <c r="T89" s="91" t="s">
        <v>199</v>
      </c>
      <c r="U89" s="91" t="s">
        <v>198</v>
      </c>
      <c r="V89" s="132" t="str">
        <f>INDEX('Additional Details'!$O$12:$O$15,MATCH('Additional Details'!C22,'Additional Details'!$N$12:$N$15,0))</f>
        <v>2b00</v>
      </c>
      <c r="W89" s="132" t="s">
        <v>156</v>
      </c>
    </row>
    <row r="90" spans="1:23" ht="56.25" customHeight="1">
      <c r="A90" s="77"/>
      <c r="B90" s="89"/>
      <c r="C90" s="94"/>
      <c r="D90" s="93"/>
      <c r="E90" s="93"/>
      <c r="F90" s="93">
        <v>1</v>
      </c>
      <c r="G90" s="93">
        <v>0</v>
      </c>
      <c r="H90" s="93"/>
      <c r="I90" s="93"/>
      <c r="J90" s="93"/>
      <c r="K90" s="93"/>
      <c r="L90" s="92" t="s">
        <v>795</v>
      </c>
      <c r="M90" s="91"/>
      <c r="N90" s="91"/>
      <c r="O90" s="91" t="s">
        <v>197</v>
      </c>
      <c r="P90" s="91" t="s">
        <v>198</v>
      </c>
      <c r="Q90" s="91"/>
      <c r="R90" s="91" t="s">
        <v>204</v>
      </c>
      <c r="S90" s="91"/>
      <c r="T90" s="91" t="s">
        <v>199</v>
      </c>
      <c r="U90" s="91" t="s">
        <v>198</v>
      </c>
      <c r="V90" s="132" t="str">
        <f>IF(Overview!C35="Yes",'register map'!V89,INDEX('Additional Details'!$O$12:$O$15,MATCH('Additional Details'!C23,'Additional Details'!$N$12:$N$15,0)))</f>
        <v>2b00</v>
      </c>
      <c r="W90" s="132" t="s">
        <v>156</v>
      </c>
    </row>
    <row r="91" spans="1:23" ht="13.5" customHeight="1" thickBot="1">
      <c r="A91" s="86"/>
      <c r="B91" s="95"/>
      <c r="C91" s="94"/>
      <c r="D91" s="93">
        <v>1</v>
      </c>
      <c r="E91" s="93">
        <v>0</v>
      </c>
      <c r="F91" s="93"/>
      <c r="G91" s="93"/>
      <c r="H91" s="93"/>
      <c r="I91" s="93"/>
      <c r="J91" s="93"/>
      <c r="K91" s="93"/>
      <c r="L91" s="85" t="s">
        <v>796</v>
      </c>
      <c r="M91" s="91"/>
      <c r="N91" s="91"/>
      <c r="O91" s="91" t="s">
        <v>206</v>
      </c>
      <c r="P91" s="91" t="s">
        <v>198</v>
      </c>
      <c r="Q91" s="91"/>
      <c r="R91" s="91" t="s">
        <v>204</v>
      </c>
      <c r="S91" s="91"/>
      <c r="T91" s="91" t="s">
        <v>199</v>
      </c>
      <c r="U91" s="91" t="s">
        <v>198</v>
      </c>
      <c r="V91" s="132" t="s">
        <v>156</v>
      </c>
      <c r="W91" s="132" t="s">
        <v>156</v>
      </c>
    </row>
    <row r="92" spans="1:23" ht="13.5" customHeight="1" thickBot="1">
      <c r="A92" s="81" t="s">
        <v>194</v>
      </c>
      <c r="B92" s="100" t="s">
        <v>265</v>
      </c>
      <c r="C92" s="99" t="s">
        <v>266</v>
      </c>
      <c r="D92" s="294"/>
      <c r="E92" s="294"/>
      <c r="F92" s="294"/>
      <c r="G92" s="294"/>
      <c r="H92" s="294"/>
      <c r="I92" s="294"/>
      <c r="J92" s="294"/>
      <c r="K92" s="294"/>
      <c r="L92" s="98" t="s">
        <v>797</v>
      </c>
      <c r="M92" s="97"/>
      <c r="N92" s="97"/>
      <c r="O92" s="97" t="s">
        <v>197</v>
      </c>
      <c r="P92" s="97" t="s">
        <v>198</v>
      </c>
      <c r="Q92" s="97">
        <v>95</v>
      </c>
      <c r="R92" s="97" t="s">
        <v>204</v>
      </c>
      <c r="S92" s="97"/>
      <c r="T92" s="97" t="s">
        <v>199</v>
      </c>
      <c r="U92" s="97" t="s">
        <v>198</v>
      </c>
      <c r="V92" s="142"/>
      <c r="W92" s="199"/>
    </row>
    <row r="93" spans="1:23" ht="113.25" customHeight="1" thickBot="1">
      <c r="A93" s="78"/>
      <c r="B93" s="89"/>
      <c r="C93" s="94"/>
      <c r="D93" s="93"/>
      <c r="E93" s="93"/>
      <c r="F93" s="93"/>
      <c r="G93" s="93"/>
      <c r="H93" s="93"/>
      <c r="I93" s="93">
        <v>2</v>
      </c>
      <c r="J93" s="93">
        <v>1</v>
      </c>
      <c r="K93" s="93">
        <v>0</v>
      </c>
      <c r="L93" s="92" t="s">
        <v>798</v>
      </c>
      <c r="M93" s="91"/>
      <c r="N93" s="91"/>
      <c r="O93" s="91" t="s">
        <v>197</v>
      </c>
      <c r="P93" s="91" t="s">
        <v>198</v>
      </c>
      <c r="Q93" s="91"/>
      <c r="R93" s="91" t="s">
        <v>204</v>
      </c>
      <c r="S93" s="91"/>
      <c r="T93" s="91" t="s">
        <v>199</v>
      </c>
      <c r="U93" s="91" t="s">
        <v>198</v>
      </c>
      <c r="V93" s="132" t="str">
        <f>INDEX(Sequencing!AR4:AR11,MATCH(Sequencing!U35,Sequencing!AQ4:AQ11,0))</f>
        <v>3b010</v>
      </c>
      <c r="W93" s="132" t="s">
        <v>158</v>
      </c>
    </row>
    <row r="94" spans="1:23" ht="12" customHeight="1" thickBot="1">
      <c r="A94" s="86"/>
      <c r="B94" s="95"/>
      <c r="C94" s="94"/>
      <c r="D94" s="93">
        <v>4</v>
      </c>
      <c r="E94" s="93">
        <v>3</v>
      </c>
      <c r="F94" s="93">
        <v>2</v>
      </c>
      <c r="G94" s="93">
        <v>1</v>
      </c>
      <c r="H94" s="93">
        <v>0</v>
      </c>
      <c r="I94" s="93"/>
      <c r="J94" s="93"/>
      <c r="K94" s="93"/>
      <c r="L94" s="85" t="s">
        <v>1397</v>
      </c>
      <c r="M94" s="79"/>
      <c r="N94" s="79"/>
      <c r="O94" s="79" t="s">
        <v>206</v>
      </c>
      <c r="P94" s="91" t="s">
        <v>204</v>
      </c>
      <c r="Q94" s="91"/>
      <c r="R94" s="91" t="s">
        <v>204</v>
      </c>
      <c r="S94" s="91"/>
      <c r="T94" s="91" t="s">
        <v>199</v>
      </c>
      <c r="U94" s="91" t="s">
        <v>198</v>
      </c>
      <c r="V94" s="132" t="s">
        <v>165</v>
      </c>
      <c r="W94" s="132" t="s">
        <v>165</v>
      </c>
    </row>
    <row r="95" spans="1:23" ht="12" customHeight="1" thickBot="1">
      <c r="A95" s="81" t="s">
        <v>194</v>
      </c>
      <c r="B95" s="100" t="s">
        <v>267</v>
      </c>
      <c r="C95" s="99" t="s">
        <v>268</v>
      </c>
      <c r="D95" s="303"/>
      <c r="E95" s="303"/>
      <c r="F95" s="303"/>
      <c r="G95" s="303"/>
      <c r="H95" s="303"/>
      <c r="I95" s="303"/>
      <c r="J95" s="303"/>
      <c r="K95" s="303"/>
      <c r="L95" s="88"/>
      <c r="M95" s="87"/>
      <c r="N95" s="87"/>
      <c r="O95" s="87" t="s">
        <v>197</v>
      </c>
      <c r="P95" s="87" t="s">
        <v>204</v>
      </c>
      <c r="Q95" s="87"/>
      <c r="R95" s="87" t="s">
        <v>204</v>
      </c>
      <c r="S95" s="87"/>
      <c r="T95" s="87" t="s">
        <v>199</v>
      </c>
      <c r="U95" s="87" t="s">
        <v>269</v>
      </c>
      <c r="V95" s="141"/>
      <c r="W95" s="198"/>
    </row>
    <row r="96" spans="1:23" ht="34.5" customHeight="1" thickBot="1">
      <c r="A96" s="96"/>
      <c r="B96" s="76"/>
      <c r="C96" s="75"/>
      <c r="D96" s="93">
        <v>7</v>
      </c>
      <c r="E96" s="93">
        <v>6</v>
      </c>
      <c r="F96" s="93">
        <v>5</v>
      </c>
      <c r="G96" s="93">
        <v>4</v>
      </c>
      <c r="H96" s="93">
        <v>3</v>
      </c>
      <c r="I96" s="93">
        <v>2</v>
      </c>
      <c r="J96" s="93">
        <v>1</v>
      </c>
      <c r="K96" s="74">
        <v>0</v>
      </c>
      <c r="L96" s="92"/>
      <c r="M96" s="79"/>
      <c r="N96" s="79"/>
      <c r="O96" s="79" t="s">
        <v>197</v>
      </c>
      <c r="P96" s="91" t="s">
        <v>204</v>
      </c>
      <c r="Q96" s="79"/>
      <c r="R96" s="79" t="s">
        <v>204</v>
      </c>
      <c r="S96" s="79"/>
      <c r="T96" s="79" t="s">
        <v>199</v>
      </c>
      <c r="U96" s="79" t="s">
        <v>269</v>
      </c>
      <c r="V96" s="132" t="s">
        <v>166</v>
      </c>
      <c r="W96" s="132" t="s">
        <v>166</v>
      </c>
    </row>
    <row r="97" spans="1:23" ht="12" customHeight="1" thickBot="1">
      <c r="A97" s="81" t="s">
        <v>194</v>
      </c>
      <c r="B97" s="100" t="s">
        <v>270</v>
      </c>
      <c r="C97" s="99" t="s">
        <v>271</v>
      </c>
      <c r="D97" s="307"/>
      <c r="E97" s="307"/>
      <c r="F97" s="307"/>
      <c r="G97" s="307"/>
      <c r="H97" s="307"/>
      <c r="I97" s="307"/>
      <c r="J97" s="307"/>
      <c r="K97" s="307"/>
      <c r="L97" s="73"/>
      <c r="M97" s="72"/>
      <c r="N97" s="72"/>
      <c r="O97" s="72" t="s">
        <v>197</v>
      </c>
      <c r="P97" s="72" t="s">
        <v>204</v>
      </c>
      <c r="Q97" s="72"/>
      <c r="R97" s="72" t="s">
        <v>204</v>
      </c>
      <c r="S97" s="72"/>
      <c r="T97" s="72" t="s">
        <v>199</v>
      </c>
      <c r="U97" s="72" t="s">
        <v>198</v>
      </c>
      <c r="V97" s="143"/>
      <c r="W97" s="200"/>
    </row>
    <row r="98" spans="1:23" ht="34.5" customHeight="1">
      <c r="A98" s="77"/>
      <c r="B98" s="89"/>
      <c r="C98" s="94"/>
      <c r="D98" s="93"/>
      <c r="E98" s="93"/>
      <c r="F98" s="93"/>
      <c r="G98" s="93"/>
      <c r="H98" s="93"/>
      <c r="I98" s="93"/>
      <c r="J98" s="93"/>
      <c r="K98" s="93">
        <v>0</v>
      </c>
      <c r="L98" s="71"/>
      <c r="M98" s="91"/>
      <c r="N98" s="91"/>
      <c r="O98" s="91" t="s">
        <v>197</v>
      </c>
      <c r="P98" s="91" t="s">
        <v>204</v>
      </c>
      <c r="Q98" s="91"/>
      <c r="R98" s="91" t="s">
        <v>204</v>
      </c>
      <c r="S98" s="91"/>
      <c r="T98" s="91" t="s">
        <v>199</v>
      </c>
      <c r="U98" s="91" t="s">
        <v>198</v>
      </c>
      <c r="V98" s="132" t="s">
        <v>157</v>
      </c>
      <c r="W98" s="132" t="s">
        <v>157</v>
      </c>
    </row>
    <row r="99" spans="1:23" ht="12" customHeight="1" thickBot="1">
      <c r="A99" s="86"/>
      <c r="B99" s="95"/>
      <c r="C99" s="94"/>
      <c r="D99" s="93">
        <v>6</v>
      </c>
      <c r="E99" s="93">
        <v>5</v>
      </c>
      <c r="F99" s="93">
        <v>4</v>
      </c>
      <c r="G99" s="93">
        <v>3</v>
      </c>
      <c r="H99" s="93">
        <v>2</v>
      </c>
      <c r="I99" s="93">
        <v>1</v>
      </c>
      <c r="J99" s="93">
        <v>0</v>
      </c>
      <c r="K99" s="93"/>
      <c r="L99" s="85"/>
      <c r="M99" s="91"/>
      <c r="N99" s="91"/>
      <c r="O99" s="91" t="s">
        <v>206</v>
      </c>
      <c r="P99" s="91" t="s">
        <v>204</v>
      </c>
      <c r="Q99" s="91"/>
      <c r="R99" s="91" t="s">
        <v>204</v>
      </c>
      <c r="S99" s="91"/>
      <c r="T99" s="91" t="s">
        <v>199</v>
      </c>
      <c r="U99" s="91" t="s">
        <v>198</v>
      </c>
      <c r="V99" s="132" t="s">
        <v>162</v>
      </c>
      <c r="W99" s="132" t="s">
        <v>162</v>
      </c>
    </row>
    <row r="100" spans="1:23" ht="13.5" customHeight="1" thickBot="1">
      <c r="A100" s="81" t="s">
        <v>194</v>
      </c>
      <c r="B100" s="100" t="s">
        <v>272</v>
      </c>
      <c r="C100" s="99" t="s">
        <v>273</v>
      </c>
      <c r="D100" s="294"/>
      <c r="E100" s="294"/>
      <c r="F100" s="294"/>
      <c r="G100" s="294"/>
      <c r="H100" s="294"/>
      <c r="I100" s="294"/>
      <c r="J100" s="294"/>
      <c r="K100" s="294"/>
      <c r="L100" s="98" t="s">
        <v>799</v>
      </c>
      <c r="M100" s="97"/>
      <c r="N100" s="97"/>
      <c r="O100" s="97" t="s">
        <v>197</v>
      </c>
      <c r="P100" s="97" t="s">
        <v>198</v>
      </c>
      <c r="Q100" s="97">
        <v>96</v>
      </c>
      <c r="R100" s="97" t="s">
        <v>204</v>
      </c>
      <c r="S100" s="97"/>
      <c r="T100" s="97" t="s">
        <v>199</v>
      </c>
      <c r="U100" s="97" t="s">
        <v>198</v>
      </c>
      <c r="V100" s="142"/>
      <c r="W100" s="199"/>
    </row>
    <row r="101" spans="1:23" ht="34.5" customHeight="1" thickBot="1">
      <c r="A101" s="96"/>
      <c r="B101" s="89"/>
      <c r="C101" s="94"/>
      <c r="D101" s="93"/>
      <c r="E101" s="93"/>
      <c r="F101" s="93"/>
      <c r="G101" s="93"/>
      <c r="H101" s="93"/>
      <c r="I101" s="93"/>
      <c r="J101" s="93"/>
      <c r="K101" s="93">
        <v>0</v>
      </c>
      <c r="L101" s="71" t="s">
        <v>801</v>
      </c>
      <c r="M101" s="91"/>
      <c r="N101" s="91"/>
      <c r="O101" s="91" t="s">
        <v>197</v>
      </c>
      <c r="P101" s="91" t="s">
        <v>198</v>
      </c>
      <c r="Q101" s="91"/>
      <c r="R101" s="91" t="s">
        <v>204</v>
      </c>
      <c r="S101" s="91"/>
      <c r="T101" s="91" t="s">
        <v>199</v>
      </c>
      <c r="U101" s="91" t="s">
        <v>198</v>
      </c>
      <c r="V101" s="132" t="str">
        <f>IF(Sequencing!G5="No","1b0","1b1")</f>
        <v>1b0</v>
      </c>
      <c r="W101" s="132" t="s">
        <v>157</v>
      </c>
    </row>
    <row r="102" spans="1:23" ht="23.25" customHeight="1" thickBot="1">
      <c r="A102" s="96"/>
      <c r="B102" s="95"/>
      <c r="C102" s="94"/>
      <c r="D102" s="93">
        <v>6</v>
      </c>
      <c r="E102" s="93">
        <v>5</v>
      </c>
      <c r="F102" s="93">
        <v>4</v>
      </c>
      <c r="G102" s="93">
        <v>3</v>
      </c>
      <c r="H102" s="93">
        <v>2</v>
      </c>
      <c r="I102" s="93">
        <v>1</v>
      </c>
      <c r="J102" s="93">
        <v>0</v>
      </c>
      <c r="K102" s="93"/>
      <c r="L102" s="71" t="s">
        <v>800</v>
      </c>
      <c r="M102" s="91"/>
      <c r="N102" s="91"/>
      <c r="O102" s="91" t="s">
        <v>197</v>
      </c>
      <c r="P102" s="91" t="s">
        <v>198</v>
      </c>
      <c r="Q102" s="91"/>
      <c r="R102" s="91" t="s">
        <v>204</v>
      </c>
      <c r="S102" s="91"/>
      <c r="T102" s="91" t="s">
        <v>199</v>
      </c>
      <c r="U102" s="91" t="s">
        <v>198</v>
      </c>
      <c r="V102" s="132" t="str">
        <f>CONCATENATE("7b",Overview!E14)</f>
        <v>7b0111000</v>
      </c>
      <c r="W102" s="132" t="s">
        <v>162</v>
      </c>
    </row>
    <row r="103" spans="1:23" ht="13.5" customHeight="1" thickBot="1">
      <c r="A103" s="81" t="s">
        <v>194</v>
      </c>
      <c r="B103" s="100" t="s">
        <v>274</v>
      </c>
      <c r="C103" s="99" t="s">
        <v>275</v>
      </c>
      <c r="D103" s="294"/>
      <c r="E103" s="294"/>
      <c r="F103" s="294"/>
      <c r="G103" s="294"/>
      <c r="H103" s="294"/>
      <c r="I103" s="294"/>
      <c r="J103" s="294"/>
      <c r="K103" s="294"/>
      <c r="L103" s="98" t="s">
        <v>802</v>
      </c>
      <c r="M103" s="97"/>
      <c r="N103" s="97"/>
      <c r="O103" s="97" t="s">
        <v>197</v>
      </c>
      <c r="P103" s="97" t="s">
        <v>198</v>
      </c>
      <c r="Q103" s="97">
        <v>97</v>
      </c>
      <c r="R103" s="97" t="s">
        <v>204</v>
      </c>
      <c r="S103" s="97"/>
      <c r="T103" s="97" t="s">
        <v>199</v>
      </c>
      <c r="U103" s="97" t="s">
        <v>198</v>
      </c>
      <c r="V103" s="142"/>
      <c r="W103" s="199"/>
    </row>
    <row r="104" spans="1:23" ht="34.5" customHeight="1" thickBot="1">
      <c r="A104" s="96"/>
      <c r="B104" s="89"/>
      <c r="C104" s="94"/>
      <c r="D104" s="93"/>
      <c r="E104" s="93"/>
      <c r="F104" s="93"/>
      <c r="G104" s="93"/>
      <c r="H104" s="93"/>
      <c r="I104" s="93"/>
      <c r="J104" s="93"/>
      <c r="K104" s="93">
        <v>0</v>
      </c>
      <c r="L104" s="71" t="s">
        <v>803</v>
      </c>
      <c r="M104" s="91"/>
      <c r="N104" s="91"/>
      <c r="O104" s="91" t="s">
        <v>197</v>
      </c>
      <c r="P104" s="91" t="s">
        <v>198</v>
      </c>
      <c r="Q104" s="91"/>
      <c r="R104" s="91" t="s">
        <v>204</v>
      </c>
      <c r="S104" s="91"/>
      <c r="T104" s="91" t="s">
        <v>199</v>
      </c>
      <c r="U104" s="91" t="s">
        <v>198</v>
      </c>
      <c r="V104" s="132" t="str">
        <f>IF(Sequencing!G6="No","1b0","1b1")</f>
        <v>1b0</v>
      </c>
      <c r="W104" s="132" t="s">
        <v>157</v>
      </c>
    </row>
    <row r="105" spans="1:23" ht="23.25" customHeight="1" thickBot="1">
      <c r="A105" s="96"/>
      <c r="B105" s="95"/>
      <c r="C105" s="94"/>
      <c r="D105" s="93">
        <v>6</v>
      </c>
      <c r="E105" s="93">
        <v>5</v>
      </c>
      <c r="F105" s="93">
        <v>4</v>
      </c>
      <c r="G105" s="93">
        <v>3</v>
      </c>
      <c r="H105" s="93">
        <v>2</v>
      </c>
      <c r="I105" s="93">
        <v>1</v>
      </c>
      <c r="J105" s="93">
        <v>0</v>
      </c>
      <c r="K105" s="93"/>
      <c r="L105" s="71" t="s">
        <v>804</v>
      </c>
      <c r="M105" s="91"/>
      <c r="N105" s="91"/>
      <c r="O105" s="91" t="s">
        <v>197</v>
      </c>
      <c r="P105" s="91" t="s">
        <v>198</v>
      </c>
      <c r="Q105" s="91"/>
      <c r="R105" s="91" t="s">
        <v>204</v>
      </c>
      <c r="S105" s="91"/>
      <c r="T105" s="91" t="s">
        <v>199</v>
      </c>
      <c r="U105" s="91" t="s">
        <v>198</v>
      </c>
      <c r="V105" s="132" t="str">
        <f>CONCATENATE("7b",Overview!E16)</f>
        <v>7b0111100</v>
      </c>
      <c r="W105" s="132" t="s">
        <v>162</v>
      </c>
    </row>
    <row r="106" spans="1:23" ht="13.5" customHeight="1" thickBot="1">
      <c r="A106" s="81" t="s">
        <v>194</v>
      </c>
      <c r="B106" s="100" t="s">
        <v>276</v>
      </c>
      <c r="C106" s="99" t="s">
        <v>277</v>
      </c>
      <c r="D106" s="294"/>
      <c r="E106" s="294"/>
      <c r="F106" s="294"/>
      <c r="G106" s="294"/>
      <c r="H106" s="294"/>
      <c r="I106" s="294"/>
      <c r="J106" s="294"/>
      <c r="K106" s="294"/>
      <c r="L106" s="98" t="s">
        <v>805</v>
      </c>
      <c r="M106" s="97"/>
      <c r="N106" s="97"/>
      <c r="O106" s="97" t="s">
        <v>197</v>
      </c>
      <c r="P106" s="97" t="s">
        <v>198</v>
      </c>
      <c r="Q106" s="97">
        <v>98</v>
      </c>
      <c r="R106" s="97" t="s">
        <v>204</v>
      </c>
      <c r="S106" s="97"/>
      <c r="T106" s="97" t="s">
        <v>199</v>
      </c>
      <c r="U106" s="97" t="s">
        <v>198</v>
      </c>
      <c r="V106" s="142"/>
      <c r="W106" s="199"/>
    </row>
    <row r="107" spans="1:23" ht="34.5" customHeight="1" thickBot="1">
      <c r="A107" s="96"/>
      <c r="B107" s="89"/>
      <c r="C107" s="94"/>
      <c r="D107" s="93"/>
      <c r="E107" s="93"/>
      <c r="F107" s="93"/>
      <c r="G107" s="93"/>
      <c r="H107" s="93"/>
      <c r="I107" s="93"/>
      <c r="J107" s="93"/>
      <c r="K107" s="93">
        <v>0</v>
      </c>
      <c r="L107" s="71" t="s">
        <v>278</v>
      </c>
      <c r="M107" s="91"/>
      <c r="N107" s="91"/>
      <c r="O107" s="91" t="s">
        <v>197</v>
      </c>
      <c r="P107" s="91" t="s">
        <v>198</v>
      </c>
      <c r="Q107" s="91"/>
      <c r="R107" s="91" t="s">
        <v>204</v>
      </c>
      <c r="S107" s="91"/>
      <c r="T107" s="91" t="s">
        <v>199</v>
      </c>
      <c r="U107" s="91" t="s">
        <v>198</v>
      </c>
      <c r="V107" s="132" t="str">
        <f>IF('Additional Details'!C49="Decay","1b1","1b0")</f>
        <v>1b0</v>
      </c>
      <c r="W107" s="132" t="s">
        <v>157</v>
      </c>
    </row>
    <row r="108" spans="1:23" ht="13.5" customHeight="1" thickBot="1">
      <c r="A108" s="96"/>
      <c r="B108" s="95"/>
      <c r="C108" s="94"/>
      <c r="D108" s="93">
        <v>6</v>
      </c>
      <c r="E108" s="93">
        <v>5</v>
      </c>
      <c r="F108" s="93">
        <v>4</v>
      </c>
      <c r="G108" s="93">
        <v>3</v>
      </c>
      <c r="H108" s="93">
        <v>2</v>
      </c>
      <c r="I108" s="93">
        <v>1</v>
      </c>
      <c r="J108" s="93">
        <v>0</v>
      </c>
      <c r="K108" s="93"/>
      <c r="L108" s="71" t="s">
        <v>277</v>
      </c>
      <c r="M108" s="91"/>
      <c r="N108" s="91"/>
      <c r="O108" s="91" t="s">
        <v>197</v>
      </c>
      <c r="P108" s="91" t="s">
        <v>198</v>
      </c>
      <c r="Q108" s="91"/>
      <c r="R108" s="91" t="s">
        <v>204</v>
      </c>
      <c r="S108" s="91"/>
      <c r="T108" s="91" t="s">
        <v>199</v>
      </c>
      <c r="U108" s="91" t="s">
        <v>198</v>
      </c>
      <c r="V108" s="132" t="str">
        <f>CONCATENATE("7b",Overview!E19)</f>
        <v>7b1010100</v>
      </c>
      <c r="W108" s="132" t="s">
        <v>162</v>
      </c>
    </row>
    <row r="109" spans="1:23" ht="13.5" customHeight="1" thickBot="1">
      <c r="A109" s="81" t="s">
        <v>194</v>
      </c>
      <c r="B109" s="100" t="s">
        <v>279</v>
      </c>
      <c r="C109" s="99" t="s">
        <v>280</v>
      </c>
      <c r="D109" s="294"/>
      <c r="E109" s="294"/>
      <c r="F109" s="294"/>
      <c r="G109" s="294"/>
      <c r="H109" s="294"/>
      <c r="I109" s="294"/>
      <c r="J109" s="294"/>
      <c r="K109" s="294"/>
      <c r="L109" s="98" t="s">
        <v>806</v>
      </c>
      <c r="M109" s="97"/>
      <c r="N109" s="97"/>
      <c r="O109" s="97" t="s">
        <v>197</v>
      </c>
      <c r="P109" s="97" t="s">
        <v>198</v>
      </c>
      <c r="Q109" s="97">
        <v>99</v>
      </c>
      <c r="R109" s="97" t="s">
        <v>204</v>
      </c>
      <c r="S109" s="97"/>
      <c r="T109" s="97" t="s">
        <v>199</v>
      </c>
      <c r="U109" s="97" t="s">
        <v>198</v>
      </c>
      <c r="V109" s="142"/>
      <c r="W109" s="199"/>
    </row>
    <row r="110" spans="1:23" ht="13.5" customHeight="1" thickBot="1">
      <c r="A110" s="96"/>
      <c r="B110" s="89"/>
      <c r="C110" s="94"/>
      <c r="D110" s="93"/>
      <c r="E110" s="93"/>
      <c r="F110" s="93"/>
      <c r="G110" s="93"/>
      <c r="H110" s="93"/>
      <c r="I110" s="93"/>
      <c r="J110" s="93"/>
      <c r="K110" s="93">
        <v>0</v>
      </c>
      <c r="L110" s="85" t="s">
        <v>807</v>
      </c>
      <c r="M110" s="91"/>
      <c r="N110" s="91"/>
      <c r="O110" s="91" t="s">
        <v>206</v>
      </c>
      <c r="P110" s="91" t="s">
        <v>198</v>
      </c>
      <c r="Q110" s="91"/>
      <c r="R110" s="91" t="s">
        <v>204</v>
      </c>
      <c r="S110" s="91"/>
      <c r="T110" s="91" t="s">
        <v>199</v>
      </c>
      <c r="U110" s="91" t="s">
        <v>198</v>
      </c>
      <c r="V110" s="132" t="s">
        <v>157</v>
      </c>
      <c r="W110" s="132" t="s">
        <v>157</v>
      </c>
    </row>
    <row r="111" spans="1:23" ht="23.25" customHeight="1" thickBot="1">
      <c r="A111" s="96"/>
      <c r="B111" s="95"/>
      <c r="C111" s="94"/>
      <c r="D111" s="93">
        <v>6</v>
      </c>
      <c r="E111" s="93">
        <v>5</v>
      </c>
      <c r="F111" s="93">
        <v>4</v>
      </c>
      <c r="G111" s="93">
        <v>3</v>
      </c>
      <c r="H111" s="93">
        <v>2</v>
      </c>
      <c r="I111" s="93">
        <v>1</v>
      </c>
      <c r="J111" s="93">
        <v>0</v>
      </c>
      <c r="K111" s="93"/>
      <c r="L111" s="71" t="s">
        <v>808</v>
      </c>
      <c r="M111" s="91"/>
      <c r="N111" s="91"/>
      <c r="O111" s="91" t="s">
        <v>197</v>
      </c>
      <c r="P111" s="91" t="s">
        <v>198</v>
      </c>
      <c r="Q111" s="91"/>
      <c r="R111" s="91" t="s">
        <v>204</v>
      </c>
      <c r="S111" s="91"/>
      <c r="T111" s="91" t="s">
        <v>199</v>
      </c>
      <c r="U111" s="91" t="s">
        <v>198</v>
      </c>
      <c r="V111" s="132" t="str">
        <f>CONCATENATE("7b",Overview!E20)</f>
        <v>7b1010100</v>
      </c>
      <c r="W111" s="132" t="s">
        <v>162</v>
      </c>
    </row>
    <row r="112" spans="1:23" ht="13.5" customHeight="1" thickBot="1">
      <c r="A112" s="81" t="s">
        <v>194</v>
      </c>
      <c r="B112" s="100" t="s">
        <v>281</v>
      </c>
      <c r="C112" s="99" t="s">
        <v>282</v>
      </c>
      <c r="D112" s="294"/>
      <c r="E112" s="294"/>
      <c r="F112" s="294"/>
      <c r="G112" s="294"/>
      <c r="H112" s="294"/>
      <c r="I112" s="294"/>
      <c r="J112" s="294"/>
      <c r="K112" s="294"/>
      <c r="L112" s="98" t="s">
        <v>809</v>
      </c>
      <c r="M112" s="97"/>
      <c r="N112" s="97"/>
      <c r="O112" s="97" t="s">
        <v>197</v>
      </c>
      <c r="P112" s="97" t="s">
        <v>198</v>
      </c>
      <c r="Q112" s="97">
        <v>100</v>
      </c>
      <c r="R112" s="97" t="s">
        <v>204</v>
      </c>
      <c r="S112" s="97"/>
      <c r="T112" s="97" t="s">
        <v>199</v>
      </c>
      <c r="U112" s="97" t="s">
        <v>198</v>
      </c>
      <c r="V112" s="142"/>
      <c r="W112" s="199"/>
    </row>
    <row r="113" spans="1:23" ht="34.5" customHeight="1" thickBot="1">
      <c r="A113" s="96"/>
      <c r="B113" s="89"/>
      <c r="C113" s="94"/>
      <c r="D113" s="93"/>
      <c r="E113" s="93"/>
      <c r="F113" s="93"/>
      <c r="G113" s="93"/>
      <c r="H113" s="93"/>
      <c r="I113" s="93"/>
      <c r="J113" s="93"/>
      <c r="K113" s="93">
        <v>0</v>
      </c>
      <c r="L113" s="71" t="s">
        <v>283</v>
      </c>
      <c r="M113" s="91"/>
      <c r="N113" s="91"/>
      <c r="O113" s="91" t="s">
        <v>197</v>
      </c>
      <c r="P113" s="91" t="s">
        <v>198</v>
      </c>
      <c r="Q113" s="91"/>
      <c r="R113" s="91" t="s">
        <v>204</v>
      </c>
      <c r="S113" s="91"/>
      <c r="T113" s="91" t="s">
        <v>199</v>
      </c>
      <c r="U113" s="91" t="s">
        <v>198</v>
      </c>
      <c r="V113" s="132" t="str">
        <f>IF('Additional Details'!C50="Decay","1b1","1b0")</f>
        <v>1b0</v>
      </c>
      <c r="W113" s="132" t="s">
        <v>157</v>
      </c>
    </row>
    <row r="114" spans="1:23" ht="13.5" customHeight="1" thickBot="1">
      <c r="A114" s="96"/>
      <c r="B114" s="95"/>
      <c r="C114" s="94"/>
      <c r="D114" s="93">
        <v>6</v>
      </c>
      <c r="E114" s="93">
        <v>5</v>
      </c>
      <c r="F114" s="93">
        <v>4</v>
      </c>
      <c r="G114" s="93">
        <v>3</v>
      </c>
      <c r="H114" s="93">
        <v>2</v>
      </c>
      <c r="I114" s="93">
        <v>1</v>
      </c>
      <c r="J114" s="93">
        <v>0</v>
      </c>
      <c r="K114" s="93"/>
      <c r="L114" s="71" t="s">
        <v>282</v>
      </c>
      <c r="M114" s="91"/>
      <c r="N114" s="91"/>
      <c r="O114" s="91" t="s">
        <v>197</v>
      </c>
      <c r="P114" s="91" t="s">
        <v>198</v>
      </c>
      <c r="Q114" s="91"/>
      <c r="R114" s="91" t="s">
        <v>204</v>
      </c>
      <c r="S114" s="91"/>
      <c r="T114" s="91" t="s">
        <v>199</v>
      </c>
      <c r="U114" s="91" t="s">
        <v>198</v>
      </c>
      <c r="V114" s="132" t="str">
        <f>CONCATENATE("7b",Overview!E21)</f>
        <v>7b0000000</v>
      </c>
      <c r="W114" s="132" t="s">
        <v>162</v>
      </c>
    </row>
    <row r="115" spans="1:23" ht="13.5" customHeight="1" thickBot="1">
      <c r="A115" s="81" t="s">
        <v>194</v>
      </c>
      <c r="B115" s="100" t="s">
        <v>284</v>
      </c>
      <c r="C115" s="99" t="s">
        <v>285</v>
      </c>
      <c r="D115" s="294"/>
      <c r="E115" s="294"/>
      <c r="F115" s="294"/>
      <c r="G115" s="294"/>
      <c r="H115" s="294"/>
      <c r="I115" s="294"/>
      <c r="J115" s="294"/>
      <c r="K115" s="294"/>
      <c r="L115" s="98" t="s">
        <v>810</v>
      </c>
      <c r="M115" s="97"/>
      <c r="N115" s="97"/>
      <c r="O115" s="97" t="s">
        <v>197</v>
      </c>
      <c r="P115" s="97" t="s">
        <v>198</v>
      </c>
      <c r="Q115" s="97">
        <v>101</v>
      </c>
      <c r="R115" s="97" t="s">
        <v>204</v>
      </c>
      <c r="S115" s="97"/>
      <c r="T115" s="97" t="s">
        <v>199</v>
      </c>
      <c r="U115" s="97" t="s">
        <v>198</v>
      </c>
      <c r="V115" s="142"/>
      <c r="W115" s="199"/>
    </row>
    <row r="116" spans="1:23" ht="13.5" customHeight="1" thickBot="1">
      <c r="A116" s="96"/>
      <c r="B116" s="89"/>
      <c r="C116" s="94"/>
      <c r="D116" s="93"/>
      <c r="E116" s="93"/>
      <c r="F116" s="93"/>
      <c r="G116" s="93"/>
      <c r="H116" s="93"/>
      <c r="I116" s="93"/>
      <c r="J116" s="93"/>
      <c r="K116" s="93">
        <v>0</v>
      </c>
      <c r="L116" s="85" t="s">
        <v>815</v>
      </c>
      <c r="M116" s="91"/>
      <c r="N116" s="91"/>
      <c r="O116" s="91" t="s">
        <v>206</v>
      </c>
      <c r="P116" s="91" t="s">
        <v>198</v>
      </c>
      <c r="Q116" s="91"/>
      <c r="R116" s="91" t="s">
        <v>204</v>
      </c>
      <c r="S116" s="91"/>
      <c r="T116" s="91" t="s">
        <v>199</v>
      </c>
      <c r="U116" s="91" t="s">
        <v>198</v>
      </c>
      <c r="V116" s="132" t="s">
        <v>157</v>
      </c>
      <c r="W116" s="132" t="s">
        <v>157</v>
      </c>
    </row>
    <row r="117" spans="1:23" ht="23.25" customHeight="1" thickBot="1">
      <c r="A117" s="96"/>
      <c r="B117" s="95"/>
      <c r="C117" s="94"/>
      <c r="D117" s="93">
        <v>6</v>
      </c>
      <c r="E117" s="93">
        <v>5</v>
      </c>
      <c r="F117" s="93">
        <v>4</v>
      </c>
      <c r="G117" s="93">
        <v>3</v>
      </c>
      <c r="H117" s="93">
        <v>2</v>
      </c>
      <c r="I117" s="93">
        <v>1</v>
      </c>
      <c r="J117" s="93">
        <v>0</v>
      </c>
      <c r="K117" s="93"/>
      <c r="L117" s="71" t="s">
        <v>811</v>
      </c>
      <c r="M117" s="91"/>
      <c r="N117" s="91"/>
      <c r="O117" s="91" t="s">
        <v>197</v>
      </c>
      <c r="P117" s="91" t="s">
        <v>198</v>
      </c>
      <c r="Q117" s="91"/>
      <c r="R117" s="91" t="s">
        <v>204</v>
      </c>
      <c r="S117" s="91"/>
      <c r="T117" s="91" t="s">
        <v>199</v>
      </c>
      <c r="U117" s="91" t="s">
        <v>198</v>
      </c>
      <c r="V117" s="132" t="str">
        <f>CONCATENATE("7b",Overview!E22)</f>
        <v>7b0000000</v>
      </c>
      <c r="W117" s="132" t="s">
        <v>162</v>
      </c>
    </row>
    <row r="118" spans="1:23" ht="13.5" customHeight="1" thickBot="1">
      <c r="A118" s="81" t="s">
        <v>194</v>
      </c>
      <c r="B118" s="100" t="s">
        <v>286</v>
      </c>
      <c r="C118" s="99" t="s">
        <v>287</v>
      </c>
      <c r="D118" s="294"/>
      <c r="E118" s="294"/>
      <c r="F118" s="294"/>
      <c r="G118" s="294"/>
      <c r="H118" s="294"/>
      <c r="I118" s="294"/>
      <c r="J118" s="294"/>
      <c r="K118" s="294"/>
      <c r="L118" s="98" t="s">
        <v>812</v>
      </c>
      <c r="M118" s="97"/>
      <c r="N118" s="97"/>
      <c r="O118" s="97" t="s">
        <v>197</v>
      </c>
      <c r="P118" s="97" t="s">
        <v>198</v>
      </c>
      <c r="Q118" s="97">
        <v>102</v>
      </c>
      <c r="R118" s="97" t="s">
        <v>204</v>
      </c>
      <c r="S118" s="97"/>
      <c r="T118" s="97" t="s">
        <v>199</v>
      </c>
      <c r="U118" s="97" t="s">
        <v>198</v>
      </c>
      <c r="V118" s="142"/>
      <c r="W118" s="199"/>
    </row>
    <row r="119" spans="1:23" ht="34.5" customHeight="1" thickBot="1">
      <c r="A119" s="96"/>
      <c r="B119" s="89"/>
      <c r="C119" s="94"/>
      <c r="D119" s="93"/>
      <c r="E119" s="93"/>
      <c r="F119" s="93"/>
      <c r="G119" s="93"/>
      <c r="H119" s="93"/>
      <c r="I119" s="93"/>
      <c r="J119" s="93"/>
      <c r="K119" s="93">
        <v>0</v>
      </c>
      <c r="L119" s="71" t="s">
        <v>288</v>
      </c>
      <c r="M119" s="91"/>
      <c r="N119" s="91"/>
      <c r="O119" s="91" t="s">
        <v>197</v>
      </c>
      <c r="P119" s="91" t="s">
        <v>198</v>
      </c>
      <c r="Q119" s="91"/>
      <c r="R119" s="91" t="s">
        <v>204</v>
      </c>
      <c r="S119" s="91"/>
      <c r="T119" s="91" t="s">
        <v>199</v>
      </c>
      <c r="U119" s="91" t="s">
        <v>198</v>
      </c>
      <c r="V119" s="132" t="str">
        <f>IF('Additional Details'!C51="Decay","1b1","1b0")</f>
        <v>1b0</v>
      </c>
      <c r="W119" s="132" t="s">
        <v>157</v>
      </c>
    </row>
    <row r="120" spans="1:23" ht="13" thickBot="1">
      <c r="A120" s="96"/>
      <c r="B120" s="95"/>
      <c r="C120" s="94"/>
      <c r="D120" s="93">
        <v>6</v>
      </c>
      <c r="E120" s="93">
        <v>5</v>
      </c>
      <c r="F120" s="93">
        <v>4</v>
      </c>
      <c r="G120" s="93">
        <v>3</v>
      </c>
      <c r="H120" s="93">
        <v>2</v>
      </c>
      <c r="I120" s="93">
        <v>1</v>
      </c>
      <c r="J120" s="93">
        <v>0</v>
      </c>
      <c r="K120" s="93"/>
      <c r="L120" s="71" t="s">
        <v>287</v>
      </c>
      <c r="M120" s="91"/>
      <c r="N120" s="91"/>
      <c r="O120" s="91" t="s">
        <v>197</v>
      </c>
      <c r="P120" s="91" t="s">
        <v>198</v>
      </c>
      <c r="Q120" s="91"/>
      <c r="R120" s="91" t="s">
        <v>204</v>
      </c>
      <c r="S120" s="91"/>
      <c r="T120" s="91" t="s">
        <v>199</v>
      </c>
      <c r="U120" s="91" t="s">
        <v>198</v>
      </c>
      <c r="V120" s="132" t="str">
        <f>CONCATENATE("7b",Overview!E23)</f>
        <v>7b1010000</v>
      </c>
      <c r="W120" s="132" t="s">
        <v>162</v>
      </c>
    </row>
    <row r="121" spans="1:23" ht="13.5" customHeight="1" thickBot="1">
      <c r="A121" s="81" t="s">
        <v>194</v>
      </c>
      <c r="B121" s="100" t="s">
        <v>289</v>
      </c>
      <c r="C121" s="99" t="s">
        <v>290</v>
      </c>
      <c r="D121" s="294"/>
      <c r="E121" s="294"/>
      <c r="F121" s="294"/>
      <c r="G121" s="294"/>
      <c r="H121" s="294"/>
      <c r="I121" s="294"/>
      <c r="J121" s="294"/>
      <c r="K121" s="294"/>
      <c r="L121" s="98" t="s">
        <v>813</v>
      </c>
      <c r="M121" s="97"/>
      <c r="N121" s="97"/>
      <c r="O121" s="97" t="s">
        <v>197</v>
      </c>
      <c r="P121" s="97" t="s">
        <v>198</v>
      </c>
      <c r="Q121" s="97">
        <v>103</v>
      </c>
      <c r="R121" s="97" t="s">
        <v>204</v>
      </c>
      <c r="S121" s="97"/>
      <c r="T121" s="97" t="s">
        <v>199</v>
      </c>
      <c r="U121" s="97" t="s">
        <v>198</v>
      </c>
      <c r="V121" s="142"/>
      <c r="W121" s="199"/>
    </row>
    <row r="122" spans="1:23" ht="13.5" customHeight="1" thickBot="1">
      <c r="A122" s="96"/>
      <c r="B122" s="89"/>
      <c r="C122" s="94"/>
      <c r="D122" s="93"/>
      <c r="E122" s="93"/>
      <c r="F122" s="93"/>
      <c r="G122" s="93"/>
      <c r="H122" s="93"/>
      <c r="I122" s="93"/>
      <c r="J122" s="93"/>
      <c r="K122" s="93">
        <v>0</v>
      </c>
      <c r="L122" s="85" t="s">
        <v>816</v>
      </c>
      <c r="M122" s="91"/>
      <c r="N122" s="91"/>
      <c r="O122" s="91" t="s">
        <v>206</v>
      </c>
      <c r="P122" s="91" t="s">
        <v>198</v>
      </c>
      <c r="Q122" s="91"/>
      <c r="R122" s="91" t="s">
        <v>204</v>
      </c>
      <c r="S122" s="91"/>
      <c r="T122" s="91" t="s">
        <v>199</v>
      </c>
      <c r="U122" s="91" t="s">
        <v>198</v>
      </c>
      <c r="V122" s="132" t="s">
        <v>157</v>
      </c>
      <c r="W122" s="132" t="s">
        <v>157</v>
      </c>
    </row>
    <row r="123" spans="1:23" ht="13" thickBot="1">
      <c r="A123" s="96"/>
      <c r="B123" s="95"/>
      <c r="C123" s="94"/>
      <c r="D123" s="93">
        <v>6</v>
      </c>
      <c r="E123" s="93">
        <v>5</v>
      </c>
      <c r="F123" s="93">
        <v>4</v>
      </c>
      <c r="G123" s="93">
        <v>3</v>
      </c>
      <c r="H123" s="93">
        <v>2</v>
      </c>
      <c r="I123" s="93">
        <v>1</v>
      </c>
      <c r="J123" s="93">
        <v>0</v>
      </c>
      <c r="K123" s="93"/>
      <c r="L123" s="71" t="s">
        <v>814</v>
      </c>
      <c r="M123" s="91"/>
      <c r="N123" s="91"/>
      <c r="O123" s="91" t="s">
        <v>197</v>
      </c>
      <c r="P123" s="91" t="s">
        <v>198</v>
      </c>
      <c r="Q123" s="91"/>
      <c r="R123" s="91" t="s">
        <v>204</v>
      </c>
      <c r="S123" s="91"/>
      <c r="T123" s="91" t="s">
        <v>199</v>
      </c>
      <c r="U123" s="91" t="s">
        <v>198</v>
      </c>
      <c r="V123" s="132" t="str">
        <f>CONCATENATE("7b",Overview!E24)</f>
        <v>7b1010000</v>
      </c>
      <c r="W123" s="132" t="s">
        <v>162</v>
      </c>
    </row>
    <row r="124" spans="1:23" ht="13.5" customHeight="1" thickBot="1">
      <c r="A124" s="81" t="s">
        <v>194</v>
      </c>
      <c r="B124" s="100" t="s">
        <v>291</v>
      </c>
      <c r="C124" s="99" t="s">
        <v>292</v>
      </c>
      <c r="D124" s="294"/>
      <c r="E124" s="294"/>
      <c r="F124" s="294"/>
      <c r="G124" s="294"/>
      <c r="H124" s="294"/>
      <c r="I124" s="294"/>
      <c r="J124" s="294"/>
      <c r="K124" s="294"/>
      <c r="L124" s="98" t="s">
        <v>817</v>
      </c>
      <c r="M124" s="97"/>
      <c r="N124" s="97"/>
      <c r="O124" s="97" t="s">
        <v>197</v>
      </c>
      <c r="P124" s="97" t="s">
        <v>198</v>
      </c>
      <c r="Q124" s="97">
        <v>104</v>
      </c>
      <c r="R124" s="97" t="s">
        <v>204</v>
      </c>
      <c r="S124" s="97"/>
      <c r="T124" s="97" t="s">
        <v>199</v>
      </c>
      <c r="U124" s="97" t="s">
        <v>198</v>
      </c>
      <c r="V124" s="142"/>
      <c r="W124" s="199"/>
    </row>
    <row r="125" spans="1:23" ht="13.5" customHeight="1" thickBot="1">
      <c r="A125" s="96"/>
      <c r="B125" s="95"/>
      <c r="C125" s="94"/>
      <c r="D125" s="93"/>
      <c r="E125" s="93"/>
      <c r="F125" s="93"/>
      <c r="G125" s="93"/>
      <c r="H125" s="93">
        <v>3</v>
      </c>
      <c r="I125" s="93">
        <v>2</v>
      </c>
      <c r="J125" s="93">
        <v>1</v>
      </c>
      <c r="K125" s="93">
        <v>0</v>
      </c>
      <c r="L125" s="71" t="s">
        <v>818</v>
      </c>
      <c r="M125" s="91"/>
      <c r="N125" s="91"/>
      <c r="O125" s="91" t="s">
        <v>197</v>
      </c>
      <c r="P125" s="91" t="s">
        <v>198</v>
      </c>
      <c r="Q125" s="91"/>
      <c r="R125" s="91" t="s">
        <v>204</v>
      </c>
      <c r="S125" s="91"/>
      <c r="T125" s="91" t="s">
        <v>199</v>
      </c>
      <c r="U125" s="91" t="s">
        <v>198</v>
      </c>
      <c r="V125" s="132" t="str">
        <f>CONCATENATE("4b",Overview!E27)</f>
        <v>4b0010</v>
      </c>
      <c r="W125" s="132" t="s">
        <v>163</v>
      </c>
    </row>
    <row r="126" spans="1:23" ht="23.25" customHeight="1" thickBot="1">
      <c r="A126" s="96"/>
      <c r="B126" s="89"/>
      <c r="C126" s="94"/>
      <c r="D126" s="93">
        <v>3</v>
      </c>
      <c r="E126" s="93">
        <v>2</v>
      </c>
      <c r="F126" s="93">
        <v>1</v>
      </c>
      <c r="G126" s="93">
        <v>0</v>
      </c>
      <c r="H126" s="70"/>
      <c r="I126" s="70"/>
      <c r="J126" s="70"/>
      <c r="K126" s="93"/>
      <c r="L126" s="71" t="s">
        <v>819</v>
      </c>
      <c r="M126" s="91"/>
      <c r="N126" s="91"/>
      <c r="O126" s="91" t="s">
        <v>197</v>
      </c>
      <c r="P126" s="91" t="s">
        <v>198</v>
      </c>
      <c r="Q126" s="91"/>
      <c r="R126" s="91" t="s">
        <v>204</v>
      </c>
      <c r="S126" s="91"/>
      <c r="T126" s="91" t="s">
        <v>199</v>
      </c>
      <c r="U126" s="91" t="s">
        <v>198</v>
      </c>
      <c r="V126" s="132" t="str">
        <f>CONCATENATE("4b",Overview!E28)</f>
        <v>4b0010</v>
      </c>
      <c r="W126" s="132" t="s">
        <v>163</v>
      </c>
    </row>
    <row r="127" spans="1:23" ht="13.5" customHeight="1" thickBot="1">
      <c r="A127" s="81" t="s">
        <v>194</v>
      </c>
      <c r="B127" s="100" t="s">
        <v>293</v>
      </c>
      <c r="C127" s="99" t="s">
        <v>294</v>
      </c>
      <c r="D127" s="294"/>
      <c r="E127" s="294"/>
      <c r="F127" s="294"/>
      <c r="G127" s="294"/>
      <c r="H127" s="294"/>
      <c r="I127" s="294"/>
      <c r="J127" s="294"/>
      <c r="K127" s="294"/>
      <c r="L127" s="98" t="s">
        <v>820</v>
      </c>
      <c r="M127" s="97"/>
      <c r="N127" s="97"/>
      <c r="O127" s="97" t="s">
        <v>197</v>
      </c>
      <c r="P127" s="97" t="s">
        <v>198</v>
      </c>
      <c r="Q127" s="97">
        <v>105</v>
      </c>
      <c r="R127" s="97" t="s">
        <v>204</v>
      </c>
      <c r="S127" s="97"/>
      <c r="T127" s="97" t="s">
        <v>199</v>
      </c>
      <c r="U127" s="97" t="s">
        <v>198</v>
      </c>
      <c r="V127" s="142"/>
      <c r="W127" s="199"/>
    </row>
    <row r="128" spans="1:23" ht="13.5" customHeight="1" thickBot="1">
      <c r="A128" s="96"/>
      <c r="B128" s="95"/>
      <c r="C128" s="94"/>
      <c r="D128" s="93"/>
      <c r="E128" s="93"/>
      <c r="F128" s="93"/>
      <c r="G128" s="116"/>
      <c r="H128" s="93">
        <v>3</v>
      </c>
      <c r="I128" s="93">
        <v>2</v>
      </c>
      <c r="J128" s="93">
        <v>1</v>
      </c>
      <c r="K128" s="93">
        <v>0</v>
      </c>
      <c r="L128" s="71" t="s">
        <v>821</v>
      </c>
      <c r="M128" s="91"/>
      <c r="N128" s="91"/>
      <c r="O128" s="91" t="s">
        <v>197</v>
      </c>
      <c r="P128" s="91" t="s">
        <v>198</v>
      </c>
      <c r="Q128" s="91"/>
      <c r="R128" s="91" t="s">
        <v>204</v>
      </c>
      <c r="S128" s="91"/>
      <c r="T128" s="91" t="s">
        <v>199</v>
      </c>
      <c r="U128" s="91" t="s">
        <v>198</v>
      </c>
      <c r="V128" s="132" t="str">
        <f>CONCATENATE("4b",Overview!E29)</f>
        <v>4b1101</v>
      </c>
      <c r="W128" s="132" t="s">
        <v>163</v>
      </c>
    </row>
    <row r="129" spans="1:23" ht="23.25" customHeight="1" thickBot="1">
      <c r="A129" s="96"/>
      <c r="B129" s="89"/>
      <c r="C129" s="94"/>
      <c r="D129" s="93">
        <v>3</v>
      </c>
      <c r="E129" s="93">
        <v>2</v>
      </c>
      <c r="F129" s="93">
        <v>1</v>
      </c>
      <c r="G129" s="93">
        <v>0</v>
      </c>
      <c r="H129" s="93"/>
      <c r="I129" s="93"/>
      <c r="J129" s="93"/>
      <c r="K129" s="93"/>
      <c r="L129" s="71" t="s">
        <v>822</v>
      </c>
      <c r="M129" s="91"/>
      <c r="N129" s="91"/>
      <c r="O129" s="91" t="s">
        <v>197</v>
      </c>
      <c r="P129" s="91" t="s">
        <v>198</v>
      </c>
      <c r="Q129" s="91"/>
      <c r="R129" s="91" t="s">
        <v>204</v>
      </c>
      <c r="S129" s="91"/>
      <c r="T129" s="91" t="s">
        <v>199</v>
      </c>
      <c r="U129" s="91" t="s">
        <v>198</v>
      </c>
      <c r="V129" s="132" t="str">
        <f>CONCATENATE("4b",Overview!E30)</f>
        <v>4b1101</v>
      </c>
      <c r="W129" s="132" t="s">
        <v>163</v>
      </c>
    </row>
    <row r="130" spans="1:23" ht="13.5" customHeight="1" thickBot="1">
      <c r="A130" s="81" t="s">
        <v>194</v>
      </c>
      <c r="B130" s="100" t="s">
        <v>295</v>
      </c>
      <c r="C130" s="99" t="s">
        <v>296</v>
      </c>
      <c r="D130" s="294"/>
      <c r="E130" s="294"/>
      <c r="F130" s="294"/>
      <c r="G130" s="294"/>
      <c r="H130" s="294"/>
      <c r="I130" s="294"/>
      <c r="J130" s="294"/>
      <c r="K130" s="294"/>
      <c r="L130" s="98" t="s">
        <v>823</v>
      </c>
      <c r="M130" s="97"/>
      <c r="N130" s="97"/>
      <c r="O130" s="97" t="s">
        <v>197</v>
      </c>
      <c r="P130" s="97" t="s">
        <v>198</v>
      </c>
      <c r="Q130" s="97">
        <v>106</v>
      </c>
      <c r="R130" s="97" t="s">
        <v>204</v>
      </c>
      <c r="S130" s="97"/>
      <c r="T130" s="97" t="s">
        <v>199</v>
      </c>
      <c r="U130" s="97" t="s">
        <v>198</v>
      </c>
      <c r="V130" s="142"/>
      <c r="W130" s="199"/>
    </row>
    <row r="131" spans="1:23" ht="34.5" customHeight="1" thickBot="1">
      <c r="A131" s="96"/>
      <c r="B131" s="89"/>
      <c r="C131" s="94"/>
      <c r="D131" s="93"/>
      <c r="E131" s="93"/>
      <c r="F131" s="93"/>
      <c r="G131" s="93"/>
      <c r="H131" s="93"/>
      <c r="I131" s="93"/>
      <c r="J131" s="93"/>
      <c r="K131" s="93">
        <v>0</v>
      </c>
      <c r="L131" s="71" t="s">
        <v>255</v>
      </c>
      <c r="M131" s="91"/>
      <c r="N131" s="91"/>
      <c r="O131" s="91" t="s">
        <v>197</v>
      </c>
      <c r="P131" s="91" t="s">
        <v>198</v>
      </c>
      <c r="Q131" s="91"/>
      <c r="R131" s="91" t="s">
        <v>204</v>
      </c>
      <c r="S131" s="91"/>
      <c r="T131" s="91" t="s">
        <v>199</v>
      </c>
      <c r="U131" s="91" t="s">
        <v>198</v>
      </c>
      <c r="V131" s="132" t="str">
        <f>IF(Sequencing!D5="Yes","1b0","1b1")</f>
        <v>1b1</v>
      </c>
      <c r="W131" s="132" t="s">
        <v>157</v>
      </c>
    </row>
    <row r="132" spans="1:23" ht="34.5" customHeight="1" thickBot="1">
      <c r="A132" s="96"/>
      <c r="B132" s="95"/>
      <c r="C132" s="94"/>
      <c r="D132" s="93"/>
      <c r="E132" s="93"/>
      <c r="F132" s="93"/>
      <c r="G132" s="93"/>
      <c r="H132" s="93"/>
      <c r="I132" s="93"/>
      <c r="J132" s="93">
        <v>0</v>
      </c>
      <c r="K132" s="93"/>
      <c r="L132" s="71" t="s">
        <v>256</v>
      </c>
      <c r="M132" s="91"/>
      <c r="N132" s="91"/>
      <c r="O132" s="91" t="s">
        <v>197</v>
      </c>
      <c r="P132" s="91" t="s">
        <v>198</v>
      </c>
      <c r="Q132" s="91"/>
      <c r="R132" s="91" t="s">
        <v>204</v>
      </c>
      <c r="S132" s="91"/>
      <c r="T132" s="91" t="s">
        <v>199</v>
      </c>
      <c r="U132" s="91" t="s">
        <v>198</v>
      </c>
      <c r="V132" s="132" t="str">
        <f>IF(Sequencing!D6="Yes","1b0","1b1")</f>
        <v>1b1</v>
      </c>
      <c r="W132" s="132" t="s">
        <v>157</v>
      </c>
    </row>
    <row r="133" spans="1:23" ht="34.5" customHeight="1" thickBot="1">
      <c r="A133" s="96"/>
      <c r="B133" s="95"/>
      <c r="C133" s="94"/>
      <c r="D133" s="93"/>
      <c r="E133" s="93"/>
      <c r="F133" s="93"/>
      <c r="G133" s="93"/>
      <c r="H133" s="93"/>
      <c r="I133" s="93">
        <v>0</v>
      </c>
      <c r="J133" s="93"/>
      <c r="K133" s="93"/>
      <c r="L133" s="71" t="s">
        <v>257</v>
      </c>
      <c r="M133" s="91"/>
      <c r="N133" s="91"/>
      <c r="O133" s="91" t="s">
        <v>197</v>
      </c>
      <c r="P133" s="91" t="s">
        <v>198</v>
      </c>
      <c r="Q133" s="91"/>
      <c r="R133" s="91" t="s">
        <v>204</v>
      </c>
      <c r="S133" s="91"/>
      <c r="T133" s="91" t="s">
        <v>199</v>
      </c>
      <c r="U133" s="91" t="s">
        <v>198</v>
      </c>
      <c r="V133" s="132" t="str">
        <f>IF(Sequencing!D7="Yes","1b0","1b1")</f>
        <v>1b1</v>
      </c>
      <c r="W133" s="132" t="s">
        <v>157</v>
      </c>
    </row>
    <row r="134" spans="1:23" ht="34.5" customHeight="1" thickBot="1">
      <c r="A134" s="96"/>
      <c r="B134" s="89"/>
      <c r="C134" s="94"/>
      <c r="D134" s="93"/>
      <c r="E134" s="93"/>
      <c r="F134" s="93"/>
      <c r="G134" s="93"/>
      <c r="H134" s="93">
        <v>0</v>
      </c>
      <c r="I134" s="93"/>
      <c r="J134" s="93"/>
      <c r="K134" s="93"/>
      <c r="L134" s="71" t="s">
        <v>300</v>
      </c>
      <c r="M134" s="91"/>
      <c r="N134" s="91"/>
      <c r="O134" s="91" t="s">
        <v>197</v>
      </c>
      <c r="P134" s="91" t="s">
        <v>198</v>
      </c>
      <c r="Q134" s="91"/>
      <c r="R134" s="91" t="s">
        <v>204</v>
      </c>
      <c r="S134" s="91"/>
      <c r="T134" s="91" t="s">
        <v>199</v>
      </c>
      <c r="U134" s="91" t="s">
        <v>198</v>
      </c>
      <c r="V134" s="132" t="str">
        <f>IF('Additional Details'!C4="AUTO","1b0","1b1")</f>
        <v>1b1</v>
      </c>
      <c r="W134" s="132" t="s">
        <v>157</v>
      </c>
    </row>
    <row r="135" spans="1:23" ht="34.5" customHeight="1" thickBot="1">
      <c r="A135" s="69"/>
      <c r="B135" s="95"/>
      <c r="C135" s="94"/>
      <c r="D135" s="68"/>
      <c r="E135" s="68"/>
      <c r="F135" s="68"/>
      <c r="G135" s="68">
        <v>0</v>
      </c>
      <c r="H135" s="68"/>
      <c r="I135" s="68"/>
      <c r="J135" s="68"/>
      <c r="K135" s="68"/>
      <c r="L135" s="71" t="s">
        <v>301</v>
      </c>
      <c r="M135" s="91"/>
      <c r="N135" s="91"/>
      <c r="O135" s="91" t="s">
        <v>197</v>
      </c>
      <c r="P135" s="91" t="s">
        <v>198</v>
      </c>
      <c r="Q135" s="91"/>
      <c r="R135" s="91" t="s">
        <v>204</v>
      </c>
      <c r="S135" s="91"/>
      <c r="T135" s="91" t="s">
        <v>199</v>
      </c>
      <c r="U135" s="91" t="s">
        <v>198</v>
      </c>
      <c r="V135" s="132" t="str">
        <f>IF('Additional Details'!C5="AUTO","1b0","1b1")</f>
        <v>1b1</v>
      </c>
      <c r="W135" s="132" t="s">
        <v>157</v>
      </c>
    </row>
    <row r="136" spans="1:23" ht="34.5" customHeight="1" thickBot="1">
      <c r="A136" s="69"/>
      <c r="B136" s="95"/>
      <c r="C136" s="94"/>
      <c r="D136" s="68"/>
      <c r="E136" s="68"/>
      <c r="F136" s="68">
        <v>0</v>
      </c>
      <c r="G136" s="68"/>
      <c r="H136" s="68"/>
      <c r="I136" s="68"/>
      <c r="J136" s="68"/>
      <c r="K136" s="68"/>
      <c r="L136" s="71" t="s">
        <v>302</v>
      </c>
      <c r="M136" s="91"/>
      <c r="N136" s="91"/>
      <c r="O136" s="91" t="s">
        <v>197</v>
      </c>
      <c r="P136" s="91" t="s">
        <v>198</v>
      </c>
      <c r="Q136" s="91"/>
      <c r="R136" s="91" t="s">
        <v>204</v>
      </c>
      <c r="S136" s="91"/>
      <c r="T136" s="91" t="s">
        <v>199</v>
      </c>
      <c r="U136" s="91" t="s">
        <v>198</v>
      </c>
      <c r="V136" s="132" t="str">
        <f>IF('Additional Details'!C6="AUTO","1b0","1b1")</f>
        <v>1b1</v>
      </c>
      <c r="W136" s="132" t="s">
        <v>157</v>
      </c>
    </row>
    <row r="137" spans="1:23" ht="13.5" customHeight="1" thickBot="1">
      <c r="A137" s="69"/>
      <c r="B137" s="95"/>
      <c r="C137" s="94"/>
      <c r="D137" s="68">
        <v>1</v>
      </c>
      <c r="E137" s="68">
        <v>0</v>
      </c>
      <c r="F137" s="68"/>
      <c r="G137" s="68"/>
      <c r="H137" s="68"/>
      <c r="I137" s="68"/>
      <c r="J137" s="68"/>
      <c r="K137" s="68"/>
      <c r="L137" s="71" t="s">
        <v>824</v>
      </c>
      <c r="M137" s="91"/>
      <c r="N137" s="91"/>
      <c r="O137" s="91" t="s">
        <v>197</v>
      </c>
      <c r="P137" s="91" t="s">
        <v>198</v>
      </c>
      <c r="Q137" s="91"/>
      <c r="R137" s="91" t="s">
        <v>204</v>
      </c>
      <c r="S137" s="91"/>
      <c r="T137" s="91" t="s">
        <v>199</v>
      </c>
      <c r="U137" s="91" t="s">
        <v>198</v>
      </c>
      <c r="V137" s="132" t="s">
        <v>156</v>
      </c>
      <c r="W137" s="132" t="s">
        <v>156</v>
      </c>
    </row>
    <row r="138" spans="1:23" ht="13.5" customHeight="1" thickBot="1">
      <c r="A138" s="81" t="s">
        <v>194</v>
      </c>
      <c r="B138" s="100" t="s">
        <v>303</v>
      </c>
      <c r="C138" s="99" t="s">
        <v>304</v>
      </c>
      <c r="D138" s="308"/>
      <c r="E138" s="309"/>
      <c r="F138" s="309"/>
      <c r="G138" s="309"/>
      <c r="H138" s="309"/>
      <c r="I138" s="309"/>
      <c r="J138" s="309"/>
      <c r="K138" s="310"/>
      <c r="L138" s="98" t="s">
        <v>826</v>
      </c>
      <c r="M138" s="97"/>
      <c r="N138" s="97"/>
      <c r="O138" s="97" t="s">
        <v>197</v>
      </c>
      <c r="P138" s="97" t="s">
        <v>198</v>
      </c>
      <c r="Q138" s="97">
        <v>107</v>
      </c>
      <c r="R138" s="97" t="s">
        <v>204</v>
      </c>
      <c r="S138" s="97"/>
      <c r="T138" s="97" t="s">
        <v>199</v>
      </c>
      <c r="U138" s="97" t="s">
        <v>198</v>
      </c>
      <c r="V138" s="142"/>
      <c r="W138" s="199"/>
    </row>
    <row r="139" spans="1:23" ht="68.25" customHeight="1" thickBot="1">
      <c r="A139" s="78"/>
      <c r="B139" s="89"/>
      <c r="C139" s="94"/>
      <c r="D139" s="93"/>
      <c r="E139" s="93"/>
      <c r="F139" s="93"/>
      <c r="G139" s="93"/>
      <c r="H139" s="93"/>
      <c r="I139" s="93"/>
      <c r="J139" s="93">
        <v>1</v>
      </c>
      <c r="K139" s="93">
        <v>0</v>
      </c>
      <c r="L139" s="71" t="s">
        <v>829</v>
      </c>
      <c r="M139" s="91"/>
      <c r="N139" s="91"/>
      <c r="O139" s="91" t="s">
        <v>197</v>
      </c>
      <c r="P139" s="91" t="s">
        <v>198</v>
      </c>
      <c r="Q139" s="91"/>
      <c r="R139" s="91" t="s">
        <v>204</v>
      </c>
      <c r="S139" s="91"/>
      <c r="T139" s="91" t="s">
        <v>199</v>
      </c>
      <c r="U139" s="91" t="s">
        <v>198</v>
      </c>
      <c r="V139" s="132" t="str">
        <f>INDEX(Sequencing!AL4:AL8,MATCH(Sequencing!U33,Sequencing!AK4:AK8,0))</f>
        <v>2b10</v>
      </c>
      <c r="W139" s="132" t="s">
        <v>156</v>
      </c>
    </row>
    <row r="140" spans="1:23" ht="113.25" customHeight="1" thickBot="1">
      <c r="A140" s="78"/>
      <c r="B140" s="89"/>
      <c r="C140" s="94"/>
      <c r="D140" s="93"/>
      <c r="E140" s="93"/>
      <c r="F140" s="93"/>
      <c r="G140" s="67">
        <v>2</v>
      </c>
      <c r="H140" s="67">
        <v>1</v>
      </c>
      <c r="I140" s="67">
        <v>0</v>
      </c>
      <c r="J140" s="67"/>
      <c r="K140" s="67"/>
      <c r="L140" s="71" t="s">
        <v>828</v>
      </c>
      <c r="M140" s="91"/>
      <c r="N140" s="91"/>
      <c r="O140" s="91" t="s">
        <v>197</v>
      </c>
      <c r="P140" s="91" t="s">
        <v>198</v>
      </c>
      <c r="Q140" s="91"/>
      <c r="R140" s="91" t="s">
        <v>204</v>
      </c>
      <c r="S140" s="91"/>
      <c r="T140" s="91" t="s">
        <v>199</v>
      </c>
      <c r="U140" s="91" t="s">
        <v>198</v>
      </c>
      <c r="V140" s="132" t="str">
        <f>INDEX(Sequencing!AO4:AO12,MATCH(Sequencing!U36,Sequencing!AN4:AN12,0))</f>
        <v>3b010</v>
      </c>
      <c r="W140" s="132" t="s">
        <v>158</v>
      </c>
    </row>
    <row r="141" spans="1:23" ht="113.25" customHeight="1" thickBot="1">
      <c r="A141" s="78"/>
      <c r="B141" s="89"/>
      <c r="C141" s="94"/>
      <c r="D141" s="93">
        <v>2</v>
      </c>
      <c r="E141" s="93">
        <v>1</v>
      </c>
      <c r="F141" s="66">
        <v>0</v>
      </c>
      <c r="G141" s="93"/>
      <c r="H141" s="93"/>
      <c r="I141" s="70"/>
      <c r="J141" s="70"/>
      <c r="K141" s="70"/>
      <c r="L141" s="65" t="s">
        <v>827</v>
      </c>
      <c r="M141" s="91"/>
      <c r="N141" s="91"/>
      <c r="O141" s="91" t="s">
        <v>197</v>
      </c>
      <c r="P141" s="91" t="s">
        <v>198</v>
      </c>
      <c r="Q141" s="91"/>
      <c r="R141" s="91" t="s">
        <v>204</v>
      </c>
      <c r="S141" s="91"/>
      <c r="T141" s="91" t="s">
        <v>199</v>
      </c>
      <c r="U141" s="91" t="s">
        <v>198</v>
      </c>
      <c r="V141" s="132" t="str">
        <f>INDEX(Sequencing!AO4:AO12,MATCH(Sequencing!U34,Sequencing!AN4:AN12,0))</f>
        <v>3b010</v>
      </c>
      <c r="W141" s="132" t="s">
        <v>158</v>
      </c>
    </row>
    <row r="142" spans="1:23" ht="13.5" customHeight="1" thickBot="1">
      <c r="A142" s="81" t="s">
        <v>194</v>
      </c>
      <c r="B142" s="100" t="s">
        <v>305</v>
      </c>
      <c r="C142" s="99" t="s">
        <v>306</v>
      </c>
      <c r="D142" s="294"/>
      <c r="E142" s="294"/>
      <c r="F142" s="294"/>
      <c r="G142" s="313"/>
      <c r="H142" s="313"/>
      <c r="I142" s="313"/>
      <c r="J142" s="313"/>
      <c r="K142" s="313"/>
      <c r="L142" s="98" t="s">
        <v>838</v>
      </c>
      <c r="M142" s="97"/>
      <c r="N142" s="97" t="s">
        <v>198</v>
      </c>
      <c r="O142" s="97" t="s">
        <v>197</v>
      </c>
      <c r="P142" s="97" t="s">
        <v>198</v>
      </c>
      <c r="Q142" s="97">
        <v>108</v>
      </c>
      <c r="R142" s="97" t="s">
        <v>204</v>
      </c>
      <c r="S142" s="97"/>
      <c r="T142" s="97" t="s">
        <v>199</v>
      </c>
      <c r="U142" s="97" t="s">
        <v>198</v>
      </c>
      <c r="V142" s="142"/>
      <c r="W142" s="199"/>
    </row>
    <row r="143" spans="1:23" ht="34.5" customHeight="1" thickBot="1">
      <c r="A143" s="86"/>
      <c r="B143" s="95"/>
      <c r="C143" s="94"/>
      <c r="D143" s="93"/>
      <c r="E143" s="93"/>
      <c r="F143" s="93"/>
      <c r="G143" s="93"/>
      <c r="H143" s="93"/>
      <c r="I143" s="93"/>
      <c r="J143" s="93"/>
      <c r="K143" s="93">
        <v>0</v>
      </c>
      <c r="L143" s="71" t="s">
        <v>830</v>
      </c>
      <c r="M143" s="91"/>
      <c r="N143" s="91" t="s">
        <v>198</v>
      </c>
      <c r="O143" s="91" t="s">
        <v>197</v>
      </c>
      <c r="P143" s="91" t="s">
        <v>198</v>
      </c>
      <c r="Q143" s="91"/>
      <c r="R143" s="91" t="s">
        <v>204</v>
      </c>
      <c r="S143" s="91"/>
      <c r="T143" s="91" t="s">
        <v>199</v>
      </c>
      <c r="U143" s="91" t="s">
        <v>198</v>
      </c>
      <c r="V143" s="132" t="s">
        <v>157</v>
      </c>
      <c r="W143" s="132" t="s">
        <v>157</v>
      </c>
    </row>
    <row r="144" spans="1:23" ht="34.5" customHeight="1" thickBot="1">
      <c r="A144" s="86"/>
      <c r="B144" s="95"/>
      <c r="C144" s="94"/>
      <c r="D144" s="93"/>
      <c r="E144" s="93"/>
      <c r="F144" s="93"/>
      <c r="G144" s="93"/>
      <c r="H144" s="93"/>
      <c r="I144" s="93"/>
      <c r="J144" s="93">
        <v>0</v>
      </c>
      <c r="K144" s="93"/>
      <c r="L144" s="71" t="s">
        <v>831</v>
      </c>
      <c r="M144" s="91"/>
      <c r="N144" s="91" t="s">
        <v>198</v>
      </c>
      <c r="O144" s="91" t="s">
        <v>197</v>
      </c>
      <c r="P144" s="91" t="s">
        <v>198</v>
      </c>
      <c r="Q144" s="91"/>
      <c r="R144" s="91" t="s">
        <v>204</v>
      </c>
      <c r="S144" s="91"/>
      <c r="T144" s="91" t="s">
        <v>199</v>
      </c>
      <c r="U144" s="91" t="s">
        <v>198</v>
      </c>
      <c r="V144" s="132" t="s">
        <v>157</v>
      </c>
      <c r="W144" s="132" t="s">
        <v>157</v>
      </c>
    </row>
    <row r="145" spans="1:23" ht="34.5" customHeight="1" thickBot="1">
      <c r="A145" s="86"/>
      <c r="B145" s="95"/>
      <c r="C145" s="94"/>
      <c r="D145" s="93"/>
      <c r="E145" s="93"/>
      <c r="F145" s="93"/>
      <c r="G145" s="93"/>
      <c r="H145" s="93"/>
      <c r="I145" s="93">
        <v>0</v>
      </c>
      <c r="J145" s="93"/>
      <c r="K145" s="93"/>
      <c r="L145" s="71" t="s">
        <v>832</v>
      </c>
      <c r="M145" s="91"/>
      <c r="N145" s="91" t="s">
        <v>198</v>
      </c>
      <c r="O145" s="91" t="s">
        <v>197</v>
      </c>
      <c r="P145" s="91" t="s">
        <v>198</v>
      </c>
      <c r="Q145" s="91"/>
      <c r="R145" s="91" t="s">
        <v>204</v>
      </c>
      <c r="S145" s="91"/>
      <c r="T145" s="91" t="s">
        <v>199</v>
      </c>
      <c r="U145" s="91" t="s">
        <v>198</v>
      </c>
      <c r="V145" s="132" t="s">
        <v>157</v>
      </c>
      <c r="W145" s="132" t="s">
        <v>157</v>
      </c>
    </row>
    <row r="146" spans="1:23" ht="34.5" customHeight="1" thickBot="1">
      <c r="A146" s="86"/>
      <c r="B146" s="95"/>
      <c r="C146" s="94"/>
      <c r="D146" s="93"/>
      <c r="E146" s="93"/>
      <c r="F146" s="93"/>
      <c r="G146" s="93"/>
      <c r="H146" s="93">
        <v>0</v>
      </c>
      <c r="I146" s="93"/>
      <c r="J146" s="93"/>
      <c r="K146" s="93"/>
      <c r="L146" s="71" t="s">
        <v>833</v>
      </c>
      <c r="M146" s="91"/>
      <c r="N146" s="91" t="s">
        <v>198</v>
      </c>
      <c r="O146" s="91" t="s">
        <v>197</v>
      </c>
      <c r="P146" s="91" t="s">
        <v>198</v>
      </c>
      <c r="Q146" s="91"/>
      <c r="R146" s="91" t="s">
        <v>204</v>
      </c>
      <c r="S146" s="91"/>
      <c r="T146" s="91" t="s">
        <v>199</v>
      </c>
      <c r="U146" s="91" t="s">
        <v>198</v>
      </c>
      <c r="V146" s="132" t="s">
        <v>157</v>
      </c>
      <c r="W146" s="132" t="s">
        <v>157</v>
      </c>
    </row>
    <row r="147" spans="1:23" ht="34.5" customHeight="1" thickBot="1">
      <c r="A147" s="86"/>
      <c r="B147" s="95"/>
      <c r="C147" s="94"/>
      <c r="D147" s="93"/>
      <c r="E147" s="93"/>
      <c r="F147" s="93"/>
      <c r="G147" s="93">
        <v>0</v>
      </c>
      <c r="H147" s="93"/>
      <c r="I147" s="93"/>
      <c r="J147" s="93"/>
      <c r="K147" s="93"/>
      <c r="L147" s="71" t="s">
        <v>834</v>
      </c>
      <c r="M147" s="91"/>
      <c r="N147" s="91" t="s">
        <v>198</v>
      </c>
      <c r="O147" s="91" t="s">
        <v>197</v>
      </c>
      <c r="P147" s="91" t="s">
        <v>198</v>
      </c>
      <c r="Q147" s="91"/>
      <c r="R147" s="91" t="s">
        <v>204</v>
      </c>
      <c r="S147" s="91"/>
      <c r="T147" s="91" t="s">
        <v>199</v>
      </c>
      <c r="U147" s="91" t="s">
        <v>198</v>
      </c>
      <c r="V147" s="132" t="s">
        <v>157</v>
      </c>
      <c r="W147" s="132" t="s">
        <v>157</v>
      </c>
    </row>
    <row r="148" spans="1:23" ht="34.5" customHeight="1" thickBot="1">
      <c r="A148" s="86"/>
      <c r="B148" s="95"/>
      <c r="C148" s="94"/>
      <c r="D148" s="93"/>
      <c r="E148" s="93"/>
      <c r="F148" s="93">
        <v>0</v>
      </c>
      <c r="G148" s="93"/>
      <c r="H148" s="93"/>
      <c r="I148" s="93"/>
      <c r="J148" s="93"/>
      <c r="K148" s="93"/>
      <c r="L148" s="71" t="s">
        <v>835</v>
      </c>
      <c r="M148" s="91"/>
      <c r="N148" s="91" t="s">
        <v>198</v>
      </c>
      <c r="O148" s="91" t="s">
        <v>197</v>
      </c>
      <c r="P148" s="91" t="s">
        <v>198</v>
      </c>
      <c r="Q148" s="91"/>
      <c r="R148" s="91" t="s">
        <v>204</v>
      </c>
      <c r="S148" s="91"/>
      <c r="T148" s="91" t="s">
        <v>199</v>
      </c>
      <c r="U148" s="91" t="s">
        <v>198</v>
      </c>
      <c r="V148" s="132" t="s">
        <v>157</v>
      </c>
      <c r="W148" s="132" t="s">
        <v>157</v>
      </c>
    </row>
    <row r="149" spans="1:23" ht="34.5" customHeight="1" thickBot="1">
      <c r="A149" s="86"/>
      <c r="B149" s="95"/>
      <c r="C149" s="94"/>
      <c r="D149" s="93"/>
      <c r="E149" s="93">
        <v>0</v>
      </c>
      <c r="F149" s="93"/>
      <c r="G149" s="93"/>
      <c r="H149" s="93"/>
      <c r="I149" s="93"/>
      <c r="J149" s="93"/>
      <c r="K149" s="93"/>
      <c r="L149" s="71" t="s">
        <v>836</v>
      </c>
      <c r="M149" s="91"/>
      <c r="N149" s="91" t="s">
        <v>198</v>
      </c>
      <c r="O149" s="91" t="s">
        <v>197</v>
      </c>
      <c r="P149" s="91" t="s">
        <v>198</v>
      </c>
      <c r="Q149" s="91"/>
      <c r="R149" s="91" t="s">
        <v>204</v>
      </c>
      <c r="S149" s="91"/>
      <c r="T149" s="91" t="s">
        <v>199</v>
      </c>
      <c r="U149" s="91" t="s">
        <v>198</v>
      </c>
      <c r="V149" s="132" t="s">
        <v>157</v>
      </c>
      <c r="W149" s="132" t="s">
        <v>157</v>
      </c>
    </row>
    <row r="150" spans="1:23" ht="34.5" customHeight="1" thickBot="1">
      <c r="A150" s="86"/>
      <c r="B150" s="95"/>
      <c r="C150" s="94"/>
      <c r="D150" s="93">
        <v>0</v>
      </c>
      <c r="E150" s="93"/>
      <c r="F150" s="93"/>
      <c r="G150" s="93"/>
      <c r="H150" s="93"/>
      <c r="I150" s="93"/>
      <c r="J150" s="93"/>
      <c r="K150" s="93"/>
      <c r="L150" s="71" t="s">
        <v>837</v>
      </c>
      <c r="M150" s="91"/>
      <c r="N150" s="91" t="s">
        <v>198</v>
      </c>
      <c r="O150" s="91" t="s">
        <v>197</v>
      </c>
      <c r="P150" s="91" t="s">
        <v>198</v>
      </c>
      <c r="Q150" s="91"/>
      <c r="R150" s="91" t="s">
        <v>204</v>
      </c>
      <c r="S150" s="91"/>
      <c r="T150" s="91" t="s">
        <v>199</v>
      </c>
      <c r="U150" s="91" t="s">
        <v>198</v>
      </c>
      <c r="V150" s="132" t="s">
        <v>157</v>
      </c>
      <c r="W150" s="132" t="s">
        <v>157</v>
      </c>
    </row>
    <row r="151" spans="1:23" ht="13.5" customHeight="1" thickBot="1">
      <c r="A151" s="81" t="s">
        <v>194</v>
      </c>
      <c r="B151" s="100" t="s">
        <v>307</v>
      </c>
      <c r="C151" s="99" t="s">
        <v>308</v>
      </c>
      <c r="D151" s="294"/>
      <c r="E151" s="294"/>
      <c r="F151" s="294"/>
      <c r="G151" s="294"/>
      <c r="H151" s="294"/>
      <c r="I151" s="294"/>
      <c r="J151" s="294"/>
      <c r="K151" s="294"/>
      <c r="L151" s="98" t="s">
        <v>839</v>
      </c>
      <c r="M151" s="97"/>
      <c r="N151" s="97"/>
      <c r="O151" s="97" t="s">
        <v>197</v>
      </c>
      <c r="P151" s="97" t="s">
        <v>198</v>
      </c>
      <c r="Q151" s="97">
        <v>109</v>
      </c>
      <c r="R151" s="97" t="s">
        <v>204</v>
      </c>
      <c r="S151" s="97"/>
      <c r="T151" s="97" t="s">
        <v>199</v>
      </c>
      <c r="U151" s="97" t="s">
        <v>198</v>
      </c>
      <c r="V151" s="142"/>
      <c r="W151" s="199"/>
    </row>
    <row r="152" spans="1:23" ht="34.5" customHeight="1" thickBot="1">
      <c r="A152" s="86"/>
      <c r="B152" s="95"/>
      <c r="C152" s="94"/>
      <c r="D152" s="93"/>
      <c r="E152" s="93"/>
      <c r="F152" s="93"/>
      <c r="G152" s="93"/>
      <c r="H152" s="93"/>
      <c r="I152" s="93"/>
      <c r="J152" s="93"/>
      <c r="K152" s="93">
        <v>0</v>
      </c>
      <c r="L152" s="71" t="s">
        <v>840</v>
      </c>
      <c r="M152" s="91"/>
      <c r="N152" s="91" t="s">
        <v>198</v>
      </c>
      <c r="O152" s="91" t="s">
        <v>197</v>
      </c>
      <c r="P152" s="91" t="s">
        <v>198</v>
      </c>
      <c r="Q152" s="91"/>
      <c r="R152" s="91" t="s">
        <v>204</v>
      </c>
      <c r="S152" s="91"/>
      <c r="T152" s="91" t="s">
        <v>199</v>
      </c>
      <c r="U152" s="91" t="s">
        <v>198</v>
      </c>
      <c r="V152" s="132" t="s">
        <v>157</v>
      </c>
      <c r="W152" s="132" t="s">
        <v>157</v>
      </c>
    </row>
    <row r="153" spans="1:23" ht="34.5" customHeight="1" thickBot="1">
      <c r="A153" s="86"/>
      <c r="B153" s="95"/>
      <c r="C153" s="94"/>
      <c r="D153" s="93"/>
      <c r="E153" s="93"/>
      <c r="F153" s="93"/>
      <c r="G153" s="93"/>
      <c r="H153" s="93"/>
      <c r="I153" s="93"/>
      <c r="J153" s="93">
        <v>0</v>
      </c>
      <c r="K153" s="93"/>
      <c r="L153" s="71" t="s">
        <v>841</v>
      </c>
      <c r="M153" s="91"/>
      <c r="N153" s="91" t="s">
        <v>198</v>
      </c>
      <c r="O153" s="91" t="s">
        <v>197</v>
      </c>
      <c r="P153" s="91" t="s">
        <v>198</v>
      </c>
      <c r="Q153" s="91"/>
      <c r="R153" s="91" t="s">
        <v>204</v>
      </c>
      <c r="S153" s="91"/>
      <c r="T153" s="91" t="s">
        <v>199</v>
      </c>
      <c r="U153" s="91" t="s">
        <v>198</v>
      </c>
      <c r="V153" s="132" t="s">
        <v>157</v>
      </c>
      <c r="W153" s="132" t="s">
        <v>157</v>
      </c>
    </row>
    <row r="154" spans="1:23" ht="34.5" customHeight="1" thickBot="1">
      <c r="A154" s="86"/>
      <c r="B154" s="95"/>
      <c r="C154" s="94"/>
      <c r="D154" s="93"/>
      <c r="E154" s="93"/>
      <c r="F154" s="93"/>
      <c r="G154" s="93"/>
      <c r="H154" s="93"/>
      <c r="I154" s="93">
        <v>0</v>
      </c>
      <c r="J154" s="93"/>
      <c r="K154" s="93"/>
      <c r="L154" s="71" t="s">
        <v>842</v>
      </c>
      <c r="M154" s="91"/>
      <c r="N154" s="91" t="s">
        <v>198</v>
      </c>
      <c r="O154" s="91" t="s">
        <v>197</v>
      </c>
      <c r="P154" s="91" t="s">
        <v>198</v>
      </c>
      <c r="Q154" s="91"/>
      <c r="R154" s="91" t="s">
        <v>204</v>
      </c>
      <c r="S154" s="91"/>
      <c r="T154" s="91" t="s">
        <v>199</v>
      </c>
      <c r="U154" s="91" t="s">
        <v>198</v>
      </c>
      <c r="V154" s="132" t="s">
        <v>157</v>
      </c>
      <c r="W154" s="132" t="s">
        <v>157</v>
      </c>
    </row>
    <row r="155" spans="1:23" ht="34.5" customHeight="1" thickBot="1">
      <c r="A155" s="96"/>
      <c r="B155" s="89"/>
      <c r="C155" s="94"/>
      <c r="D155" s="93"/>
      <c r="E155" s="93"/>
      <c r="F155" s="93"/>
      <c r="G155" s="93"/>
      <c r="H155" s="93">
        <v>0</v>
      </c>
      <c r="I155" s="93"/>
      <c r="J155" s="93"/>
      <c r="K155" s="93"/>
      <c r="L155" s="71" t="s">
        <v>843</v>
      </c>
      <c r="M155" s="91"/>
      <c r="N155" s="91" t="s">
        <v>198</v>
      </c>
      <c r="O155" s="91" t="s">
        <v>197</v>
      </c>
      <c r="P155" s="91" t="s">
        <v>198</v>
      </c>
      <c r="Q155" s="91"/>
      <c r="R155" s="91" t="s">
        <v>204</v>
      </c>
      <c r="S155" s="91"/>
      <c r="T155" s="91" t="s">
        <v>199</v>
      </c>
      <c r="U155" s="91" t="s">
        <v>198</v>
      </c>
      <c r="V155" s="132" t="s">
        <v>157</v>
      </c>
      <c r="W155" s="132" t="s">
        <v>157</v>
      </c>
    </row>
    <row r="156" spans="1:23" ht="34.5" customHeight="1" thickBot="1">
      <c r="A156" s="96"/>
      <c r="B156" s="89"/>
      <c r="C156" s="94"/>
      <c r="D156" s="93"/>
      <c r="E156" s="93"/>
      <c r="F156" s="93"/>
      <c r="G156" s="93">
        <v>0</v>
      </c>
      <c r="H156" s="93"/>
      <c r="I156" s="93"/>
      <c r="J156" s="93"/>
      <c r="K156" s="93"/>
      <c r="L156" s="71" t="s">
        <v>341</v>
      </c>
      <c r="M156" s="91"/>
      <c r="N156" s="91"/>
      <c r="O156" s="91" t="s">
        <v>197</v>
      </c>
      <c r="P156" s="91" t="s">
        <v>198</v>
      </c>
      <c r="Q156" s="91"/>
      <c r="R156" s="91" t="s">
        <v>204</v>
      </c>
      <c r="S156" s="91"/>
      <c r="T156" s="91" t="s">
        <v>199</v>
      </c>
      <c r="U156" s="91" t="s">
        <v>198</v>
      </c>
      <c r="V156" s="132" t="str">
        <f>IF(Sequencing!D16="Yes","1b0","1b1")</f>
        <v>1b0</v>
      </c>
      <c r="W156" s="132" t="s">
        <v>157</v>
      </c>
    </row>
    <row r="157" spans="1:23" ht="34.5" customHeight="1" thickBot="1">
      <c r="A157" s="96"/>
      <c r="B157" s="89"/>
      <c r="C157" s="94"/>
      <c r="D157" s="93"/>
      <c r="E157" s="93"/>
      <c r="F157" s="93">
        <v>0</v>
      </c>
      <c r="G157" s="93"/>
      <c r="H157" s="93"/>
      <c r="I157" s="93"/>
      <c r="J157" s="93"/>
      <c r="K157" s="93"/>
      <c r="L157" s="71" t="s">
        <v>844</v>
      </c>
      <c r="M157" s="91"/>
      <c r="N157" s="91"/>
      <c r="O157" s="91" t="s">
        <v>197</v>
      </c>
      <c r="P157" s="91" t="s">
        <v>198</v>
      </c>
      <c r="Q157" s="91"/>
      <c r="R157" s="91" t="s">
        <v>204</v>
      </c>
      <c r="S157" s="91"/>
      <c r="T157" s="91" t="s">
        <v>199</v>
      </c>
      <c r="U157" s="91" t="s">
        <v>198</v>
      </c>
      <c r="V157" s="132" t="str">
        <f>IF(Sequencing!D13="Yes","1b0","1b1")</f>
        <v>1b0</v>
      </c>
      <c r="W157" s="132" t="s">
        <v>157</v>
      </c>
    </row>
    <row r="158" spans="1:23" ht="34.5" customHeight="1" thickBot="1">
      <c r="A158" s="96"/>
      <c r="B158" s="89"/>
      <c r="C158" s="94"/>
      <c r="D158" s="93"/>
      <c r="E158" s="93">
        <v>0</v>
      </c>
      <c r="F158" s="93"/>
      <c r="G158" s="93"/>
      <c r="H158" s="93"/>
      <c r="I158" s="93"/>
      <c r="J158" s="93"/>
      <c r="K158" s="93"/>
      <c r="L158" s="71" t="s">
        <v>845</v>
      </c>
      <c r="M158" s="91"/>
      <c r="N158" s="91"/>
      <c r="O158" s="91" t="s">
        <v>197</v>
      </c>
      <c r="P158" s="91" t="s">
        <v>198</v>
      </c>
      <c r="Q158" s="91"/>
      <c r="R158" s="91" t="s">
        <v>204</v>
      </c>
      <c r="S158" s="91"/>
      <c r="T158" s="91" t="s">
        <v>199</v>
      </c>
      <c r="U158" s="91" t="s">
        <v>198</v>
      </c>
      <c r="V158" s="132" t="str">
        <f>IF(Sequencing!D14="Yes","1b0","1b1")</f>
        <v>1b0</v>
      </c>
      <c r="W158" s="132" t="s">
        <v>157</v>
      </c>
    </row>
    <row r="159" spans="1:23" ht="34.5" customHeight="1" thickBot="1">
      <c r="A159" s="96"/>
      <c r="B159" s="89"/>
      <c r="C159" s="94"/>
      <c r="D159" s="93">
        <v>0</v>
      </c>
      <c r="E159" s="93"/>
      <c r="F159" s="93"/>
      <c r="G159" s="93"/>
      <c r="H159" s="93"/>
      <c r="I159" s="93"/>
      <c r="J159" s="93"/>
      <c r="K159" s="93"/>
      <c r="L159" s="71" t="s">
        <v>953</v>
      </c>
      <c r="M159" s="91"/>
      <c r="N159" s="91"/>
      <c r="O159" s="91" t="s">
        <v>197</v>
      </c>
      <c r="P159" s="91" t="s">
        <v>198</v>
      </c>
      <c r="Q159" s="91"/>
      <c r="R159" s="91" t="s">
        <v>204</v>
      </c>
      <c r="S159" s="91"/>
      <c r="T159" s="91" t="s">
        <v>199</v>
      </c>
      <c r="U159" s="91" t="s">
        <v>198</v>
      </c>
      <c r="V159" s="132" t="str">
        <f>IF(Sequencing!D15="Yes","1b0","1b1")</f>
        <v>1b1</v>
      </c>
      <c r="W159" s="132" t="s">
        <v>157</v>
      </c>
    </row>
    <row r="160" spans="1:23" ht="13.5" customHeight="1" thickBot="1">
      <c r="A160" s="101" t="s">
        <v>194</v>
      </c>
      <c r="B160" s="100" t="s">
        <v>311</v>
      </c>
      <c r="C160" s="90" t="s">
        <v>312</v>
      </c>
      <c r="D160" s="294"/>
      <c r="E160" s="294"/>
      <c r="F160" s="294"/>
      <c r="G160" s="294"/>
      <c r="H160" s="294"/>
      <c r="I160" s="294"/>
      <c r="J160" s="294"/>
      <c r="K160" s="294"/>
      <c r="L160" s="98" t="s">
        <v>846</v>
      </c>
      <c r="M160" s="97"/>
      <c r="N160" s="97"/>
      <c r="O160" s="97" t="s">
        <v>197</v>
      </c>
      <c r="P160" s="97" t="s">
        <v>198</v>
      </c>
      <c r="Q160" s="97">
        <v>110</v>
      </c>
      <c r="R160" s="97" t="s">
        <v>204</v>
      </c>
      <c r="S160" s="97"/>
      <c r="T160" s="97" t="s">
        <v>199</v>
      </c>
      <c r="U160" s="97" t="s">
        <v>198</v>
      </c>
      <c r="V160" s="140"/>
      <c r="W160" s="140"/>
    </row>
    <row r="161" spans="1:23" ht="34.5" customHeight="1" thickBot="1">
      <c r="A161" s="96"/>
      <c r="B161" s="89"/>
      <c r="C161" s="94"/>
      <c r="D161" s="93"/>
      <c r="E161" s="93"/>
      <c r="F161" s="93"/>
      <c r="G161" s="93"/>
      <c r="H161" s="93"/>
      <c r="I161" s="93"/>
      <c r="J161" s="93"/>
      <c r="K161" s="93">
        <v>0</v>
      </c>
      <c r="L161" s="71" t="s">
        <v>297</v>
      </c>
      <c r="M161" s="91"/>
      <c r="N161" s="91"/>
      <c r="O161" s="91" t="s">
        <v>197</v>
      </c>
      <c r="P161" s="91" t="s">
        <v>198</v>
      </c>
      <c r="Q161" s="91"/>
      <c r="R161" s="91" t="s">
        <v>204</v>
      </c>
      <c r="S161" s="91"/>
      <c r="T161" s="91" t="s">
        <v>199</v>
      </c>
      <c r="U161" s="91" t="s">
        <v>198</v>
      </c>
      <c r="V161" s="132" t="str">
        <f>IF(Sequencing!E5="Yes","1b1","1b0")</f>
        <v>1b0</v>
      </c>
      <c r="W161" s="132" t="s">
        <v>157</v>
      </c>
    </row>
    <row r="162" spans="1:23" ht="34.5" customHeight="1" thickBot="1">
      <c r="A162" s="96"/>
      <c r="B162" s="76"/>
      <c r="C162" s="75"/>
      <c r="D162" s="74"/>
      <c r="E162" s="74"/>
      <c r="F162" s="74"/>
      <c r="G162" s="74"/>
      <c r="H162" s="74"/>
      <c r="I162" s="74"/>
      <c r="J162" s="74">
        <v>0</v>
      </c>
      <c r="K162" s="74"/>
      <c r="L162" s="71" t="s">
        <v>298</v>
      </c>
      <c r="M162" s="91"/>
      <c r="N162" s="91"/>
      <c r="O162" s="91" t="s">
        <v>197</v>
      </c>
      <c r="P162" s="91" t="s">
        <v>198</v>
      </c>
      <c r="Q162" s="91"/>
      <c r="R162" s="91" t="s">
        <v>204</v>
      </c>
      <c r="S162" s="91"/>
      <c r="T162" s="91" t="s">
        <v>199</v>
      </c>
      <c r="U162" s="91" t="s">
        <v>198</v>
      </c>
      <c r="V162" s="132" t="str">
        <f>IF(Sequencing!E6="Yes","1b1","1b0")</f>
        <v>1b0</v>
      </c>
      <c r="W162" s="132" t="s">
        <v>157</v>
      </c>
    </row>
    <row r="163" spans="1:23" ht="34.5" customHeight="1" thickBot="1">
      <c r="A163" s="96"/>
      <c r="B163" s="89"/>
      <c r="C163" s="94"/>
      <c r="D163" s="93"/>
      <c r="E163" s="93"/>
      <c r="F163" s="93"/>
      <c r="G163" s="93"/>
      <c r="H163" s="93"/>
      <c r="I163" s="93">
        <v>0</v>
      </c>
      <c r="J163" s="93"/>
      <c r="K163" s="93"/>
      <c r="L163" s="71" t="s">
        <v>299</v>
      </c>
      <c r="M163" s="91"/>
      <c r="N163" s="91"/>
      <c r="O163" s="91" t="s">
        <v>197</v>
      </c>
      <c r="P163" s="91" t="s">
        <v>198</v>
      </c>
      <c r="Q163" s="91"/>
      <c r="R163" s="91" t="s">
        <v>204</v>
      </c>
      <c r="S163" s="91"/>
      <c r="T163" s="91" t="s">
        <v>199</v>
      </c>
      <c r="U163" s="91" t="s">
        <v>198</v>
      </c>
      <c r="V163" s="132" t="str">
        <f>IF(Sequencing!E7="Yes","1b1","1b0")</f>
        <v>1b0</v>
      </c>
      <c r="W163" s="132" t="s">
        <v>157</v>
      </c>
    </row>
    <row r="164" spans="1:23" ht="34.5" customHeight="1" thickBot="1">
      <c r="A164" s="96"/>
      <c r="B164" s="89"/>
      <c r="C164" s="94"/>
      <c r="D164" s="93"/>
      <c r="E164" s="93"/>
      <c r="F164" s="93"/>
      <c r="G164" s="93"/>
      <c r="H164" s="93">
        <v>0</v>
      </c>
      <c r="I164" s="93"/>
      <c r="J164" s="93"/>
      <c r="K164" s="93"/>
      <c r="L164" s="71" t="s">
        <v>239</v>
      </c>
      <c r="M164" s="91"/>
      <c r="N164" s="91"/>
      <c r="O164" s="91" t="s">
        <v>197</v>
      </c>
      <c r="P164" s="91" t="s">
        <v>198</v>
      </c>
      <c r="Q164" s="91"/>
      <c r="R164" s="91" t="s">
        <v>204</v>
      </c>
      <c r="S164" s="91"/>
      <c r="T164" s="91" t="s">
        <v>199</v>
      </c>
      <c r="U164" s="91" t="s">
        <v>198</v>
      </c>
      <c r="V164" s="132" t="str">
        <f>IF(Sequencing!E8="Yes","1b1","1b0")</f>
        <v>1b0</v>
      </c>
      <c r="W164" s="132" t="s">
        <v>157</v>
      </c>
    </row>
    <row r="165" spans="1:23" ht="34.5" customHeight="1" thickBot="1">
      <c r="A165" s="96"/>
      <c r="B165" s="89"/>
      <c r="C165" s="94"/>
      <c r="D165" s="93"/>
      <c r="E165" s="93"/>
      <c r="F165" s="93"/>
      <c r="G165" s="93">
        <v>0</v>
      </c>
      <c r="H165" s="93"/>
      <c r="I165" s="93"/>
      <c r="J165" s="93"/>
      <c r="K165" s="93"/>
      <c r="L165" s="71" t="s">
        <v>243</v>
      </c>
      <c r="M165" s="91"/>
      <c r="N165" s="91"/>
      <c r="O165" s="91" t="s">
        <v>197</v>
      </c>
      <c r="P165" s="91" t="s">
        <v>198</v>
      </c>
      <c r="Q165" s="91"/>
      <c r="R165" s="91" t="s">
        <v>204</v>
      </c>
      <c r="S165" s="91"/>
      <c r="T165" s="91" t="s">
        <v>199</v>
      </c>
      <c r="U165" s="91" t="s">
        <v>198</v>
      </c>
      <c r="V165" s="132" t="str">
        <f>IF(Sequencing!E9="Yes","1b1","1b0")</f>
        <v>1b1</v>
      </c>
      <c r="W165" s="132" t="s">
        <v>157</v>
      </c>
    </row>
    <row r="166" spans="1:23" ht="34.5" customHeight="1" thickBot="1">
      <c r="A166" s="96"/>
      <c r="B166" s="89"/>
      <c r="C166" s="94"/>
      <c r="D166" s="93"/>
      <c r="E166" s="93"/>
      <c r="F166" s="93">
        <v>0</v>
      </c>
      <c r="G166" s="93"/>
      <c r="H166" s="93"/>
      <c r="I166" s="93"/>
      <c r="J166" s="93"/>
      <c r="K166" s="93"/>
      <c r="L166" s="71" t="s">
        <v>247</v>
      </c>
      <c r="M166" s="91"/>
      <c r="N166" s="91"/>
      <c r="O166" s="91" t="s">
        <v>197</v>
      </c>
      <c r="P166" s="91" t="s">
        <v>198</v>
      </c>
      <c r="Q166" s="91"/>
      <c r="R166" s="91" t="s">
        <v>204</v>
      </c>
      <c r="S166" s="91"/>
      <c r="T166" s="91" t="s">
        <v>199</v>
      </c>
      <c r="U166" s="91" t="s">
        <v>198</v>
      </c>
      <c r="V166" s="132" t="str">
        <f>IF(Sequencing!E10="Yes","1b1","1b0")</f>
        <v>1b0</v>
      </c>
      <c r="W166" s="132" t="s">
        <v>157</v>
      </c>
    </row>
    <row r="167" spans="1:23" ht="34.5" customHeight="1" thickBot="1">
      <c r="A167" s="96"/>
      <c r="B167" s="89"/>
      <c r="C167" s="94"/>
      <c r="D167" s="93"/>
      <c r="E167" s="93">
        <v>0</v>
      </c>
      <c r="F167" s="93"/>
      <c r="G167" s="93"/>
      <c r="H167" s="93"/>
      <c r="I167" s="93"/>
      <c r="J167" s="93"/>
      <c r="K167" s="93"/>
      <c r="L167" s="71" t="s">
        <v>847</v>
      </c>
      <c r="M167" s="91"/>
      <c r="N167" s="91"/>
      <c r="O167" s="91" t="s">
        <v>197</v>
      </c>
      <c r="P167" s="91" t="s">
        <v>198</v>
      </c>
      <c r="Q167" s="91"/>
      <c r="R167" s="91" t="s">
        <v>204</v>
      </c>
      <c r="S167" s="91"/>
      <c r="T167" s="91" t="s">
        <v>199</v>
      </c>
      <c r="U167" s="91" t="s">
        <v>198</v>
      </c>
      <c r="V167" s="132" t="str">
        <f>IF(Sequencing!E13="Yes","1b1","1b0")</f>
        <v>1b1</v>
      </c>
      <c r="W167" s="132" t="s">
        <v>157</v>
      </c>
    </row>
    <row r="168" spans="1:23" ht="13" thickBot="1">
      <c r="A168" s="96"/>
      <c r="B168" s="89"/>
      <c r="C168" s="94"/>
      <c r="D168" s="93">
        <v>0</v>
      </c>
      <c r="E168" s="93"/>
      <c r="F168" s="93"/>
      <c r="G168" s="93"/>
      <c r="H168" s="93"/>
      <c r="I168" s="93"/>
      <c r="J168" s="93"/>
      <c r="K168" s="93"/>
      <c r="L168" s="71" t="s">
        <v>848</v>
      </c>
      <c r="M168" s="91"/>
      <c r="N168" s="91"/>
      <c r="O168" s="91" t="s">
        <v>197</v>
      </c>
      <c r="P168" s="91" t="s">
        <v>198</v>
      </c>
      <c r="Q168" s="91"/>
      <c r="R168" s="91" t="s">
        <v>204</v>
      </c>
      <c r="S168" s="91"/>
      <c r="T168" s="91" t="s">
        <v>199</v>
      </c>
      <c r="U168" s="91" t="s">
        <v>198</v>
      </c>
      <c r="V168" s="132" t="str">
        <f>IF(Sequencing!E11="Yes","1b1","1b0")</f>
        <v>1b1</v>
      </c>
      <c r="W168" s="132" t="s">
        <v>157</v>
      </c>
    </row>
    <row r="169" spans="1:23" ht="13.5" customHeight="1" thickBot="1">
      <c r="A169" s="101" t="s">
        <v>194</v>
      </c>
      <c r="B169" s="100" t="s">
        <v>313</v>
      </c>
      <c r="C169" s="90" t="s">
        <v>314</v>
      </c>
      <c r="D169" s="294"/>
      <c r="E169" s="294"/>
      <c r="F169" s="294"/>
      <c r="G169" s="294"/>
      <c r="H169" s="294"/>
      <c r="I169" s="294"/>
      <c r="J169" s="294"/>
      <c r="K169" s="294"/>
      <c r="L169" s="98" t="s">
        <v>849</v>
      </c>
      <c r="M169" s="97"/>
      <c r="N169" s="97"/>
      <c r="O169" s="97" t="s">
        <v>197</v>
      </c>
      <c r="P169" s="97" t="s">
        <v>198</v>
      </c>
      <c r="Q169" s="97">
        <v>111</v>
      </c>
      <c r="R169" s="97" t="s">
        <v>204</v>
      </c>
      <c r="S169" s="97"/>
      <c r="T169" s="97" t="s">
        <v>199</v>
      </c>
      <c r="U169" s="97" t="s">
        <v>198</v>
      </c>
      <c r="V169" s="140"/>
      <c r="W169" s="140"/>
    </row>
    <row r="170" spans="1:23" ht="34.5" customHeight="1" thickBot="1">
      <c r="A170" s="96"/>
      <c r="B170" s="89"/>
      <c r="C170" s="94"/>
      <c r="D170" s="93"/>
      <c r="E170" s="93"/>
      <c r="F170" s="93"/>
      <c r="G170" s="93"/>
      <c r="H170" s="93"/>
      <c r="I170" s="93"/>
      <c r="J170" s="93"/>
      <c r="K170" s="93">
        <v>0</v>
      </c>
      <c r="L170" s="71" t="s">
        <v>850</v>
      </c>
      <c r="M170" s="91"/>
      <c r="N170" s="91"/>
      <c r="O170" s="91" t="s">
        <v>197</v>
      </c>
      <c r="P170" s="91" t="s">
        <v>198</v>
      </c>
      <c r="Q170" s="91"/>
      <c r="R170" s="91" t="s">
        <v>204</v>
      </c>
      <c r="S170" s="91"/>
      <c r="T170" s="91" t="s">
        <v>199</v>
      </c>
      <c r="U170" s="91" t="s">
        <v>198</v>
      </c>
      <c r="V170" s="132" t="str">
        <f>IF(Sequencing!E12="Yes","1b1","1b0")</f>
        <v>1b0</v>
      </c>
      <c r="W170" s="132" t="s">
        <v>157</v>
      </c>
    </row>
    <row r="171" spans="1:23" ht="34.5" customHeight="1" thickBot="1">
      <c r="A171" s="96"/>
      <c r="B171" s="76"/>
      <c r="C171" s="75"/>
      <c r="D171" s="74"/>
      <c r="E171" s="74"/>
      <c r="F171" s="74"/>
      <c r="G171" s="74"/>
      <c r="H171" s="74"/>
      <c r="I171" s="74"/>
      <c r="J171" s="74">
        <v>0</v>
      </c>
      <c r="K171" s="74"/>
      <c r="L171" s="71" t="s">
        <v>754</v>
      </c>
      <c r="M171" s="91"/>
      <c r="N171" s="91"/>
      <c r="O171" s="91" t="s">
        <v>197</v>
      </c>
      <c r="P171" s="91" t="s">
        <v>198</v>
      </c>
      <c r="Q171" s="91"/>
      <c r="R171" s="91" t="s">
        <v>204</v>
      </c>
      <c r="S171" s="91"/>
      <c r="T171" s="91" t="s">
        <v>199</v>
      </c>
      <c r="U171" s="91" t="s">
        <v>198</v>
      </c>
      <c r="V171" s="132" t="str">
        <f>IF(Sequencing!E14="Yes","1b1","1b0")</f>
        <v>1b1</v>
      </c>
      <c r="W171" s="132" t="s">
        <v>157</v>
      </c>
    </row>
    <row r="172" spans="1:23" ht="34.5" customHeight="1" thickBot="1">
      <c r="A172" s="96"/>
      <c r="B172" s="89"/>
      <c r="C172" s="94"/>
      <c r="D172" s="93"/>
      <c r="E172" s="93"/>
      <c r="F172" s="93"/>
      <c r="G172" s="93"/>
      <c r="H172" s="93"/>
      <c r="I172" s="93">
        <v>0</v>
      </c>
      <c r="J172" s="93"/>
      <c r="K172" s="93"/>
      <c r="L172" s="71" t="s">
        <v>954</v>
      </c>
      <c r="M172" s="91"/>
      <c r="N172" s="91"/>
      <c r="O172" s="91" t="s">
        <v>197</v>
      </c>
      <c r="P172" s="91" t="s">
        <v>198</v>
      </c>
      <c r="Q172" s="91"/>
      <c r="R172" s="91" t="s">
        <v>204</v>
      </c>
      <c r="S172" s="91"/>
      <c r="T172" s="91" t="s">
        <v>199</v>
      </c>
      <c r="U172" s="91" t="s">
        <v>198</v>
      </c>
      <c r="V172" s="132" t="str">
        <f>IF(Sequencing!E15="Yes","1b1","1b0")</f>
        <v>1b0</v>
      </c>
      <c r="W172" s="132" t="s">
        <v>157</v>
      </c>
    </row>
    <row r="173" spans="1:23" ht="34.5" customHeight="1" thickBot="1">
      <c r="A173" s="96"/>
      <c r="B173" s="89"/>
      <c r="C173" s="94"/>
      <c r="D173" s="93"/>
      <c r="E173" s="93"/>
      <c r="F173" s="93"/>
      <c r="G173" s="93"/>
      <c r="H173" s="93">
        <v>0</v>
      </c>
      <c r="I173" s="93"/>
      <c r="J173" s="93"/>
      <c r="K173" s="93"/>
      <c r="L173" s="71" t="s">
        <v>310</v>
      </c>
      <c r="M173" s="91"/>
      <c r="N173" s="91"/>
      <c r="O173" s="91" t="s">
        <v>197</v>
      </c>
      <c r="P173" s="91" t="s">
        <v>198</v>
      </c>
      <c r="Q173" s="91"/>
      <c r="R173" s="91" t="s">
        <v>204</v>
      </c>
      <c r="S173" s="91"/>
      <c r="T173" s="91" t="s">
        <v>199</v>
      </c>
      <c r="U173" s="91" t="s">
        <v>198</v>
      </c>
      <c r="V173" s="132" t="str">
        <f>IF(Sequencing!E16="Yes","1b1","1b0")</f>
        <v>1b1</v>
      </c>
      <c r="W173" s="132" t="s">
        <v>157</v>
      </c>
    </row>
    <row r="174" spans="1:23" ht="34.5" customHeight="1" thickBot="1">
      <c r="A174" s="69"/>
      <c r="B174" s="95"/>
      <c r="C174" s="94"/>
      <c r="D174" s="68"/>
      <c r="E174" s="68"/>
      <c r="F174" s="68"/>
      <c r="G174" s="68">
        <v>0</v>
      </c>
      <c r="H174" s="68"/>
      <c r="I174" s="68"/>
      <c r="J174" s="68"/>
      <c r="K174" s="68"/>
      <c r="L174" s="64" t="s">
        <v>852</v>
      </c>
      <c r="M174" s="91"/>
      <c r="N174" s="91"/>
      <c r="O174" s="91" t="s">
        <v>197</v>
      </c>
      <c r="P174" s="91" t="s">
        <v>198</v>
      </c>
      <c r="Q174" s="91"/>
      <c r="R174" s="91" t="s">
        <v>204</v>
      </c>
      <c r="S174" s="91"/>
      <c r="T174" s="91" t="s">
        <v>199</v>
      </c>
      <c r="U174" s="91" t="s">
        <v>198</v>
      </c>
      <c r="V174" s="132" t="str">
        <f>IF(Overview!E46="High","1b1","1b0")</f>
        <v>1b0</v>
      </c>
      <c r="W174" s="132" t="s">
        <v>157</v>
      </c>
    </row>
    <row r="175" spans="1:23" ht="34.5" customHeight="1" thickBot="1">
      <c r="A175" s="69"/>
      <c r="B175" s="95"/>
      <c r="C175" s="94"/>
      <c r="D175" s="68"/>
      <c r="E175" s="68"/>
      <c r="F175" s="68">
        <v>0</v>
      </c>
      <c r="G175" s="68"/>
      <c r="H175" s="68"/>
      <c r="I175" s="68"/>
      <c r="J175" s="68"/>
      <c r="K175" s="68"/>
      <c r="L175" s="64" t="s">
        <v>853</v>
      </c>
      <c r="M175" s="91"/>
      <c r="N175" s="91"/>
      <c r="O175" s="91" t="s">
        <v>197</v>
      </c>
      <c r="P175" s="91" t="s">
        <v>198</v>
      </c>
      <c r="Q175" s="91"/>
      <c r="R175" s="91" t="s">
        <v>204</v>
      </c>
      <c r="S175" s="91"/>
      <c r="T175" s="91" t="s">
        <v>199</v>
      </c>
      <c r="U175" s="91" t="s">
        <v>198</v>
      </c>
      <c r="V175" s="132" t="str">
        <f>IF(Overview!E47="High","1b1","1b0")</f>
        <v>1b0</v>
      </c>
      <c r="W175" s="132" t="s">
        <v>157</v>
      </c>
    </row>
    <row r="176" spans="1:23" ht="34.5" customHeight="1" thickBot="1">
      <c r="A176" s="69"/>
      <c r="B176" s="95"/>
      <c r="C176" s="94"/>
      <c r="D176" s="68"/>
      <c r="E176" s="68">
        <v>0</v>
      </c>
      <c r="F176" s="68"/>
      <c r="G176" s="68"/>
      <c r="H176" s="68"/>
      <c r="I176" s="68"/>
      <c r="J176" s="68"/>
      <c r="K176" s="68"/>
      <c r="L176" s="64" t="s">
        <v>854</v>
      </c>
      <c r="M176" s="91"/>
      <c r="N176" s="91"/>
      <c r="O176" s="91" t="s">
        <v>197</v>
      </c>
      <c r="P176" s="91" t="s">
        <v>198</v>
      </c>
      <c r="Q176" s="91"/>
      <c r="R176" s="91" t="s">
        <v>204</v>
      </c>
      <c r="S176" s="91"/>
      <c r="T176" s="91" t="s">
        <v>199</v>
      </c>
      <c r="U176" s="91" t="s">
        <v>198</v>
      </c>
      <c r="V176" s="132" t="str">
        <f>IF(Overview!E48="High","1b1","1b0")</f>
        <v>1b0</v>
      </c>
      <c r="W176" s="132" t="s">
        <v>157</v>
      </c>
    </row>
    <row r="177" spans="1:23" ht="34.5" customHeight="1" thickBot="1">
      <c r="A177" s="69"/>
      <c r="B177" s="95"/>
      <c r="C177" s="94"/>
      <c r="D177" s="68">
        <v>0</v>
      </c>
      <c r="E177" s="68"/>
      <c r="F177" s="68"/>
      <c r="G177" s="68"/>
      <c r="H177" s="68"/>
      <c r="I177" s="68"/>
      <c r="J177" s="68"/>
      <c r="K177" s="68"/>
      <c r="L177" s="64" t="s">
        <v>855</v>
      </c>
      <c r="M177" s="91"/>
      <c r="N177" s="91"/>
      <c r="O177" s="91" t="s">
        <v>197</v>
      </c>
      <c r="P177" s="91" t="s">
        <v>198</v>
      </c>
      <c r="Q177" s="91"/>
      <c r="R177" s="91" t="s">
        <v>204</v>
      </c>
      <c r="S177" s="91"/>
      <c r="T177" s="91" t="s">
        <v>199</v>
      </c>
      <c r="U177" s="91" t="s">
        <v>198</v>
      </c>
      <c r="V177" s="132" t="str">
        <f>IF(Overview!E49="High","1b1","1b0")</f>
        <v>1b0</v>
      </c>
      <c r="W177" s="132" t="s">
        <v>157</v>
      </c>
    </row>
    <row r="178" spans="1:23" ht="13.5" customHeight="1" thickBot="1">
      <c r="A178" s="101" t="s">
        <v>194</v>
      </c>
      <c r="B178" s="100" t="s">
        <v>315</v>
      </c>
      <c r="C178" s="90" t="s">
        <v>316</v>
      </c>
      <c r="D178" s="294"/>
      <c r="E178" s="294"/>
      <c r="F178" s="294"/>
      <c r="G178" s="294"/>
      <c r="H178" s="294"/>
      <c r="I178" s="294"/>
      <c r="J178" s="294"/>
      <c r="K178" s="294"/>
      <c r="L178" s="98" t="s">
        <v>316</v>
      </c>
      <c r="M178" s="97"/>
      <c r="N178" s="97"/>
      <c r="O178" s="97" t="s">
        <v>197</v>
      </c>
      <c r="P178" s="97" t="s">
        <v>198</v>
      </c>
      <c r="Q178" s="97">
        <v>112</v>
      </c>
      <c r="R178" s="97" t="s">
        <v>204</v>
      </c>
      <c r="S178" s="97"/>
      <c r="T178" s="97" t="s">
        <v>199</v>
      </c>
      <c r="U178" s="97" t="s">
        <v>198</v>
      </c>
      <c r="V178" s="140"/>
      <c r="W178" s="140"/>
    </row>
    <row r="179" spans="1:23" ht="34.5" customHeight="1" thickBot="1">
      <c r="A179" s="96"/>
      <c r="B179" s="76"/>
      <c r="C179" s="75"/>
      <c r="D179" s="74"/>
      <c r="E179" s="74"/>
      <c r="F179" s="74"/>
      <c r="G179" s="74"/>
      <c r="H179" s="74"/>
      <c r="I179" s="74"/>
      <c r="J179" s="74"/>
      <c r="K179" s="74">
        <v>0</v>
      </c>
      <c r="L179" s="71" t="s">
        <v>856</v>
      </c>
      <c r="M179" s="91"/>
      <c r="N179" s="91"/>
      <c r="O179" s="91" t="s">
        <v>197</v>
      </c>
      <c r="P179" s="91" t="s">
        <v>198</v>
      </c>
      <c r="Q179" s="91"/>
      <c r="R179" s="91" t="s">
        <v>204</v>
      </c>
      <c r="S179" s="91"/>
      <c r="T179" s="91" t="s">
        <v>199</v>
      </c>
      <c r="U179" s="91" t="s">
        <v>198</v>
      </c>
      <c r="V179" s="132" t="str">
        <f>IF('Additional Details'!C27="Yes","1b1","1b0")</f>
        <v>1b0</v>
      </c>
      <c r="W179" s="132" t="s">
        <v>157</v>
      </c>
    </row>
    <row r="180" spans="1:23" ht="34.5" customHeight="1" thickBot="1">
      <c r="A180" s="96"/>
      <c r="B180" s="89"/>
      <c r="C180" s="94"/>
      <c r="D180" s="93"/>
      <c r="E180" s="93"/>
      <c r="F180" s="93"/>
      <c r="G180" s="93"/>
      <c r="H180" s="93"/>
      <c r="I180" s="93"/>
      <c r="J180" s="93">
        <v>0</v>
      </c>
      <c r="K180" s="93"/>
      <c r="L180" s="71" t="s">
        <v>857</v>
      </c>
      <c r="M180" s="91"/>
      <c r="N180" s="91"/>
      <c r="O180" s="91" t="s">
        <v>197</v>
      </c>
      <c r="P180" s="91" t="s">
        <v>198</v>
      </c>
      <c r="Q180" s="91"/>
      <c r="R180" s="91" t="s">
        <v>204</v>
      </c>
      <c r="S180" s="91"/>
      <c r="T180" s="91" t="s">
        <v>199</v>
      </c>
      <c r="U180" s="91" t="s">
        <v>198</v>
      </c>
      <c r="V180" s="132" t="str">
        <f>IF('Additional Details'!C28="Yes","1b1","1b0")</f>
        <v>1b0</v>
      </c>
      <c r="W180" s="132" t="s">
        <v>157</v>
      </c>
    </row>
    <row r="181" spans="1:23" ht="34.5" customHeight="1" thickBot="1">
      <c r="A181" s="96"/>
      <c r="B181" s="89"/>
      <c r="C181" s="94"/>
      <c r="D181" s="93"/>
      <c r="E181" s="93"/>
      <c r="F181" s="93"/>
      <c r="G181" s="93"/>
      <c r="H181" s="93"/>
      <c r="I181" s="93">
        <v>0</v>
      </c>
      <c r="J181" s="93"/>
      <c r="K181" s="93"/>
      <c r="L181" s="71" t="s">
        <v>858</v>
      </c>
      <c r="M181" s="91"/>
      <c r="N181" s="91"/>
      <c r="O181" s="91" t="s">
        <v>197</v>
      </c>
      <c r="P181" s="91" t="s">
        <v>198</v>
      </c>
      <c r="Q181" s="91"/>
      <c r="R181" s="91" t="s">
        <v>204</v>
      </c>
      <c r="S181" s="91"/>
      <c r="T181" s="91" t="s">
        <v>199</v>
      </c>
      <c r="U181" s="91" t="s">
        <v>198</v>
      </c>
      <c r="V181" s="132" t="str">
        <f>IF('Additional Details'!C29="Yes","1b1","1b0")</f>
        <v>1b0</v>
      </c>
      <c r="W181" s="132" t="s">
        <v>157</v>
      </c>
    </row>
    <row r="182" spans="1:23" ht="34.5" customHeight="1" thickBot="1">
      <c r="A182" s="96"/>
      <c r="B182" s="89"/>
      <c r="C182" s="94"/>
      <c r="D182" s="93"/>
      <c r="E182" s="93"/>
      <c r="F182" s="93"/>
      <c r="G182" s="93"/>
      <c r="H182" s="93">
        <v>0</v>
      </c>
      <c r="I182" s="93"/>
      <c r="J182" s="93"/>
      <c r="K182" s="93"/>
      <c r="L182" s="71" t="s">
        <v>859</v>
      </c>
      <c r="M182" s="91"/>
      <c r="N182" s="91"/>
      <c r="O182" s="91" t="s">
        <v>197</v>
      </c>
      <c r="P182" s="91" t="s">
        <v>198</v>
      </c>
      <c r="Q182" s="91"/>
      <c r="R182" s="91" t="s">
        <v>204</v>
      </c>
      <c r="S182" s="91"/>
      <c r="T182" s="91" t="s">
        <v>199</v>
      </c>
      <c r="U182" s="91" t="s">
        <v>198</v>
      </c>
      <c r="V182" s="132" t="str">
        <f>IF('Additional Details'!C30="Yes","1b1","1b0")</f>
        <v>1b0</v>
      </c>
      <c r="W182" s="132" t="s">
        <v>157</v>
      </c>
    </row>
    <row r="183" spans="1:23" ht="34.5" customHeight="1" thickBot="1">
      <c r="A183" s="96"/>
      <c r="B183" s="89"/>
      <c r="C183" s="94"/>
      <c r="D183" s="93"/>
      <c r="E183" s="93"/>
      <c r="F183" s="93"/>
      <c r="G183" s="93">
        <v>0</v>
      </c>
      <c r="H183" s="93"/>
      <c r="I183" s="93"/>
      <c r="J183" s="93"/>
      <c r="K183" s="93"/>
      <c r="L183" s="71" t="s">
        <v>860</v>
      </c>
      <c r="M183" s="91"/>
      <c r="N183" s="91"/>
      <c r="O183" s="91" t="s">
        <v>197</v>
      </c>
      <c r="P183" s="91" t="s">
        <v>198</v>
      </c>
      <c r="Q183" s="91"/>
      <c r="R183" s="91" t="s">
        <v>204</v>
      </c>
      <c r="S183" s="91"/>
      <c r="T183" s="91" t="s">
        <v>199</v>
      </c>
      <c r="U183" s="91" t="s">
        <v>198</v>
      </c>
      <c r="V183" s="132" t="str">
        <f>IF('Additional Details'!C31="Yes","1b1","1b0")</f>
        <v>1b1</v>
      </c>
      <c r="W183" s="132" t="s">
        <v>157</v>
      </c>
    </row>
    <row r="184" spans="1:23" ht="34.5" customHeight="1" thickBot="1">
      <c r="A184" s="96"/>
      <c r="B184" s="89"/>
      <c r="C184" s="94"/>
      <c r="D184" s="93"/>
      <c r="E184" s="93"/>
      <c r="F184" s="93">
        <v>0</v>
      </c>
      <c r="G184" s="93"/>
      <c r="H184" s="93"/>
      <c r="I184" s="93"/>
      <c r="J184" s="93"/>
      <c r="K184" s="93"/>
      <c r="L184" s="71" t="s">
        <v>861</v>
      </c>
      <c r="M184" s="91"/>
      <c r="N184" s="91"/>
      <c r="O184" s="91" t="s">
        <v>197</v>
      </c>
      <c r="P184" s="91" t="s">
        <v>198</v>
      </c>
      <c r="Q184" s="91"/>
      <c r="R184" s="91" t="s">
        <v>204</v>
      </c>
      <c r="S184" s="91"/>
      <c r="T184" s="91" t="s">
        <v>199</v>
      </c>
      <c r="U184" s="91" t="s">
        <v>198</v>
      </c>
      <c r="V184" s="132" t="str">
        <f>IF('Additional Details'!C32="Yes","1b1","1b0")</f>
        <v>1b0</v>
      </c>
      <c r="W184" s="132" t="s">
        <v>157</v>
      </c>
    </row>
    <row r="185" spans="1:23" ht="34.5" customHeight="1" thickBot="1">
      <c r="A185" s="96"/>
      <c r="B185" s="89"/>
      <c r="C185" s="94"/>
      <c r="D185" s="93"/>
      <c r="E185" s="93">
        <v>0</v>
      </c>
      <c r="F185" s="93"/>
      <c r="G185" s="93"/>
      <c r="H185" s="93"/>
      <c r="I185" s="93"/>
      <c r="J185" s="93"/>
      <c r="K185" s="93"/>
      <c r="L185" s="71" t="s">
        <v>862</v>
      </c>
      <c r="M185" s="91"/>
      <c r="N185" s="91"/>
      <c r="O185" s="91" t="s">
        <v>197</v>
      </c>
      <c r="P185" s="91" t="s">
        <v>198</v>
      </c>
      <c r="Q185" s="91"/>
      <c r="R185" s="91" t="s">
        <v>204</v>
      </c>
      <c r="S185" s="91"/>
      <c r="T185" s="91" t="s">
        <v>199</v>
      </c>
      <c r="U185" s="91" t="s">
        <v>198</v>
      </c>
      <c r="V185" s="132" t="str">
        <f>IF('Additional Details'!C36="Yes","1b1","1b0")</f>
        <v>1b1</v>
      </c>
      <c r="W185" s="132" t="s">
        <v>157</v>
      </c>
    </row>
    <row r="186" spans="1:23" ht="34.5" customHeight="1" thickBot="1">
      <c r="A186" s="96"/>
      <c r="B186" s="89"/>
      <c r="C186" s="94"/>
      <c r="D186" s="93">
        <v>0</v>
      </c>
      <c r="E186" s="93"/>
      <c r="F186" s="93"/>
      <c r="G186" s="93"/>
      <c r="H186" s="93"/>
      <c r="I186" s="93"/>
      <c r="J186" s="93"/>
      <c r="K186" s="93"/>
      <c r="L186" s="71" t="s">
        <v>863</v>
      </c>
      <c r="M186" s="91"/>
      <c r="N186" s="91"/>
      <c r="O186" s="91" t="s">
        <v>197</v>
      </c>
      <c r="P186" s="91" t="s">
        <v>198</v>
      </c>
      <c r="Q186" s="91"/>
      <c r="R186" s="91" t="s">
        <v>204</v>
      </c>
      <c r="S186" s="91"/>
      <c r="T186" s="91" t="s">
        <v>199</v>
      </c>
      <c r="U186" s="91" t="s">
        <v>198</v>
      </c>
      <c r="V186" s="132" t="str">
        <f>IF('Additional Details'!C34="Yes","1b1","1b0")</f>
        <v>1b1</v>
      </c>
      <c r="W186" s="132" t="s">
        <v>157</v>
      </c>
    </row>
    <row r="187" spans="1:23" ht="13.5" customHeight="1" thickBot="1">
      <c r="A187" s="101" t="s">
        <v>194</v>
      </c>
      <c r="B187" s="100" t="s">
        <v>317</v>
      </c>
      <c r="C187" s="90" t="s">
        <v>318</v>
      </c>
      <c r="D187" s="294"/>
      <c r="E187" s="294"/>
      <c r="F187" s="294"/>
      <c r="G187" s="294"/>
      <c r="H187" s="294"/>
      <c r="I187" s="294"/>
      <c r="J187" s="294"/>
      <c r="K187" s="294"/>
      <c r="L187" s="98" t="s">
        <v>318</v>
      </c>
      <c r="M187" s="97"/>
      <c r="N187" s="97"/>
      <c r="O187" s="97" t="s">
        <v>197</v>
      </c>
      <c r="P187" s="97" t="s">
        <v>198</v>
      </c>
      <c r="Q187" s="97">
        <v>113</v>
      </c>
      <c r="R187" s="97" t="s">
        <v>204</v>
      </c>
      <c r="S187" s="97"/>
      <c r="T187" s="97" t="s">
        <v>199</v>
      </c>
      <c r="U187" s="97" t="s">
        <v>198</v>
      </c>
      <c r="V187" s="140"/>
      <c r="W187" s="140"/>
    </row>
    <row r="188" spans="1:23" ht="34.5" customHeight="1" thickBot="1">
      <c r="A188" s="96"/>
      <c r="B188" s="89"/>
      <c r="C188" s="94"/>
      <c r="D188" s="93"/>
      <c r="E188" s="93"/>
      <c r="F188" s="93"/>
      <c r="G188" s="93"/>
      <c r="H188" s="93"/>
      <c r="I188" s="93"/>
      <c r="J188" s="93"/>
      <c r="K188" s="93">
        <v>0</v>
      </c>
      <c r="L188" s="71" t="s">
        <v>864</v>
      </c>
      <c r="M188" s="91"/>
      <c r="N188" s="91"/>
      <c r="O188" s="91" t="s">
        <v>197</v>
      </c>
      <c r="P188" s="91" t="s">
        <v>198</v>
      </c>
      <c r="Q188" s="91"/>
      <c r="R188" s="91" t="s">
        <v>204</v>
      </c>
      <c r="S188" s="91"/>
      <c r="T188" s="91" t="s">
        <v>199</v>
      </c>
      <c r="U188" s="91" t="s">
        <v>198</v>
      </c>
      <c r="V188" s="132" t="str">
        <f>IF('Additional Details'!C35="Yes","1b1","1b0")</f>
        <v>1b0</v>
      </c>
      <c r="W188" s="132" t="s">
        <v>157</v>
      </c>
    </row>
    <row r="189" spans="1:23" ht="34.5" customHeight="1" thickBot="1">
      <c r="A189" s="96"/>
      <c r="B189" s="76"/>
      <c r="C189" s="75"/>
      <c r="D189" s="74"/>
      <c r="E189" s="74"/>
      <c r="F189" s="74"/>
      <c r="G189" s="74"/>
      <c r="H189" s="74"/>
      <c r="I189" s="74"/>
      <c r="J189" s="74">
        <v>0</v>
      </c>
      <c r="K189" s="74"/>
      <c r="L189" s="71" t="s">
        <v>865</v>
      </c>
      <c r="M189" s="91"/>
      <c r="N189" s="91"/>
      <c r="O189" s="91" t="s">
        <v>197</v>
      </c>
      <c r="P189" s="91" t="s">
        <v>198</v>
      </c>
      <c r="Q189" s="91"/>
      <c r="R189" s="91" t="s">
        <v>204</v>
      </c>
      <c r="S189" s="91"/>
      <c r="T189" s="91" t="s">
        <v>199</v>
      </c>
      <c r="U189" s="91" t="s">
        <v>198</v>
      </c>
      <c r="V189" s="132" t="str">
        <f>IF('Additional Details'!C37="Yes","1b1","1b0")</f>
        <v>1b1</v>
      </c>
      <c r="W189" s="132" t="s">
        <v>157</v>
      </c>
    </row>
    <row r="190" spans="1:23" ht="34.5" customHeight="1" thickBot="1">
      <c r="A190" s="96"/>
      <c r="B190" s="76"/>
      <c r="C190" s="75"/>
      <c r="D190" s="74"/>
      <c r="E190" s="74"/>
      <c r="F190" s="74"/>
      <c r="G190" s="74"/>
      <c r="H190" s="74"/>
      <c r="I190" s="74">
        <v>0</v>
      </c>
      <c r="J190" s="74"/>
      <c r="K190" s="74"/>
      <c r="L190" s="71" t="s">
        <v>866</v>
      </c>
      <c r="M190" s="91"/>
      <c r="N190" s="91"/>
      <c r="O190" s="91" t="s">
        <v>197</v>
      </c>
      <c r="P190" s="91" t="s">
        <v>198</v>
      </c>
      <c r="Q190" s="91"/>
      <c r="R190" s="91" t="s">
        <v>204</v>
      </c>
      <c r="S190" s="91"/>
      <c r="T190" s="91" t="s">
        <v>199</v>
      </c>
      <c r="U190" s="91" t="s">
        <v>198</v>
      </c>
      <c r="V190" s="132" t="str">
        <f>IF('Additional Details'!C38="Yes","1b1","1b0")</f>
        <v>1b1</v>
      </c>
      <c r="W190" s="132" t="s">
        <v>157</v>
      </c>
    </row>
    <row r="191" spans="1:23" ht="34.5" customHeight="1" thickBot="1">
      <c r="A191" s="96"/>
      <c r="B191" s="76"/>
      <c r="C191" s="75"/>
      <c r="D191" s="74"/>
      <c r="E191" s="74"/>
      <c r="F191" s="74"/>
      <c r="G191" s="74"/>
      <c r="H191" s="74">
        <v>0</v>
      </c>
      <c r="I191" s="74"/>
      <c r="J191" s="74"/>
      <c r="K191" s="74"/>
      <c r="L191" s="71" t="s">
        <v>319</v>
      </c>
      <c r="M191" s="91"/>
      <c r="N191" s="91"/>
      <c r="O191" s="91" t="s">
        <v>197</v>
      </c>
      <c r="P191" s="91" t="s">
        <v>198</v>
      </c>
      <c r="Q191" s="91"/>
      <c r="R191" s="91" t="s">
        <v>204</v>
      </c>
      <c r="S191" s="91"/>
      <c r="T191" s="91" t="s">
        <v>199</v>
      </c>
      <c r="U191" s="91" t="s">
        <v>198</v>
      </c>
      <c r="V191" s="132" t="str">
        <f>IF('Additional Details'!C39="Yes","1b1","1b0")</f>
        <v>1b1</v>
      </c>
      <c r="W191" s="132" t="s">
        <v>157</v>
      </c>
    </row>
    <row r="192" spans="1:23" ht="34.5" customHeight="1" thickBot="1">
      <c r="A192" s="96"/>
      <c r="B192" s="76"/>
      <c r="C192" s="75"/>
      <c r="D192" s="74"/>
      <c r="E192" s="74"/>
      <c r="F192" s="74"/>
      <c r="G192" s="74">
        <v>0</v>
      </c>
      <c r="H192" s="74"/>
      <c r="I192" s="74"/>
      <c r="J192" s="74"/>
      <c r="K192" s="74"/>
      <c r="L192" s="71" t="s">
        <v>867</v>
      </c>
      <c r="M192" s="91"/>
      <c r="N192" s="91"/>
      <c r="O192" s="91" t="s">
        <v>197</v>
      </c>
      <c r="P192" s="91" t="s">
        <v>198</v>
      </c>
      <c r="Q192" s="91"/>
      <c r="R192" s="91" t="s">
        <v>204</v>
      </c>
      <c r="S192" s="91"/>
      <c r="T192" s="91" t="s">
        <v>199</v>
      </c>
      <c r="U192" s="91" t="s">
        <v>198</v>
      </c>
      <c r="V192" s="132" t="str">
        <f>IF('Additional Details'!C33="Yes","1b1","1b0")</f>
        <v>1b0</v>
      </c>
      <c r="W192" s="132" t="s">
        <v>157</v>
      </c>
    </row>
    <row r="193" spans="1:23" ht="34.5" customHeight="1" thickBot="1">
      <c r="A193" s="96"/>
      <c r="B193" s="76"/>
      <c r="C193" s="75"/>
      <c r="D193" s="74"/>
      <c r="E193" s="74"/>
      <c r="F193" s="74">
        <v>0</v>
      </c>
      <c r="G193" s="74"/>
      <c r="H193" s="74"/>
      <c r="I193" s="74"/>
      <c r="J193" s="74"/>
      <c r="K193" s="74"/>
      <c r="L193" s="71" t="s">
        <v>320</v>
      </c>
      <c r="M193" s="91"/>
      <c r="N193" s="91"/>
      <c r="O193" s="91" t="s">
        <v>197</v>
      </c>
      <c r="P193" s="91" t="s">
        <v>198</v>
      </c>
      <c r="Q193" s="91"/>
      <c r="R193" s="91" t="s">
        <v>204</v>
      </c>
      <c r="S193" s="91"/>
      <c r="T193" s="91" t="s">
        <v>199</v>
      </c>
      <c r="U193" s="91" t="s">
        <v>198</v>
      </c>
      <c r="V193" s="132" t="s">
        <v>159</v>
      </c>
      <c r="W193" s="132" t="s">
        <v>157</v>
      </c>
    </row>
    <row r="194" spans="1:23" ht="68.25" customHeight="1" thickBot="1">
      <c r="A194" s="96"/>
      <c r="B194" s="89"/>
      <c r="C194" s="94"/>
      <c r="D194" s="93"/>
      <c r="E194" s="93">
        <v>0</v>
      </c>
      <c r="F194" s="93"/>
      <c r="G194" s="93"/>
      <c r="H194" s="93"/>
      <c r="I194" s="93"/>
      <c r="J194" s="93"/>
      <c r="K194" s="93"/>
      <c r="L194" s="71" t="s">
        <v>868</v>
      </c>
      <c r="M194" s="91"/>
      <c r="N194" s="91"/>
      <c r="O194" s="91" t="s">
        <v>197</v>
      </c>
      <c r="P194" s="91" t="s">
        <v>198</v>
      </c>
      <c r="Q194" s="91"/>
      <c r="R194" s="91" t="s">
        <v>204</v>
      </c>
      <c r="S194" s="91"/>
      <c r="T194" s="91" t="s">
        <v>199</v>
      </c>
      <c r="U194" s="91" t="s">
        <v>198</v>
      </c>
      <c r="V194" s="132" t="s">
        <v>157</v>
      </c>
      <c r="W194" s="132" t="s">
        <v>157</v>
      </c>
    </row>
    <row r="195" spans="1:23" ht="13.5" customHeight="1" thickBot="1">
      <c r="A195" s="96"/>
      <c r="B195" s="89"/>
      <c r="C195" s="94"/>
      <c r="D195" s="93">
        <v>0</v>
      </c>
      <c r="E195" s="93"/>
      <c r="F195" s="93"/>
      <c r="G195" s="93"/>
      <c r="H195" s="93"/>
      <c r="I195" s="93"/>
      <c r="J195" s="93"/>
      <c r="K195" s="93"/>
      <c r="L195" s="85" t="s">
        <v>869</v>
      </c>
      <c r="M195" s="79"/>
      <c r="N195" s="79"/>
      <c r="O195" s="79" t="s">
        <v>206</v>
      </c>
      <c r="P195" s="91" t="s">
        <v>198</v>
      </c>
      <c r="Q195" s="91"/>
      <c r="R195" s="91" t="s">
        <v>204</v>
      </c>
      <c r="S195" s="91"/>
      <c r="T195" s="91" t="s">
        <v>199</v>
      </c>
      <c r="U195" s="91" t="s">
        <v>198</v>
      </c>
      <c r="V195" s="132" t="s">
        <v>157</v>
      </c>
      <c r="W195" s="132" t="s">
        <v>157</v>
      </c>
    </row>
    <row r="196" spans="1:23" ht="13.5" customHeight="1" thickBot="1">
      <c r="A196" s="81" t="s">
        <v>194</v>
      </c>
      <c r="B196" s="100" t="s">
        <v>321</v>
      </c>
      <c r="C196" s="90" t="s">
        <v>322</v>
      </c>
      <c r="D196" s="294"/>
      <c r="E196" s="294"/>
      <c r="F196" s="294"/>
      <c r="G196" s="294"/>
      <c r="H196" s="294"/>
      <c r="I196" s="294"/>
      <c r="J196" s="294"/>
      <c r="K196" s="294"/>
      <c r="L196" s="98" t="s">
        <v>870</v>
      </c>
      <c r="M196" s="97"/>
      <c r="N196" s="97"/>
      <c r="O196" s="97" t="s">
        <v>197</v>
      </c>
      <c r="P196" s="97" t="s">
        <v>198</v>
      </c>
      <c r="Q196" s="97">
        <v>114</v>
      </c>
      <c r="R196" s="97" t="s">
        <v>204</v>
      </c>
      <c r="S196" s="97"/>
      <c r="T196" s="97" t="s">
        <v>199</v>
      </c>
      <c r="U196" s="97" t="s">
        <v>198</v>
      </c>
      <c r="V196" s="142"/>
      <c r="W196" s="199"/>
    </row>
    <row r="197" spans="1:23" ht="45" customHeight="1">
      <c r="A197" s="77"/>
      <c r="B197" s="89"/>
      <c r="C197" s="94"/>
      <c r="D197" s="93"/>
      <c r="E197" s="93"/>
      <c r="F197" s="93"/>
      <c r="G197" s="93"/>
      <c r="H197" s="93"/>
      <c r="I197" s="93"/>
      <c r="J197" s="93"/>
      <c r="K197" s="93">
        <v>0</v>
      </c>
      <c r="L197" s="71" t="s">
        <v>872</v>
      </c>
      <c r="M197" s="91"/>
      <c r="N197" s="91"/>
      <c r="O197" s="91" t="s">
        <v>197</v>
      </c>
      <c r="P197" s="91" t="s">
        <v>198</v>
      </c>
      <c r="Q197" s="91"/>
      <c r="R197" s="91" t="s">
        <v>204</v>
      </c>
      <c r="S197" s="91"/>
      <c r="T197" s="91" t="s">
        <v>199</v>
      </c>
      <c r="U197" s="91" t="s">
        <v>198</v>
      </c>
      <c r="V197" s="132" t="str">
        <f>IF(Sequencing!C33="Yes","1b0","1b1")</f>
        <v>1b0</v>
      </c>
      <c r="W197" s="132" t="s">
        <v>157</v>
      </c>
    </row>
    <row r="198" spans="1:23" ht="45" customHeight="1">
      <c r="A198" s="77"/>
      <c r="B198" s="89"/>
      <c r="C198" s="94"/>
      <c r="D198" s="93"/>
      <c r="E198" s="93"/>
      <c r="F198" s="93"/>
      <c r="G198" s="93"/>
      <c r="H198" s="93"/>
      <c r="I198" s="93"/>
      <c r="J198" s="93">
        <v>0</v>
      </c>
      <c r="K198" s="93"/>
      <c r="L198" s="71" t="s">
        <v>873</v>
      </c>
      <c r="M198" s="91"/>
      <c r="N198" s="91"/>
      <c r="O198" s="91" t="s">
        <v>197</v>
      </c>
      <c r="P198" s="91" t="s">
        <v>198</v>
      </c>
      <c r="Q198" s="91"/>
      <c r="R198" s="91" t="s">
        <v>204</v>
      </c>
      <c r="S198" s="91"/>
      <c r="T198" s="91" t="s">
        <v>199</v>
      </c>
      <c r="U198" s="91" t="s">
        <v>198</v>
      </c>
      <c r="V198" s="132" t="str">
        <f>IF(Sequencing!D33="Yes","1b0","1b1")</f>
        <v>1b1</v>
      </c>
      <c r="W198" s="132" t="s">
        <v>157</v>
      </c>
    </row>
    <row r="199" spans="1:23" ht="45" customHeight="1">
      <c r="A199" s="77"/>
      <c r="B199" s="89"/>
      <c r="C199" s="94"/>
      <c r="D199" s="93"/>
      <c r="E199" s="93"/>
      <c r="F199" s="93"/>
      <c r="G199" s="93"/>
      <c r="H199" s="93"/>
      <c r="I199" s="93">
        <v>0</v>
      </c>
      <c r="J199" s="93"/>
      <c r="K199" s="93"/>
      <c r="L199" s="71" t="s">
        <v>874</v>
      </c>
      <c r="M199" s="91"/>
      <c r="N199" s="91"/>
      <c r="O199" s="91" t="s">
        <v>197</v>
      </c>
      <c r="P199" s="91" t="s">
        <v>198</v>
      </c>
      <c r="Q199" s="91"/>
      <c r="R199" s="91" t="s">
        <v>204</v>
      </c>
      <c r="S199" s="91"/>
      <c r="T199" s="91" t="s">
        <v>199</v>
      </c>
      <c r="U199" s="91" t="s">
        <v>198</v>
      </c>
      <c r="V199" s="132" t="str">
        <f>IF(Sequencing!E33="Yes","1b0","1b1")</f>
        <v>1b0</v>
      </c>
      <c r="W199" s="132" t="s">
        <v>157</v>
      </c>
    </row>
    <row r="200" spans="1:23" ht="45" customHeight="1">
      <c r="A200" s="77"/>
      <c r="B200" s="89"/>
      <c r="C200" s="94"/>
      <c r="D200" s="93"/>
      <c r="E200" s="93"/>
      <c r="F200" s="93"/>
      <c r="G200" s="93"/>
      <c r="H200" s="93">
        <v>0</v>
      </c>
      <c r="I200" s="93"/>
      <c r="J200" s="93"/>
      <c r="K200" s="93"/>
      <c r="L200" s="71" t="s">
        <v>875</v>
      </c>
      <c r="M200" s="91"/>
      <c r="N200" s="91"/>
      <c r="O200" s="91" t="s">
        <v>197</v>
      </c>
      <c r="P200" s="91" t="s">
        <v>198</v>
      </c>
      <c r="Q200" s="91"/>
      <c r="R200" s="91" t="s">
        <v>204</v>
      </c>
      <c r="S200" s="91"/>
      <c r="T200" s="91" t="s">
        <v>199</v>
      </c>
      <c r="U200" s="91" t="s">
        <v>198</v>
      </c>
      <c r="V200" s="132" t="str">
        <f>IF(Sequencing!F33="Yes","1b0","1b1")</f>
        <v>1b0</v>
      </c>
      <c r="W200" s="132" t="s">
        <v>157</v>
      </c>
    </row>
    <row r="201" spans="1:23" ht="45" customHeight="1">
      <c r="A201" s="77"/>
      <c r="B201" s="89"/>
      <c r="C201" s="94"/>
      <c r="D201" s="93"/>
      <c r="E201" s="93"/>
      <c r="F201" s="93"/>
      <c r="G201" s="93">
        <v>0</v>
      </c>
      <c r="H201" s="93"/>
      <c r="I201" s="93"/>
      <c r="J201" s="93"/>
      <c r="K201" s="93"/>
      <c r="L201" s="71" t="s">
        <v>876</v>
      </c>
      <c r="M201" s="91"/>
      <c r="N201" s="91"/>
      <c r="O201" s="91" t="s">
        <v>197</v>
      </c>
      <c r="P201" s="91" t="s">
        <v>198</v>
      </c>
      <c r="Q201" s="91"/>
      <c r="R201" s="91" t="s">
        <v>204</v>
      </c>
      <c r="S201" s="91"/>
      <c r="T201" s="91" t="s">
        <v>199</v>
      </c>
      <c r="U201" s="91" t="s">
        <v>198</v>
      </c>
      <c r="V201" s="132" t="str">
        <f>IF(Sequencing!G33="Yes","1b0","1b1")</f>
        <v>1b1</v>
      </c>
      <c r="W201" s="132" t="s">
        <v>157</v>
      </c>
    </row>
    <row r="202" spans="1:23" ht="45" customHeight="1">
      <c r="A202" s="77"/>
      <c r="B202" s="89"/>
      <c r="C202" s="94"/>
      <c r="D202" s="93"/>
      <c r="E202" s="93"/>
      <c r="F202" s="93">
        <v>0</v>
      </c>
      <c r="G202" s="93"/>
      <c r="H202" s="93"/>
      <c r="I202" s="93"/>
      <c r="J202" s="93"/>
      <c r="K202" s="93"/>
      <c r="L202" s="71" t="s">
        <v>877</v>
      </c>
      <c r="M202" s="91"/>
      <c r="N202" s="91"/>
      <c r="O202" s="91" t="s">
        <v>197</v>
      </c>
      <c r="P202" s="91" t="s">
        <v>198</v>
      </c>
      <c r="Q202" s="91"/>
      <c r="R202" s="91" t="s">
        <v>204</v>
      </c>
      <c r="S202" s="91"/>
      <c r="T202" s="91" t="s">
        <v>199</v>
      </c>
      <c r="U202" s="91" t="s">
        <v>198</v>
      </c>
      <c r="V202" s="132" t="str">
        <f>IF(Sequencing!H33="Yes","1b0","1b1")</f>
        <v>1b1</v>
      </c>
      <c r="W202" s="132" t="s">
        <v>157</v>
      </c>
    </row>
    <row r="203" spans="1:23" ht="45" customHeight="1">
      <c r="A203" s="77"/>
      <c r="B203" s="89"/>
      <c r="C203" s="94"/>
      <c r="D203" s="93"/>
      <c r="E203" s="93">
        <v>0</v>
      </c>
      <c r="F203" s="93"/>
      <c r="G203" s="93"/>
      <c r="H203" s="93"/>
      <c r="I203" s="93"/>
      <c r="J203" s="93"/>
      <c r="K203" s="93"/>
      <c r="L203" s="71" t="s">
        <v>871</v>
      </c>
      <c r="M203" s="91"/>
      <c r="N203" s="91"/>
      <c r="O203" s="91" t="s">
        <v>197</v>
      </c>
      <c r="P203" s="91" t="s">
        <v>198</v>
      </c>
      <c r="Q203" s="91"/>
      <c r="R203" s="91" t="s">
        <v>204</v>
      </c>
      <c r="S203" s="91"/>
      <c r="T203" s="91" t="s">
        <v>199</v>
      </c>
      <c r="U203" s="91" t="s">
        <v>198</v>
      </c>
      <c r="V203" s="132" t="str">
        <f>IF(Sequencing!K33="Yes","1b0","1b1")</f>
        <v>1b1</v>
      </c>
      <c r="W203" s="132" t="s">
        <v>157</v>
      </c>
    </row>
    <row r="204" spans="1:23" ht="45.75" customHeight="1" thickBot="1">
      <c r="A204" s="86"/>
      <c r="B204" s="95"/>
      <c r="C204" s="94"/>
      <c r="D204" s="93">
        <v>0</v>
      </c>
      <c r="E204" s="93"/>
      <c r="F204" s="93"/>
      <c r="G204" s="93"/>
      <c r="H204" s="93"/>
      <c r="I204" s="93"/>
      <c r="J204" s="93"/>
      <c r="K204" s="93"/>
      <c r="L204" s="71" t="s">
        <v>878</v>
      </c>
      <c r="M204" s="91"/>
      <c r="N204" s="91"/>
      <c r="O204" s="91" t="s">
        <v>197</v>
      </c>
      <c r="P204" s="91" t="s">
        <v>198</v>
      </c>
      <c r="Q204" s="91"/>
      <c r="R204" s="91" t="s">
        <v>204</v>
      </c>
      <c r="S204" s="91"/>
      <c r="T204" s="91" t="s">
        <v>199</v>
      </c>
      <c r="U204" s="91" t="s">
        <v>198</v>
      </c>
      <c r="V204" s="132" t="str">
        <f>IF(Sequencing!I33="Yes","1b0","1b1")</f>
        <v>1b1</v>
      </c>
      <c r="W204" s="132" t="s">
        <v>157</v>
      </c>
    </row>
    <row r="205" spans="1:23" ht="13.5" customHeight="1" thickBot="1">
      <c r="A205" s="81" t="s">
        <v>194</v>
      </c>
      <c r="B205" s="100" t="s">
        <v>323</v>
      </c>
      <c r="C205" s="90" t="s">
        <v>324</v>
      </c>
      <c r="D205" s="294"/>
      <c r="E205" s="294"/>
      <c r="F205" s="294"/>
      <c r="G205" s="294"/>
      <c r="H205" s="294"/>
      <c r="I205" s="294"/>
      <c r="J205" s="294"/>
      <c r="K205" s="294"/>
      <c r="L205" s="98" t="s">
        <v>886</v>
      </c>
      <c r="M205" s="97"/>
      <c r="N205" s="97"/>
      <c r="O205" s="97" t="s">
        <v>197</v>
      </c>
      <c r="P205" s="97" t="s">
        <v>198</v>
      </c>
      <c r="Q205" s="97">
        <v>115</v>
      </c>
      <c r="R205" s="97" t="s">
        <v>204</v>
      </c>
      <c r="S205" s="97"/>
      <c r="T205" s="97" t="s">
        <v>199</v>
      </c>
      <c r="U205" s="97" t="s">
        <v>198</v>
      </c>
      <c r="V205" s="142"/>
      <c r="W205" s="199"/>
    </row>
    <row r="206" spans="1:23" ht="45" customHeight="1">
      <c r="A206" s="77"/>
      <c r="B206" s="89"/>
      <c r="C206" s="94"/>
      <c r="D206" s="93"/>
      <c r="E206" s="93"/>
      <c r="F206" s="93"/>
      <c r="G206" s="93"/>
      <c r="H206" s="93"/>
      <c r="I206" s="93"/>
      <c r="J206" s="93"/>
      <c r="K206" s="93">
        <v>0</v>
      </c>
      <c r="L206" s="71" t="s">
        <v>879</v>
      </c>
      <c r="M206" s="91"/>
      <c r="N206" s="91"/>
      <c r="O206" s="91" t="s">
        <v>197</v>
      </c>
      <c r="P206" s="91" t="s">
        <v>198</v>
      </c>
      <c r="Q206" s="91"/>
      <c r="R206" s="91" t="s">
        <v>204</v>
      </c>
      <c r="S206" s="91"/>
      <c r="T206" s="91" t="s">
        <v>199</v>
      </c>
      <c r="U206" s="91" t="s">
        <v>198</v>
      </c>
      <c r="V206" s="132" t="str">
        <f>IF(Sequencing!J33="Yes","1b0","1b1")</f>
        <v>1b1</v>
      </c>
      <c r="W206" s="132" t="s">
        <v>157</v>
      </c>
    </row>
    <row r="207" spans="1:23" ht="45" customHeight="1">
      <c r="A207" s="77"/>
      <c r="B207" s="89"/>
      <c r="C207" s="94"/>
      <c r="D207" s="93"/>
      <c r="E207" s="93"/>
      <c r="F207" s="93"/>
      <c r="G207" s="93"/>
      <c r="H207" s="93"/>
      <c r="I207" s="93"/>
      <c r="J207" s="93">
        <v>0</v>
      </c>
      <c r="K207" s="93"/>
      <c r="L207" s="71" t="s">
        <v>880</v>
      </c>
      <c r="M207" s="91"/>
      <c r="N207" s="91"/>
      <c r="O207" s="91" t="s">
        <v>197</v>
      </c>
      <c r="P207" s="91" t="s">
        <v>198</v>
      </c>
      <c r="Q207" s="91"/>
      <c r="R207" s="91" t="s">
        <v>204</v>
      </c>
      <c r="S207" s="91"/>
      <c r="T207" s="91" t="s">
        <v>199</v>
      </c>
      <c r="U207" s="91" t="s">
        <v>198</v>
      </c>
      <c r="V207" s="132" t="str">
        <f>IF(Sequencing!L33="Yes","1b0","1b1")</f>
        <v>1b1</v>
      </c>
      <c r="W207" s="132" t="s">
        <v>157</v>
      </c>
    </row>
    <row r="208" spans="1:23" ht="45" customHeight="1">
      <c r="A208" s="77"/>
      <c r="B208" s="89"/>
      <c r="C208" s="94"/>
      <c r="D208" s="93"/>
      <c r="E208" s="93"/>
      <c r="F208" s="93"/>
      <c r="G208" s="93"/>
      <c r="H208" s="93"/>
      <c r="I208" s="93">
        <v>0</v>
      </c>
      <c r="J208" s="93"/>
      <c r="K208" s="93"/>
      <c r="L208" s="71" t="s">
        <v>955</v>
      </c>
      <c r="M208" s="91"/>
      <c r="N208" s="91"/>
      <c r="O208" s="91" t="s">
        <v>197</v>
      </c>
      <c r="P208" s="91" t="s">
        <v>198</v>
      </c>
      <c r="Q208" s="91"/>
      <c r="R208" s="91" t="s">
        <v>204</v>
      </c>
      <c r="S208" s="91"/>
      <c r="T208" s="91" t="s">
        <v>199</v>
      </c>
      <c r="U208" s="91" t="s">
        <v>198</v>
      </c>
      <c r="V208" s="132" t="str">
        <f>IF(Sequencing!M33="Yes","1b0","1b1")</f>
        <v>1b1</v>
      </c>
      <c r="W208" s="132" t="s">
        <v>157</v>
      </c>
    </row>
    <row r="209" spans="1:23" ht="12.5">
      <c r="A209" s="77"/>
      <c r="B209" s="89"/>
      <c r="C209" s="94"/>
      <c r="D209" s="93"/>
      <c r="E209" s="93"/>
      <c r="F209" s="93"/>
      <c r="G209" s="93"/>
      <c r="H209" s="93">
        <v>0</v>
      </c>
      <c r="I209" s="93"/>
      <c r="J209" s="93"/>
      <c r="K209" s="93"/>
      <c r="L209" s="71" t="s">
        <v>881</v>
      </c>
      <c r="M209" s="91"/>
      <c r="N209" s="91"/>
      <c r="O209" s="91" t="s">
        <v>197</v>
      </c>
      <c r="P209" s="91" t="s">
        <v>198</v>
      </c>
      <c r="Q209" s="91"/>
      <c r="R209" s="91" t="s">
        <v>204</v>
      </c>
      <c r="S209" s="91"/>
      <c r="T209" s="91" t="s">
        <v>199</v>
      </c>
      <c r="U209" s="91" t="s">
        <v>198</v>
      </c>
      <c r="V209" s="132" t="str">
        <f>IF(Sequencing!N33="Yes","1b0","1b1")</f>
        <v>1b1</v>
      </c>
      <c r="W209" s="132" t="s">
        <v>157</v>
      </c>
    </row>
    <row r="210" spans="1:23" ht="45" customHeight="1">
      <c r="A210" s="77"/>
      <c r="B210" s="89"/>
      <c r="C210" s="94"/>
      <c r="D210" s="93"/>
      <c r="E210" s="93"/>
      <c r="F210" s="93"/>
      <c r="G210" s="93">
        <v>0</v>
      </c>
      <c r="H210" s="70"/>
      <c r="I210" s="70"/>
      <c r="J210" s="70"/>
      <c r="K210" s="70"/>
      <c r="L210" s="71" t="s">
        <v>882</v>
      </c>
      <c r="M210" s="91"/>
      <c r="N210" s="91"/>
      <c r="O210" s="91" t="s">
        <v>197</v>
      </c>
      <c r="P210" s="91" t="s">
        <v>198</v>
      </c>
      <c r="Q210" s="91"/>
      <c r="R210" s="91" t="s">
        <v>204</v>
      </c>
      <c r="S210" s="91"/>
      <c r="T210" s="91" t="s">
        <v>199</v>
      </c>
      <c r="U210" s="91" t="s">
        <v>198</v>
      </c>
      <c r="V210" s="132" t="str">
        <f>IF(Sequencing!O33="Yes","1b0","1b1")</f>
        <v>1b1</v>
      </c>
      <c r="W210" s="132" t="s">
        <v>157</v>
      </c>
    </row>
    <row r="211" spans="1:23" ht="45" customHeight="1">
      <c r="A211" s="77"/>
      <c r="B211" s="89"/>
      <c r="C211" s="94"/>
      <c r="D211" s="93"/>
      <c r="E211" s="93"/>
      <c r="F211" s="93">
        <v>0</v>
      </c>
      <c r="G211" s="93"/>
      <c r="H211" s="70"/>
      <c r="I211" s="70"/>
      <c r="J211" s="70"/>
      <c r="K211" s="70"/>
      <c r="L211" s="71" t="s">
        <v>883</v>
      </c>
      <c r="M211" s="91"/>
      <c r="N211" s="91"/>
      <c r="O211" s="91" t="s">
        <v>197</v>
      </c>
      <c r="P211" s="91" t="s">
        <v>198</v>
      </c>
      <c r="Q211" s="91"/>
      <c r="R211" s="91" t="s">
        <v>204</v>
      </c>
      <c r="S211" s="91"/>
      <c r="T211" s="91" t="s">
        <v>199</v>
      </c>
      <c r="U211" s="91" t="s">
        <v>198</v>
      </c>
      <c r="V211" s="132" t="str">
        <f>IF(Sequencing!P33="Yes","1b0","1b1")</f>
        <v>1b1</v>
      </c>
      <c r="W211" s="132" t="s">
        <v>157</v>
      </c>
    </row>
    <row r="212" spans="1:23" ht="45" customHeight="1">
      <c r="A212" s="77"/>
      <c r="B212" s="89"/>
      <c r="C212" s="94"/>
      <c r="D212" s="93"/>
      <c r="E212" s="93">
        <v>0</v>
      </c>
      <c r="F212" s="93"/>
      <c r="G212" s="93"/>
      <c r="H212" s="70"/>
      <c r="I212" s="70"/>
      <c r="J212" s="70"/>
      <c r="K212" s="70"/>
      <c r="L212" s="71" t="s">
        <v>884</v>
      </c>
      <c r="M212" s="91"/>
      <c r="N212" s="91"/>
      <c r="O212" s="91" t="s">
        <v>197</v>
      </c>
      <c r="P212" s="91" t="s">
        <v>198</v>
      </c>
      <c r="Q212" s="91"/>
      <c r="R212" s="91" t="s">
        <v>204</v>
      </c>
      <c r="S212" s="91"/>
      <c r="T212" s="91" t="s">
        <v>199</v>
      </c>
      <c r="U212" s="91" t="s">
        <v>198</v>
      </c>
      <c r="V212" s="132" t="str">
        <f>IF(Sequencing!R33="Yes","1b0","1b1")</f>
        <v>1b1</v>
      </c>
      <c r="W212" s="132" t="s">
        <v>157</v>
      </c>
    </row>
    <row r="213" spans="1:23" ht="45" customHeight="1" thickBot="1">
      <c r="A213" s="77"/>
      <c r="B213" s="89"/>
      <c r="C213" s="94"/>
      <c r="D213" s="93">
        <v>0</v>
      </c>
      <c r="E213" s="93"/>
      <c r="F213" s="93"/>
      <c r="G213" s="93"/>
      <c r="H213" s="70"/>
      <c r="I213" s="70"/>
      <c r="J213" s="70"/>
      <c r="K213" s="70"/>
      <c r="L213" s="71" t="s">
        <v>885</v>
      </c>
      <c r="M213" s="91"/>
      <c r="N213" s="91"/>
      <c r="O213" s="91" t="s">
        <v>197</v>
      </c>
      <c r="P213" s="91" t="s">
        <v>198</v>
      </c>
      <c r="Q213" s="91"/>
      <c r="R213" s="91" t="s">
        <v>204</v>
      </c>
      <c r="S213" s="91"/>
      <c r="T213" s="91" t="s">
        <v>199</v>
      </c>
      <c r="U213" s="91" t="s">
        <v>198</v>
      </c>
      <c r="V213" s="132" t="str">
        <f>IF(Sequencing!S33="Yes","1b0","1b1")</f>
        <v>1b1</v>
      </c>
      <c r="W213" s="132" t="s">
        <v>157</v>
      </c>
    </row>
    <row r="214" spans="1:23" ht="13.5" customHeight="1" thickBot="1">
      <c r="A214" s="81" t="s">
        <v>194</v>
      </c>
      <c r="B214" s="100" t="s">
        <v>325</v>
      </c>
      <c r="C214" s="90" t="s">
        <v>326</v>
      </c>
      <c r="D214" s="294"/>
      <c r="E214" s="294"/>
      <c r="F214" s="294"/>
      <c r="G214" s="294"/>
      <c r="H214" s="294"/>
      <c r="I214" s="294"/>
      <c r="J214" s="294"/>
      <c r="K214" s="294"/>
      <c r="L214" s="98" t="s">
        <v>904</v>
      </c>
      <c r="M214" s="97"/>
      <c r="N214" s="97"/>
      <c r="O214" s="97" t="s">
        <v>197</v>
      </c>
      <c r="P214" s="97" t="s">
        <v>198</v>
      </c>
      <c r="Q214" s="97">
        <v>116</v>
      </c>
      <c r="R214" s="97" t="s">
        <v>204</v>
      </c>
      <c r="S214" s="97"/>
      <c r="T214" s="97" t="s">
        <v>199</v>
      </c>
      <c r="U214" s="97" t="s">
        <v>198</v>
      </c>
      <c r="V214" s="142"/>
      <c r="W214" s="199"/>
    </row>
    <row r="215" spans="1:23" ht="12.5">
      <c r="A215" s="77"/>
      <c r="B215" s="89"/>
      <c r="C215" s="94"/>
      <c r="D215" s="93"/>
      <c r="E215" s="93"/>
      <c r="F215" s="93"/>
      <c r="G215" s="93"/>
      <c r="H215" s="93"/>
      <c r="I215" s="93"/>
      <c r="J215" s="93"/>
      <c r="K215" s="93">
        <v>0</v>
      </c>
      <c r="L215" s="71" t="s">
        <v>905</v>
      </c>
      <c r="M215" s="91"/>
      <c r="N215" s="91"/>
      <c r="O215" s="91" t="s">
        <v>197</v>
      </c>
      <c r="P215" s="91" t="s">
        <v>198</v>
      </c>
      <c r="Q215" s="91"/>
      <c r="R215" s="91" t="s">
        <v>204</v>
      </c>
      <c r="S215" s="91"/>
      <c r="T215" s="91" t="s">
        <v>199</v>
      </c>
      <c r="U215" s="91" t="s">
        <v>198</v>
      </c>
      <c r="V215" s="132" t="str">
        <f>IF(Sequencing!C36="Yes","1b0","1b1")</f>
        <v>1b1</v>
      </c>
      <c r="W215" s="132" t="s">
        <v>157</v>
      </c>
    </row>
    <row r="216" spans="1:23" ht="45" customHeight="1">
      <c r="A216" s="77"/>
      <c r="B216" s="89"/>
      <c r="C216" s="94"/>
      <c r="D216" s="93"/>
      <c r="E216" s="93"/>
      <c r="F216" s="93"/>
      <c r="G216" s="93"/>
      <c r="H216" s="93"/>
      <c r="I216" s="93"/>
      <c r="J216" s="93">
        <v>0</v>
      </c>
      <c r="K216" s="93"/>
      <c r="L216" s="71" t="s">
        <v>906</v>
      </c>
      <c r="M216" s="91"/>
      <c r="N216" s="91"/>
      <c r="O216" s="91" t="s">
        <v>197</v>
      </c>
      <c r="P216" s="91" t="s">
        <v>198</v>
      </c>
      <c r="Q216" s="91"/>
      <c r="R216" s="91" t="s">
        <v>204</v>
      </c>
      <c r="S216" s="91"/>
      <c r="T216" s="91" t="s">
        <v>199</v>
      </c>
      <c r="U216" s="91" t="s">
        <v>198</v>
      </c>
      <c r="V216" s="132" t="str">
        <f>IF(Sequencing!D36="Yes","1b0","1b1")</f>
        <v>1b1</v>
      </c>
      <c r="W216" s="132" t="s">
        <v>157</v>
      </c>
    </row>
    <row r="217" spans="1:23" ht="12.5">
      <c r="A217" s="77"/>
      <c r="B217" s="89"/>
      <c r="C217" s="94"/>
      <c r="D217" s="93"/>
      <c r="E217" s="93"/>
      <c r="F217" s="93"/>
      <c r="G217" s="93"/>
      <c r="H217" s="93"/>
      <c r="I217" s="93">
        <v>0</v>
      </c>
      <c r="J217" s="93"/>
      <c r="K217" s="93"/>
      <c r="L217" s="71" t="s">
        <v>907</v>
      </c>
      <c r="M217" s="91"/>
      <c r="N217" s="91"/>
      <c r="O217" s="91" t="s">
        <v>197</v>
      </c>
      <c r="P217" s="91" t="s">
        <v>198</v>
      </c>
      <c r="Q217" s="91"/>
      <c r="R217" s="91" t="s">
        <v>204</v>
      </c>
      <c r="S217" s="91"/>
      <c r="T217" s="91" t="s">
        <v>199</v>
      </c>
      <c r="U217" s="91" t="s">
        <v>198</v>
      </c>
      <c r="V217" s="132" t="str">
        <f>IF(Sequencing!E36="Yes","1b0","1b1")</f>
        <v>1b1</v>
      </c>
      <c r="W217" s="132" t="s">
        <v>157</v>
      </c>
    </row>
    <row r="218" spans="1:23" ht="12.5">
      <c r="A218" s="77"/>
      <c r="B218" s="89"/>
      <c r="C218" s="94"/>
      <c r="D218" s="93"/>
      <c r="E218" s="93"/>
      <c r="F218" s="93"/>
      <c r="G218" s="93"/>
      <c r="H218" s="93">
        <v>0</v>
      </c>
      <c r="I218" s="93"/>
      <c r="J218" s="93"/>
      <c r="K218" s="93"/>
      <c r="L218" s="71" t="s">
        <v>908</v>
      </c>
      <c r="M218" s="91"/>
      <c r="N218" s="91"/>
      <c r="O218" s="91" t="s">
        <v>197</v>
      </c>
      <c r="P218" s="91" t="s">
        <v>198</v>
      </c>
      <c r="Q218" s="91"/>
      <c r="R218" s="91" t="s">
        <v>204</v>
      </c>
      <c r="S218" s="91"/>
      <c r="T218" s="91" t="s">
        <v>199</v>
      </c>
      <c r="U218" s="91" t="s">
        <v>198</v>
      </c>
      <c r="V218" s="132" t="str">
        <f>IF(Sequencing!F36="Yes","1b0","1b1")</f>
        <v>1b1</v>
      </c>
      <c r="W218" s="132" t="s">
        <v>157</v>
      </c>
    </row>
    <row r="219" spans="1:23" ht="12.5">
      <c r="A219" s="77"/>
      <c r="B219" s="89"/>
      <c r="C219" s="94"/>
      <c r="D219" s="93"/>
      <c r="E219" s="93"/>
      <c r="F219" s="93"/>
      <c r="G219" s="93">
        <v>0</v>
      </c>
      <c r="H219" s="93"/>
      <c r="I219" s="93"/>
      <c r="J219" s="93"/>
      <c r="K219" s="93"/>
      <c r="L219" s="71" t="s">
        <v>909</v>
      </c>
      <c r="M219" s="91"/>
      <c r="N219" s="91"/>
      <c r="O219" s="91" t="s">
        <v>197</v>
      </c>
      <c r="P219" s="91" t="s">
        <v>198</v>
      </c>
      <c r="Q219" s="91"/>
      <c r="R219" s="91" t="s">
        <v>204</v>
      </c>
      <c r="S219" s="91"/>
      <c r="T219" s="91" t="s">
        <v>199</v>
      </c>
      <c r="U219" s="91" t="s">
        <v>198</v>
      </c>
      <c r="V219" s="132" t="str">
        <f>IF(Sequencing!G36="Yes","1b0","1b1")</f>
        <v>1b1</v>
      </c>
      <c r="W219" s="132" t="s">
        <v>157</v>
      </c>
    </row>
    <row r="220" spans="1:23" ht="45" customHeight="1">
      <c r="A220" s="77"/>
      <c r="B220" s="89"/>
      <c r="C220" s="94"/>
      <c r="D220" s="93"/>
      <c r="E220" s="93"/>
      <c r="F220" s="93">
        <v>0</v>
      </c>
      <c r="G220" s="93"/>
      <c r="H220" s="93"/>
      <c r="I220" s="93"/>
      <c r="J220" s="93"/>
      <c r="K220" s="93"/>
      <c r="L220" s="71" t="s">
        <v>910</v>
      </c>
      <c r="M220" s="91"/>
      <c r="N220" s="91"/>
      <c r="O220" s="91" t="s">
        <v>197</v>
      </c>
      <c r="P220" s="91" t="s">
        <v>198</v>
      </c>
      <c r="Q220" s="91"/>
      <c r="R220" s="91" t="s">
        <v>204</v>
      </c>
      <c r="S220" s="91"/>
      <c r="T220" s="91" t="s">
        <v>199</v>
      </c>
      <c r="U220" s="91" t="s">
        <v>198</v>
      </c>
      <c r="V220" s="132" t="str">
        <f>IF(Sequencing!H36="Yes","1b0","1b1")</f>
        <v>1b0</v>
      </c>
      <c r="W220" s="132" t="s">
        <v>157</v>
      </c>
    </row>
    <row r="221" spans="1:23" ht="45" customHeight="1">
      <c r="A221" s="77"/>
      <c r="B221" s="89"/>
      <c r="C221" s="94"/>
      <c r="D221" s="93"/>
      <c r="E221" s="93">
        <v>0</v>
      </c>
      <c r="F221" s="93"/>
      <c r="G221" s="93"/>
      <c r="H221" s="93"/>
      <c r="I221" s="93"/>
      <c r="J221" s="93"/>
      <c r="K221" s="93"/>
      <c r="L221" s="71" t="s">
        <v>911</v>
      </c>
      <c r="M221" s="91"/>
      <c r="N221" s="91"/>
      <c r="O221" s="91" t="s">
        <v>197</v>
      </c>
      <c r="P221" s="91" t="s">
        <v>198</v>
      </c>
      <c r="Q221" s="91"/>
      <c r="R221" s="91" t="s">
        <v>204</v>
      </c>
      <c r="S221" s="91"/>
      <c r="T221" s="91" t="s">
        <v>199</v>
      </c>
      <c r="U221" s="91" t="s">
        <v>198</v>
      </c>
      <c r="V221" s="132" t="str">
        <f>IF(Sequencing!K36="Yes","1b0","1b1")</f>
        <v>1b1</v>
      </c>
      <c r="W221" s="132" t="s">
        <v>157</v>
      </c>
    </row>
    <row r="222" spans="1:23" ht="45.75" customHeight="1" thickBot="1">
      <c r="A222" s="86"/>
      <c r="B222" s="95"/>
      <c r="C222" s="94"/>
      <c r="D222" s="93">
        <v>0</v>
      </c>
      <c r="E222" s="93"/>
      <c r="F222" s="93"/>
      <c r="G222" s="93"/>
      <c r="H222" s="93"/>
      <c r="I222" s="93"/>
      <c r="J222" s="93"/>
      <c r="K222" s="93"/>
      <c r="L222" s="71" t="s">
        <v>912</v>
      </c>
      <c r="M222" s="91"/>
      <c r="N222" s="91"/>
      <c r="O222" s="91" t="s">
        <v>197</v>
      </c>
      <c r="P222" s="91" t="s">
        <v>198</v>
      </c>
      <c r="Q222" s="91"/>
      <c r="R222" s="91" t="s">
        <v>204</v>
      </c>
      <c r="S222" s="91"/>
      <c r="T222" s="91" t="s">
        <v>199</v>
      </c>
      <c r="U222" s="91" t="s">
        <v>198</v>
      </c>
      <c r="V222" s="132" t="str">
        <f>IF(Sequencing!I36="Yes","1b0","1b1")</f>
        <v>1b1</v>
      </c>
      <c r="W222" s="132" t="s">
        <v>157</v>
      </c>
    </row>
    <row r="223" spans="1:23" ht="13.5" customHeight="1" thickBot="1">
      <c r="A223" s="81" t="s">
        <v>194</v>
      </c>
      <c r="B223" s="100" t="s">
        <v>327</v>
      </c>
      <c r="C223" s="90" t="s">
        <v>328</v>
      </c>
      <c r="D223" s="294"/>
      <c r="E223" s="294"/>
      <c r="F223" s="294"/>
      <c r="G223" s="294"/>
      <c r="H223" s="294"/>
      <c r="I223" s="294"/>
      <c r="J223" s="294"/>
      <c r="K223" s="294"/>
      <c r="L223" s="98" t="s">
        <v>913</v>
      </c>
      <c r="M223" s="97"/>
      <c r="N223" s="97"/>
      <c r="O223" s="97" t="s">
        <v>197</v>
      </c>
      <c r="P223" s="97" t="s">
        <v>198</v>
      </c>
      <c r="Q223" s="97">
        <v>117</v>
      </c>
      <c r="R223" s="97" t="s">
        <v>204</v>
      </c>
      <c r="S223" s="97"/>
      <c r="T223" s="97" t="s">
        <v>199</v>
      </c>
      <c r="U223" s="97" t="s">
        <v>198</v>
      </c>
      <c r="V223" s="142"/>
      <c r="W223" s="199"/>
    </row>
    <row r="224" spans="1:23" ht="12.5">
      <c r="A224" s="77"/>
      <c r="B224" s="89"/>
      <c r="C224" s="94"/>
      <c r="D224" s="93"/>
      <c r="E224" s="93"/>
      <c r="F224" s="93"/>
      <c r="G224" s="93"/>
      <c r="H224" s="93"/>
      <c r="I224" s="93"/>
      <c r="J224" s="93"/>
      <c r="K224" s="93">
        <v>0</v>
      </c>
      <c r="L224" s="71" t="s">
        <v>914</v>
      </c>
      <c r="M224" s="91"/>
      <c r="N224" s="91"/>
      <c r="O224" s="91" t="s">
        <v>197</v>
      </c>
      <c r="P224" s="91" t="s">
        <v>198</v>
      </c>
      <c r="Q224" s="91"/>
      <c r="R224" s="91" t="s">
        <v>204</v>
      </c>
      <c r="S224" s="91"/>
      <c r="T224" s="91" t="s">
        <v>199</v>
      </c>
      <c r="U224" s="91" t="s">
        <v>198</v>
      </c>
      <c r="V224" s="132" t="str">
        <f>IF(Sequencing!J36="Yes","1b0","1b1")</f>
        <v>1b1</v>
      </c>
      <c r="W224" s="132" t="s">
        <v>157</v>
      </c>
    </row>
    <row r="225" spans="1:23" ht="45" customHeight="1">
      <c r="A225" s="77"/>
      <c r="B225" s="89"/>
      <c r="C225" s="94"/>
      <c r="D225" s="93"/>
      <c r="E225" s="93"/>
      <c r="F225" s="93"/>
      <c r="G225" s="93"/>
      <c r="H225" s="93"/>
      <c r="I225" s="93"/>
      <c r="J225" s="93">
        <v>0</v>
      </c>
      <c r="K225" s="93"/>
      <c r="L225" s="71" t="s">
        <v>915</v>
      </c>
      <c r="M225" s="91"/>
      <c r="N225" s="91"/>
      <c r="O225" s="91" t="s">
        <v>197</v>
      </c>
      <c r="P225" s="91" t="s">
        <v>198</v>
      </c>
      <c r="Q225" s="91"/>
      <c r="R225" s="91" t="s">
        <v>204</v>
      </c>
      <c r="S225" s="91"/>
      <c r="T225" s="91" t="s">
        <v>199</v>
      </c>
      <c r="U225" s="91" t="s">
        <v>198</v>
      </c>
      <c r="V225" s="132" t="str">
        <f>IF(Sequencing!L36="Yes","1b0","1b1")</f>
        <v>1b1</v>
      </c>
      <c r="W225" s="132" t="s">
        <v>157</v>
      </c>
    </row>
    <row r="226" spans="1:23" ht="45" customHeight="1">
      <c r="A226" s="77"/>
      <c r="B226" s="89"/>
      <c r="C226" s="94"/>
      <c r="D226" s="93"/>
      <c r="E226" s="93"/>
      <c r="F226" s="93"/>
      <c r="G226" s="93"/>
      <c r="H226" s="93"/>
      <c r="I226" s="93">
        <v>0</v>
      </c>
      <c r="J226" s="93"/>
      <c r="K226" s="93"/>
      <c r="L226" s="71" t="s">
        <v>957</v>
      </c>
      <c r="M226" s="91"/>
      <c r="N226" s="91"/>
      <c r="O226" s="91" t="s">
        <v>197</v>
      </c>
      <c r="P226" s="91" t="s">
        <v>198</v>
      </c>
      <c r="Q226" s="91"/>
      <c r="R226" s="91" t="s">
        <v>204</v>
      </c>
      <c r="S226" s="91"/>
      <c r="T226" s="91" t="s">
        <v>199</v>
      </c>
      <c r="U226" s="91" t="s">
        <v>198</v>
      </c>
      <c r="V226" s="132" t="str">
        <f>IF(Sequencing!M36="Yes","1b0","1b1")</f>
        <v>1b1</v>
      </c>
      <c r="W226" s="132" t="s">
        <v>157</v>
      </c>
    </row>
    <row r="227" spans="1:23" ht="45" customHeight="1">
      <c r="A227" s="77"/>
      <c r="B227" s="89"/>
      <c r="C227" s="94"/>
      <c r="D227" s="93"/>
      <c r="E227" s="93"/>
      <c r="F227" s="93"/>
      <c r="G227" s="93"/>
      <c r="H227" s="93">
        <v>0</v>
      </c>
      <c r="I227" s="93"/>
      <c r="J227" s="93"/>
      <c r="K227" s="93"/>
      <c r="L227" s="71" t="s">
        <v>916</v>
      </c>
      <c r="M227" s="91"/>
      <c r="N227" s="91"/>
      <c r="O227" s="91" t="s">
        <v>197</v>
      </c>
      <c r="P227" s="91" t="s">
        <v>198</v>
      </c>
      <c r="Q227" s="91"/>
      <c r="R227" s="91" t="s">
        <v>204</v>
      </c>
      <c r="S227" s="91"/>
      <c r="T227" s="91" t="s">
        <v>199</v>
      </c>
      <c r="U227" s="91" t="s">
        <v>198</v>
      </c>
      <c r="V227" s="132" t="str">
        <f>IF(Sequencing!N36="Yes","1b0","1b1")</f>
        <v>1b1</v>
      </c>
      <c r="W227" s="132" t="s">
        <v>157</v>
      </c>
    </row>
    <row r="228" spans="1:23" ht="45" customHeight="1">
      <c r="A228" s="77"/>
      <c r="B228" s="89"/>
      <c r="C228" s="94"/>
      <c r="D228" s="93"/>
      <c r="E228" s="93"/>
      <c r="F228" s="93"/>
      <c r="G228" s="93">
        <v>0</v>
      </c>
      <c r="H228" s="70"/>
      <c r="I228" s="70"/>
      <c r="J228" s="70"/>
      <c r="K228" s="70"/>
      <c r="L228" s="71" t="s">
        <v>917</v>
      </c>
      <c r="M228" s="91"/>
      <c r="N228" s="91"/>
      <c r="O228" s="91" t="s">
        <v>197</v>
      </c>
      <c r="P228" s="91" t="s">
        <v>198</v>
      </c>
      <c r="Q228" s="91"/>
      <c r="R228" s="91" t="s">
        <v>204</v>
      </c>
      <c r="S228" s="91"/>
      <c r="T228" s="91" t="s">
        <v>199</v>
      </c>
      <c r="U228" s="91" t="s">
        <v>198</v>
      </c>
      <c r="V228" s="132" t="str">
        <f>IF(Sequencing!O36="Yes","1b0","1b1")</f>
        <v>1b1</v>
      </c>
      <c r="W228" s="132" t="s">
        <v>157</v>
      </c>
    </row>
    <row r="229" spans="1:23" ht="45" customHeight="1">
      <c r="A229" s="77"/>
      <c r="B229" s="89"/>
      <c r="C229" s="94"/>
      <c r="D229" s="93"/>
      <c r="E229" s="93"/>
      <c r="F229" s="93">
        <v>0</v>
      </c>
      <c r="G229" s="93"/>
      <c r="H229" s="70"/>
      <c r="I229" s="70"/>
      <c r="J229" s="70"/>
      <c r="K229" s="70"/>
      <c r="L229" s="71" t="s">
        <v>918</v>
      </c>
      <c r="M229" s="91"/>
      <c r="N229" s="91"/>
      <c r="O229" s="91" t="s">
        <v>197</v>
      </c>
      <c r="P229" s="91" t="s">
        <v>198</v>
      </c>
      <c r="Q229" s="91"/>
      <c r="R229" s="91" t="s">
        <v>204</v>
      </c>
      <c r="S229" s="91"/>
      <c r="T229" s="91" t="s">
        <v>199</v>
      </c>
      <c r="U229" s="91" t="s">
        <v>198</v>
      </c>
      <c r="V229" s="132" t="str">
        <f>IF(Sequencing!P36="Yes","1b0","1b1")</f>
        <v>1b1</v>
      </c>
      <c r="W229" s="132" t="s">
        <v>157</v>
      </c>
    </row>
    <row r="230" spans="1:23" ht="45" customHeight="1">
      <c r="A230" s="77"/>
      <c r="B230" s="89"/>
      <c r="C230" s="94"/>
      <c r="D230" s="93"/>
      <c r="E230" s="93">
        <v>0</v>
      </c>
      <c r="F230" s="93"/>
      <c r="G230" s="93"/>
      <c r="H230" s="70"/>
      <c r="I230" s="70"/>
      <c r="J230" s="70"/>
      <c r="K230" s="70"/>
      <c r="L230" s="71" t="s">
        <v>919</v>
      </c>
      <c r="M230" s="91"/>
      <c r="N230" s="91"/>
      <c r="O230" s="91" t="s">
        <v>197</v>
      </c>
      <c r="P230" s="91" t="s">
        <v>198</v>
      </c>
      <c r="Q230" s="91"/>
      <c r="R230" s="91" t="s">
        <v>204</v>
      </c>
      <c r="S230" s="91"/>
      <c r="T230" s="91" t="s">
        <v>199</v>
      </c>
      <c r="U230" s="91" t="s">
        <v>198</v>
      </c>
      <c r="V230" s="132" t="str">
        <f>IF(Sequencing!R36="Yes","1b0","1b1")</f>
        <v>1b1</v>
      </c>
      <c r="W230" s="132" t="s">
        <v>157</v>
      </c>
    </row>
    <row r="231" spans="1:23" ht="45" customHeight="1" thickBot="1">
      <c r="A231" s="77"/>
      <c r="B231" s="89"/>
      <c r="C231" s="94"/>
      <c r="D231" s="93">
        <v>0</v>
      </c>
      <c r="E231" s="93"/>
      <c r="F231" s="93"/>
      <c r="G231" s="93"/>
      <c r="H231" s="70"/>
      <c r="I231" s="70"/>
      <c r="J231" s="70"/>
      <c r="K231" s="70"/>
      <c r="L231" s="71" t="s">
        <v>920</v>
      </c>
      <c r="M231" s="91"/>
      <c r="N231" s="91"/>
      <c r="O231" s="91" t="s">
        <v>197</v>
      </c>
      <c r="P231" s="91" t="s">
        <v>198</v>
      </c>
      <c r="Q231" s="91"/>
      <c r="R231" s="91" t="s">
        <v>204</v>
      </c>
      <c r="S231" s="91"/>
      <c r="T231" s="91" t="s">
        <v>199</v>
      </c>
      <c r="U231" s="91" t="s">
        <v>198</v>
      </c>
      <c r="V231" s="132" t="str">
        <f>IF(Sequencing!S36="Yes","1b0","1b1")</f>
        <v>1b1</v>
      </c>
      <c r="W231" s="132" t="s">
        <v>157</v>
      </c>
    </row>
    <row r="232" spans="1:23" ht="12" customHeight="1" thickBot="1">
      <c r="A232" s="81" t="s">
        <v>194</v>
      </c>
      <c r="B232" s="100" t="s">
        <v>329</v>
      </c>
      <c r="C232" s="90" t="s">
        <v>330</v>
      </c>
      <c r="D232" s="294"/>
      <c r="E232" s="294"/>
      <c r="F232" s="294"/>
      <c r="G232" s="294"/>
      <c r="H232" s="294"/>
      <c r="I232" s="294"/>
      <c r="J232" s="294"/>
      <c r="K232" s="294"/>
      <c r="L232" s="98" t="s">
        <v>887</v>
      </c>
      <c r="M232" s="97"/>
      <c r="N232" s="97"/>
      <c r="O232" s="97" t="s">
        <v>197</v>
      </c>
      <c r="P232" s="97" t="s">
        <v>198</v>
      </c>
      <c r="Q232" s="97">
        <v>118</v>
      </c>
      <c r="R232" s="97" t="s">
        <v>204</v>
      </c>
      <c r="S232" s="97"/>
      <c r="T232" s="97" t="s">
        <v>199</v>
      </c>
      <c r="U232" s="97" t="s">
        <v>198</v>
      </c>
      <c r="V232" s="142"/>
      <c r="W232" s="199"/>
    </row>
    <row r="233" spans="1:23" ht="45" customHeight="1">
      <c r="A233" s="77"/>
      <c r="B233" s="89"/>
      <c r="C233" s="94"/>
      <c r="D233" s="93"/>
      <c r="E233" s="93"/>
      <c r="F233" s="93"/>
      <c r="G233" s="93"/>
      <c r="H233" s="93"/>
      <c r="I233" s="93"/>
      <c r="J233" s="93"/>
      <c r="K233" s="93">
        <v>0</v>
      </c>
      <c r="L233" s="71" t="s">
        <v>888</v>
      </c>
      <c r="M233" s="91"/>
      <c r="N233" s="91"/>
      <c r="O233" s="91" t="s">
        <v>197</v>
      </c>
      <c r="P233" s="91" t="s">
        <v>198</v>
      </c>
      <c r="Q233" s="91"/>
      <c r="R233" s="91" t="s">
        <v>204</v>
      </c>
      <c r="S233" s="91"/>
      <c r="T233" s="91" t="s">
        <v>199</v>
      </c>
      <c r="U233" s="91" t="s">
        <v>198</v>
      </c>
      <c r="V233" s="132" t="str">
        <f>IF(Sequencing!C34="Yes","1b0","1b1")</f>
        <v>1b1</v>
      </c>
      <c r="W233" s="132" t="s">
        <v>157</v>
      </c>
    </row>
    <row r="234" spans="1:23" ht="45" customHeight="1">
      <c r="A234" s="77"/>
      <c r="B234" s="89"/>
      <c r="C234" s="94"/>
      <c r="D234" s="93"/>
      <c r="E234" s="93"/>
      <c r="F234" s="93"/>
      <c r="G234" s="93"/>
      <c r="H234" s="93"/>
      <c r="I234" s="93"/>
      <c r="J234" s="93">
        <v>0</v>
      </c>
      <c r="K234" s="93"/>
      <c r="L234" s="71" t="s">
        <v>889</v>
      </c>
      <c r="M234" s="91"/>
      <c r="N234" s="91"/>
      <c r="O234" s="91" t="s">
        <v>197</v>
      </c>
      <c r="P234" s="91" t="s">
        <v>198</v>
      </c>
      <c r="Q234" s="91"/>
      <c r="R234" s="91" t="s">
        <v>204</v>
      </c>
      <c r="S234" s="91"/>
      <c r="T234" s="91" t="s">
        <v>199</v>
      </c>
      <c r="U234" s="91" t="s">
        <v>198</v>
      </c>
      <c r="V234" s="132" t="str">
        <f>IF(Sequencing!D34="Yes","1b0","1b1")</f>
        <v>1b1</v>
      </c>
      <c r="W234" s="132" t="s">
        <v>157</v>
      </c>
    </row>
    <row r="235" spans="1:23" ht="45" customHeight="1">
      <c r="A235" s="77"/>
      <c r="B235" s="89"/>
      <c r="C235" s="94"/>
      <c r="D235" s="93"/>
      <c r="E235" s="93"/>
      <c r="F235" s="93"/>
      <c r="G235" s="93"/>
      <c r="H235" s="93"/>
      <c r="I235" s="93">
        <v>0</v>
      </c>
      <c r="J235" s="93"/>
      <c r="K235" s="93"/>
      <c r="L235" s="71" t="s">
        <v>890</v>
      </c>
      <c r="M235" s="91"/>
      <c r="N235" s="91"/>
      <c r="O235" s="91" t="s">
        <v>197</v>
      </c>
      <c r="P235" s="91" t="s">
        <v>198</v>
      </c>
      <c r="Q235" s="91"/>
      <c r="R235" s="91" t="s">
        <v>204</v>
      </c>
      <c r="S235" s="91"/>
      <c r="T235" s="91" t="s">
        <v>199</v>
      </c>
      <c r="U235" s="91" t="s">
        <v>198</v>
      </c>
      <c r="V235" s="132" t="str">
        <f>IF(Sequencing!E34="Yes","1b0","1b1")</f>
        <v>1b1</v>
      </c>
      <c r="W235" s="132" t="s">
        <v>157</v>
      </c>
    </row>
    <row r="236" spans="1:23" ht="45" customHeight="1">
      <c r="A236" s="77"/>
      <c r="B236" s="89"/>
      <c r="C236" s="94"/>
      <c r="D236" s="93"/>
      <c r="E236" s="93"/>
      <c r="F236" s="93"/>
      <c r="G236" s="93"/>
      <c r="H236" s="93">
        <v>0</v>
      </c>
      <c r="I236" s="93"/>
      <c r="J236" s="93"/>
      <c r="K236" s="93"/>
      <c r="L236" s="71" t="s">
        <v>891</v>
      </c>
      <c r="M236" s="91"/>
      <c r="N236" s="91"/>
      <c r="O236" s="91" t="s">
        <v>197</v>
      </c>
      <c r="P236" s="91" t="s">
        <v>198</v>
      </c>
      <c r="Q236" s="91"/>
      <c r="R236" s="91" t="s">
        <v>204</v>
      </c>
      <c r="S236" s="91"/>
      <c r="T236" s="91" t="s">
        <v>199</v>
      </c>
      <c r="U236" s="91" t="s">
        <v>198</v>
      </c>
      <c r="V236" s="132" t="str">
        <f>IF(Sequencing!F34="Yes","1b0","1b1")</f>
        <v>1b1</v>
      </c>
      <c r="W236" s="132" t="s">
        <v>157</v>
      </c>
    </row>
    <row r="237" spans="1:23" ht="45" customHeight="1">
      <c r="A237" s="77"/>
      <c r="B237" s="89"/>
      <c r="C237" s="94"/>
      <c r="D237" s="93"/>
      <c r="E237" s="93"/>
      <c r="F237" s="93"/>
      <c r="G237" s="93">
        <v>0</v>
      </c>
      <c r="H237" s="93"/>
      <c r="I237" s="93"/>
      <c r="J237" s="93"/>
      <c r="K237" s="93"/>
      <c r="L237" s="71" t="s">
        <v>892</v>
      </c>
      <c r="M237" s="91"/>
      <c r="N237" s="91"/>
      <c r="O237" s="91" t="s">
        <v>197</v>
      </c>
      <c r="P237" s="91" t="s">
        <v>198</v>
      </c>
      <c r="Q237" s="91"/>
      <c r="R237" s="91" t="s">
        <v>204</v>
      </c>
      <c r="S237" s="91"/>
      <c r="T237" s="91" t="s">
        <v>199</v>
      </c>
      <c r="U237" s="91" t="s">
        <v>198</v>
      </c>
      <c r="V237" s="132" t="str">
        <f>IF(Sequencing!G34="Yes","1b0","1b1")</f>
        <v>1b1</v>
      </c>
      <c r="W237" s="132" t="s">
        <v>157</v>
      </c>
    </row>
    <row r="238" spans="1:23" ht="45" customHeight="1">
      <c r="A238" s="77"/>
      <c r="B238" s="89"/>
      <c r="C238" s="94"/>
      <c r="D238" s="93"/>
      <c r="E238" s="93"/>
      <c r="F238" s="93">
        <v>0</v>
      </c>
      <c r="G238" s="93"/>
      <c r="H238" s="93"/>
      <c r="I238" s="93"/>
      <c r="J238" s="93"/>
      <c r="K238" s="93"/>
      <c r="L238" s="71" t="s">
        <v>893</v>
      </c>
      <c r="M238" s="91"/>
      <c r="N238" s="91"/>
      <c r="O238" s="91" t="s">
        <v>197</v>
      </c>
      <c r="P238" s="91" t="s">
        <v>198</v>
      </c>
      <c r="Q238" s="91"/>
      <c r="R238" s="91" t="s">
        <v>204</v>
      </c>
      <c r="S238" s="91"/>
      <c r="T238" s="91" t="s">
        <v>199</v>
      </c>
      <c r="U238" s="91" t="s">
        <v>198</v>
      </c>
      <c r="V238" s="132" t="str">
        <f>IF(Sequencing!H34="Yes","1b0","1b1")</f>
        <v>1b1</v>
      </c>
      <c r="W238" s="132" t="s">
        <v>157</v>
      </c>
    </row>
    <row r="239" spans="1:23" ht="45" customHeight="1">
      <c r="A239" s="77"/>
      <c r="B239" s="89"/>
      <c r="C239" s="94"/>
      <c r="D239" s="93"/>
      <c r="E239" s="93">
        <v>0</v>
      </c>
      <c r="F239" s="93"/>
      <c r="G239" s="93"/>
      <c r="H239" s="93"/>
      <c r="I239" s="93"/>
      <c r="J239" s="93"/>
      <c r="K239" s="93"/>
      <c r="L239" s="71" t="s">
        <v>894</v>
      </c>
      <c r="M239" s="91"/>
      <c r="N239" s="91"/>
      <c r="O239" s="91" t="s">
        <v>197</v>
      </c>
      <c r="P239" s="91" t="s">
        <v>198</v>
      </c>
      <c r="Q239" s="91"/>
      <c r="R239" s="91" t="s">
        <v>204</v>
      </c>
      <c r="S239" s="91"/>
      <c r="T239" s="91" t="s">
        <v>199</v>
      </c>
      <c r="U239" s="91" t="s">
        <v>198</v>
      </c>
      <c r="V239" s="132" t="str">
        <f>IF(Sequencing!K34="Yes","1b0","1b1")</f>
        <v>1b1</v>
      </c>
      <c r="W239" s="132" t="s">
        <v>157</v>
      </c>
    </row>
    <row r="240" spans="1:23" ht="45.75" customHeight="1" thickBot="1">
      <c r="A240" s="86"/>
      <c r="B240" s="95"/>
      <c r="C240" s="94"/>
      <c r="D240" s="93">
        <v>0</v>
      </c>
      <c r="E240" s="93"/>
      <c r="F240" s="93"/>
      <c r="G240" s="93"/>
      <c r="H240" s="93"/>
      <c r="I240" s="93"/>
      <c r="J240" s="93"/>
      <c r="K240" s="93"/>
      <c r="L240" s="71" t="s">
        <v>895</v>
      </c>
      <c r="M240" s="91"/>
      <c r="N240" s="91"/>
      <c r="O240" s="91" t="s">
        <v>197</v>
      </c>
      <c r="P240" s="91" t="s">
        <v>198</v>
      </c>
      <c r="Q240" s="91"/>
      <c r="R240" s="91" t="s">
        <v>204</v>
      </c>
      <c r="S240" s="91"/>
      <c r="T240" s="91" t="s">
        <v>199</v>
      </c>
      <c r="U240" s="91" t="s">
        <v>198</v>
      </c>
      <c r="V240" s="132" t="str">
        <f>IF(Sequencing!I34="Yes","1b0","1b1")</f>
        <v>1b1</v>
      </c>
      <c r="W240" s="132" t="s">
        <v>157</v>
      </c>
    </row>
    <row r="241" spans="1:23" ht="12" customHeight="1" thickBot="1">
      <c r="A241" s="81" t="s">
        <v>194</v>
      </c>
      <c r="B241" s="100" t="s">
        <v>331</v>
      </c>
      <c r="C241" s="90" t="s">
        <v>332</v>
      </c>
      <c r="D241" s="294"/>
      <c r="E241" s="294"/>
      <c r="F241" s="294"/>
      <c r="G241" s="294"/>
      <c r="H241" s="294"/>
      <c r="I241" s="294"/>
      <c r="J241" s="294"/>
      <c r="K241" s="294"/>
      <c r="L241" s="98" t="s">
        <v>896</v>
      </c>
      <c r="M241" s="97"/>
      <c r="N241" s="97"/>
      <c r="O241" s="97" t="s">
        <v>197</v>
      </c>
      <c r="P241" s="97" t="s">
        <v>198</v>
      </c>
      <c r="Q241" s="97">
        <v>119</v>
      </c>
      <c r="R241" s="97" t="s">
        <v>204</v>
      </c>
      <c r="S241" s="97"/>
      <c r="T241" s="97" t="s">
        <v>199</v>
      </c>
      <c r="U241" s="97" t="s">
        <v>198</v>
      </c>
      <c r="V241" s="142"/>
      <c r="W241" s="199"/>
    </row>
    <row r="242" spans="1:23" ht="45" customHeight="1">
      <c r="A242" s="77"/>
      <c r="B242" s="89"/>
      <c r="C242" s="94"/>
      <c r="D242" s="93"/>
      <c r="E242" s="93"/>
      <c r="F242" s="93"/>
      <c r="G242" s="93"/>
      <c r="H242" s="93"/>
      <c r="I242" s="93"/>
      <c r="J242" s="93"/>
      <c r="K242" s="93">
        <v>0</v>
      </c>
      <c r="L242" s="71" t="s">
        <v>897</v>
      </c>
      <c r="M242" s="91"/>
      <c r="N242" s="91"/>
      <c r="O242" s="91" t="s">
        <v>197</v>
      </c>
      <c r="P242" s="91" t="s">
        <v>198</v>
      </c>
      <c r="Q242" s="91"/>
      <c r="R242" s="91" t="s">
        <v>204</v>
      </c>
      <c r="S242" s="91"/>
      <c r="T242" s="91" t="s">
        <v>199</v>
      </c>
      <c r="U242" s="91" t="s">
        <v>198</v>
      </c>
      <c r="V242" s="132" t="str">
        <f>IF(Sequencing!J34="Yes","1b0","1b1")</f>
        <v>1b0</v>
      </c>
      <c r="W242" s="132" t="s">
        <v>157</v>
      </c>
    </row>
    <row r="243" spans="1:23" ht="45" customHeight="1">
      <c r="A243" s="77"/>
      <c r="B243" s="89"/>
      <c r="C243" s="94"/>
      <c r="D243" s="93"/>
      <c r="E243" s="93"/>
      <c r="F243" s="93"/>
      <c r="G243" s="93"/>
      <c r="H243" s="93"/>
      <c r="I243" s="93"/>
      <c r="J243" s="93">
        <v>0</v>
      </c>
      <c r="K243" s="93"/>
      <c r="L243" s="71" t="s">
        <v>898</v>
      </c>
      <c r="M243" s="91"/>
      <c r="N243" s="91"/>
      <c r="O243" s="91" t="s">
        <v>197</v>
      </c>
      <c r="P243" s="91" t="s">
        <v>198</v>
      </c>
      <c r="Q243" s="91"/>
      <c r="R243" s="91" t="s">
        <v>204</v>
      </c>
      <c r="S243" s="91"/>
      <c r="T243" s="91" t="s">
        <v>199</v>
      </c>
      <c r="U243" s="91" t="s">
        <v>198</v>
      </c>
      <c r="V243" s="132" t="str">
        <f>IF(Sequencing!L34="Yes","1b0","1b1")</f>
        <v>1b1</v>
      </c>
      <c r="W243" s="132" t="s">
        <v>157</v>
      </c>
    </row>
    <row r="244" spans="1:23" ht="45" customHeight="1">
      <c r="A244" s="77"/>
      <c r="B244" s="89"/>
      <c r="C244" s="94"/>
      <c r="D244" s="93"/>
      <c r="E244" s="93"/>
      <c r="F244" s="93"/>
      <c r="G244" s="93"/>
      <c r="H244" s="93"/>
      <c r="I244" s="93">
        <v>0</v>
      </c>
      <c r="J244" s="93"/>
      <c r="K244" s="93"/>
      <c r="L244" s="71" t="s">
        <v>956</v>
      </c>
      <c r="M244" s="91"/>
      <c r="N244" s="91"/>
      <c r="O244" s="91" t="s">
        <v>197</v>
      </c>
      <c r="P244" s="91" t="s">
        <v>198</v>
      </c>
      <c r="Q244" s="91"/>
      <c r="R244" s="91" t="s">
        <v>204</v>
      </c>
      <c r="S244" s="91"/>
      <c r="T244" s="91" t="s">
        <v>199</v>
      </c>
      <c r="U244" s="91" t="s">
        <v>198</v>
      </c>
      <c r="V244" s="132" t="str">
        <f>IF(Sequencing!M34="Yes","1b0","1b1")</f>
        <v>1b1</v>
      </c>
      <c r="W244" s="132" t="s">
        <v>157</v>
      </c>
    </row>
    <row r="245" spans="1:23" ht="45" customHeight="1">
      <c r="A245" s="77"/>
      <c r="B245" s="89"/>
      <c r="C245" s="94"/>
      <c r="D245" s="93"/>
      <c r="E245" s="93"/>
      <c r="F245" s="93"/>
      <c r="G245" s="93"/>
      <c r="H245" s="93">
        <v>0</v>
      </c>
      <c r="I245" s="93"/>
      <c r="J245" s="93"/>
      <c r="K245" s="93"/>
      <c r="L245" s="71" t="s">
        <v>899</v>
      </c>
      <c r="M245" s="91"/>
      <c r="N245" s="91"/>
      <c r="O245" s="91" t="s">
        <v>197</v>
      </c>
      <c r="P245" s="91" t="s">
        <v>198</v>
      </c>
      <c r="Q245" s="91"/>
      <c r="R245" s="91" t="s">
        <v>204</v>
      </c>
      <c r="S245" s="91"/>
      <c r="T245" s="91" t="s">
        <v>199</v>
      </c>
      <c r="U245" s="91" t="s">
        <v>198</v>
      </c>
      <c r="V245" s="132" t="str">
        <f>IF(Sequencing!N34="Yes","1b0","1b1")</f>
        <v>1b1</v>
      </c>
      <c r="W245" s="132" t="s">
        <v>157</v>
      </c>
    </row>
    <row r="246" spans="1:23" ht="45" customHeight="1">
      <c r="A246" s="77"/>
      <c r="B246" s="89"/>
      <c r="C246" s="94"/>
      <c r="D246" s="93"/>
      <c r="E246" s="93"/>
      <c r="F246" s="93"/>
      <c r="G246" s="93">
        <v>0</v>
      </c>
      <c r="H246" s="70"/>
      <c r="I246" s="70"/>
      <c r="J246" s="70"/>
      <c r="K246" s="70"/>
      <c r="L246" s="71" t="s">
        <v>900</v>
      </c>
      <c r="M246" s="91"/>
      <c r="N246" s="91"/>
      <c r="O246" s="91" t="s">
        <v>197</v>
      </c>
      <c r="P246" s="91" t="s">
        <v>198</v>
      </c>
      <c r="Q246" s="91"/>
      <c r="R246" s="91" t="s">
        <v>204</v>
      </c>
      <c r="S246" s="91"/>
      <c r="T246" s="91" t="s">
        <v>199</v>
      </c>
      <c r="U246" s="91" t="s">
        <v>198</v>
      </c>
      <c r="V246" s="132" t="str">
        <f>IF(Sequencing!O34="Yes","1b0","1b1")</f>
        <v>1b1</v>
      </c>
      <c r="W246" s="132" t="s">
        <v>157</v>
      </c>
    </row>
    <row r="247" spans="1:23" ht="45" customHeight="1">
      <c r="A247" s="77"/>
      <c r="B247" s="89"/>
      <c r="C247" s="94"/>
      <c r="D247" s="93"/>
      <c r="E247" s="93"/>
      <c r="F247" s="93">
        <v>0</v>
      </c>
      <c r="G247" s="93"/>
      <c r="H247" s="70"/>
      <c r="I247" s="70"/>
      <c r="J247" s="70"/>
      <c r="K247" s="70"/>
      <c r="L247" s="71" t="s">
        <v>901</v>
      </c>
      <c r="M247" s="91"/>
      <c r="N247" s="91"/>
      <c r="O247" s="91" t="s">
        <v>197</v>
      </c>
      <c r="P247" s="91" t="s">
        <v>198</v>
      </c>
      <c r="Q247" s="91"/>
      <c r="R247" s="91" t="s">
        <v>204</v>
      </c>
      <c r="S247" s="91"/>
      <c r="T247" s="91" t="s">
        <v>199</v>
      </c>
      <c r="U247" s="91" t="s">
        <v>198</v>
      </c>
      <c r="V247" s="132" t="str">
        <f>IF(Sequencing!P34="Yes","1b0","1b1")</f>
        <v>1b1</v>
      </c>
      <c r="W247" s="132" t="s">
        <v>157</v>
      </c>
    </row>
    <row r="248" spans="1:23" ht="45" customHeight="1">
      <c r="A248" s="77"/>
      <c r="B248" s="89"/>
      <c r="C248" s="94"/>
      <c r="D248" s="93"/>
      <c r="E248" s="93">
        <v>0</v>
      </c>
      <c r="F248" s="93"/>
      <c r="G248" s="93"/>
      <c r="H248" s="70"/>
      <c r="I248" s="70"/>
      <c r="J248" s="70"/>
      <c r="K248" s="70"/>
      <c r="L248" s="71" t="s">
        <v>902</v>
      </c>
      <c r="M248" s="91"/>
      <c r="N248" s="91"/>
      <c r="O248" s="91" t="s">
        <v>197</v>
      </c>
      <c r="P248" s="91" t="s">
        <v>198</v>
      </c>
      <c r="Q248" s="91"/>
      <c r="R248" s="91" t="s">
        <v>204</v>
      </c>
      <c r="S248" s="91"/>
      <c r="T248" s="91" t="s">
        <v>199</v>
      </c>
      <c r="U248" s="91" t="s">
        <v>198</v>
      </c>
      <c r="V248" s="132" t="str">
        <f>IF(Sequencing!R34="Yes","1b0","1b1")</f>
        <v>1b1</v>
      </c>
      <c r="W248" s="132" t="s">
        <v>157</v>
      </c>
    </row>
    <row r="249" spans="1:23" ht="45" customHeight="1" thickBot="1">
      <c r="A249" s="77"/>
      <c r="B249" s="89"/>
      <c r="C249" s="94"/>
      <c r="D249" s="93">
        <v>0</v>
      </c>
      <c r="E249" s="93"/>
      <c r="F249" s="93"/>
      <c r="G249" s="93"/>
      <c r="H249" s="70"/>
      <c r="I249" s="70"/>
      <c r="J249" s="70"/>
      <c r="K249" s="70"/>
      <c r="L249" s="71" t="s">
        <v>903</v>
      </c>
      <c r="M249" s="91"/>
      <c r="N249" s="91"/>
      <c r="O249" s="91" t="s">
        <v>197</v>
      </c>
      <c r="P249" s="91" t="s">
        <v>198</v>
      </c>
      <c r="Q249" s="91"/>
      <c r="R249" s="91" t="s">
        <v>204</v>
      </c>
      <c r="S249" s="91"/>
      <c r="T249" s="91" t="s">
        <v>199</v>
      </c>
      <c r="U249" s="91" t="s">
        <v>198</v>
      </c>
      <c r="V249" s="132" t="str">
        <f>IF(Sequencing!S34="Yes","1b0","1b1")</f>
        <v>1b1</v>
      </c>
      <c r="W249" s="132" t="s">
        <v>157</v>
      </c>
    </row>
    <row r="250" spans="1:23" ht="13.5" customHeight="1" thickBot="1">
      <c r="A250" s="81" t="s">
        <v>194</v>
      </c>
      <c r="B250" s="100" t="s">
        <v>333</v>
      </c>
      <c r="C250" s="90" t="s">
        <v>334</v>
      </c>
      <c r="D250" s="294"/>
      <c r="E250" s="294"/>
      <c r="F250" s="294"/>
      <c r="G250" s="294"/>
      <c r="H250" s="294"/>
      <c r="I250" s="294"/>
      <c r="J250" s="294"/>
      <c r="K250" s="294"/>
      <c r="L250" s="98" t="s">
        <v>921</v>
      </c>
      <c r="M250" s="97"/>
      <c r="N250" s="97"/>
      <c r="O250" s="97" t="s">
        <v>197</v>
      </c>
      <c r="P250" s="97" t="s">
        <v>198</v>
      </c>
      <c r="Q250" s="97">
        <v>120</v>
      </c>
      <c r="R250" s="97" t="s">
        <v>204</v>
      </c>
      <c r="S250" s="97"/>
      <c r="T250" s="97" t="s">
        <v>199</v>
      </c>
      <c r="U250" s="97" t="s">
        <v>198</v>
      </c>
      <c r="V250" s="142"/>
      <c r="W250" s="199"/>
    </row>
    <row r="251" spans="1:23" ht="45" customHeight="1">
      <c r="A251" s="77"/>
      <c r="B251" s="89"/>
      <c r="C251" s="94"/>
      <c r="D251" s="93"/>
      <c r="E251" s="93"/>
      <c r="F251" s="93"/>
      <c r="G251" s="93"/>
      <c r="H251" s="93"/>
      <c r="I251" s="93"/>
      <c r="J251" s="93"/>
      <c r="K251" s="93">
        <v>0</v>
      </c>
      <c r="L251" s="71" t="s">
        <v>922</v>
      </c>
      <c r="M251" s="91"/>
      <c r="N251" s="91"/>
      <c r="O251" s="91" t="s">
        <v>197</v>
      </c>
      <c r="P251" s="91" t="s">
        <v>198</v>
      </c>
      <c r="Q251" s="91"/>
      <c r="R251" s="91" t="s">
        <v>204</v>
      </c>
      <c r="S251" s="91"/>
      <c r="T251" s="91" t="s">
        <v>199</v>
      </c>
      <c r="U251" s="91" t="s">
        <v>198</v>
      </c>
      <c r="V251" s="132" t="str">
        <f>IF(Sequencing!C35="Yes","1b0","1b1")</f>
        <v>1b1</v>
      </c>
      <c r="W251" s="132" t="s">
        <v>157</v>
      </c>
    </row>
    <row r="252" spans="1:23" ht="45" customHeight="1">
      <c r="A252" s="77"/>
      <c r="B252" s="89"/>
      <c r="C252" s="94"/>
      <c r="D252" s="93"/>
      <c r="E252" s="93"/>
      <c r="F252" s="93"/>
      <c r="G252" s="93"/>
      <c r="H252" s="93"/>
      <c r="I252" s="93"/>
      <c r="J252" s="93">
        <v>0</v>
      </c>
      <c r="K252" s="93"/>
      <c r="L252" s="71" t="s">
        <v>923</v>
      </c>
      <c r="M252" s="91"/>
      <c r="N252" s="91"/>
      <c r="O252" s="91" t="s">
        <v>197</v>
      </c>
      <c r="P252" s="91" t="s">
        <v>198</v>
      </c>
      <c r="Q252" s="91"/>
      <c r="R252" s="91" t="s">
        <v>204</v>
      </c>
      <c r="S252" s="91"/>
      <c r="T252" s="91" t="s">
        <v>199</v>
      </c>
      <c r="U252" s="91" t="s">
        <v>198</v>
      </c>
      <c r="V252" s="132" t="str">
        <f>IF(Sequencing!D35="Yes","1b0","1b1")</f>
        <v>1b0</v>
      </c>
      <c r="W252" s="132" t="s">
        <v>157</v>
      </c>
    </row>
    <row r="253" spans="1:23" ht="45" customHeight="1">
      <c r="A253" s="77"/>
      <c r="B253" s="89"/>
      <c r="C253" s="94"/>
      <c r="D253" s="93"/>
      <c r="E253" s="93"/>
      <c r="F253" s="93"/>
      <c r="G253" s="93"/>
      <c r="H253" s="93"/>
      <c r="I253" s="93">
        <v>0</v>
      </c>
      <c r="J253" s="93"/>
      <c r="K253" s="93"/>
      <c r="L253" s="71" t="s">
        <v>924</v>
      </c>
      <c r="M253" s="91"/>
      <c r="N253" s="91"/>
      <c r="O253" s="91" t="s">
        <v>197</v>
      </c>
      <c r="P253" s="91" t="s">
        <v>198</v>
      </c>
      <c r="Q253" s="91"/>
      <c r="R253" s="91" t="s">
        <v>204</v>
      </c>
      <c r="S253" s="91"/>
      <c r="T253" s="91" t="s">
        <v>199</v>
      </c>
      <c r="U253" s="91" t="s">
        <v>198</v>
      </c>
      <c r="V253" s="132" t="str">
        <f>IF(Sequencing!E35="Yes","1b0","1b1")</f>
        <v>1b1</v>
      </c>
      <c r="W253" s="132" t="s">
        <v>157</v>
      </c>
    </row>
    <row r="254" spans="1:23" ht="45" customHeight="1">
      <c r="A254" s="77"/>
      <c r="B254" s="89"/>
      <c r="C254" s="94"/>
      <c r="D254" s="93"/>
      <c r="E254" s="93"/>
      <c r="F254" s="93"/>
      <c r="G254" s="93"/>
      <c r="H254" s="93">
        <v>0</v>
      </c>
      <c r="I254" s="93"/>
      <c r="J254" s="93"/>
      <c r="K254" s="93"/>
      <c r="L254" s="71" t="s">
        <v>925</v>
      </c>
      <c r="M254" s="91"/>
      <c r="N254" s="91"/>
      <c r="O254" s="91" t="s">
        <v>197</v>
      </c>
      <c r="P254" s="91" t="s">
        <v>198</v>
      </c>
      <c r="Q254" s="91"/>
      <c r="R254" s="91" t="s">
        <v>204</v>
      </c>
      <c r="S254" s="91"/>
      <c r="T254" s="91" t="s">
        <v>199</v>
      </c>
      <c r="U254" s="91" t="s">
        <v>198</v>
      </c>
      <c r="V254" s="132" t="str">
        <f>IF(Sequencing!F35="Yes","1b0","1b1")</f>
        <v>1b1</v>
      </c>
      <c r="W254" s="132" t="s">
        <v>157</v>
      </c>
    </row>
    <row r="255" spans="1:23" ht="45" customHeight="1">
      <c r="A255" s="77"/>
      <c r="B255" s="89"/>
      <c r="C255" s="94"/>
      <c r="D255" s="93"/>
      <c r="E255" s="93"/>
      <c r="F255" s="93"/>
      <c r="G255" s="93">
        <v>0</v>
      </c>
      <c r="H255" s="93"/>
      <c r="I255" s="93"/>
      <c r="J255" s="93"/>
      <c r="K255" s="93"/>
      <c r="L255" s="71" t="s">
        <v>926</v>
      </c>
      <c r="M255" s="91"/>
      <c r="N255" s="91"/>
      <c r="O255" s="91" t="s">
        <v>197</v>
      </c>
      <c r="P255" s="91" t="s">
        <v>198</v>
      </c>
      <c r="Q255" s="91"/>
      <c r="R255" s="91" t="s">
        <v>204</v>
      </c>
      <c r="S255" s="91"/>
      <c r="T255" s="91" t="s">
        <v>199</v>
      </c>
      <c r="U255" s="91" t="s">
        <v>198</v>
      </c>
      <c r="V255" s="132" t="str">
        <f>IF(Sequencing!G35="Yes","1b0","1b1")</f>
        <v>1b1</v>
      </c>
      <c r="W255" s="132" t="s">
        <v>157</v>
      </c>
    </row>
    <row r="256" spans="1:23" ht="45" customHeight="1">
      <c r="A256" s="77"/>
      <c r="B256" s="89"/>
      <c r="C256" s="94"/>
      <c r="D256" s="93"/>
      <c r="E256" s="93"/>
      <c r="F256" s="93">
        <v>0</v>
      </c>
      <c r="G256" s="93"/>
      <c r="H256" s="93"/>
      <c r="I256" s="93"/>
      <c r="J256" s="93"/>
      <c r="K256" s="93"/>
      <c r="L256" s="71" t="s">
        <v>927</v>
      </c>
      <c r="M256" s="91"/>
      <c r="N256" s="91"/>
      <c r="O256" s="91" t="s">
        <v>197</v>
      </c>
      <c r="P256" s="91" t="s">
        <v>198</v>
      </c>
      <c r="Q256" s="91"/>
      <c r="R256" s="91" t="s">
        <v>204</v>
      </c>
      <c r="S256" s="91"/>
      <c r="T256" s="91" t="s">
        <v>199</v>
      </c>
      <c r="U256" s="91" t="s">
        <v>198</v>
      </c>
      <c r="V256" s="132" t="str">
        <f>IF(Sequencing!H35="Yes","1b0","1b1")</f>
        <v>1b1</v>
      </c>
      <c r="W256" s="132" t="s">
        <v>157</v>
      </c>
    </row>
    <row r="257" spans="1:23" ht="45" customHeight="1">
      <c r="A257" s="77"/>
      <c r="B257" s="89"/>
      <c r="C257" s="94"/>
      <c r="D257" s="93"/>
      <c r="E257" s="93">
        <v>0</v>
      </c>
      <c r="F257" s="93"/>
      <c r="G257" s="93"/>
      <c r="H257" s="93"/>
      <c r="I257" s="93"/>
      <c r="J257" s="93"/>
      <c r="K257" s="93"/>
      <c r="L257" s="71" t="s">
        <v>928</v>
      </c>
      <c r="M257" s="91"/>
      <c r="N257" s="91"/>
      <c r="O257" s="91" t="s">
        <v>197</v>
      </c>
      <c r="P257" s="91" t="s">
        <v>198</v>
      </c>
      <c r="Q257" s="91"/>
      <c r="R257" s="91" t="s">
        <v>204</v>
      </c>
      <c r="S257" s="91"/>
      <c r="T257" s="91" t="s">
        <v>199</v>
      </c>
      <c r="U257" s="91" t="s">
        <v>198</v>
      </c>
      <c r="V257" s="132" t="str">
        <f>IF(Sequencing!K35="Yes","1b0","1b1")</f>
        <v>1b1</v>
      </c>
      <c r="W257" s="132" t="s">
        <v>157</v>
      </c>
    </row>
    <row r="258" spans="1:23" ht="45.75" customHeight="1" thickBot="1">
      <c r="A258" s="86"/>
      <c r="B258" s="95"/>
      <c r="C258" s="94"/>
      <c r="D258" s="93">
        <v>0</v>
      </c>
      <c r="E258" s="93"/>
      <c r="F258" s="93"/>
      <c r="G258" s="93"/>
      <c r="H258" s="93"/>
      <c r="I258" s="93"/>
      <c r="J258" s="93"/>
      <c r="K258" s="93"/>
      <c r="L258" s="71" t="s">
        <v>929</v>
      </c>
      <c r="M258" s="91"/>
      <c r="N258" s="91"/>
      <c r="O258" s="91" t="s">
        <v>197</v>
      </c>
      <c r="P258" s="91" t="s">
        <v>198</v>
      </c>
      <c r="Q258" s="91"/>
      <c r="R258" s="91" t="s">
        <v>204</v>
      </c>
      <c r="S258" s="91"/>
      <c r="T258" s="91" t="s">
        <v>199</v>
      </c>
      <c r="U258" s="91" t="s">
        <v>198</v>
      </c>
      <c r="V258" s="132" t="str">
        <f>IF(Sequencing!I35="Yes","1b0","1b1")</f>
        <v>1b1</v>
      </c>
      <c r="W258" s="132" t="s">
        <v>157</v>
      </c>
    </row>
    <row r="259" spans="1:23" ht="13.5" customHeight="1" thickBot="1">
      <c r="A259" s="81" t="s">
        <v>194</v>
      </c>
      <c r="B259" s="100" t="s">
        <v>335</v>
      </c>
      <c r="C259" s="90" t="s">
        <v>336</v>
      </c>
      <c r="D259" s="294"/>
      <c r="E259" s="294"/>
      <c r="F259" s="294"/>
      <c r="G259" s="294"/>
      <c r="H259" s="294"/>
      <c r="I259" s="294"/>
      <c r="J259" s="294"/>
      <c r="K259" s="294"/>
      <c r="L259" s="98" t="s">
        <v>930</v>
      </c>
      <c r="M259" s="97"/>
      <c r="N259" s="97"/>
      <c r="O259" s="97" t="s">
        <v>197</v>
      </c>
      <c r="P259" s="97" t="s">
        <v>198</v>
      </c>
      <c r="Q259" s="97">
        <v>121</v>
      </c>
      <c r="R259" s="97" t="s">
        <v>204</v>
      </c>
      <c r="S259" s="97"/>
      <c r="T259" s="97" t="s">
        <v>199</v>
      </c>
      <c r="U259" s="97" t="s">
        <v>198</v>
      </c>
      <c r="V259" s="142"/>
      <c r="W259" s="199"/>
    </row>
    <row r="260" spans="1:23" ht="45" customHeight="1">
      <c r="A260" s="77"/>
      <c r="B260" s="89"/>
      <c r="C260" s="94"/>
      <c r="D260" s="93"/>
      <c r="E260" s="93"/>
      <c r="F260" s="93"/>
      <c r="G260" s="93"/>
      <c r="H260" s="93"/>
      <c r="I260" s="93"/>
      <c r="J260" s="93"/>
      <c r="K260" s="93">
        <v>0</v>
      </c>
      <c r="L260" s="71" t="s">
        <v>931</v>
      </c>
      <c r="M260" s="91"/>
      <c r="N260" s="91"/>
      <c r="O260" s="91" t="s">
        <v>197</v>
      </c>
      <c r="P260" s="91" t="s">
        <v>198</v>
      </c>
      <c r="Q260" s="91"/>
      <c r="R260" s="91" t="s">
        <v>204</v>
      </c>
      <c r="S260" s="91"/>
      <c r="T260" s="91" t="s">
        <v>199</v>
      </c>
      <c r="U260" s="91" t="s">
        <v>198</v>
      </c>
      <c r="V260" s="132" t="str">
        <f>IF(Sequencing!J35="Yes","1b0","1b1")</f>
        <v>1b1</v>
      </c>
      <c r="W260" s="132" t="s">
        <v>157</v>
      </c>
    </row>
    <row r="261" spans="1:23" ht="45" customHeight="1">
      <c r="A261" s="77"/>
      <c r="B261" s="89"/>
      <c r="C261" s="94"/>
      <c r="D261" s="93"/>
      <c r="E261" s="93"/>
      <c r="F261" s="93"/>
      <c r="G261" s="93"/>
      <c r="H261" s="93"/>
      <c r="I261" s="93"/>
      <c r="J261" s="93">
        <v>0</v>
      </c>
      <c r="K261" s="93"/>
      <c r="L261" s="71" t="s">
        <v>932</v>
      </c>
      <c r="M261" s="91"/>
      <c r="N261" s="91"/>
      <c r="O261" s="91" t="s">
        <v>197</v>
      </c>
      <c r="P261" s="91" t="s">
        <v>198</v>
      </c>
      <c r="Q261" s="91"/>
      <c r="R261" s="91" t="s">
        <v>204</v>
      </c>
      <c r="S261" s="91"/>
      <c r="T261" s="91" t="s">
        <v>199</v>
      </c>
      <c r="U261" s="91" t="s">
        <v>198</v>
      </c>
      <c r="V261" s="132" t="str">
        <f>IF(Sequencing!L35="Yes","1b0","1b1")</f>
        <v>1b1</v>
      </c>
      <c r="W261" s="132" t="s">
        <v>157</v>
      </c>
    </row>
    <row r="262" spans="1:23" ht="45" customHeight="1">
      <c r="A262" s="77"/>
      <c r="B262" s="89"/>
      <c r="C262" s="94"/>
      <c r="D262" s="93"/>
      <c r="E262" s="93"/>
      <c r="F262" s="93"/>
      <c r="G262" s="93"/>
      <c r="H262" s="93"/>
      <c r="I262" s="93">
        <v>0</v>
      </c>
      <c r="J262" s="93"/>
      <c r="K262" s="93"/>
      <c r="L262" s="71" t="s">
        <v>958</v>
      </c>
      <c r="M262" s="91"/>
      <c r="N262" s="91"/>
      <c r="O262" s="91" t="s">
        <v>197</v>
      </c>
      <c r="P262" s="91" t="s">
        <v>198</v>
      </c>
      <c r="Q262" s="91"/>
      <c r="R262" s="91" t="s">
        <v>204</v>
      </c>
      <c r="S262" s="91"/>
      <c r="T262" s="91" t="s">
        <v>199</v>
      </c>
      <c r="U262" s="91" t="s">
        <v>198</v>
      </c>
      <c r="V262" s="132" t="str">
        <f>IF(Sequencing!M35="Yes","1b0","1b1")</f>
        <v>1b1</v>
      </c>
      <c r="W262" s="132" t="s">
        <v>157</v>
      </c>
    </row>
    <row r="263" spans="1:23" ht="12.5">
      <c r="A263" s="77"/>
      <c r="B263" s="89"/>
      <c r="C263" s="94"/>
      <c r="D263" s="93"/>
      <c r="E263" s="93"/>
      <c r="F263" s="93"/>
      <c r="G263" s="93"/>
      <c r="H263" s="93">
        <v>0</v>
      </c>
      <c r="I263" s="93"/>
      <c r="J263" s="93"/>
      <c r="K263" s="93"/>
      <c r="L263" s="71" t="s">
        <v>933</v>
      </c>
      <c r="M263" s="91"/>
      <c r="N263" s="91"/>
      <c r="O263" s="91" t="s">
        <v>197</v>
      </c>
      <c r="P263" s="91" t="s">
        <v>198</v>
      </c>
      <c r="Q263" s="91"/>
      <c r="R263" s="91" t="s">
        <v>204</v>
      </c>
      <c r="S263" s="91"/>
      <c r="T263" s="91" t="s">
        <v>199</v>
      </c>
      <c r="U263" s="91" t="s">
        <v>198</v>
      </c>
      <c r="V263" s="132" t="str">
        <f>IF(Sequencing!N35="Yes","1b0","1b1")</f>
        <v>1b1</v>
      </c>
      <c r="W263" s="132" t="s">
        <v>157</v>
      </c>
    </row>
    <row r="264" spans="1:23" ht="45" customHeight="1">
      <c r="A264" s="77"/>
      <c r="B264" s="89"/>
      <c r="C264" s="94"/>
      <c r="D264" s="93"/>
      <c r="E264" s="93"/>
      <c r="F264" s="93"/>
      <c r="G264" s="93">
        <v>0</v>
      </c>
      <c r="H264" s="70"/>
      <c r="I264" s="70"/>
      <c r="J264" s="70"/>
      <c r="K264" s="70"/>
      <c r="L264" s="71" t="s">
        <v>934</v>
      </c>
      <c r="M264" s="91"/>
      <c r="N264" s="91"/>
      <c r="O264" s="91" t="s">
        <v>197</v>
      </c>
      <c r="P264" s="91" t="s">
        <v>198</v>
      </c>
      <c r="Q264" s="91"/>
      <c r="R264" s="91" t="s">
        <v>204</v>
      </c>
      <c r="S264" s="91"/>
      <c r="T264" s="91" t="s">
        <v>199</v>
      </c>
      <c r="U264" s="91" t="s">
        <v>198</v>
      </c>
      <c r="V264" s="132" t="str">
        <f>IF(Sequencing!O35="Yes","1b0","1b1")</f>
        <v>1b1</v>
      </c>
      <c r="W264" s="132" t="s">
        <v>157</v>
      </c>
    </row>
    <row r="265" spans="1:23" ht="45" customHeight="1">
      <c r="A265" s="77"/>
      <c r="B265" s="89"/>
      <c r="C265" s="94"/>
      <c r="D265" s="93"/>
      <c r="E265" s="93"/>
      <c r="F265" s="93">
        <v>0</v>
      </c>
      <c r="G265" s="93"/>
      <c r="H265" s="70"/>
      <c r="I265" s="70"/>
      <c r="J265" s="70"/>
      <c r="K265" s="70"/>
      <c r="L265" s="71" t="s">
        <v>935</v>
      </c>
      <c r="M265" s="91"/>
      <c r="N265" s="91"/>
      <c r="O265" s="91" t="s">
        <v>197</v>
      </c>
      <c r="P265" s="91" t="s">
        <v>198</v>
      </c>
      <c r="Q265" s="91"/>
      <c r="R265" s="91" t="s">
        <v>204</v>
      </c>
      <c r="S265" s="91"/>
      <c r="T265" s="91" t="s">
        <v>199</v>
      </c>
      <c r="U265" s="91" t="s">
        <v>198</v>
      </c>
      <c r="V265" s="132" t="str">
        <f>IF(Sequencing!P35="Yes","1b0","1b1")</f>
        <v>1b1</v>
      </c>
      <c r="W265" s="132" t="s">
        <v>157</v>
      </c>
    </row>
    <row r="266" spans="1:23" ht="45" customHeight="1">
      <c r="A266" s="77"/>
      <c r="B266" s="89"/>
      <c r="C266" s="94"/>
      <c r="D266" s="93"/>
      <c r="E266" s="93">
        <v>0</v>
      </c>
      <c r="F266" s="93"/>
      <c r="G266" s="93"/>
      <c r="H266" s="70"/>
      <c r="I266" s="70"/>
      <c r="J266" s="70"/>
      <c r="K266" s="70"/>
      <c r="L266" s="71" t="s">
        <v>936</v>
      </c>
      <c r="M266" s="91"/>
      <c r="N266" s="91"/>
      <c r="O266" s="91" t="s">
        <v>197</v>
      </c>
      <c r="P266" s="91" t="s">
        <v>198</v>
      </c>
      <c r="Q266" s="91"/>
      <c r="R266" s="91" t="s">
        <v>204</v>
      </c>
      <c r="S266" s="91"/>
      <c r="T266" s="91" t="s">
        <v>199</v>
      </c>
      <c r="U266" s="91" t="s">
        <v>198</v>
      </c>
      <c r="V266" s="132" t="str">
        <f>IF(Sequencing!R35="Yes","1b0","1b1")</f>
        <v>1b1</v>
      </c>
      <c r="W266" s="132" t="s">
        <v>157</v>
      </c>
    </row>
    <row r="267" spans="1:23" ht="45" customHeight="1" thickBot="1">
      <c r="A267" s="77"/>
      <c r="B267" s="89"/>
      <c r="C267" s="94"/>
      <c r="D267" s="93">
        <v>0</v>
      </c>
      <c r="E267" s="93"/>
      <c r="F267" s="93"/>
      <c r="G267" s="93"/>
      <c r="H267" s="70"/>
      <c r="I267" s="70"/>
      <c r="J267" s="70"/>
      <c r="K267" s="70"/>
      <c r="L267" s="71" t="s">
        <v>937</v>
      </c>
      <c r="M267" s="91"/>
      <c r="N267" s="91"/>
      <c r="O267" s="91" t="s">
        <v>197</v>
      </c>
      <c r="P267" s="91" t="s">
        <v>198</v>
      </c>
      <c r="Q267" s="91"/>
      <c r="R267" s="91" t="s">
        <v>204</v>
      </c>
      <c r="S267" s="91"/>
      <c r="T267" s="91" t="s">
        <v>199</v>
      </c>
      <c r="U267" s="91" t="s">
        <v>198</v>
      </c>
      <c r="V267" s="132" t="str">
        <f>IF(Sequencing!S35="Yes","1b0","1b1")</f>
        <v>1b1</v>
      </c>
      <c r="W267" s="132" t="s">
        <v>157</v>
      </c>
    </row>
    <row r="268" spans="1:23" ht="13.5" customHeight="1" thickBot="1">
      <c r="A268" s="81" t="s">
        <v>194</v>
      </c>
      <c r="B268" s="100" t="s">
        <v>337</v>
      </c>
      <c r="C268" s="90" t="s">
        <v>338</v>
      </c>
      <c r="D268" s="294"/>
      <c r="E268" s="294"/>
      <c r="F268" s="294"/>
      <c r="G268" s="294"/>
      <c r="H268" s="294"/>
      <c r="I268" s="294"/>
      <c r="J268" s="294"/>
      <c r="K268" s="294"/>
      <c r="L268" s="98" t="s">
        <v>938</v>
      </c>
      <c r="M268" s="97"/>
      <c r="N268" s="97"/>
      <c r="O268" s="97" t="s">
        <v>197</v>
      </c>
      <c r="P268" s="97" t="s">
        <v>198</v>
      </c>
      <c r="Q268" s="97">
        <v>122</v>
      </c>
      <c r="R268" s="97" t="s">
        <v>204</v>
      </c>
      <c r="S268" s="97"/>
      <c r="T268" s="97" t="s">
        <v>199</v>
      </c>
      <c r="U268" s="97" t="s">
        <v>198</v>
      </c>
      <c r="V268" s="142"/>
      <c r="W268" s="199"/>
    </row>
    <row r="269" spans="1:23" ht="45" customHeight="1">
      <c r="A269" s="77"/>
      <c r="B269" s="89"/>
      <c r="C269" s="94"/>
      <c r="D269" s="93"/>
      <c r="E269" s="93"/>
      <c r="F269" s="93"/>
      <c r="G269" s="93"/>
      <c r="H269" s="93"/>
      <c r="I269" s="93"/>
      <c r="J269" s="93"/>
      <c r="K269" s="93">
        <v>0</v>
      </c>
      <c r="L269" s="71" t="s">
        <v>939</v>
      </c>
      <c r="M269" s="91"/>
      <c r="N269" s="91"/>
      <c r="O269" s="91" t="s">
        <v>197</v>
      </c>
      <c r="P269" s="91" t="s">
        <v>198</v>
      </c>
      <c r="Q269" s="91"/>
      <c r="R269" s="91" t="s">
        <v>204</v>
      </c>
      <c r="S269" s="91"/>
      <c r="T269" s="91" t="s">
        <v>199</v>
      </c>
      <c r="U269" s="91" t="s">
        <v>198</v>
      </c>
      <c r="V269" s="132" t="str">
        <f>IF(Sequencing!Q33="Yes","1b0","1b1")</f>
        <v>1b1</v>
      </c>
      <c r="W269" s="132" t="s">
        <v>157</v>
      </c>
    </row>
    <row r="270" spans="1:23" ht="45" customHeight="1">
      <c r="A270" s="77"/>
      <c r="B270" s="89"/>
      <c r="C270" s="94"/>
      <c r="D270" s="93"/>
      <c r="E270" s="93"/>
      <c r="F270" s="93"/>
      <c r="G270" s="93"/>
      <c r="H270" s="93"/>
      <c r="I270" s="93"/>
      <c r="J270" s="93">
        <v>0</v>
      </c>
      <c r="K270" s="93"/>
      <c r="L270" s="71" t="s">
        <v>940</v>
      </c>
      <c r="M270" s="91"/>
      <c r="N270" s="91"/>
      <c r="O270" s="91" t="s">
        <v>197</v>
      </c>
      <c r="P270" s="91" t="s">
        <v>198</v>
      </c>
      <c r="Q270" s="91"/>
      <c r="R270" s="91" t="s">
        <v>204</v>
      </c>
      <c r="S270" s="91"/>
      <c r="T270" s="91" t="s">
        <v>199</v>
      </c>
      <c r="U270" s="91" t="s">
        <v>198</v>
      </c>
      <c r="V270" s="132" t="str">
        <f>IF(Sequencing!T33="Yes","1b0","1b1")</f>
        <v>1b1</v>
      </c>
      <c r="W270" s="132" t="s">
        <v>157</v>
      </c>
    </row>
    <row r="271" spans="1:23" ht="45" customHeight="1">
      <c r="A271" s="77"/>
      <c r="B271" s="89"/>
      <c r="C271" s="94"/>
      <c r="D271" s="93"/>
      <c r="E271" s="93"/>
      <c r="F271" s="93"/>
      <c r="G271" s="93"/>
      <c r="H271" s="93"/>
      <c r="I271" s="93">
        <v>0</v>
      </c>
      <c r="J271" s="93"/>
      <c r="K271" s="93"/>
      <c r="L271" s="71" t="s">
        <v>941</v>
      </c>
      <c r="M271" s="91"/>
      <c r="N271" s="91"/>
      <c r="O271" s="91" t="s">
        <v>197</v>
      </c>
      <c r="P271" s="91" t="s">
        <v>198</v>
      </c>
      <c r="Q271" s="91"/>
      <c r="R271" s="91" t="s">
        <v>204</v>
      </c>
      <c r="S271" s="91"/>
      <c r="T271" s="91" t="s">
        <v>199</v>
      </c>
      <c r="U271" s="91" t="s">
        <v>198</v>
      </c>
      <c r="V271" s="132" t="str">
        <f>IF(Sequencing!Q36="Yes","1b0","1b1")</f>
        <v>1b1</v>
      </c>
      <c r="W271" s="132" t="s">
        <v>157</v>
      </c>
    </row>
    <row r="272" spans="1:23" ht="45" customHeight="1">
      <c r="A272" s="77"/>
      <c r="B272" s="89"/>
      <c r="C272" s="94"/>
      <c r="D272" s="93"/>
      <c r="E272" s="93"/>
      <c r="F272" s="93"/>
      <c r="G272" s="93"/>
      <c r="H272" s="93">
        <v>0</v>
      </c>
      <c r="I272" s="93"/>
      <c r="J272" s="93"/>
      <c r="K272" s="93"/>
      <c r="L272" s="71" t="s">
        <v>942</v>
      </c>
      <c r="M272" s="91"/>
      <c r="N272" s="91"/>
      <c r="O272" s="91" t="s">
        <v>197</v>
      </c>
      <c r="P272" s="91" t="s">
        <v>198</v>
      </c>
      <c r="Q272" s="91"/>
      <c r="R272" s="91" t="s">
        <v>204</v>
      </c>
      <c r="S272" s="91"/>
      <c r="T272" s="91" t="s">
        <v>199</v>
      </c>
      <c r="U272" s="91" t="s">
        <v>198</v>
      </c>
      <c r="V272" s="132" t="str">
        <f>IF(Sequencing!T36="Yes","1b0","1b1")</f>
        <v>1b1</v>
      </c>
      <c r="W272" s="132" t="s">
        <v>157</v>
      </c>
    </row>
    <row r="273" spans="1:23" ht="45" customHeight="1">
      <c r="A273" s="77"/>
      <c r="B273" s="89"/>
      <c r="C273" s="94"/>
      <c r="D273" s="93"/>
      <c r="E273" s="93"/>
      <c r="F273" s="93"/>
      <c r="G273" s="93">
        <v>0</v>
      </c>
      <c r="H273" s="70"/>
      <c r="I273" s="70"/>
      <c r="J273" s="70"/>
      <c r="K273" s="70"/>
      <c r="L273" s="71" t="s">
        <v>943</v>
      </c>
      <c r="M273" s="91"/>
      <c r="N273" s="91"/>
      <c r="O273" s="91" t="s">
        <v>197</v>
      </c>
      <c r="P273" s="91" t="s">
        <v>198</v>
      </c>
      <c r="Q273" s="91"/>
      <c r="R273" s="91" t="s">
        <v>204</v>
      </c>
      <c r="S273" s="91"/>
      <c r="T273" s="91" t="s">
        <v>199</v>
      </c>
      <c r="U273" s="91" t="s">
        <v>198</v>
      </c>
      <c r="V273" s="132" t="str">
        <f>IF(Sequencing!Q34="Yes","1b0","1b1")</f>
        <v>1b1</v>
      </c>
      <c r="W273" s="132" t="s">
        <v>157</v>
      </c>
    </row>
    <row r="274" spans="1:23" ht="45" customHeight="1">
      <c r="A274" s="77"/>
      <c r="B274" s="89"/>
      <c r="C274" s="94"/>
      <c r="D274" s="93"/>
      <c r="E274" s="93"/>
      <c r="F274" s="93">
        <v>0</v>
      </c>
      <c r="G274" s="93"/>
      <c r="H274" s="70"/>
      <c r="I274" s="70"/>
      <c r="J274" s="70"/>
      <c r="K274" s="70"/>
      <c r="L274" s="71" t="s">
        <v>944</v>
      </c>
      <c r="M274" s="91"/>
      <c r="N274" s="91"/>
      <c r="O274" s="91" t="s">
        <v>197</v>
      </c>
      <c r="P274" s="91" t="s">
        <v>198</v>
      </c>
      <c r="Q274" s="91"/>
      <c r="R274" s="91" t="s">
        <v>204</v>
      </c>
      <c r="S274" s="91"/>
      <c r="T274" s="91" t="s">
        <v>199</v>
      </c>
      <c r="U274" s="91" t="s">
        <v>198</v>
      </c>
      <c r="V274" s="132" t="str">
        <f>IF(Sequencing!T34="Yes","1b0","1b1")</f>
        <v>1b1</v>
      </c>
      <c r="W274" s="132" t="s">
        <v>157</v>
      </c>
    </row>
    <row r="275" spans="1:23" ht="45" customHeight="1">
      <c r="A275" s="77"/>
      <c r="B275" s="89"/>
      <c r="C275" s="94"/>
      <c r="D275" s="93"/>
      <c r="E275" s="93">
        <v>0</v>
      </c>
      <c r="F275" s="93"/>
      <c r="G275" s="93"/>
      <c r="H275" s="70"/>
      <c r="I275" s="70"/>
      <c r="J275" s="70"/>
      <c r="K275" s="70"/>
      <c r="L275" s="71" t="s">
        <v>945</v>
      </c>
      <c r="M275" s="91"/>
      <c r="N275" s="91"/>
      <c r="O275" s="91" t="s">
        <v>197</v>
      </c>
      <c r="P275" s="91" t="s">
        <v>198</v>
      </c>
      <c r="Q275" s="91"/>
      <c r="R275" s="91" t="s">
        <v>204</v>
      </c>
      <c r="S275" s="91"/>
      <c r="T275" s="91" t="s">
        <v>199</v>
      </c>
      <c r="U275" s="91" t="s">
        <v>198</v>
      </c>
      <c r="V275" s="132" t="str">
        <f>IF(Sequencing!Q35="Yes","1b0","1b1")</f>
        <v>1b1</v>
      </c>
      <c r="W275" s="132" t="s">
        <v>157</v>
      </c>
    </row>
    <row r="276" spans="1:23" ht="45" customHeight="1" thickBot="1">
      <c r="A276" s="77"/>
      <c r="B276" s="89"/>
      <c r="C276" s="94"/>
      <c r="D276" s="93">
        <v>0</v>
      </c>
      <c r="E276" s="93"/>
      <c r="F276" s="93"/>
      <c r="G276" s="93"/>
      <c r="H276" s="70"/>
      <c r="I276" s="70"/>
      <c r="J276" s="70"/>
      <c r="K276" s="70"/>
      <c r="L276" s="71" t="s">
        <v>946</v>
      </c>
      <c r="M276" s="91"/>
      <c r="N276" s="91"/>
      <c r="O276" s="91" t="s">
        <v>197</v>
      </c>
      <c r="P276" s="91" t="s">
        <v>198</v>
      </c>
      <c r="Q276" s="91"/>
      <c r="R276" s="91" t="s">
        <v>204</v>
      </c>
      <c r="S276" s="91"/>
      <c r="T276" s="91" t="s">
        <v>199</v>
      </c>
      <c r="U276" s="91" t="s">
        <v>198</v>
      </c>
      <c r="V276" s="132" t="str">
        <f>IF(Sequencing!T35="Yes","1b0","1b1")</f>
        <v>1b1</v>
      </c>
      <c r="W276" s="132" t="s">
        <v>157</v>
      </c>
    </row>
    <row r="277" spans="1:23" ht="13.5" customHeight="1" thickBot="1">
      <c r="A277" s="101" t="s">
        <v>194</v>
      </c>
      <c r="B277" s="100" t="s">
        <v>339</v>
      </c>
      <c r="C277" s="90" t="s">
        <v>340</v>
      </c>
      <c r="D277" s="308"/>
      <c r="E277" s="309"/>
      <c r="F277" s="309"/>
      <c r="G277" s="309"/>
      <c r="H277" s="309"/>
      <c r="I277" s="309"/>
      <c r="J277" s="309"/>
      <c r="K277" s="310"/>
      <c r="L277" s="98" t="s">
        <v>1488</v>
      </c>
      <c r="M277" s="97"/>
      <c r="N277" s="97"/>
      <c r="O277" s="97" t="s">
        <v>197</v>
      </c>
      <c r="P277" s="97" t="s">
        <v>198</v>
      </c>
      <c r="Q277" s="97">
        <v>5</v>
      </c>
      <c r="R277" s="97" t="s">
        <v>204</v>
      </c>
      <c r="S277" s="97"/>
      <c r="T277" s="97" t="s">
        <v>199</v>
      </c>
      <c r="U277" s="97" t="s">
        <v>198</v>
      </c>
      <c r="V277" s="142"/>
      <c r="W277" s="199"/>
    </row>
    <row r="278" spans="1:23" ht="13" thickBot="1">
      <c r="A278" s="96"/>
      <c r="B278" s="76"/>
      <c r="C278" s="75"/>
      <c r="D278" s="74"/>
      <c r="E278" s="74"/>
      <c r="F278" s="74"/>
      <c r="G278" s="74"/>
      <c r="H278" s="74"/>
      <c r="I278" s="74"/>
      <c r="J278" s="74">
        <v>1</v>
      </c>
      <c r="K278" s="74">
        <v>0</v>
      </c>
      <c r="L278" s="63" t="s">
        <v>947</v>
      </c>
      <c r="M278" s="91"/>
      <c r="N278" s="91"/>
      <c r="O278" s="91" t="s">
        <v>197</v>
      </c>
      <c r="P278" s="91" t="s">
        <v>198</v>
      </c>
      <c r="Q278" s="91"/>
      <c r="R278" s="91" t="s">
        <v>204</v>
      </c>
      <c r="S278" s="91"/>
      <c r="T278" s="91" t="s">
        <v>199</v>
      </c>
      <c r="U278" s="91" t="s">
        <v>198</v>
      </c>
      <c r="V278" s="132" t="s">
        <v>160</v>
      </c>
      <c r="W278" s="132" t="s">
        <v>156</v>
      </c>
    </row>
    <row r="279" spans="1:23" ht="102" customHeight="1" thickBot="1">
      <c r="A279" s="96"/>
      <c r="B279" s="76"/>
      <c r="C279" s="75"/>
      <c r="D279" s="74"/>
      <c r="E279" s="74"/>
      <c r="F279" s="74"/>
      <c r="G279" s="74"/>
      <c r="H279" s="74">
        <v>1</v>
      </c>
      <c r="I279" s="74">
        <v>0</v>
      </c>
      <c r="J279" s="74"/>
      <c r="K279" s="74"/>
      <c r="L279" s="63" t="s">
        <v>948</v>
      </c>
      <c r="M279" s="91"/>
      <c r="N279" s="91"/>
      <c r="O279" s="91" t="s">
        <v>197</v>
      </c>
      <c r="P279" s="91" t="s">
        <v>198</v>
      </c>
      <c r="Q279" s="91"/>
      <c r="R279" s="91" t="s">
        <v>204</v>
      </c>
      <c r="S279" s="91"/>
      <c r="T279" s="91" t="s">
        <v>199</v>
      </c>
      <c r="U279" s="91" t="s">
        <v>198</v>
      </c>
      <c r="V279" s="132" t="s">
        <v>160</v>
      </c>
      <c r="W279" s="132" t="s">
        <v>156</v>
      </c>
    </row>
    <row r="280" spans="1:23" ht="33.75" customHeight="1" thickBot="1">
      <c r="A280" s="77"/>
      <c r="B280" s="89"/>
      <c r="C280" s="94"/>
      <c r="D280" s="93"/>
      <c r="E280" s="93"/>
      <c r="F280" s="93"/>
      <c r="G280" s="93">
        <v>0</v>
      </c>
      <c r="H280" s="93"/>
      <c r="I280" s="93"/>
      <c r="J280" s="93"/>
      <c r="K280" s="93"/>
      <c r="L280" s="92" t="s">
        <v>949</v>
      </c>
      <c r="M280" s="91"/>
      <c r="N280" s="91"/>
      <c r="O280" s="91" t="s">
        <v>197</v>
      </c>
      <c r="P280" s="91" t="s">
        <v>198</v>
      </c>
      <c r="Q280" s="91"/>
      <c r="R280" s="91" t="s">
        <v>204</v>
      </c>
      <c r="S280" s="91"/>
      <c r="T280" s="91" t="s">
        <v>199</v>
      </c>
      <c r="U280" s="91" t="s">
        <v>198</v>
      </c>
      <c r="V280" s="132" t="str">
        <f>INDEX('Additional Details'!T12:T15,MATCH('Additional Details'!C24,'Additional Details'!S12:S15,0))</f>
        <v>1b0</v>
      </c>
      <c r="W280" s="132" t="s">
        <v>157</v>
      </c>
    </row>
    <row r="281" spans="1:23" ht="33.75" customHeight="1">
      <c r="A281" s="69"/>
      <c r="B281" s="62"/>
      <c r="C281" s="61"/>
      <c r="D281" s="68"/>
      <c r="E281" s="68"/>
      <c r="F281" s="68">
        <v>0</v>
      </c>
      <c r="G281" s="68"/>
      <c r="H281" s="68"/>
      <c r="I281" s="68"/>
      <c r="J281" s="68"/>
      <c r="K281" s="68"/>
      <c r="L281" s="63" t="s">
        <v>950</v>
      </c>
      <c r="M281" s="91"/>
      <c r="N281" s="91"/>
      <c r="O281" s="91" t="s">
        <v>197</v>
      </c>
      <c r="P281" s="91" t="s">
        <v>198</v>
      </c>
      <c r="Q281" s="91"/>
      <c r="R281" s="91" t="s">
        <v>204</v>
      </c>
      <c r="S281" s="91"/>
      <c r="T281" s="91" t="s">
        <v>199</v>
      </c>
      <c r="U281" s="91" t="s">
        <v>198</v>
      </c>
      <c r="V281" s="132" t="s">
        <v>157</v>
      </c>
      <c r="W281" s="132" t="s">
        <v>157</v>
      </c>
    </row>
    <row r="282" spans="1:23" ht="34.5" customHeight="1" thickBot="1">
      <c r="A282" s="96"/>
      <c r="B282" s="89"/>
      <c r="C282" s="94"/>
      <c r="D282" s="93"/>
      <c r="E282" s="93">
        <v>0</v>
      </c>
      <c r="F282" s="93"/>
      <c r="G282" s="93"/>
      <c r="H282" s="93"/>
      <c r="I282" s="93"/>
      <c r="J282" s="93"/>
      <c r="K282" s="93"/>
      <c r="L282" s="63" t="s">
        <v>951</v>
      </c>
      <c r="M282" s="91"/>
      <c r="N282" s="91"/>
      <c r="O282" s="91" t="s">
        <v>197</v>
      </c>
      <c r="P282" s="91" t="s">
        <v>198</v>
      </c>
      <c r="Q282" s="91"/>
      <c r="R282" s="91" t="s">
        <v>204</v>
      </c>
      <c r="S282" s="91"/>
      <c r="T282" s="91" t="s">
        <v>199</v>
      </c>
      <c r="U282" s="91" t="s">
        <v>198</v>
      </c>
      <c r="V282" s="132" t="s">
        <v>159</v>
      </c>
      <c r="W282" s="132" t="s">
        <v>159</v>
      </c>
    </row>
    <row r="283" spans="1:23" ht="34.5" customHeight="1" thickBot="1">
      <c r="A283" s="96"/>
      <c r="B283" s="62"/>
      <c r="C283" s="61"/>
      <c r="D283" s="93">
        <v>0</v>
      </c>
      <c r="E283" s="93"/>
      <c r="F283" s="93"/>
      <c r="G283" s="93"/>
      <c r="H283" s="93"/>
      <c r="I283" s="93"/>
      <c r="J283" s="93"/>
      <c r="K283" s="93"/>
      <c r="L283" s="63" t="s">
        <v>952</v>
      </c>
      <c r="M283" s="91"/>
      <c r="N283" s="91"/>
      <c r="O283" s="91" t="s">
        <v>197</v>
      </c>
      <c r="P283" s="91" t="s">
        <v>198</v>
      </c>
      <c r="Q283" s="91"/>
      <c r="R283" s="91" t="s">
        <v>204</v>
      </c>
      <c r="S283" s="91"/>
      <c r="T283" s="91" t="s">
        <v>199</v>
      </c>
      <c r="U283" s="91" t="s">
        <v>198</v>
      </c>
      <c r="V283" s="132" t="s">
        <v>157</v>
      </c>
      <c r="W283" s="132" t="s">
        <v>157</v>
      </c>
    </row>
    <row r="284" spans="1:23" ht="13.5" customHeight="1" thickBot="1">
      <c r="A284" s="81" t="s">
        <v>194</v>
      </c>
      <c r="B284" s="60" t="s">
        <v>342</v>
      </c>
      <c r="C284" s="99" t="s">
        <v>343</v>
      </c>
      <c r="D284" s="294"/>
      <c r="E284" s="294"/>
      <c r="F284" s="294"/>
      <c r="G284" s="294"/>
      <c r="H284" s="294"/>
      <c r="I284" s="294"/>
      <c r="J284" s="294"/>
      <c r="K284" s="294"/>
      <c r="L284" s="98" t="s">
        <v>1487</v>
      </c>
      <c r="M284" s="97"/>
      <c r="N284" s="97"/>
      <c r="O284" s="97" t="s">
        <v>197</v>
      </c>
      <c r="P284" s="97" t="s">
        <v>198</v>
      </c>
      <c r="Q284" s="97">
        <v>6</v>
      </c>
      <c r="R284" s="97" t="s">
        <v>204</v>
      </c>
      <c r="S284" s="97"/>
      <c r="T284" s="97" t="s">
        <v>199</v>
      </c>
      <c r="U284" s="97" t="s">
        <v>198</v>
      </c>
      <c r="V284" s="142"/>
      <c r="W284" s="199"/>
    </row>
    <row r="285" spans="1:23" ht="13" thickBot="1">
      <c r="A285" s="96"/>
      <c r="B285" s="89"/>
      <c r="C285" s="94"/>
      <c r="D285" s="93"/>
      <c r="E285" s="93"/>
      <c r="F285" s="93"/>
      <c r="G285" s="93"/>
      <c r="H285" s="93"/>
      <c r="I285" s="93"/>
      <c r="J285" s="93"/>
      <c r="K285" s="93">
        <v>0</v>
      </c>
      <c r="L285" s="92" t="s">
        <v>851</v>
      </c>
      <c r="M285" s="91"/>
      <c r="N285" s="91"/>
      <c r="O285" s="91" t="s">
        <v>197</v>
      </c>
      <c r="P285" s="91" t="s">
        <v>198</v>
      </c>
      <c r="Q285" s="91"/>
      <c r="R285" s="91" t="s">
        <v>204</v>
      </c>
      <c r="S285" s="91"/>
      <c r="T285" s="91" t="s">
        <v>199</v>
      </c>
      <c r="U285" s="91" t="s">
        <v>198</v>
      </c>
      <c r="V285" s="132" t="str">
        <f>IF(Overview!C36="Yes","1b1","1b0")</f>
        <v>1b0</v>
      </c>
      <c r="W285" s="132" t="s">
        <v>157</v>
      </c>
    </row>
    <row r="286" spans="1:23" ht="13.5" customHeight="1" thickBot="1">
      <c r="A286" s="96"/>
      <c r="B286" s="62"/>
      <c r="C286" s="61"/>
      <c r="D286" s="93"/>
      <c r="E286" s="93"/>
      <c r="F286" s="93"/>
      <c r="G286" s="93">
        <v>3</v>
      </c>
      <c r="H286" s="93">
        <v>2</v>
      </c>
      <c r="I286" s="93">
        <v>1</v>
      </c>
      <c r="J286" s="93">
        <v>0</v>
      </c>
      <c r="K286" s="93"/>
      <c r="L286" s="92" t="s">
        <v>959</v>
      </c>
      <c r="M286" s="91"/>
      <c r="N286" s="91"/>
      <c r="O286" s="91" t="s">
        <v>197</v>
      </c>
      <c r="P286" s="91" t="s">
        <v>198</v>
      </c>
      <c r="Q286" s="91"/>
      <c r="R286" s="91" t="s">
        <v>204</v>
      </c>
      <c r="S286" s="91"/>
      <c r="T286" s="91" t="s">
        <v>199</v>
      </c>
      <c r="U286" s="91" t="s">
        <v>198</v>
      </c>
      <c r="V286" s="132" t="str">
        <f>CONCATENATE("4b",Overview!E26)</f>
        <v>4b1110</v>
      </c>
      <c r="W286" s="132" t="s">
        <v>163</v>
      </c>
    </row>
    <row r="287" spans="1:23" ht="13" thickBot="1">
      <c r="A287" s="96"/>
      <c r="B287" s="89"/>
      <c r="C287" s="94"/>
      <c r="D287" s="93"/>
      <c r="E287" s="93"/>
      <c r="F287" s="93">
        <v>0</v>
      </c>
      <c r="G287" s="93"/>
      <c r="H287" s="116"/>
      <c r="I287" s="93"/>
      <c r="J287" s="93"/>
      <c r="K287" s="93"/>
      <c r="L287" s="92" t="s">
        <v>960</v>
      </c>
      <c r="M287" s="91"/>
      <c r="N287" s="91"/>
      <c r="O287" s="91" t="s">
        <v>197</v>
      </c>
      <c r="P287" s="91" t="s">
        <v>198</v>
      </c>
      <c r="Q287" s="91"/>
      <c r="R287" s="91" t="s">
        <v>204</v>
      </c>
      <c r="S287" s="91"/>
      <c r="T287" s="91" t="s">
        <v>199</v>
      </c>
      <c r="U287" s="91" t="s">
        <v>198</v>
      </c>
      <c r="V287" s="132" t="str">
        <f>IF(Overview!C37="Remain On","1b1","1b0")</f>
        <v>1b0</v>
      </c>
      <c r="W287" s="201" t="s">
        <v>157</v>
      </c>
    </row>
    <row r="288" spans="1:23" ht="56.25" customHeight="1" thickBot="1">
      <c r="A288" s="69"/>
      <c r="B288" s="89"/>
      <c r="C288" s="94"/>
      <c r="D288" s="68">
        <v>1</v>
      </c>
      <c r="E288" s="68">
        <v>0</v>
      </c>
      <c r="F288" s="68"/>
      <c r="G288" s="68"/>
      <c r="H288" s="68"/>
      <c r="I288" s="68"/>
      <c r="J288" s="68"/>
      <c r="K288" s="68"/>
      <c r="L288" s="92" t="s">
        <v>961</v>
      </c>
      <c r="M288" s="91"/>
      <c r="N288" s="91"/>
      <c r="O288" s="91" t="s">
        <v>197</v>
      </c>
      <c r="P288" s="91" t="s">
        <v>198</v>
      </c>
      <c r="Q288" s="91"/>
      <c r="R288" s="91" t="s">
        <v>204</v>
      </c>
      <c r="S288" s="91"/>
      <c r="T288" s="91" t="s">
        <v>199</v>
      </c>
      <c r="U288" s="91" t="s">
        <v>198</v>
      </c>
      <c r="V288" s="132" t="str">
        <f>INDEX('Additional Details'!O12:O15,MATCH('Additional Details'!C18,'Additional Details'!N12:N15,0))</f>
        <v>2b00</v>
      </c>
      <c r="W288" s="132" t="s">
        <v>156</v>
      </c>
    </row>
    <row r="289" spans="1:23" ht="13.5" customHeight="1" thickBot="1">
      <c r="A289" s="101" t="s">
        <v>194</v>
      </c>
      <c r="B289" s="60" t="s">
        <v>344</v>
      </c>
      <c r="C289" s="99" t="s">
        <v>345</v>
      </c>
      <c r="D289" s="312"/>
      <c r="E289" s="312"/>
      <c r="F289" s="312"/>
      <c r="G289" s="312"/>
      <c r="H289" s="312"/>
      <c r="I289" s="312"/>
      <c r="J289" s="312"/>
      <c r="K289" s="312"/>
      <c r="L289" s="98" t="s">
        <v>962</v>
      </c>
      <c r="M289" s="97"/>
      <c r="N289" s="97"/>
      <c r="O289" s="97" t="s">
        <v>197</v>
      </c>
      <c r="P289" s="97" t="s">
        <v>198</v>
      </c>
      <c r="Q289" s="97">
        <v>127</v>
      </c>
      <c r="R289" s="97" t="s">
        <v>204</v>
      </c>
      <c r="S289" s="97"/>
      <c r="T289" s="97" t="s">
        <v>199</v>
      </c>
      <c r="U289" s="97" t="s">
        <v>198</v>
      </c>
      <c r="V289" s="142"/>
      <c r="W289" s="199"/>
    </row>
    <row r="290" spans="1:23" ht="56.25" customHeight="1">
      <c r="A290" s="59"/>
      <c r="B290" s="60"/>
      <c r="C290" s="94"/>
      <c r="D290" s="68"/>
      <c r="E290" s="68"/>
      <c r="F290" s="68"/>
      <c r="G290" s="68"/>
      <c r="H290" s="68"/>
      <c r="I290" s="68"/>
      <c r="J290" s="68">
        <v>1</v>
      </c>
      <c r="K290" s="68">
        <v>0</v>
      </c>
      <c r="L290" s="58" t="s">
        <v>963</v>
      </c>
      <c r="M290" s="91"/>
      <c r="N290" s="91"/>
      <c r="O290" s="91" t="s">
        <v>197</v>
      </c>
      <c r="P290" s="91" t="s">
        <v>198</v>
      </c>
      <c r="Q290" s="91"/>
      <c r="R290" s="91" t="s">
        <v>204</v>
      </c>
      <c r="S290" s="91"/>
      <c r="T290" s="91" t="s">
        <v>199</v>
      </c>
      <c r="U290" s="91" t="s">
        <v>198</v>
      </c>
      <c r="V290" s="132" t="s">
        <v>156</v>
      </c>
      <c r="W290" s="132" t="s">
        <v>156</v>
      </c>
    </row>
    <row r="291" spans="1:23" ht="56.25" customHeight="1">
      <c r="A291" s="59"/>
      <c r="B291" s="60"/>
      <c r="C291" s="94"/>
      <c r="D291" s="68"/>
      <c r="E291" s="68"/>
      <c r="F291" s="68"/>
      <c r="G291" s="68"/>
      <c r="H291" s="68">
        <v>1</v>
      </c>
      <c r="I291" s="68">
        <v>0</v>
      </c>
      <c r="J291" s="68"/>
      <c r="K291" s="68"/>
      <c r="L291" s="58" t="s">
        <v>964</v>
      </c>
      <c r="M291" s="91"/>
      <c r="N291" s="91"/>
      <c r="O291" s="91" t="s">
        <v>197</v>
      </c>
      <c r="P291" s="91" t="s">
        <v>198</v>
      </c>
      <c r="Q291" s="91"/>
      <c r="R291" s="91" t="s">
        <v>204</v>
      </c>
      <c r="S291" s="91"/>
      <c r="T291" s="91" t="s">
        <v>199</v>
      </c>
      <c r="U291" s="91" t="s">
        <v>198</v>
      </c>
      <c r="V291" s="132" t="s">
        <v>156</v>
      </c>
      <c r="W291" s="132" t="s">
        <v>156</v>
      </c>
    </row>
    <row r="292" spans="1:23" ht="56.25" customHeight="1">
      <c r="A292" s="59"/>
      <c r="B292" s="60"/>
      <c r="C292" s="94"/>
      <c r="D292" s="68"/>
      <c r="E292" s="68"/>
      <c r="F292" s="68">
        <v>1</v>
      </c>
      <c r="G292" s="68">
        <v>0</v>
      </c>
      <c r="H292" s="68"/>
      <c r="I292" s="68"/>
      <c r="J292" s="68"/>
      <c r="K292" s="68"/>
      <c r="L292" s="58" t="s">
        <v>965</v>
      </c>
      <c r="M292" s="91"/>
      <c r="N292" s="91"/>
      <c r="O292" s="91" t="s">
        <v>197</v>
      </c>
      <c r="P292" s="91" t="s">
        <v>198</v>
      </c>
      <c r="Q292" s="91"/>
      <c r="R292" s="91" t="s">
        <v>204</v>
      </c>
      <c r="S292" s="91"/>
      <c r="T292" s="91" t="s">
        <v>199</v>
      </c>
      <c r="U292" s="91" t="s">
        <v>198</v>
      </c>
      <c r="V292" s="132" t="s">
        <v>156</v>
      </c>
      <c r="W292" s="132" t="s">
        <v>156</v>
      </c>
    </row>
    <row r="293" spans="1:23" ht="12.75" customHeight="1" thickBot="1">
      <c r="A293" s="59"/>
      <c r="B293" s="60"/>
      <c r="C293" s="94"/>
      <c r="D293" s="68">
        <v>1</v>
      </c>
      <c r="E293" s="68">
        <v>0</v>
      </c>
      <c r="F293" s="68"/>
      <c r="G293" s="68"/>
      <c r="H293" s="68"/>
      <c r="I293" s="68"/>
      <c r="J293" s="68"/>
      <c r="K293" s="68"/>
      <c r="L293" s="58" t="s">
        <v>966</v>
      </c>
      <c r="M293" s="91"/>
      <c r="N293" s="91"/>
      <c r="O293" s="91" t="s">
        <v>197</v>
      </c>
      <c r="P293" s="91" t="s">
        <v>198</v>
      </c>
      <c r="Q293" s="91"/>
      <c r="R293" s="91" t="s">
        <v>204</v>
      </c>
      <c r="S293" s="91"/>
      <c r="T293" s="91" t="s">
        <v>199</v>
      </c>
      <c r="U293" s="91" t="s">
        <v>198</v>
      </c>
      <c r="V293" s="132" t="s">
        <v>156</v>
      </c>
      <c r="W293" s="132" t="s">
        <v>156</v>
      </c>
    </row>
    <row r="294" spans="1:23" ht="12" customHeight="1" thickBot="1">
      <c r="A294" s="101" t="s">
        <v>194</v>
      </c>
      <c r="B294" s="60" t="s">
        <v>346</v>
      </c>
      <c r="C294" s="90" t="s">
        <v>347</v>
      </c>
      <c r="D294" s="303"/>
      <c r="E294" s="303"/>
      <c r="F294" s="303"/>
      <c r="G294" s="303"/>
      <c r="H294" s="303"/>
      <c r="I294" s="303"/>
      <c r="J294" s="303"/>
      <c r="K294" s="303"/>
      <c r="L294" s="73"/>
      <c r="M294" s="87"/>
      <c r="N294" s="87"/>
      <c r="O294" s="87" t="s">
        <v>206</v>
      </c>
      <c r="P294" s="87" t="s">
        <v>204</v>
      </c>
      <c r="Q294" s="87" t="s">
        <v>209</v>
      </c>
      <c r="R294" s="87" t="s">
        <v>204</v>
      </c>
      <c r="S294" s="87"/>
      <c r="T294" s="87" t="s">
        <v>199</v>
      </c>
      <c r="U294" s="87" t="s">
        <v>198</v>
      </c>
      <c r="V294" s="133"/>
      <c r="W294" s="133"/>
    </row>
    <row r="295" spans="1:23" ht="34.5" customHeight="1" thickBot="1">
      <c r="A295" s="96"/>
      <c r="B295" s="89"/>
      <c r="C295" s="94"/>
      <c r="D295" s="93"/>
      <c r="E295" s="93"/>
      <c r="F295" s="93"/>
      <c r="G295" s="93"/>
      <c r="H295" s="93"/>
      <c r="I295" s="93"/>
      <c r="J295" s="93"/>
      <c r="K295" s="93">
        <v>0</v>
      </c>
      <c r="L295" s="57"/>
      <c r="M295" s="91"/>
      <c r="N295" s="91"/>
      <c r="O295" s="91" t="s">
        <v>206</v>
      </c>
      <c r="P295" s="91" t="s">
        <v>204</v>
      </c>
      <c r="Q295" s="91"/>
      <c r="R295" s="91" t="s">
        <v>204</v>
      </c>
      <c r="S295" s="91"/>
      <c r="T295" s="91" t="s">
        <v>199</v>
      </c>
      <c r="U295" s="91" t="s">
        <v>198</v>
      </c>
      <c r="V295" s="132" t="s">
        <v>157</v>
      </c>
      <c r="W295" s="132" t="s">
        <v>157</v>
      </c>
    </row>
    <row r="296" spans="1:23" ht="34.5" customHeight="1" thickBot="1">
      <c r="A296" s="96"/>
      <c r="B296" s="89"/>
      <c r="C296" s="94"/>
      <c r="D296" s="93"/>
      <c r="E296" s="93"/>
      <c r="F296" s="93"/>
      <c r="G296" s="93"/>
      <c r="H296" s="93"/>
      <c r="I296" s="93"/>
      <c r="J296" s="93">
        <v>0</v>
      </c>
      <c r="K296" s="93"/>
      <c r="L296" s="92"/>
      <c r="M296" s="91"/>
      <c r="N296" s="91"/>
      <c r="O296" s="91" t="s">
        <v>206</v>
      </c>
      <c r="P296" s="91" t="s">
        <v>204</v>
      </c>
      <c r="Q296" s="91"/>
      <c r="R296" s="91" t="s">
        <v>204</v>
      </c>
      <c r="S296" s="91"/>
      <c r="T296" s="91" t="s">
        <v>199</v>
      </c>
      <c r="U296" s="91" t="s">
        <v>198</v>
      </c>
      <c r="V296" s="132" t="s">
        <v>157</v>
      </c>
      <c r="W296" s="132" t="s">
        <v>157</v>
      </c>
    </row>
    <row r="297" spans="1:23" ht="34.5" customHeight="1" thickBot="1">
      <c r="A297" s="96"/>
      <c r="B297" s="89"/>
      <c r="C297" s="94"/>
      <c r="D297" s="93"/>
      <c r="E297" s="93"/>
      <c r="F297" s="93"/>
      <c r="G297" s="93"/>
      <c r="H297" s="93"/>
      <c r="I297" s="93">
        <v>0</v>
      </c>
      <c r="J297" s="93"/>
      <c r="K297" s="93"/>
      <c r="L297" s="92"/>
      <c r="M297" s="91"/>
      <c r="N297" s="91"/>
      <c r="O297" s="91" t="s">
        <v>206</v>
      </c>
      <c r="P297" s="91" t="s">
        <v>204</v>
      </c>
      <c r="Q297" s="91"/>
      <c r="R297" s="91" t="s">
        <v>204</v>
      </c>
      <c r="S297" s="91"/>
      <c r="T297" s="91" t="s">
        <v>199</v>
      </c>
      <c r="U297" s="91" t="s">
        <v>198</v>
      </c>
      <c r="V297" s="132" t="s">
        <v>157</v>
      </c>
      <c r="W297" s="132" t="s">
        <v>157</v>
      </c>
    </row>
    <row r="298" spans="1:23" ht="34.5" customHeight="1" thickBot="1">
      <c r="A298" s="96"/>
      <c r="B298" s="89"/>
      <c r="C298" s="94"/>
      <c r="D298" s="93"/>
      <c r="E298" s="93"/>
      <c r="F298" s="93"/>
      <c r="G298" s="93"/>
      <c r="H298" s="93">
        <v>0</v>
      </c>
      <c r="I298" s="93"/>
      <c r="J298" s="93"/>
      <c r="K298" s="93"/>
      <c r="L298" s="92"/>
      <c r="M298" s="91"/>
      <c r="N298" s="91"/>
      <c r="O298" s="91" t="s">
        <v>206</v>
      </c>
      <c r="P298" s="91" t="s">
        <v>204</v>
      </c>
      <c r="Q298" s="91"/>
      <c r="R298" s="91" t="s">
        <v>204</v>
      </c>
      <c r="S298" s="91"/>
      <c r="T298" s="91" t="s">
        <v>199</v>
      </c>
      <c r="U298" s="91" t="s">
        <v>198</v>
      </c>
      <c r="V298" s="132" t="s">
        <v>157</v>
      </c>
      <c r="W298" s="132" t="s">
        <v>157</v>
      </c>
    </row>
    <row r="299" spans="1:23" ht="34.5" customHeight="1" thickBot="1">
      <c r="A299" s="96"/>
      <c r="B299" s="89"/>
      <c r="C299" s="94"/>
      <c r="D299" s="93"/>
      <c r="E299" s="93"/>
      <c r="F299" s="93"/>
      <c r="G299" s="93">
        <v>0</v>
      </c>
      <c r="H299" s="93"/>
      <c r="I299" s="93"/>
      <c r="J299" s="93"/>
      <c r="K299" s="93"/>
      <c r="L299" s="92"/>
      <c r="M299" s="91"/>
      <c r="N299" s="91"/>
      <c r="O299" s="91" t="s">
        <v>206</v>
      </c>
      <c r="P299" s="91" t="s">
        <v>204</v>
      </c>
      <c r="Q299" s="91"/>
      <c r="R299" s="91" t="s">
        <v>204</v>
      </c>
      <c r="S299" s="91"/>
      <c r="T299" s="91" t="s">
        <v>199</v>
      </c>
      <c r="U299" s="91" t="s">
        <v>198</v>
      </c>
      <c r="V299" s="132" t="s">
        <v>157</v>
      </c>
      <c r="W299" s="132" t="s">
        <v>157</v>
      </c>
    </row>
    <row r="300" spans="1:23" ht="34.5" customHeight="1" thickBot="1">
      <c r="A300" s="96"/>
      <c r="B300" s="89"/>
      <c r="C300" s="94"/>
      <c r="D300" s="93"/>
      <c r="E300" s="93"/>
      <c r="F300" s="93">
        <v>0</v>
      </c>
      <c r="G300" s="93"/>
      <c r="H300" s="93"/>
      <c r="I300" s="93"/>
      <c r="J300" s="93"/>
      <c r="K300" s="93"/>
      <c r="L300" s="92"/>
      <c r="M300" s="91"/>
      <c r="N300" s="91"/>
      <c r="O300" s="91" t="s">
        <v>206</v>
      </c>
      <c r="P300" s="91" t="s">
        <v>204</v>
      </c>
      <c r="Q300" s="91"/>
      <c r="R300" s="91" t="s">
        <v>204</v>
      </c>
      <c r="S300" s="91"/>
      <c r="T300" s="91" t="s">
        <v>199</v>
      </c>
      <c r="U300" s="91" t="s">
        <v>198</v>
      </c>
      <c r="V300" s="132" t="s">
        <v>157</v>
      </c>
      <c r="W300" s="132" t="s">
        <v>157</v>
      </c>
    </row>
    <row r="301" spans="1:23" ht="34.5" customHeight="1" thickBot="1">
      <c r="A301" s="96"/>
      <c r="B301" s="89"/>
      <c r="C301" s="94"/>
      <c r="D301" s="93"/>
      <c r="E301" s="93">
        <v>0</v>
      </c>
      <c r="F301" s="93"/>
      <c r="G301" s="93"/>
      <c r="H301" s="93"/>
      <c r="I301" s="93"/>
      <c r="J301" s="93"/>
      <c r="K301" s="93"/>
      <c r="L301" s="92"/>
      <c r="M301" s="91"/>
      <c r="N301" s="91"/>
      <c r="O301" s="91" t="s">
        <v>206</v>
      </c>
      <c r="P301" s="91" t="s">
        <v>204</v>
      </c>
      <c r="Q301" s="91"/>
      <c r="R301" s="91" t="s">
        <v>204</v>
      </c>
      <c r="S301" s="91"/>
      <c r="T301" s="91" t="s">
        <v>199</v>
      </c>
      <c r="U301" s="91" t="s">
        <v>198</v>
      </c>
      <c r="V301" s="132" t="s">
        <v>157</v>
      </c>
      <c r="W301" s="132" t="s">
        <v>157</v>
      </c>
    </row>
    <row r="302" spans="1:23" ht="34.5" customHeight="1" thickBot="1">
      <c r="A302" s="96"/>
      <c r="B302" s="76"/>
      <c r="C302" s="75"/>
      <c r="D302" s="74">
        <v>0</v>
      </c>
      <c r="E302" s="74"/>
      <c r="F302" s="74"/>
      <c r="G302" s="74"/>
      <c r="H302" s="74"/>
      <c r="I302" s="74"/>
      <c r="J302" s="74"/>
      <c r="K302" s="74"/>
      <c r="L302" s="92"/>
      <c r="M302" s="91"/>
      <c r="N302" s="91"/>
      <c r="O302" s="91" t="s">
        <v>206</v>
      </c>
      <c r="P302" s="91" t="s">
        <v>204</v>
      </c>
      <c r="Q302" s="91"/>
      <c r="R302" s="91" t="s">
        <v>204</v>
      </c>
      <c r="S302" s="91"/>
      <c r="T302" s="91" t="s">
        <v>199</v>
      </c>
      <c r="U302" s="91" t="s">
        <v>198</v>
      </c>
      <c r="V302" s="132" t="s">
        <v>157</v>
      </c>
      <c r="W302" s="132" t="s">
        <v>157</v>
      </c>
    </row>
    <row r="303" spans="1:23" ht="12" customHeight="1" thickBot="1">
      <c r="A303" s="101" t="s">
        <v>194</v>
      </c>
      <c r="B303" s="100" t="s">
        <v>348</v>
      </c>
      <c r="C303" s="90" t="s">
        <v>349</v>
      </c>
      <c r="D303" s="303"/>
      <c r="E303" s="303"/>
      <c r="F303" s="303"/>
      <c r="G303" s="303"/>
      <c r="H303" s="303"/>
      <c r="I303" s="303"/>
      <c r="J303" s="303"/>
      <c r="K303" s="303"/>
      <c r="L303" s="73"/>
      <c r="M303" s="87"/>
      <c r="N303" s="87"/>
      <c r="O303" s="87" t="s">
        <v>206</v>
      </c>
      <c r="P303" s="87" t="s">
        <v>204</v>
      </c>
      <c r="Q303" s="87" t="s">
        <v>209</v>
      </c>
      <c r="R303" s="87" t="s">
        <v>204</v>
      </c>
      <c r="S303" s="87"/>
      <c r="T303" s="87" t="s">
        <v>199</v>
      </c>
      <c r="U303" s="87" t="s">
        <v>198</v>
      </c>
      <c r="V303" s="133"/>
      <c r="W303" s="133"/>
    </row>
    <row r="304" spans="1:23" ht="34.5" customHeight="1" thickBot="1">
      <c r="A304" s="96"/>
      <c r="B304" s="89"/>
      <c r="C304" s="94"/>
      <c r="D304" s="93"/>
      <c r="E304" s="93"/>
      <c r="F304" s="93"/>
      <c r="G304" s="93"/>
      <c r="H304" s="93"/>
      <c r="I304" s="93"/>
      <c r="J304" s="93"/>
      <c r="K304" s="93">
        <v>0</v>
      </c>
      <c r="L304" s="92"/>
      <c r="M304" s="91"/>
      <c r="N304" s="91"/>
      <c r="O304" s="91" t="s">
        <v>206</v>
      </c>
      <c r="P304" s="91" t="s">
        <v>204</v>
      </c>
      <c r="Q304" s="91"/>
      <c r="R304" s="91" t="s">
        <v>204</v>
      </c>
      <c r="S304" s="91"/>
      <c r="T304" s="91" t="s">
        <v>199</v>
      </c>
      <c r="U304" s="91" t="s">
        <v>198</v>
      </c>
      <c r="V304" s="132" t="s">
        <v>157</v>
      </c>
      <c r="W304" s="132" t="s">
        <v>157</v>
      </c>
    </row>
    <row r="305" spans="1:23" ht="34.5" customHeight="1" thickBot="1">
      <c r="A305" s="96"/>
      <c r="B305" s="89"/>
      <c r="C305" s="94"/>
      <c r="D305" s="93"/>
      <c r="E305" s="93"/>
      <c r="F305" s="93"/>
      <c r="G305" s="93"/>
      <c r="H305" s="93"/>
      <c r="I305" s="93"/>
      <c r="J305" s="93">
        <v>0</v>
      </c>
      <c r="K305" s="93"/>
      <c r="L305" s="92"/>
      <c r="M305" s="91"/>
      <c r="N305" s="91"/>
      <c r="O305" s="91" t="s">
        <v>206</v>
      </c>
      <c r="P305" s="91" t="s">
        <v>204</v>
      </c>
      <c r="Q305" s="91"/>
      <c r="R305" s="91" t="s">
        <v>204</v>
      </c>
      <c r="S305" s="91"/>
      <c r="T305" s="91" t="s">
        <v>199</v>
      </c>
      <c r="U305" s="91" t="s">
        <v>198</v>
      </c>
      <c r="V305" s="132" t="s">
        <v>157</v>
      </c>
      <c r="W305" s="132" t="s">
        <v>157</v>
      </c>
    </row>
    <row r="306" spans="1:23" ht="34.5" customHeight="1" thickBot="1">
      <c r="A306" s="96"/>
      <c r="B306" s="89"/>
      <c r="C306" s="94"/>
      <c r="D306" s="93"/>
      <c r="E306" s="93"/>
      <c r="F306" s="93"/>
      <c r="G306" s="93"/>
      <c r="H306" s="93"/>
      <c r="I306" s="93">
        <v>0</v>
      </c>
      <c r="J306" s="93"/>
      <c r="K306" s="93"/>
      <c r="L306" s="92"/>
      <c r="M306" s="91"/>
      <c r="N306" s="91"/>
      <c r="O306" s="91" t="s">
        <v>206</v>
      </c>
      <c r="P306" s="91" t="s">
        <v>204</v>
      </c>
      <c r="Q306" s="91"/>
      <c r="R306" s="91" t="s">
        <v>204</v>
      </c>
      <c r="S306" s="91"/>
      <c r="T306" s="91" t="s">
        <v>199</v>
      </c>
      <c r="U306" s="91" t="s">
        <v>198</v>
      </c>
      <c r="V306" s="132" t="s">
        <v>157</v>
      </c>
      <c r="W306" s="132" t="s">
        <v>157</v>
      </c>
    </row>
    <row r="307" spans="1:23" ht="34.5" customHeight="1" thickBot="1">
      <c r="A307" s="96"/>
      <c r="B307" s="89"/>
      <c r="C307" s="94"/>
      <c r="D307" s="93"/>
      <c r="E307" s="93"/>
      <c r="F307" s="93"/>
      <c r="G307" s="93"/>
      <c r="H307" s="93">
        <v>0</v>
      </c>
      <c r="I307" s="93"/>
      <c r="J307" s="93"/>
      <c r="K307" s="93"/>
      <c r="L307" s="92"/>
      <c r="M307" s="91"/>
      <c r="N307" s="91"/>
      <c r="O307" s="91" t="s">
        <v>206</v>
      </c>
      <c r="P307" s="91" t="s">
        <v>204</v>
      </c>
      <c r="Q307" s="91"/>
      <c r="R307" s="91" t="s">
        <v>204</v>
      </c>
      <c r="S307" s="91"/>
      <c r="T307" s="91" t="s">
        <v>199</v>
      </c>
      <c r="U307" s="91" t="s">
        <v>198</v>
      </c>
      <c r="V307" s="132" t="s">
        <v>157</v>
      </c>
      <c r="W307" s="132" t="s">
        <v>157</v>
      </c>
    </row>
    <row r="308" spans="1:23" ht="34.5" customHeight="1" thickBot="1">
      <c r="A308" s="96"/>
      <c r="B308" s="76"/>
      <c r="C308" s="75"/>
      <c r="D308" s="74"/>
      <c r="E308" s="74"/>
      <c r="F308" s="74"/>
      <c r="G308" s="74">
        <v>0</v>
      </c>
      <c r="H308" s="74"/>
      <c r="I308" s="74"/>
      <c r="J308" s="74"/>
      <c r="K308" s="74"/>
      <c r="L308" s="92"/>
      <c r="M308" s="91"/>
      <c r="N308" s="91"/>
      <c r="O308" s="91" t="s">
        <v>206</v>
      </c>
      <c r="P308" s="91" t="s">
        <v>204</v>
      </c>
      <c r="Q308" s="91"/>
      <c r="R308" s="91" t="s">
        <v>204</v>
      </c>
      <c r="S308" s="91"/>
      <c r="T308" s="91" t="s">
        <v>199</v>
      </c>
      <c r="U308" s="91" t="s">
        <v>198</v>
      </c>
      <c r="V308" s="132" t="s">
        <v>157</v>
      </c>
      <c r="W308" s="132" t="s">
        <v>157</v>
      </c>
    </row>
    <row r="309" spans="1:23" ht="34.5" customHeight="1" thickBot="1">
      <c r="A309" s="96"/>
      <c r="B309" s="76"/>
      <c r="C309" s="75"/>
      <c r="D309" s="74"/>
      <c r="E309" s="74"/>
      <c r="F309" s="74">
        <v>0</v>
      </c>
      <c r="G309" s="74"/>
      <c r="H309" s="74"/>
      <c r="I309" s="74"/>
      <c r="J309" s="74"/>
      <c r="K309" s="74"/>
      <c r="L309" s="92"/>
      <c r="M309" s="91"/>
      <c r="N309" s="91"/>
      <c r="O309" s="91" t="s">
        <v>206</v>
      </c>
      <c r="P309" s="91" t="s">
        <v>204</v>
      </c>
      <c r="Q309" s="91"/>
      <c r="R309" s="91" t="s">
        <v>204</v>
      </c>
      <c r="S309" s="91"/>
      <c r="T309" s="91" t="s">
        <v>199</v>
      </c>
      <c r="U309" s="91" t="s">
        <v>198</v>
      </c>
      <c r="V309" s="132" t="s">
        <v>157</v>
      </c>
      <c r="W309" s="132" t="s">
        <v>157</v>
      </c>
    </row>
    <row r="310" spans="1:23" ht="34.5" customHeight="1" thickBot="1">
      <c r="A310" s="96"/>
      <c r="B310" s="76"/>
      <c r="C310" s="75"/>
      <c r="D310" s="74"/>
      <c r="E310" s="74">
        <v>0</v>
      </c>
      <c r="F310" s="74"/>
      <c r="G310" s="74"/>
      <c r="H310" s="74"/>
      <c r="I310" s="74"/>
      <c r="J310" s="74"/>
      <c r="K310" s="74"/>
      <c r="L310" s="92"/>
      <c r="M310" s="91"/>
      <c r="N310" s="91"/>
      <c r="O310" s="91" t="s">
        <v>206</v>
      </c>
      <c r="P310" s="91" t="s">
        <v>204</v>
      </c>
      <c r="Q310" s="91"/>
      <c r="R310" s="91" t="s">
        <v>204</v>
      </c>
      <c r="S310" s="91"/>
      <c r="T310" s="91" t="s">
        <v>199</v>
      </c>
      <c r="U310" s="91" t="s">
        <v>198</v>
      </c>
      <c r="V310" s="132" t="s">
        <v>157</v>
      </c>
      <c r="W310" s="132" t="s">
        <v>157</v>
      </c>
    </row>
    <row r="311" spans="1:23" ht="12" customHeight="1" thickBot="1">
      <c r="A311" s="96"/>
      <c r="B311" s="89"/>
      <c r="C311" s="94"/>
      <c r="D311" s="93">
        <v>0</v>
      </c>
      <c r="E311" s="93"/>
      <c r="F311" s="93"/>
      <c r="G311" s="93"/>
      <c r="H311" s="93"/>
      <c r="I311" s="116"/>
      <c r="J311" s="116"/>
      <c r="K311" s="116"/>
      <c r="L311" s="85"/>
      <c r="M311" s="79"/>
      <c r="N311" s="79"/>
      <c r="O311" s="79" t="s">
        <v>206</v>
      </c>
      <c r="P311" s="91" t="s">
        <v>204</v>
      </c>
      <c r="Q311" s="91"/>
      <c r="R311" s="91" t="s">
        <v>204</v>
      </c>
      <c r="S311" s="91"/>
      <c r="T311" s="91" t="s">
        <v>199</v>
      </c>
      <c r="U311" s="91" t="s">
        <v>198</v>
      </c>
      <c r="V311" s="132" t="s">
        <v>157</v>
      </c>
      <c r="W311" s="132" t="s">
        <v>157</v>
      </c>
    </row>
    <row r="312" spans="1:23" ht="12" customHeight="1" thickBot="1">
      <c r="A312" s="81" t="s">
        <v>194</v>
      </c>
      <c r="B312" s="100" t="s">
        <v>350</v>
      </c>
      <c r="C312" s="90" t="s">
        <v>351</v>
      </c>
      <c r="D312" s="307"/>
      <c r="E312" s="307"/>
      <c r="F312" s="307"/>
      <c r="G312" s="307"/>
      <c r="H312" s="307"/>
      <c r="I312" s="307"/>
      <c r="J312" s="307"/>
      <c r="K312" s="307"/>
      <c r="L312" s="73"/>
      <c r="M312" s="72"/>
      <c r="N312" s="72"/>
      <c r="O312" s="72" t="s">
        <v>197</v>
      </c>
      <c r="P312" s="72" t="s">
        <v>204</v>
      </c>
      <c r="Q312" s="72" t="s">
        <v>209</v>
      </c>
      <c r="R312" s="72" t="s">
        <v>204</v>
      </c>
      <c r="S312" s="72"/>
      <c r="T312" s="72" t="s">
        <v>199</v>
      </c>
      <c r="U312" s="72" t="s">
        <v>198</v>
      </c>
      <c r="V312" s="143"/>
      <c r="W312" s="200"/>
    </row>
    <row r="313" spans="1:23" ht="34.5" customHeight="1">
      <c r="A313" s="77"/>
      <c r="B313" s="89"/>
      <c r="C313" s="94"/>
      <c r="D313" s="93"/>
      <c r="E313" s="93"/>
      <c r="F313" s="93"/>
      <c r="G313" s="93"/>
      <c r="H313" s="93"/>
      <c r="I313" s="93"/>
      <c r="J313" s="93"/>
      <c r="K313" s="93">
        <v>0</v>
      </c>
      <c r="L313" s="92"/>
      <c r="M313" s="91"/>
      <c r="N313" s="91"/>
      <c r="O313" s="91" t="s">
        <v>197</v>
      </c>
      <c r="P313" s="91" t="s">
        <v>204</v>
      </c>
      <c r="Q313" s="91"/>
      <c r="R313" s="91" t="s">
        <v>204</v>
      </c>
      <c r="S313" s="91"/>
      <c r="T313" s="91" t="s">
        <v>199</v>
      </c>
      <c r="U313" s="91" t="s">
        <v>198</v>
      </c>
      <c r="V313" s="132" t="s">
        <v>157</v>
      </c>
      <c r="W313" s="132" t="s">
        <v>157</v>
      </c>
    </row>
    <row r="314" spans="1:23" ht="34.5" customHeight="1">
      <c r="A314" s="77"/>
      <c r="B314" s="89"/>
      <c r="C314" s="94"/>
      <c r="D314" s="93"/>
      <c r="E314" s="93"/>
      <c r="F314" s="93"/>
      <c r="G314" s="93"/>
      <c r="H314" s="93"/>
      <c r="I314" s="93"/>
      <c r="J314" s="93">
        <v>0</v>
      </c>
      <c r="K314" s="93"/>
      <c r="L314" s="92"/>
      <c r="M314" s="91"/>
      <c r="N314" s="91"/>
      <c r="O314" s="91" t="s">
        <v>197</v>
      </c>
      <c r="P314" s="91" t="s">
        <v>204</v>
      </c>
      <c r="Q314" s="91"/>
      <c r="R314" s="91" t="s">
        <v>204</v>
      </c>
      <c r="S314" s="91"/>
      <c r="T314" s="91" t="s">
        <v>199</v>
      </c>
      <c r="U314" s="91" t="s">
        <v>198</v>
      </c>
      <c r="V314" s="132" t="s">
        <v>157</v>
      </c>
      <c r="W314" s="132" t="s">
        <v>157</v>
      </c>
    </row>
    <row r="315" spans="1:23" ht="34.5" customHeight="1">
      <c r="A315" s="77"/>
      <c r="B315" s="89"/>
      <c r="C315" s="94"/>
      <c r="D315" s="93"/>
      <c r="E315" s="93"/>
      <c r="F315" s="93"/>
      <c r="G315" s="93"/>
      <c r="H315" s="93"/>
      <c r="I315" s="93">
        <v>0</v>
      </c>
      <c r="J315" s="93"/>
      <c r="K315" s="93"/>
      <c r="L315" s="92"/>
      <c r="M315" s="91"/>
      <c r="N315" s="91"/>
      <c r="O315" s="91" t="s">
        <v>197</v>
      </c>
      <c r="P315" s="91" t="s">
        <v>204</v>
      </c>
      <c r="Q315" s="91"/>
      <c r="R315" s="91" t="s">
        <v>204</v>
      </c>
      <c r="S315" s="91"/>
      <c r="T315" s="91" t="s">
        <v>199</v>
      </c>
      <c r="U315" s="91" t="s">
        <v>198</v>
      </c>
      <c r="V315" s="132" t="s">
        <v>157</v>
      </c>
      <c r="W315" s="132" t="s">
        <v>157</v>
      </c>
    </row>
    <row r="316" spans="1:23" ht="34.5" customHeight="1">
      <c r="A316" s="77"/>
      <c r="B316" s="89"/>
      <c r="C316" s="94"/>
      <c r="D316" s="93"/>
      <c r="E316" s="93"/>
      <c r="F316" s="93"/>
      <c r="G316" s="93"/>
      <c r="H316" s="93">
        <v>0</v>
      </c>
      <c r="I316" s="93"/>
      <c r="J316" s="93"/>
      <c r="K316" s="93"/>
      <c r="L316" s="92"/>
      <c r="M316" s="91"/>
      <c r="N316" s="91"/>
      <c r="O316" s="91" t="s">
        <v>197</v>
      </c>
      <c r="P316" s="91" t="s">
        <v>204</v>
      </c>
      <c r="Q316" s="91"/>
      <c r="R316" s="91" t="s">
        <v>204</v>
      </c>
      <c r="S316" s="91"/>
      <c r="T316" s="91" t="s">
        <v>199</v>
      </c>
      <c r="U316" s="91" t="s">
        <v>198</v>
      </c>
      <c r="V316" s="132" t="s">
        <v>157</v>
      </c>
      <c r="W316" s="132" t="s">
        <v>157</v>
      </c>
    </row>
    <row r="317" spans="1:23" ht="34.5" customHeight="1">
      <c r="A317" s="77"/>
      <c r="B317" s="89"/>
      <c r="C317" s="94"/>
      <c r="D317" s="93"/>
      <c r="E317" s="93"/>
      <c r="F317" s="93"/>
      <c r="G317" s="93">
        <v>0</v>
      </c>
      <c r="H317" s="93"/>
      <c r="I317" s="93"/>
      <c r="J317" s="93"/>
      <c r="K317" s="93"/>
      <c r="L317" s="92"/>
      <c r="M317" s="91"/>
      <c r="N317" s="91"/>
      <c r="O317" s="91" t="s">
        <v>197</v>
      </c>
      <c r="P317" s="91" t="s">
        <v>204</v>
      </c>
      <c r="Q317" s="91"/>
      <c r="R317" s="91" t="s">
        <v>204</v>
      </c>
      <c r="S317" s="91"/>
      <c r="T317" s="91" t="s">
        <v>199</v>
      </c>
      <c r="U317" s="91" t="s">
        <v>198</v>
      </c>
      <c r="V317" s="132" t="s">
        <v>157</v>
      </c>
      <c r="W317" s="132" t="s">
        <v>157</v>
      </c>
    </row>
    <row r="318" spans="1:23" ht="34.5" customHeight="1">
      <c r="A318" s="77"/>
      <c r="B318" s="89"/>
      <c r="C318" s="94"/>
      <c r="D318" s="93"/>
      <c r="E318" s="93"/>
      <c r="F318" s="93">
        <v>0</v>
      </c>
      <c r="G318" s="93"/>
      <c r="H318" s="93"/>
      <c r="I318" s="93"/>
      <c r="J318" s="93"/>
      <c r="K318" s="93"/>
      <c r="L318" s="92"/>
      <c r="M318" s="91"/>
      <c r="N318" s="91"/>
      <c r="O318" s="91" t="s">
        <v>197</v>
      </c>
      <c r="P318" s="91" t="s">
        <v>204</v>
      </c>
      <c r="Q318" s="91"/>
      <c r="R318" s="91" t="s">
        <v>204</v>
      </c>
      <c r="S318" s="91"/>
      <c r="T318" s="91" t="s">
        <v>199</v>
      </c>
      <c r="U318" s="91" t="s">
        <v>198</v>
      </c>
      <c r="V318" s="132" t="s">
        <v>157</v>
      </c>
      <c r="W318" s="132" t="s">
        <v>157</v>
      </c>
    </row>
    <row r="319" spans="1:23" ht="34.5" customHeight="1">
      <c r="A319" s="77"/>
      <c r="B319" s="89"/>
      <c r="C319" s="94"/>
      <c r="D319" s="93"/>
      <c r="E319" s="93">
        <v>0</v>
      </c>
      <c r="F319" s="93"/>
      <c r="G319" s="93"/>
      <c r="H319" s="93"/>
      <c r="I319" s="93"/>
      <c r="J319" s="93"/>
      <c r="K319" s="93"/>
      <c r="L319" s="92"/>
      <c r="M319" s="91"/>
      <c r="N319" s="91"/>
      <c r="O319" s="91" t="s">
        <v>197</v>
      </c>
      <c r="P319" s="91" t="s">
        <v>204</v>
      </c>
      <c r="Q319" s="91"/>
      <c r="R319" s="91" t="s">
        <v>204</v>
      </c>
      <c r="S319" s="91"/>
      <c r="T319" s="91" t="s">
        <v>199</v>
      </c>
      <c r="U319" s="91" t="s">
        <v>198</v>
      </c>
      <c r="V319" s="132" t="s">
        <v>157</v>
      </c>
      <c r="W319" s="132" t="s">
        <v>157</v>
      </c>
    </row>
    <row r="320" spans="1:23" ht="34.5" customHeight="1" thickBot="1">
      <c r="A320" s="86"/>
      <c r="B320" s="95"/>
      <c r="C320" s="94"/>
      <c r="D320" s="93">
        <v>0</v>
      </c>
      <c r="E320" s="93"/>
      <c r="F320" s="93"/>
      <c r="G320" s="93"/>
      <c r="H320" s="93"/>
      <c r="I320" s="93"/>
      <c r="J320" s="93"/>
      <c r="K320" s="93"/>
      <c r="L320" s="92"/>
      <c r="M320" s="91"/>
      <c r="N320" s="91"/>
      <c r="O320" s="91" t="s">
        <v>197</v>
      </c>
      <c r="P320" s="91" t="s">
        <v>204</v>
      </c>
      <c r="Q320" s="91"/>
      <c r="R320" s="91" t="s">
        <v>204</v>
      </c>
      <c r="S320" s="91"/>
      <c r="T320" s="91" t="s">
        <v>199</v>
      </c>
      <c r="U320" s="91" t="s">
        <v>198</v>
      </c>
      <c r="V320" s="132" t="s">
        <v>157</v>
      </c>
      <c r="W320" s="132" t="s">
        <v>157</v>
      </c>
    </row>
    <row r="321" spans="1:23" ht="12" customHeight="1" thickBot="1">
      <c r="A321" s="81" t="s">
        <v>194</v>
      </c>
      <c r="B321" s="100" t="s">
        <v>352</v>
      </c>
      <c r="C321" s="90" t="s">
        <v>353</v>
      </c>
      <c r="D321" s="307"/>
      <c r="E321" s="307"/>
      <c r="F321" s="307"/>
      <c r="G321" s="307"/>
      <c r="H321" s="307"/>
      <c r="I321" s="307"/>
      <c r="J321" s="307"/>
      <c r="K321" s="307"/>
      <c r="L321" s="73"/>
      <c r="M321" s="72"/>
      <c r="N321" s="72"/>
      <c r="O321" s="72" t="s">
        <v>197</v>
      </c>
      <c r="P321" s="72" t="s">
        <v>204</v>
      </c>
      <c r="Q321" s="72" t="s">
        <v>209</v>
      </c>
      <c r="R321" s="72" t="s">
        <v>204</v>
      </c>
      <c r="S321" s="72"/>
      <c r="T321" s="72" t="s">
        <v>199</v>
      </c>
      <c r="U321" s="72" t="s">
        <v>198</v>
      </c>
      <c r="V321" s="143"/>
      <c r="W321" s="200"/>
    </row>
    <row r="322" spans="1:23" ht="34.5" customHeight="1">
      <c r="A322" s="77"/>
      <c r="B322" s="89"/>
      <c r="C322" s="94"/>
      <c r="D322" s="93"/>
      <c r="E322" s="93"/>
      <c r="F322" s="93"/>
      <c r="G322" s="93"/>
      <c r="H322" s="93"/>
      <c r="I322" s="93"/>
      <c r="J322" s="93"/>
      <c r="K322" s="93">
        <v>0</v>
      </c>
      <c r="L322" s="92"/>
      <c r="M322" s="91"/>
      <c r="N322" s="91"/>
      <c r="O322" s="91" t="s">
        <v>197</v>
      </c>
      <c r="P322" s="91" t="s">
        <v>204</v>
      </c>
      <c r="Q322" s="91"/>
      <c r="R322" s="91" t="s">
        <v>204</v>
      </c>
      <c r="S322" s="91"/>
      <c r="T322" s="91" t="s">
        <v>199</v>
      </c>
      <c r="U322" s="91" t="s">
        <v>198</v>
      </c>
      <c r="V322" s="132" t="s">
        <v>157</v>
      </c>
      <c r="W322" s="132" t="s">
        <v>157</v>
      </c>
    </row>
    <row r="323" spans="1:23" ht="34.5" customHeight="1">
      <c r="A323" s="77"/>
      <c r="B323" s="89"/>
      <c r="C323" s="94"/>
      <c r="D323" s="93"/>
      <c r="E323" s="93"/>
      <c r="F323" s="93"/>
      <c r="G323" s="93"/>
      <c r="H323" s="93"/>
      <c r="I323" s="93"/>
      <c r="J323" s="93">
        <v>0</v>
      </c>
      <c r="K323" s="93"/>
      <c r="L323" s="92"/>
      <c r="M323" s="91"/>
      <c r="N323" s="91"/>
      <c r="O323" s="91" t="s">
        <v>197</v>
      </c>
      <c r="P323" s="91" t="s">
        <v>204</v>
      </c>
      <c r="Q323" s="91"/>
      <c r="R323" s="91" t="s">
        <v>204</v>
      </c>
      <c r="S323" s="91"/>
      <c r="T323" s="91" t="s">
        <v>199</v>
      </c>
      <c r="U323" s="91" t="s">
        <v>198</v>
      </c>
      <c r="V323" s="132" t="s">
        <v>157</v>
      </c>
      <c r="W323" s="132" t="s">
        <v>157</v>
      </c>
    </row>
    <row r="324" spans="1:23" ht="34.5" customHeight="1">
      <c r="A324" s="77"/>
      <c r="B324" s="89"/>
      <c r="C324" s="94"/>
      <c r="D324" s="93"/>
      <c r="E324" s="93"/>
      <c r="F324" s="93"/>
      <c r="G324" s="93"/>
      <c r="H324" s="93"/>
      <c r="I324" s="93">
        <v>0</v>
      </c>
      <c r="J324" s="93"/>
      <c r="K324" s="93"/>
      <c r="L324" s="92"/>
      <c r="M324" s="91"/>
      <c r="N324" s="91"/>
      <c r="O324" s="91" t="s">
        <v>197</v>
      </c>
      <c r="P324" s="91" t="s">
        <v>204</v>
      </c>
      <c r="Q324" s="91"/>
      <c r="R324" s="91" t="s">
        <v>204</v>
      </c>
      <c r="S324" s="91"/>
      <c r="T324" s="91" t="s">
        <v>199</v>
      </c>
      <c r="U324" s="91" t="s">
        <v>198</v>
      </c>
      <c r="V324" s="132" t="s">
        <v>157</v>
      </c>
      <c r="W324" s="132" t="s">
        <v>157</v>
      </c>
    </row>
    <row r="325" spans="1:23" ht="34.5" customHeight="1">
      <c r="A325" s="77"/>
      <c r="B325" s="89"/>
      <c r="C325" s="94"/>
      <c r="D325" s="93"/>
      <c r="E325" s="93"/>
      <c r="F325" s="93"/>
      <c r="G325" s="93"/>
      <c r="H325" s="93">
        <v>0</v>
      </c>
      <c r="I325" s="93"/>
      <c r="J325" s="93"/>
      <c r="K325" s="93"/>
      <c r="L325" s="92"/>
      <c r="M325" s="91"/>
      <c r="N325" s="91"/>
      <c r="O325" s="91" t="s">
        <v>197</v>
      </c>
      <c r="P325" s="91" t="s">
        <v>204</v>
      </c>
      <c r="Q325" s="91"/>
      <c r="R325" s="91" t="s">
        <v>204</v>
      </c>
      <c r="S325" s="91"/>
      <c r="T325" s="91" t="s">
        <v>199</v>
      </c>
      <c r="U325" s="91" t="s">
        <v>198</v>
      </c>
      <c r="V325" s="132" t="s">
        <v>157</v>
      </c>
      <c r="W325" s="132" t="s">
        <v>157</v>
      </c>
    </row>
    <row r="326" spans="1:23" ht="34.5" customHeight="1">
      <c r="A326" s="77"/>
      <c r="B326" s="89"/>
      <c r="C326" s="94"/>
      <c r="D326" s="93"/>
      <c r="E326" s="93"/>
      <c r="F326" s="93"/>
      <c r="G326" s="93">
        <v>0</v>
      </c>
      <c r="H326" s="93"/>
      <c r="I326" s="93"/>
      <c r="J326" s="93"/>
      <c r="K326" s="93"/>
      <c r="L326" s="92"/>
      <c r="M326" s="79"/>
      <c r="N326" s="79"/>
      <c r="O326" s="79" t="s">
        <v>197</v>
      </c>
      <c r="P326" s="91" t="s">
        <v>204</v>
      </c>
      <c r="Q326" s="91"/>
      <c r="R326" s="91" t="s">
        <v>204</v>
      </c>
      <c r="S326" s="91"/>
      <c r="T326" s="91" t="s">
        <v>199</v>
      </c>
      <c r="U326" s="91" t="s">
        <v>198</v>
      </c>
      <c r="V326" s="132" t="s">
        <v>157</v>
      </c>
      <c r="W326" s="132" t="s">
        <v>157</v>
      </c>
    </row>
    <row r="327" spans="1:23" ht="34.5" customHeight="1">
      <c r="A327" s="77"/>
      <c r="B327" s="89"/>
      <c r="C327" s="94"/>
      <c r="D327" s="93"/>
      <c r="E327" s="93"/>
      <c r="F327" s="93">
        <v>0</v>
      </c>
      <c r="G327" s="93"/>
      <c r="H327" s="93"/>
      <c r="I327" s="93"/>
      <c r="J327" s="93"/>
      <c r="K327" s="93"/>
      <c r="L327" s="92"/>
      <c r="M327" s="79"/>
      <c r="N327" s="79"/>
      <c r="O327" s="79" t="s">
        <v>197</v>
      </c>
      <c r="P327" s="91" t="s">
        <v>204</v>
      </c>
      <c r="Q327" s="91"/>
      <c r="R327" s="91" t="s">
        <v>204</v>
      </c>
      <c r="S327" s="91"/>
      <c r="T327" s="91" t="s">
        <v>199</v>
      </c>
      <c r="U327" s="91" t="s">
        <v>198</v>
      </c>
      <c r="V327" s="132" t="s">
        <v>157</v>
      </c>
      <c r="W327" s="132" t="s">
        <v>157</v>
      </c>
    </row>
    <row r="328" spans="1:23" ht="12" customHeight="1" thickBot="1">
      <c r="A328" s="77"/>
      <c r="B328" s="89"/>
      <c r="C328" s="94"/>
      <c r="D328" s="93">
        <v>1</v>
      </c>
      <c r="E328" s="93">
        <v>0</v>
      </c>
      <c r="F328" s="93"/>
      <c r="G328" s="93"/>
      <c r="H328" s="93"/>
      <c r="I328" s="93"/>
      <c r="J328" s="93"/>
      <c r="K328" s="93"/>
      <c r="L328" s="85"/>
      <c r="M328" s="79"/>
      <c r="N328" s="79"/>
      <c r="O328" s="79" t="s">
        <v>206</v>
      </c>
      <c r="P328" s="91" t="s">
        <v>204</v>
      </c>
      <c r="Q328" s="91"/>
      <c r="R328" s="91" t="s">
        <v>204</v>
      </c>
      <c r="S328" s="91"/>
      <c r="T328" s="91" t="s">
        <v>199</v>
      </c>
      <c r="U328" s="91" t="s">
        <v>198</v>
      </c>
      <c r="V328" s="132" t="s">
        <v>156</v>
      </c>
      <c r="W328" s="132" t="s">
        <v>156</v>
      </c>
    </row>
    <row r="329" spans="1:23" ht="12" customHeight="1" thickBot="1">
      <c r="A329" s="101" t="s">
        <v>194</v>
      </c>
      <c r="B329" s="100" t="s">
        <v>354</v>
      </c>
      <c r="C329" s="90" t="s">
        <v>355</v>
      </c>
      <c r="D329" s="307"/>
      <c r="E329" s="307"/>
      <c r="F329" s="307"/>
      <c r="G329" s="307"/>
      <c r="H329" s="307"/>
      <c r="I329" s="307"/>
      <c r="J329" s="307"/>
      <c r="K329" s="307"/>
      <c r="L329" s="73"/>
      <c r="M329" s="72"/>
      <c r="N329" s="72"/>
      <c r="O329" s="72" t="s">
        <v>197</v>
      </c>
      <c r="P329" s="72" t="s">
        <v>204</v>
      </c>
      <c r="Q329" s="72" t="s">
        <v>209</v>
      </c>
      <c r="R329" s="72" t="s">
        <v>204</v>
      </c>
      <c r="S329" s="72"/>
      <c r="T329" s="72" t="s">
        <v>199</v>
      </c>
      <c r="U329" s="72" t="s">
        <v>198</v>
      </c>
      <c r="V329" s="143"/>
      <c r="W329" s="200"/>
    </row>
    <row r="330" spans="1:23" ht="34.5" customHeight="1">
      <c r="A330" s="56"/>
      <c r="B330" s="89"/>
      <c r="C330" s="94"/>
      <c r="D330" s="93"/>
      <c r="E330" s="93"/>
      <c r="F330" s="93"/>
      <c r="G330" s="93"/>
      <c r="H330" s="93"/>
      <c r="I330" s="93"/>
      <c r="J330" s="93"/>
      <c r="K330" s="93">
        <v>0</v>
      </c>
      <c r="L330" s="55"/>
      <c r="M330" s="91"/>
      <c r="N330" s="91"/>
      <c r="O330" s="91" t="s">
        <v>197</v>
      </c>
      <c r="P330" s="91" t="s">
        <v>204</v>
      </c>
      <c r="Q330" s="91"/>
      <c r="R330" s="91" t="s">
        <v>204</v>
      </c>
      <c r="S330" s="91"/>
      <c r="T330" s="91" t="s">
        <v>199</v>
      </c>
      <c r="U330" s="91" t="s">
        <v>198</v>
      </c>
      <c r="V330" s="132" t="s">
        <v>157</v>
      </c>
      <c r="W330" s="132" t="s">
        <v>157</v>
      </c>
    </row>
    <row r="331" spans="1:23" ht="34.5" customHeight="1">
      <c r="A331" s="54"/>
      <c r="B331" s="89"/>
      <c r="C331" s="94"/>
      <c r="D331" s="93"/>
      <c r="E331" s="93"/>
      <c r="F331" s="93"/>
      <c r="G331" s="93"/>
      <c r="H331" s="93"/>
      <c r="I331" s="93"/>
      <c r="J331" s="93">
        <v>0</v>
      </c>
      <c r="K331" s="93"/>
      <c r="L331" s="55"/>
      <c r="M331" s="91"/>
      <c r="N331" s="91"/>
      <c r="O331" s="91" t="s">
        <v>197</v>
      </c>
      <c r="P331" s="91" t="s">
        <v>204</v>
      </c>
      <c r="Q331" s="91"/>
      <c r="R331" s="91" t="s">
        <v>204</v>
      </c>
      <c r="S331" s="91"/>
      <c r="T331" s="91" t="s">
        <v>199</v>
      </c>
      <c r="U331" s="91" t="s">
        <v>198</v>
      </c>
      <c r="V331" s="132" t="s">
        <v>157</v>
      </c>
      <c r="W331" s="132" t="s">
        <v>157</v>
      </c>
    </row>
    <row r="332" spans="1:23" ht="34.5" customHeight="1">
      <c r="A332" s="54"/>
      <c r="B332" s="89"/>
      <c r="C332" s="94"/>
      <c r="D332" s="93"/>
      <c r="E332" s="93"/>
      <c r="F332" s="93"/>
      <c r="G332" s="93"/>
      <c r="H332" s="93"/>
      <c r="I332" s="93">
        <v>0</v>
      </c>
      <c r="J332" s="93"/>
      <c r="K332" s="93"/>
      <c r="L332" s="55"/>
      <c r="M332" s="91"/>
      <c r="N332" s="91"/>
      <c r="O332" s="91" t="s">
        <v>197</v>
      </c>
      <c r="P332" s="91" t="s">
        <v>204</v>
      </c>
      <c r="Q332" s="91"/>
      <c r="R332" s="91" t="s">
        <v>204</v>
      </c>
      <c r="S332" s="91"/>
      <c r="T332" s="91" t="s">
        <v>199</v>
      </c>
      <c r="U332" s="91" t="s">
        <v>198</v>
      </c>
      <c r="V332" s="132" t="s">
        <v>157</v>
      </c>
      <c r="W332" s="132" t="s">
        <v>157</v>
      </c>
    </row>
    <row r="333" spans="1:23" ht="34.5" customHeight="1">
      <c r="A333" s="53"/>
      <c r="B333" s="89"/>
      <c r="C333" s="94"/>
      <c r="D333" s="93"/>
      <c r="E333" s="93"/>
      <c r="F333" s="93"/>
      <c r="G333" s="93"/>
      <c r="H333" s="93">
        <v>0</v>
      </c>
      <c r="I333" s="93"/>
      <c r="J333" s="93"/>
      <c r="K333" s="93"/>
      <c r="L333" s="55"/>
      <c r="M333" s="91"/>
      <c r="N333" s="91"/>
      <c r="O333" s="91" t="s">
        <v>197</v>
      </c>
      <c r="P333" s="91" t="s">
        <v>204</v>
      </c>
      <c r="Q333" s="91"/>
      <c r="R333" s="91" t="s">
        <v>204</v>
      </c>
      <c r="S333" s="91"/>
      <c r="T333" s="91" t="s">
        <v>199</v>
      </c>
      <c r="U333" s="91" t="s">
        <v>198</v>
      </c>
      <c r="V333" s="132" t="s">
        <v>157</v>
      </c>
      <c r="W333" s="132" t="s">
        <v>157</v>
      </c>
    </row>
    <row r="334" spans="1:23" ht="34.5" customHeight="1">
      <c r="A334" s="53"/>
      <c r="B334" s="89"/>
      <c r="C334" s="94"/>
      <c r="D334" s="93"/>
      <c r="E334" s="93"/>
      <c r="F334" s="93"/>
      <c r="G334" s="93">
        <v>0</v>
      </c>
      <c r="H334" s="93"/>
      <c r="I334" s="93"/>
      <c r="J334" s="93"/>
      <c r="K334" s="93"/>
      <c r="L334" s="55"/>
      <c r="M334" s="91"/>
      <c r="N334" s="91"/>
      <c r="O334" s="91" t="s">
        <v>197</v>
      </c>
      <c r="P334" s="91" t="s">
        <v>204</v>
      </c>
      <c r="Q334" s="91"/>
      <c r="R334" s="91" t="s">
        <v>204</v>
      </c>
      <c r="S334" s="91"/>
      <c r="T334" s="91" t="s">
        <v>199</v>
      </c>
      <c r="U334" s="91" t="s">
        <v>198</v>
      </c>
      <c r="V334" s="132" t="s">
        <v>157</v>
      </c>
      <c r="W334" s="132" t="s">
        <v>157</v>
      </c>
    </row>
    <row r="335" spans="1:23" ht="12" customHeight="1" thickBot="1">
      <c r="A335" s="52"/>
      <c r="B335" s="51"/>
      <c r="C335" s="94"/>
      <c r="D335" s="93">
        <v>2</v>
      </c>
      <c r="E335" s="93">
        <v>1</v>
      </c>
      <c r="F335" s="93">
        <v>0</v>
      </c>
      <c r="G335" s="93"/>
      <c r="H335" s="93"/>
      <c r="I335" s="93"/>
      <c r="J335" s="93"/>
      <c r="K335" s="93"/>
      <c r="L335" s="85"/>
      <c r="M335" s="79"/>
      <c r="N335" s="79"/>
      <c r="O335" s="79" t="s">
        <v>206</v>
      </c>
      <c r="P335" s="91" t="s">
        <v>204</v>
      </c>
      <c r="Q335" s="91"/>
      <c r="R335" s="91" t="s">
        <v>204</v>
      </c>
      <c r="S335" s="91"/>
      <c r="T335" s="91" t="s">
        <v>199</v>
      </c>
      <c r="U335" s="91" t="s">
        <v>198</v>
      </c>
      <c r="V335" s="132" t="s">
        <v>158</v>
      </c>
      <c r="W335" s="132" t="s">
        <v>158</v>
      </c>
    </row>
    <row r="336" spans="1:23" ht="12" customHeight="1" thickBot="1">
      <c r="A336" s="101" t="s">
        <v>194</v>
      </c>
      <c r="B336" s="100" t="s">
        <v>356</v>
      </c>
      <c r="C336" s="90" t="s">
        <v>357</v>
      </c>
      <c r="D336" s="307"/>
      <c r="E336" s="307"/>
      <c r="F336" s="307"/>
      <c r="G336" s="307"/>
      <c r="H336" s="307"/>
      <c r="I336" s="307"/>
      <c r="J336" s="307"/>
      <c r="K336" s="307"/>
      <c r="L336" s="73"/>
      <c r="M336" s="72"/>
      <c r="N336" s="72"/>
      <c r="O336" s="72" t="s">
        <v>197</v>
      </c>
      <c r="P336" s="72" t="s">
        <v>204</v>
      </c>
      <c r="Q336" s="72" t="s">
        <v>209</v>
      </c>
      <c r="R336" s="72" t="s">
        <v>204</v>
      </c>
      <c r="S336" s="72"/>
      <c r="T336" s="72" t="s">
        <v>199</v>
      </c>
      <c r="U336" s="72" t="s">
        <v>198</v>
      </c>
      <c r="V336" s="143"/>
      <c r="W336" s="200"/>
    </row>
    <row r="337" spans="1:23" ht="34.5" customHeight="1">
      <c r="A337" s="56"/>
      <c r="B337" s="89"/>
      <c r="C337" s="94"/>
      <c r="D337" s="93"/>
      <c r="E337" s="93"/>
      <c r="F337" s="93"/>
      <c r="G337" s="93"/>
      <c r="H337" s="93"/>
      <c r="I337" s="93"/>
      <c r="J337" s="93"/>
      <c r="K337" s="93">
        <v>0</v>
      </c>
      <c r="L337" s="55"/>
      <c r="M337" s="91"/>
      <c r="N337" s="91"/>
      <c r="O337" s="91" t="s">
        <v>197</v>
      </c>
      <c r="P337" s="91" t="s">
        <v>204</v>
      </c>
      <c r="Q337" s="91"/>
      <c r="R337" s="91" t="s">
        <v>204</v>
      </c>
      <c r="S337" s="91"/>
      <c r="T337" s="91" t="s">
        <v>199</v>
      </c>
      <c r="U337" s="91" t="s">
        <v>198</v>
      </c>
      <c r="V337" s="132" t="s">
        <v>157</v>
      </c>
      <c r="W337" s="132" t="s">
        <v>157</v>
      </c>
    </row>
    <row r="338" spans="1:23" ht="34.5" customHeight="1">
      <c r="A338" s="54"/>
      <c r="B338" s="89"/>
      <c r="C338" s="94"/>
      <c r="D338" s="93"/>
      <c r="E338" s="93"/>
      <c r="F338" s="93"/>
      <c r="G338" s="93"/>
      <c r="H338" s="93"/>
      <c r="I338" s="93"/>
      <c r="J338" s="93">
        <v>0</v>
      </c>
      <c r="K338" s="93"/>
      <c r="L338" s="55"/>
      <c r="M338" s="91"/>
      <c r="N338" s="91"/>
      <c r="O338" s="91" t="s">
        <v>197</v>
      </c>
      <c r="P338" s="91" t="s">
        <v>204</v>
      </c>
      <c r="Q338" s="91"/>
      <c r="R338" s="91" t="s">
        <v>204</v>
      </c>
      <c r="S338" s="91"/>
      <c r="T338" s="91" t="s">
        <v>199</v>
      </c>
      <c r="U338" s="91" t="s">
        <v>198</v>
      </c>
      <c r="V338" s="132" t="s">
        <v>157</v>
      </c>
      <c r="W338" s="132" t="s">
        <v>157</v>
      </c>
    </row>
    <row r="339" spans="1:23" ht="34.5" customHeight="1">
      <c r="A339" s="54"/>
      <c r="B339" s="89"/>
      <c r="C339" s="94"/>
      <c r="D339" s="93"/>
      <c r="E339" s="93"/>
      <c r="F339" s="93"/>
      <c r="G339" s="93"/>
      <c r="H339" s="93"/>
      <c r="I339" s="93">
        <v>0</v>
      </c>
      <c r="J339" s="93"/>
      <c r="K339" s="93"/>
      <c r="L339" s="55"/>
      <c r="M339" s="91"/>
      <c r="N339" s="91"/>
      <c r="O339" s="91" t="s">
        <v>197</v>
      </c>
      <c r="P339" s="91" t="s">
        <v>204</v>
      </c>
      <c r="Q339" s="91"/>
      <c r="R339" s="91" t="s">
        <v>204</v>
      </c>
      <c r="S339" s="91"/>
      <c r="T339" s="91" t="s">
        <v>199</v>
      </c>
      <c r="U339" s="91" t="s">
        <v>198</v>
      </c>
      <c r="V339" s="132" t="s">
        <v>157</v>
      </c>
      <c r="W339" s="132" t="s">
        <v>157</v>
      </c>
    </row>
    <row r="340" spans="1:23" ht="34.5" customHeight="1">
      <c r="A340" s="53"/>
      <c r="B340" s="89"/>
      <c r="C340" s="94"/>
      <c r="D340" s="93"/>
      <c r="E340" s="93"/>
      <c r="F340" s="93"/>
      <c r="G340" s="93"/>
      <c r="H340" s="93">
        <v>0</v>
      </c>
      <c r="I340" s="93"/>
      <c r="J340" s="93"/>
      <c r="K340" s="93"/>
      <c r="L340" s="55"/>
      <c r="M340" s="91"/>
      <c r="N340" s="91"/>
      <c r="O340" s="91" t="s">
        <v>197</v>
      </c>
      <c r="P340" s="91" t="s">
        <v>204</v>
      </c>
      <c r="Q340" s="91"/>
      <c r="R340" s="91" t="s">
        <v>204</v>
      </c>
      <c r="S340" s="91"/>
      <c r="T340" s="91" t="s">
        <v>199</v>
      </c>
      <c r="U340" s="91" t="s">
        <v>198</v>
      </c>
      <c r="V340" s="132" t="s">
        <v>157</v>
      </c>
      <c r="W340" s="132" t="s">
        <v>157</v>
      </c>
    </row>
    <row r="341" spans="1:23" ht="34.5" customHeight="1">
      <c r="A341" s="53"/>
      <c r="B341" s="89"/>
      <c r="C341" s="94"/>
      <c r="D341" s="93"/>
      <c r="E341" s="93"/>
      <c r="F341" s="93"/>
      <c r="G341" s="93">
        <v>0</v>
      </c>
      <c r="H341" s="93"/>
      <c r="I341" s="93"/>
      <c r="J341" s="93"/>
      <c r="K341" s="93"/>
      <c r="L341" s="55"/>
      <c r="M341" s="91"/>
      <c r="N341" s="91"/>
      <c r="O341" s="91" t="s">
        <v>197</v>
      </c>
      <c r="P341" s="91" t="s">
        <v>204</v>
      </c>
      <c r="Q341" s="91"/>
      <c r="R341" s="91" t="s">
        <v>204</v>
      </c>
      <c r="S341" s="91"/>
      <c r="T341" s="91" t="s">
        <v>199</v>
      </c>
      <c r="U341" s="91" t="s">
        <v>198</v>
      </c>
      <c r="V341" s="132" t="s">
        <v>157</v>
      </c>
      <c r="W341" s="132" t="s">
        <v>157</v>
      </c>
    </row>
    <row r="342" spans="1:23" ht="12" customHeight="1" thickBot="1">
      <c r="A342" s="52"/>
      <c r="B342" s="51"/>
      <c r="C342" s="94"/>
      <c r="D342" s="93">
        <v>2</v>
      </c>
      <c r="E342" s="93">
        <v>1</v>
      </c>
      <c r="F342" s="93">
        <v>0</v>
      </c>
      <c r="G342" s="93"/>
      <c r="H342" s="93"/>
      <c r="I342" s="93"/>
      <c r="J342" s="93"/>
      <c r="K342" s="93"/>
      <c r="L342" s="85"/>
      <c r="M342" s="79"/>
      <c r="N342" s="79"/>
      <c r="O342" s="79" t="s">
        <v>206</v>
      </c>
      <c r="P342" s="91" t="s">
        <v>204</v>
      </c>
      <c r="Q342" s="91"/>
      <c r="R342" s="91" t="s">
        <v>204</v>
      </c>
      <c r="S342" s="91"/>
      <c r="T342" s="91" t="s">
        <v>199</v>
      </c>
      <c r="U342" s="91" t="s">
        <v>198</v>
      </c>
      <c r="V342" s="132" t="s">
        <v>158</v>
      </c>
      <c r="W342" s="132" t="s">
        <v>158</v>
      </c>
    </row>
    <row r="343" spans="1:23" ht="12" customHeight="1" thickBot="1">
      <c r="A343" s="101" t="s">
        <v>194</v>
      </c>
      <c r="B343" s="100" t="s">
        <v>358</v>
      </c>
      <c r="C343" s="90" t="s">
        <v>359</v>
      </c>
      <c r="D343" s="307"/>
      <c r="E343" s="307"/>
      <c r="F343" s="307"/>
      <c r="G343" s="307"/>
      <c r="H343" s="307"/>
      <c r="I343" s="307"/>
      <c r="J343" s="307"/>
      <c r="K343" s="307"/>
      <c r="L343" s="73"/>
      <c r="M343" s="72"/>
      <c r="N343" s="72"/>
      <c r="O343" s="72" t="s">
        <v>197</v>
      </c>
      <c r="P343" s="72" t="s">
        <v>204</v>
      </c>
      <c r="Q343" s="72" t="s">
        <v>209</v>
      </c>
      <c r="R343" s="72" t="s">
        <v>204</v>
      </c>
      <c r="S343" s="72"/>
      <c r="T343" s="72" t="s">
        <v>199</v>
      </c>
      <c r="U343" s="72" t="s">
        <v>198</v>
      </c>
      <c r="V343" s="143"/>
      <c r="W343" s="200"/>
    </row>
    <row r="344" spans="1:23" ht="34.5" customHeight="1">
      <c r="A344" s="56"/>
      <c r="B344" s="89"/>
      <c r="C344" s="94"/>
      <c r="D344" s="93"/>
      <c r="E344" s="93"/>
      <c r="F344" s="93"/>
      <c r="G344" s="93"/>
      <c r="H344" s="93"/>
      <c r="I344" s="93"/>
      <c r="J344" s="93"/>
      <c r="K344" s="93">
        <v>0</v>
      </c>
      <c r="L344" s="55"/>
      <c r="M344" s="91"/>
      <c r="N344" s="91"/>
      <c r="O344" s="91" t="s">
        <v>197</v>
      </c>
      <c r="P344" s="91" t="s">
        <v>204</v>
      </c>
      <c r="Q344" s="91"/>
      <c r="R344" s="91" t="s">
        <v>204</v>
      </c>
      <c r="S344" s="91"/>
      <c r="T344" s="91" t="s">
        <v>199</v>
      </c>
      <c r="U344" s="91" t="s">
        <v>198</v>
      </c>
      <c r="V344" s="132" t="s">
        <v>157</v>
      </c>
      <c r="W344" s="132" t="s">
        <v>157</v>
      </c>
    </row>
    <row r="345" spans="1:23" ht="34.5" customHeight="1">
      <c r="A345" s="54"/>
      <c r="B345" s="50"/>
      <c r="C345" s="94"/>
      <c r="D345" s="93"/>
      <c r="E345" s="93"/>
      <c r="F345" s="93"/>
      <c r="G345" s="93"/>
      <c r="H345" s="93"/>
      <c r="I345" s="93"/>
      <c r="J345" s="93">
        <v>0</v>
      </c>
      <c r="K345" s="93"/>
      <c r="L345" s="55"/>
      <c r="M345" s="91"/>
      <c r="N345" s="91"/>
      <c r="O345" s="91" t="s">
        <v>197</v>
      </c>
      <c r="P345" s="91" t="s">
        <v>204</v>
      </c>
      <c r="Q345" s="91"/>
      <c r="R345" s="91" t="s">
        <v>204</v>
      </c>
      <c r="S345" s="91"/>
      <c r="T345" s="91" t="s">
        <v>199</v>
      </c>
      <c r="U345" s="91" t="s">
        <v>198</v>
      </c>
      <c r="V345" s="132" t="s">
        <v>157</v>
      </c>
      <c r="W345" s="132" t="s">
        <v>157</v>
      </c>
    </row>
    <row r="346" spans="1:23" ht="34.5" customHeight="1">
      <c r="A346" s="54"/>
      <c r="B346" s="89"/>
      <c r="C346" s="94"/>
      <c r="D346" s="93"/>
      <c r="E346" s="93"/>
      <c r="F346" s="93"/>
      <c r="G346" s="93"/>
      <c r="H346" s="93"/>
      <c r="I346" s="93">
        <v>0</v>
      </c>
      <c r="J346" s="93"/>
      <c r="K346" s="93"/>
      <c r="L346" s="55"/>
      <c r="M346" s="91"/>
      <c r="N346" s="91"/>
      <c r="O346" s="91" t="s">
        <v>197</v>
      </c>
      <c r="P346" s="91" t="s">
        <v>204</v>
      </c>
      <c r="Q346" s="91"/>
      <c r="R346" s="91" t="s">
        <v>204</v>
      </c>
      <c r="S346" s="91"/>
      <c r="T346" s="91" t="s">
        <v>199</v>
      </c>
      <c r="U346" s="91" t="s">
        <v>198</v>
      </c>
      <c r="V346" s="132" t="s">
        <v>157</v>
      </c>
      <c r="W346" s="132" t="s">
        <v>157</v>
      </c>
    </row>
    <row r="347" spans="1:23" ht="12" customHeight="1">
      <c r="A347" s="53"/>
      <c r="B347" s="89"/>
      <c r="C347" s="94"/>
      <c r="D347" s="93">
        <v>4</v>
      </c>
      <c r="E347" s="93">
        <v>3</v>
      </c>
      <c r="F347" s="93">
        <v>2</v>
      </c>
      <c r="G347" s="116">
        <v>1</v>
      </c>
      <c r="H347" s="93">
        <v>0</v>
      </c>
      <c r="I347" s="93"/>
      <c r="J347" s="93"/>
      <c r="K347" s="93"/>
      <c r="L347" s="85"/>
      <c r="M347" s="91"/>
      <c r="N347" s="91"/>
      <c r="O347" s="91" t="s">
        <v>206</v>
      </c>
      <c r="P347" s="91" t="s">
        <v>204</v>
      </c>
      <c r="Q347" s="91"/>
      <c r="R347" s="91" t="s">
        <v>204</v>
      </c>
      <c r="S347" s="91"/>
      <c r="T347" s="91" t="s">
        <v>199</v>
      </c>
      <c r="U347" s="91" t="s">
        <v>198</v>
      </c>
      <c r="V347" s="132" t="s">
        <v>165</v>
      </c>
      <c r="W347" s="132" t="s">
        <v>165</v>
      </c>
    </row>
    <row r="348" spans="1:23" ht="12" customHeight="1" thickBot="1">
      <c r="A348" s="81" t="s">
        <v>194</v>
      </c>
      <c r="B348" s="60" t="s">
        <v>360</v>
      </c>
      <c r="C348" s="99" t="s">
        <v>361</v>
      </c>
      <c r="D348" s="303"/>
      <c r="E348" s="303"/>
      <c r="F348" s="303"/>
      <c r="G348" s="303"/>
      <c r="H348" s="303"/>
      <c r="I348" s="303"/>
      <c r="J348" s="303"/>
      <c r="K348" s="303"/>
      <c r="L348" s="88"/>
      <c r="M348" s="87"/>
      <c r="N348" s="87"/>
      <c r="O348" s="87" t="s">
        <v>206</v>
      </c>
      <c r="P348" s="87" t="s">
        <v>204</v>
      </c>
      <c r="Q348" s="87"/>
      <c r="R348" s="87" t="s">
        <v>204</v>
      </c>
      <c r="S348" s="87"/>
      <c r="T348" s="87" t="s">
        <v>199</v>
      </c>
      <c r="U348" s="87" t="s">
        <v>198</v>
      </c>
      <c r="V348" s="141"/>
      <c r="W348" s="198"/>
    </row>
    <row r="349" spans="1:23" ht="12" customHeight="1" thickBot="1">
      <c r="A349" s="96"/>
      <c r="B349" s="60"/>
      <c r="C349" s="94"/>
      <c r="D349" s="116"/>
      <c r="E349" s="93">
        <v>6</v>
      </c>
      <c r="F349" s="93">
        <v>5</v>
      </c>
      <c r="G349" s="93">
        <v>4</v>
      </c>
      <c r="H349" s="93">
        <v>3</v>
      </c>
      <c r="I349" s="93">
        <v>2</v>
      </c>
      <c r="J349" s="93">
        <v>1</v>
      </c>
      <c r="K349" s="93">
        <v>0</v>
      </c>
      <c r="L349" s="92"/>
      <c r="M349" s="91"/>
      <c r="N349" s="91"/>
      <c r="O349" s="91" t="s">
        <v>206</v>
      </c>
      <c r="P349" s="91" t="s">
        <v>204</v>
      </c>
      <c r="Q349" s="91"/>
      <c r="R349" s="91" t="s">
        <v>204</v>
      </c>
      <c r="S349" s="91"/>
      <c r="T349" s="91" t="s">
        <v>199</v>
      </c>
      <c r="U349" s="91" t="s">
        <v>198</v>
      </c>
      <c r="V349" s="132" t="s">
        <v>169</v>
      </c>
      <c r="W349" s="132" t="s">
        <v>169</v>
      </c>
    </row>
    <row r="350" spans="1:23" ht="12" customHeight="1" thickBot="1">
      <c r="A350" s="96"/>
      <c r="B350" s="60"/>
      <c r="C350" s="94"/>
      <c r="D350" s="93">
        <v>0</v>
      </c>
      <c r="E350" s="93"/>
      <c r="F350" s="93"/>
      <c r="G350" s="93"/>
      <c r="H350" s="93"/>
      <c r="I350" s="93"/>
      <c r="J350" s="93"/>
      <c r="K350" s="93"/>
      <c r="L350" s="85"/>
      <c r="M350" s="91"/>
      <c r="N350" s="91"/>
      <c r="O350" s="91" t="s">
        <v>206</v>
      </c>
      <c r="P350" s="91" t="s">
        <v>204</v>
      </c>
      <c r="Q350" s="91"/>
      <c r="R350" s="91" t="s">
        <v>204</v>
      </c>
      <c r="S350" s="91"/>
      <c r="T350" s="91" t="s">
        <v>199</v>
      </c>
      <c r="U350" s="91" t="s">
        <v>198</v>
      </c>
      <c r="V350" s="132" t="s">
        <v>157</v>
      </c>
      <c r="W350" s="132" t="s">
        <v>157</v>
      </c>
    </row>
    <row r="351" spans="1:23" ht="12" customHeight="1" thickBot="1">
      <c r="A351" s="81" t="s">
        <v>194</v>
      </c>
      <c r="B351" s="60" t="s">
        <v>362</v>
      </c>
      <c r="C351" s="99" t="s">
        <v>363</v>
      </c>
      <c r="D351" s="303"/>
      <c r="E351" s="303"/>
      <c r="F351" s="303"/>
      <c r="G351" s="303"/>
      <c r="H351" s="303"/>
      <c r="I351" s="303"/>
      <c r="J351" s="303"/>
      <c r="K351" s="303"/>
      <c r="L351" s="88"/>
      <c r="M351" s="87"/>
      <c r="N351" s="87"/>
      <c r="O351" s="87" t="s">
        <v>206</v>
      </c>
      <c r="P351" s="87" t="s">
        <v>204</v>
      </c>
      <c r="Q351" s="87"/>
      <c r="R351" s="87" t="s">
        <v>204</v>
      </c>
      <c r="S351" s="87"/>
      <c r="T351" s="87" t="s">
        <v>199</v>
      </c>
      <c r="U351" s="87" t="s">
        <v>198</v>
      </c>
      <c r="V351" s="141"/>
      <c r="W351" s="198"/>
    </row>
    <row r="352" spans="1:23" ht="12" customHeight="1" thickBot="1">
      <c r="A352" s="96"/>
      <c r="B352" s="60"/>
      <c r="C352" s="94"/>
      <c r="D352" s="116"/>
      <c r="E352" s="93">
        <v>6</v>
      </c>
      <c r="F352" s="93">
        <v>5</v>
      </c>
      <c r="G352" s="93">
        <v>4</v>
      </c>
      <c r="H352" s="93">
        <v>3</v>
      </c>
      <c r="I352" s="93">
        <v>2</v>
      </c>
      <c r="J352" s="93">
        <v>1</v>
      </c>
      <c r="K352" s="93">
        <v>0</v>
      </c>
      <c r="L352" s="92"/>
      <c r="M352" s="91"/>
      <c r="N352" s="91"/>
      <c r="O352" s="91" t="s">
        <v>206</v>
      </c>
      <c r="P352" s="91" t="s">
        <v>204</v>
      </c>
      <c r="Q352" s="91"/>
      <c r="R352" s="91" t="s">
        <v>204</v>
      </c>
      <c r="S352" s="91"/>
      <c r="T352" s="91" t="s">
        <v>199</v>
      </c>
      <c r="U352" s="91" t="s">
        <v>198</v>
      </c>
      <c r="V352" s="132" t="s">
        <v>162</v>
      </c>
      <c r="W352" s="132" t="s">
        <v>162</v>
      </c>
    </row>
    <row r="353" spans="1:23" ht="12" customHeight="1" thickBot="1">
      <c r="A353" s="96"/>
      <c r="B353" s="60"/>
      <c r="C353" s="94"/>
      <c r="D353" s="93">
        <v>0</v>
      </c>
      <c r="E353" s="93"/>
      <c r="F353" s="93"/>
      <c r="G353" s="93"/>
      <c r="H353" s="93"/>
      <c r="I353" s="93"/>
      <c r="J353" s="93"/>
      <c r="K353" s="93"/>
      <c r="L353" s="85"/>
      <c r="M353" s="91"/>
      <c r="N353" s="91"/>
      <c r="O353" s="91" t="s">
        <v>206</v>
      </c>
      <c r="P353" s="91" t="s">
        <v>204</v>
      </c>
      <c r="Q353" s="91"/>
      <c r="R353" s="91" t="s">
        <v>204</v>
      </c>
      <c r="S353" s="91"/>
      <c r="T353" s="91" t="s">
        <v>199</v>
      </c>
      <c r="U353" s="91" t="s">
        <v>198</v>
      </c>
      <c r="V353" s="132" t="s">
        <v>157</v>
      </c>
      <c r="W353" s="132" t="s">
        <v>157</v>
      </c>
    </row>
    <row r="354" spans="1:23" ht="12" customHeight="1" thickBot="1">
      <c r="A354" s="81" t="s">
        <v>194</v>
      </c>
      <c r="B354" s="60" t="s">
        <v>364</v>
      </c>
      <c r="C354" s="99" t="s">
        <v>365</v>
      </c>
      <c r="D354" s="303"/>
      <c r="E354" s="303"/>
      <c r="F354" s="303"/>
      <c r="G354" s="303"/>
      <c r="H354" s="303"/>
      <c r="I354" s="303"/>
      <c r="J354" s="303"/>
      <c r="K354" s="303"/>
      <c r="L354" s="88"/>
      <c r="M354" s="87"/>
      <c r="N354" s="87"/>
      <c r="O354" s="87" t="s">
        <v>206</v>
      </c>
      <c r="P354" s="87" t="s">
        <v>204</v>
      </c>
      <c r="Q354" s="87"/>
      <c r="R354" s="87" t="s">
        <v>204</v>
      </c>
      <c r="S354" s="87"/>
      <c r="T354" s="87" t="s">
        <v>199</v>
      </c>
      <c r="U354" s="87" t="s">
        <v>198</v>
      </c>
      <c r="V354" s="141"/>
      <c r="W354" s="198"/>
    </row>
    <row r="355" spans="1:23" ht="12" customHeight="1" thickBot="1">
      <c r="A355" s="96"/>
      <c r="B355" s="60"/>
      <c r="C355" s="94"/>
      <c r="D355" s="116"/>
      <c r="E355" s="93">
        <v>6</v>
      </c>
      <c r="F355" s="93">
        <v>5</v>
      </c>
      <c r="G355" s="93">
        <v>4</v>
      </c>
      <c r="H355" s="93">
        <v>3</v>
      </c>
      <c r="I355" s="93">
        <v>2</v>
      </c>
      <c r="J355" s="93">
        <v>1</v>
      </c>
      <c r="K355" s="93">
        <v>0</v>
      </c>
      <c r="L355" s="92"/>
      <c r="M355" s="91"/>
      <c r="N355" s="91"/>
      <c r="O355" s="91" t="s">
        <v>206</v>
      </c>
      <c r="P355" s="91" t="s">
        <v>204</v>
      </c>
      <c r="Q355" s="91"/>
      <c r="R355" s="91" t="s">
        <v>204</v>
      </c>
      <c r="S355" s="91"/>
      <c r="T355" s="91" t="s">
        <v>199</v>
      </c>
      <c r="U355" s="91" t="s">
        <v>198</v>
      </c>
      <c r="V355" s="132" t="s">
        <v>169</v>
      </c>
      <c r="W355" s="132" t="s">
        <v>169</v>
      </c>
    </row>
    <row r="356" spans="1:23" ht="12" customHeight="1" thickBot="1">
      <c r="A356" s="96"/>
      <c r="B356" s="60"/>
      <c r="C356" s="94"/>
      <c r="D356" s="93">
        <v>0</v>
      </c>
      <c r="E356" s="93"/>
      <c r="F356" s="93"/>
      <c r="G356" s="93"/>
      <c r="H356" s="93"/>
      <c r="I356" s="93"/>
      <c r="J356" s="93"/>
      <c r="K356" s="93"/>
      <c r="L356" s="85"/>
      <c r="M356" s="91"/>
      <c r="N356" s="91"/>
      <c r="O356" s="91" t="s">
        <v>206</v>
      </c>
      <c r="P356" s="91" t="s">
        <v>204</v>
      </c>
      <c r="Q356" s="91"/>
      <c r="R356" s="91" t="s">
        <v>204</v>
      </c>
      <c r="S356" s="91"/>
      <c r="T356" s="91" t="s">
        <v>199</v>
      </c>
      <c r="U356" s="91" t="s">
        <v>198</v>
      </c>
      <c r="V356" s="132" t="s">
        <v>157</v>
      </c>
      <c r="W356" s="132" t="s">
        <v>157</v>
      </c>
    </row>
    <row r="357" spans="1:23" ht="12" customHeight="1" thickBot="1">
      <c r="A357" s="81" t="s">
        <v>194</v>
      </c>
      <c r="B357" s="60" t="s">
        <v>366</v>
      </c>
      <c r="C357" s="99" t="s">
        <v>367</v>
      </c>
      <c r="D357" s="303"/>
      <c r="E357" s="303"/>
      <c r="F357" s="303"/>
      <c r="G357" s="303"/>
      <c r="H357" s="303"/>
      <c r="I357" s="303"/>
      <c r="J357" s="303"/>
      <c r="K357" s="303"/>
      <c r="L357" s="88"/>
      <c r="M357" s="87"/>
      <c r="N357" s="87"/>
      <c r="O357" s="87" t="s">
        <v>206</v>
      </c>
      <c r="P357" s="87" t="s">
        <v>204</v>
      </c>
      <c r="Q357" s="87"/>
      <c r="R357" s="87" t="s">
        <v>204</v>
      </c>
      <c r="S357" s="87"/>
      <c r="T357" s="87" t="s">
        <v>199</v>
      </c>
      <c r="U357" s="87" t="s">
        <v>198</v>
      </c>
      <c r="V357" s="141"/>
      <c r="W357" s="198"/>
    </row>
    <row r="358" spans="1:23" ht="12" customHeight="1" thickBot="1">
      <c r="A358" s="96"/>
      <c r="B358" s="60"/>
      <c r="C358" s="94"/>
      <c r="D358" s="116"/>
      <c r="E358" s="93">
        <v>6</v>
      </c>
      <c r="F358" s="93">
        <v>5</v>
      </c>
      <c r="G358" s="93">
        <v>4</v>
      </c>
      <c r="H358" s="93">
        <v>3</v>
      </c>
      <c r="I358" s="93">
        <v>2</v>
      </c>
      <c r="J358" s="93">
        <v>1</v>
      </c>
      <c r="K358" s="93">
        <v>0</v>
      </c>
      <c r="L358" s="92"/>
      <c r="M358" s="91"/>
      <c r="N358" s="91"/>
      <c r="O358" s="91" t="s">
        <v>206</v>
      </c>
      <c r="P358" s="91" t="s">
        <v>204</v>
      </c>
      <c r="Q358" s="91"/>
      <c r="R358" s="91" t="s">
        <v>204</v>
      </c>
      <c r="S358" s="91"/>
      <c r="T358" s="91" t="s">
        <v>199</v>
      </c>
      <c r="U358" s="91" t="s">
        <v>198</v>
      </c>
      <c r="V358" s="132" t="s">
        <v>170</v>
      </c>
      <c r="W358" s="132" t="s">
        <v>170</v>
      </c>
    </row>
    <row r="359" spans="1:23" ht="12" customHeight="1" thickBot="1">
      <c r="A359" s="96"/>
      <c r="B359" s="60"/>
      <c r="C359" s="94"/>
      <c r="D359" s="93">
        <v>0</v>
      </c>
      <c r="E359" s="93"/>
      <c r="F359" s="93"/>
      <c r="G359" s="93"/>
      <c r="H359" s="93"/>
      <c r="I359" s="93"/>
      <c r="J359" s="93"/>
      <c r="K359" s="93"/>
      <c r="L359" s="85"/>
      <c r="M359" s="91"/>
      <c r="N359" s="91"/>
      <c r="O359" s="91" t="s">
        <v>206</v>
      </c>
      <c r="P359" s="91" t="s">
        <v>204</v>
      </c>
      <c r="Q359" s="91"/>
      <c r="R359" s="91" t="s">
        <v>204</v>
      </c>
      <c r="S359" s="91"/>
      <c r="T359" s="91" t="s">
        <v>199</v>
      </c>
      <c r="U359" s="91" t="s">
        <v>198</v>
      </c>
      <c r="V359" s="132" t="s">
        <v>157</v>
      </c>
      <c r="W359" s="132" t="s">
        <v>157</v>
      </c>
    </row>
    <row r="360" spans="1:23" ht="12" customHeight="1" thickBot="1">
      <c r="A360" s="81" t="s">
        <v>194</v>
      </c>
      <c r="B360" s="60" t="s">
        <v>368</v>
      </c>
      <c r="C360" s="99" t="s">
        <v>369</v>
      </c>
      <c r="D360" s="303"/>
      <c r="E360" s="303"/>
      <c r="F360" s="303"/>
      <c r="G360" s="303"/>
      <c r="H360" s="303"/>
      <c r="I360" s="303"/>
      <c r="J360" s="303"/>
      <c r="K360" s="303"/>
      <c r="L360" s="88"/>
      <c r="M360" s="87"/>
      <c r="N360" s="87"/>
      <c r="O360" s="87" t="s">
        <v>206</v>
      </c>
      <c r="P360" s="87" t="s">
        <v>204</v>
      </c>
      <c r="Q360" s="87"/>
      <c r="R360" s="87" t="s">
        <v>204</v>
      </c>
      <c r="S360" s="87"/>
      <c r="T360" s="87" t="s">
        <v>199</v>
      </c>
      <c r="U360" s="87" t="s">
        <v>198</v>
      </c>
      <c r="V360" s="141"/>
      <c r="W360" s="198"/>
    </row>
    <row r="361" spans="1:23" ht="12" customHeight="1" thickBot="1">
      <c r="A361" s="96"/>
      <c r="B361" s="60"/>
      <c r="C361" s="94"/>
      <c r="D361" s="116"/>
      <c r="E361" s="93">
        <v>6</v>
      </c>
      <c r="F361" s="93">
        <v>5</v>
      </c>
      <c r="G361" s="93">
        <v>4</v>
      </c>
      <c r="H361" s="93">
        <v>3</v>
      </c>
      <c r="I361" s="93">
        <v>2</v>
      </c>
      <c r="J361" s="93">
        <v>1</v>
      </c>
      <c r="K361" s="93">
        <v>0</v>
      </c>
      <c r="L361" s="92"/>
      <c r="M361" s="91"/>
      <c r="N361" s="91"/>
      <c r="O361" s="91" t="s">
        <v>206</v>
      </c>
      <c r="P361" s="91" t="s">
        <v>204</v>
      </c>
      <c r="Q361" s="91"/>
      <c r="R361" s="91" t="s">
        <v>204</v>
      </c>
      <c r="S361" s="91"/>
      <c r="T361" s="91" t="s">
        <v>199</v>
      </c>
      <c r="U361" s="91" t="s">
        <v>198</v>
      </c>
      <c r="V361" s="132" t="s">
        <v>171</v>
      </c>
      <c r="W361" s="132" t="s">
        <v>171</v>
      </c>
    </row>
    <row r="362" spans="1:23" ht="12" customHeight="1" thickBot="1">
      <c r="A362" s="96"/>
      <c r="B362" s="60"/>
      <c r="C362" s="94"/>
      <c r="D362" s="93">
        <v>0</v>
      </c>
      <c r="E362" s="93"/>
      <c r="F362" s="93"/>
      <c r="G362" s="93"/>
      <c r="H362" s="93"/>
      <c r="I362" s="93"/>
      <c r="J362" s="93"/>
      <c r="K362" s="93"/>
      <c r="L362" s="85"/>
      <c r="M362" s="91"/>
      <c r="N362" s="91"/>
      <c r="O362" s="91" t="s">
        <v>206</v>
      </c>
      <c r="P362" s="91" t="s">
        <v>204</v>
      </c>
      <c r="Q362" s="91"/>
      <c r="R362" s="91" t="s">
        <v>204</v>
      </c>
      <c r="S362" s="91"/>
      <c r="T362" s="91" t="s">
        <v>199</v>
      </c>
      <c r="U362" s="91" t="s">
        <v>198</v>
      </c>
      <c r="V362" s="132" t="s">
        <v>157</v>
      </c>
      <c r="W362" s="132" t="s">
        <v>157</v>
      </c>
    </row>
    <row r="363" spans="1:23" ht="12" customHeight="1" thickBot="1">
      <c r="A363" s="81" t="s">
        <v>194</v>
      </c>
      <c r="B363" s="60" t="s">
        <v>370</v>
      </c>
      <c r="C363" s="99" t="s">
        <v>371</v>
      </c>
      <c r="D363" s="303"/>
      <c r="E363" s="303"/>
      <c r="F363" s="303"/>
      <c r="G363" s="303"/>
      <c r="H363" s="303"/>
      <c r="I363" s="303"/>
      <c r="J363" s="303"/>
      <c r="K363" s="303"/>
      <c r="L363" s="88"/>
      <c r="M363" s="87"/>
      <c r="N363" s="87"/>
      <c r="O363" s="87" t="s">
        <v>206</v>
      </c>
      <c r="P363" s="87" t="s">
        <v>204</v>
      </c>
      <c r="Q363" s="87"/>
      <c r="R363" s="87" t="s">
        <v>204</v>
      </c>
      <c r="S363" s="87"/>
      <c r="T363" s="87" t="s">
        <v>199</v>
      </c>
      <c r="U363" s="87" t="s">
        <v>198</v>
      </c>
      <c r="V363" s="141"/>
      <c r="W363" s="198"/>
    </row>
    <row r="364" spans="1:23" ht="12" customHeight="1" thickBot="1">
      <c r="A364" s="96"/>
      <c r="B364" s="60"/>
      <c r="C364" s="94"/>
      <c r="D364" s="116"/>
      <c r="E364" s="93">
        <v>6</v>
      </c>
      <c r="F364" s="93">
        <v>5</v>
      </c>
      <c r="G364" s="93">
        <v>4</v>
      </c>
      <c r="H364" s="93">
        <v>3</v>
      </c>
      <c r="I364" s="93">
        <v>2</v>
      </c>
      <c r="J364" s="93">
        <v>1</v>
      </c>
      <c r="K364" s="93">
        <v>0</v>
      </c>
      <c r="L364" s="92"/>
      <c r="M364" s="91"/>
      <c r="N364" s="91"/>
      <c r="O364" s="91" t="s">
        <v>206</v>
      </c>
      <c r="P364" s="91" t="s">
        <v>204</v>
      </c>
      <c r="Q364" s="91"/>
      <c r="R364" s="91" t="s">
        <v>204</v>
      </c>
      <c r="S364" s="91"/>
      <c r="T364" s="91" t="s">
        <v>199</v>
      </c>
      <c r="U364" s="91" t="s">
        <v>198</v>
      </c>
      <c r="V364" s="132" t="s">
        <v>172</v>
      </c>
      <c r="W364" s="132" t="s">
        <v>172</v>
      </c>
    </row>
    <row r="365" spans="1:23" ht="12" customHeight="1" thickBot="1">
      <c r="A365" s="96"/>
      <c r="B365" s="60"/>
      <c r="C365" s="94"/>
      <c r="D365" s="93">
        <v>0</v>
      </c>
      <c r="E365" s="93"/>
      <c r="F365" s="93"/>
      <c r="G365" s="93"/>
      <c r="H365" s="93"/>
      <c r="I365" s="93"/>
      <c r="J365" s="93"/>
      <c r="K365" s="93"/>
      <c r="L365" s="85"/>
      <c r="M365" s="91"/>
      <c r="N365" s="91"/>
      <c r="O365" s="91" t="s">
        <v>206</v>
      </c>
      <c r="P365" s="91" t="s">
        <v>204</v>
      </c>
      <c r="Q365" s="91"/>
      <c r="R365" s="91" t="s">
        <v>204</v>
      </c>
      <c r="S365" s="91"/>
      <c r="T365" s="91" t="s">
        <v>199</v>
      </c>
      <c r="U365" s="91" t="s">
        <v>198</v>
      </c>
      <c r="V365" s="132" t="s">
        <v>157</v>
      </c>
      <c r="W365" s="132" t="s">
        <v>157</v>
      </c>
    </row>
    <row r="366" spans="1:23" ht="12" customHeight="1" thickBot="1">
      <c r="A366" s="81" t="s">
        <v>194</v>
      </c>
      <c r="B366" s="60" t="s">
        <v>372</v>
      </c>
      <c r="C366" s="99" t="s">
        <v>373</v>
      </c>
      <c r="D366" s="303"/>
      <c r="E366" s="303"/>
      <c r="F366" s="303"/>
      <c r="G366" s="303"/>
      <c r="H366" s="303"/>
      <c r="I366" s="303"/>
      <c r="J366" s="303"/>
      <c r="K366" s="303"/>
      <c r="L366" s="88"/>
      <c r="M366" s="87"/>
      <c r="N366" s="87"/>
      <c r="O366" s="87" t="s">
        <v>206</v>
      </c>
      <c r="P366" s="87" t="s">
        <v>204</v>
      </c>
      <c r="Q366" s="87"/>
      <c r="R366" s="87" t="s">
        <v>204</v>
      </c>
      <c r="S366" s="87"/>
      <c r="T366" s="87" t="s">
        <v>199</v>
      </c>
      <c r="U366" s="87" t="s">
        <v>198</v>
      </c>
      <c r="V366" s="141"/>
      <c r="W366" s="198"/>
    </row>
    <row r="367" spans="1:23" ht="12" customHeight="1" thickBot="1">
      <c r="A367" s="96"/>
      <c r="B367" s="60"/>
      <c r="C367" s="94"/>
      <c r="D367" s="116"/>
      <c r="E367" s="93"/>
      <c r="F367" s="93"/>
      <c r="G367" s="93"/>
      <c r="H367" s="93">
        <v>3</v>
      </c>
      <c r="I367" s="93">
        <v>2</v>
      </c>
      <c r="J367" s="93">
        <v>1</v>
      </c>
      <c r="K367" s="93">
        <v>0</v>
      </c>
      <c r="L367" s="92"/>
      <c r="M367" s="91"/>
      <c r="N367" s="91"/>
      <c r="O367" s="91" t="s">
        <v>206</v>
      </c>
      <c r="P367" s="91" t="s">
        <v>204</v>
      </c>
      <c r="Q367" s="91"/>
      <c r="R367" s="91" t="s">
        <v>204</v>
      </c>
      <c r="S367" s="91"/>
      <c r="T367" s="91" t="s">
        <v>199</v>
      </c>
      <c r="U367" s="91" t="s">
        <v>198</v>
      </c>
      <c r="V367" s="132" t="s">
        <v>173</v>
      </c>
      <c r="W367" s="132" t="s">
        <v>173</v>
      </c>
    </row>
    <row r="368" spans="1:23" ht="12" customHeight="1" thickBot="1">
      <c r="A368" s="96"/>
      <c r="B368" s="60"/>
      <c r="C368" s="94"/>
      <c r="D368" s="93">
        <v>3</v>
      </c>
      <c r="E368" s="93">
        <v>2</v>
      </c>
      <c r="F368" s="93">
        <v>1</v>
      </c>
      <c r="G368" s="93">
        <v>0</v>
      </c>
      <c r="H368" s="93"/>
      <c r="I368" s="93"/>
      <c r="J368" s="93"/>
      <c r="K368" s="93"/>
      <c r="L368" s="92"/>
      <c r="M368" s="91"/>
      <c r="N368" s="91"/>
      <c r="O368" s="91" t="s">
        <v>206</v>
      </c>
      <c r="P368" s="91" t="s">
        <v>204</v>
      </c>
      <c r="Q368" s="91"/>
      <c r="R368" s="91" t="s">
        <v>204</v>
      </c>
      <c r="S368" s="91"/>
      <c r="T368" s="91" t="s">
        <v>199</v>
      </c>
      <c r="U368" s="91" t="s">
        <v>198</v>
      </c>
      <c r="V368" s="132" t="s">
        <v>167</v>
      </c>
      <c r="W368" s="132" t="s">
        <v>167</v>
      </c>
    </row>
    <row r="369" spans="1:23" ht="12" hidden="1" customHeight="1">
      <c r="A369" s="49" t="s">
        <v>374</v>
      </c>
      <c r="B369" s="48" t="s">
        <v>195</v>
      </c>
      <c r="C369" s="47" t="s">
        <v>375</v>
      </c>
      <c r="D369" s="295"/>
      <c r="E369" s="296"/>
      <c r="F369" s="296"/>
      <c r="G369" s="296"/>
      <c r="H369" s="296"/>
      <c r="I369" s="296"/>
      <c r="J369" s="296"/>
      <c r="K369" s="297"/>
      <c r="L369" s="46"/>
      <c r="M369" s="45"/>
      <c r="N369" s="45"/>
      <c r="O369" s="45" t="s">
        <v>197</v>
      </c>
      <c r="P369" s="45" t="s">
        <v>204</v>
      </c>
      <c r="Q369" s="45" t="s">
        <v>209</v>
      </c>
      <c r="R369" s="45" t="s">
        <v>198</v>
      </c>
      <c r="S369" s="45"/>
      <c r="T369" s="45" t="s">
        <v>376</v>
      </c>
      <c r="U369" s="45" t="s">
        <v>269</v>
      </c>
      <c r="V369" s="144"/>
      <c r="W369" s="202"/>
    </row>
    <row r="370" spans="1:23" ht="12" hidden="1" customHeight="1" thickBot="1">
      <c r="A370" s="49"/>
      <c r="B370" s="48"/>
      <c r="C370" s="74"/>
      <c r="D370" s="44"/>
      <c r="E370" s="44"/>
      <c r="F370" s="44"/>
      <c r="G370" s="44"/>
      <c r="H370" s="44">
        <v>3</v>
      </c>
      <c r="I370" s="44">
        <v>2</v>
      </c>
      <c r="J370" s="44">
        <v>1</v>
      </c>
      <c r="K370" s="44">
        <v>0</v>
      </c>
      <c r="L370" s="55"/>
      <c r="M370" s="79"/>
      <c r="N370" s="79"/>
      <c r="O370" s="79" t="s">
        <v>197</v>
      </c>
      <c r="P370" s="79" t="s">
        <v>204</v>
      </c>
      <c r="Q370" s="79"/>
      <c r="R370" s="79" t="s">
        <v>198</v>
      </c>
      <c r="S370" s="79"/>
      <c r="T370" s="79" t="s">
        <v>376</v>
      </c>
      <c r="U370" s="79" t="s">
        <v>269</v>
      </c>
      <c r="V370" s="134" t="s">
        <v>163</v>
      </c>
      <c r="W370" s="134" t="s">
        <v>163</v>
      </c>
    </row>
    <row r="371" spans="1:23" ht="12" hidden="1" customHeight="1">
      <c r="A371" s="43"/>
      <c r="B371" s="48"/>
      <c r="C371" s="74"/>
      <c r="D371" s="44">
        <v>3</v>
      </c>
      <c r="E371" s="44">
        <v>2</v>
      </c>
      <c r="F371" s="44">
        <v>1</v>
      </c>
      <c r="G371" s="44">
        <v>0</v>
      </c>
      <c r="H371" s="44"/>
      <c r="I371" s="44"/>
      <c r="J371" s="44"/>
      <c r="K371" s="44"/>
      <c r="L371" s="55"/>
      <c r="M371" s="79"/>
      <c r="N371" s="79"/>
      <c r="O371" s="79" t="s">
        <v>197</v>
      </c>
      <c r="P371" s="79" t="s">
        <v>204</v>
      </c>
      <c r="Q371" s="79"/>
      <c r="R371" s="79" t="s">
        <v>198</v>
      </c>
      <c r="S371" s="79"/>
      <c r="T371" s="79" t="s">
        <v>376</v>
      </c>
      <c r="U371" s="79" t="s">
        <v>269</v>
      </c>
      <c r="V371" s="134" t="s">
        <v>163</v>
      </c>
      <c r="W371" s="134" t="s">
        <v>163</v>
      </c>
    </row>
    <row r="372" spans="1:23" ht="12" hidden="1" customHeight="1">
      <c r="A372" s="49" t="s">
        <v>374</v>
      </c>
      <c r="B372" s="48" t="s">
        <v>200</v>
      </c>
      <c r="C372" s="47" t="s">
        <v>377</v>
      </c>
      <c r="D372" s="301"/>
      <c r="E372" s="301"/>
      <c r="F372" s="301"/>
      <c r="G372" s="301"/>
      <c r="H372" s="301"/>
      <c r="I372" s="301"/>
      <c r="J372" s="301"/>
      <c r="K372" s="301"/>
      <c r="L372" s="46"/>
      <c r="M372" s="45"/>
      <c r="N372" s="45"/>
      <c r="O372" s="45" t="s">
        <v>197</v>
      </c>
      <c r="P372" s="45" t="s">
        <v>204</v>
      </c>
      <c r="Q372" s="45" t="s">
        <v>209</v>
      </c>
      <c r="R372" s="45" t="s">
        <v>198</v>
      </c>
      <c r="S372" s="45"/>
      <c r="T372" s="45" t="s">
        <v>376</v>
      </c>
      <c r="U372" s="45" t="s">
        <v>269</v>
      </c>
      <c r="V372" s="144"/>
      <c r="W372" s="202"/>
    </row>
    <row r="373" spans="1:23" ht="12" hidden="1" customHeight="1" thickBot="1">
      <c r="A373" s="49"/>
      <c r="B373" s="48"/>
      <c r="C373" s="75"/>
      <c r="D373" s="44"/>
      <c r="E373" s="44"/>
      <c r="F373" s="44">
        <v>5</v>
      </c>
      <c r="G373" s="44">
        <v>4</v>
      </c>
      <c r="H373" s="44">
        <v>3</v>
      </c>
      <c r="I373" s="44">
        <v>2</v>
      </c>
      <c r="J373" s="44">
        <v>1</v>
      </c>
      <c r="K373" s="44">
        <v>0</v>
      </c>
      <c r="L373" s="55"/>
      <c r="M373" s="79"/>
      <c r="N373" s="79"/>
      <c r="O373" s="79" t="s">
        <v>197</v>
      </c>
      <c r="P373" s="79" t="s">
        <v>204</v>
      </c>
      <c r="Q373" s="79"/>
      <c r="R373" s="79" t="s">
        <v>198</v>
      </c>
      <c r="S373" s="79"/>
      <c r="T373" s="79" t="s">
        <v>376</v>
      </c>
      <c r="U373" s="79" t="s">
        <v>269</v>
      </c>
      <c r="V373" s="134" t="s">
        <v>174</v>
      </c>
      <c r="W373" s="134" t="s">
        <v>174</v>
      </c>
    </row>
    <row r="374" spans="1:23" ht="12" hidden="1" customHeight="1" thickBot="1">
      <c r="A374" s="43"/>
      <c r="B374" s="48"/>
      <c r="C374" s="75"/>
      <c r="D374" s="44">
        <v>1</v>
      </c>
      <c r="E374" s="44">
        <v>0</v>
      </c>
      <c r="F374" s="44"/>
      <c r="G374" s="44"/>
      <c r="H374" s="44"/>
      <c r="I374" s="44"/>
      <c r="J374" s="44"/>
      <c r="K374" s="44"/>
      <c r="L374" s="85"/>
      <c r="M374" s="79"/>
      <c r="N374" s="79"/>
      <c r="O374" s="79" t="s">
        <v>206</v>
      </c>
      <c r="P374" s="79" t="s">
        <v>204</v>
      </c>
      <c r="Q374" s="79"/>
      <c r="R374" s="79" t="s">
        <v>198</v>
      </c>
      <c r="S374" s="79"/>
      <c r="T374" s="79" t="s">
        <v>376</v>
      </c>
      <c r="U374" s="79" t="s">
        <v>269</v>
      </c>
      <c r="V374" s="134" t="s">
        <v>156</v>
      </c>
      <c r="W374" s="134" t="s">
        <v>156</v>
      </c>
    </row>
    <row r="375" spans="1:23" ht="12" customHeight="1" thickBot="1">
      <c r="A375" s="42" t="s">
        <v>374</v>
      </c>
      <c r="B375" s="48" t="s">
        <v>202</v>
      </c>
      <c r="C375" s="47" t="s">
        <v>1539</v>
      </c>
      <c r="D375" s="301"/>
      <c r="E375" s="301"/>
      <c r="F375" s="301"/>
      <c r="G375" s="301"/>
      <c r="H375" s="301"/>
      <c r="I375" s="301"/>
      <c r="J375" s="301"/>
      <c r="K375" s="301"/>
      <c r="L375" s="46" t="s">
        <v>1543</v>
      </c>
      <c r="M375" s="45"/>
      <c r="N375" s="45"/>
      <c r="O375" s="45" t="s">
        <v>197</v>
      </c>
      <c r="P375" s="45" t="s">
        <v>204</v>
      </c>
      <c r="Q375" s="45"/>
      <c r="R375" s="45" t="s">
        <v>198</v>
      </c>
      <c r="S375" s="45"/>
      <c r="T375" s="45" t="s">
        <v>376</v>
      </c>
      <c r="U375" s="45" t="s">
        <v>269</v>
      </c>
      <c r="V375" s="144"/>
      <c r="W375" s="202"/>
    </row>
    <row r="376" spans="1:23" ht="12" customHeight="1">
      <c r="A376" s="42"/>
      <c r="B376" s="48"/>
      <c r="C376" s="75"/>
      <c r="D376" s="44"/>
      <c r="E376" s="44"/>
      <c r="F376" s="44"/>
      <c r="G376" s="44"/>
      <c r="H376" s="44"/>
      <c r="I376" s="44"/>
      <c r="J376" s="44"/>
      <c r="K376" s="44">
        <v>0</v>
      </c>
      <c r="L376" s="55" t="s">
        <v>1402</v>
      </c>
      <c r="M376" s="79"/>
      <c r="N376" s="79"/>
      <c r="O376" s="79" t="s">
        <v>197</v>
      </c>
      <c r="P376" s="79" t="s">
        <v>204</v>
      </c>
      <c r="Q376" s="79"/>
      <c r="R376" s="79" t="s">
        <v>198</v>
      </c>
      <c r="S376" s="79"/>
      <c r="T376" s="79" t="s">
        <v>376</v>
      </c>
      <c r="U376" s="79" t="s">
        <v>269</v>
      </c>
      <c r="V376" s="134" t="s">
        <v>157</v>
      </c>
      <c r="W376" s="134" t="s">
        <v>157</v>
      </c>
    </row>
    <row r="377" spans="1:23" ht="12" customHeight="1" thickBot="1">
      <c r="A377" s="78"/>
      <c r="B377" s="48"/>
      <c r="C377" s="75"/>
      <c r="D377" s="44"/>
      <c r="E377" s="44"/>
      <c r="F377" s="44"/>
      <c r="G377" s="44"/>
      <c r="H377" s="44"/>
      <c r="I377" s="44"/>
      <c r="J377" s="44">
        <v>0</v>
      </c>
      <c r="K377" s="44"/>
      <c r="L377" s="55" t="s">
        <v>1540</v>
      </c>
      <c r="M377" s="79"/>
      <c r="N377" s="79"/>
      <c r="O377" s="79" t="s">
        <v>197</v>
      </c>
      <c r="P377" s="79" t="s">
        <v>204</v>
      </c>
      <c r="Q377" s="79"/>
      <c r="R377" s="79" t="s">
        <v>198</v>
      </c>
      <c r="S377" s="79"/>
      <c r="T377" s="79" t="s">
        <v>376</v>
      </c>
      <c r="U377" s="79" t="s">
        <v>269</v>
      </c>
      <c r="V377" s="134" t="s">
        <v>157</v>
      </c>
      <c r="W377" s="134" t="s">
        <v>157</v>
      </c>
    </row>
    <row r="378" spans="1:23" ht="12" customHeight="1" thickBot="1">
      <c r="A378" s="78"/>
      <c r="B378" s="48"/>
      <c r="C378" s="75"/>
      <c r="D378" s="44"/>
      <c r="E378" s="44"/>
      <c r="F378" s="44"/>
      <c r="G378" s="44">
        <v>2</v>
      </c>
      <c r="H378" s="44">
        <v>1</v>
      </c>
      <c r="I378" s="44">
        <v>0</v>
      </c>
      <c r="J378" s="44"/>
      <c r="K378" s="44"/>
      <c r="L378" s="55" t="s">
        <v>1403</v>
      </c>
      <c r="M378" s="79"/>
      <c r="N378" s="79"/>
      <c r="O378" s="79" t="s">
        <v>197</v>
      </c>
      <c r="P378" s="79" t="s">
        <v>204</v>
      </c>
      <c r="Q378" s="79"/>
      <c r="R378" s="79" t="s">
        <v>198</v>
      </c>
      <c r="S378" s="79"/>
      <c r="T378" s="79" t="s">
        <v>376</v>
      </c>
      <c r="U378" s="79" t="s">
        <v>269</v>
      </c>
      <c r="V378" s="134" t="s">
        <v>158</v>
      </c>
      <c r="W378" s="203" t="s">
        <v>158</v>
      </c>
    </row>
    <row r="379" spans="1:23" ht="12" customHeight="1" thickBot="1">
      <c r="A379" s="78"/>
      <c r="B379" s="48"/>
      <c r="C379" s="75"/>
      <c r="D379" s="44"/>
      <c r="E379" s="44">
        <v>1</v>
      </c>
      <c r="F379" s="44">
        <v>0</v>
      </c>
      <c r="G379" s="44"/>
      <c r="H379" s="44"/>
      <c r="I379" s="55"/>
      <c r="J379" s="44"/>
      <c r="K379" s="44"/>
      <c r="L379" s="55" t="s">
        <v>1404</v>
      </c>
      <c r="M379" s="79"/>
      <c r="N379" s="79"/>
      <c r="O379" s="79" t="s">
        <v>197</v>
      </c>
      <c r="P379" s="79" t="s">
        <v>204</v>
      </c>
      <c r="Q379" s="79"/>
      <c r="R379" s="79" t="s">
        <v>198</v>
      </c>
      <c r="S379" s="79"/>
      <c r="T379" s="79" t="s">
        <v>376</v>
      </c>
      <c r="U379" s="79" t="s">
        <v>269</v>
      </c>
      <c r="V379" s="134" t="s">
        <v>164</v>
      </c>
      <c r="W379" s="203" t="s">
        <v>164</v>
      </c>
    </row>
    <row r="380" spans="1:23" ht="12" customHeight="1" thickBot="1">
      <c r="A380" s="78"/>
      <c r="B380" s="48"/>
      <c r="C380" s="41"/>
      <c r="D380" s="44">
        <v>0</v>
      </c>
      <c r="E380" s="55"/>
      <c r="F380" s="44"/>
      <c r="G380" s="44"/>
      <c r="H380" s="44"/>
      <c r="I380" s="44"/>
      <c r="J380" s="44"/>
      <c r="K380" s="55"/>
      <c r="L380" s="55" t="s">
        <v>1538</v>
      </c>
      <c r="M380" s="79"/>
      <c r="N380" s="79"/>
      <c r="O380" s="79" t="s">
        <v>197</v>
      </c>
      <c r="P380" s="79" t="s">
        <v>204</v>
      </c>
      <c r="Q380" s="79"/>
      <c r="R380" s="79" t="s">
        <v>198</v>
      </c>
      <c r="S380" s="79"/>
      <c r="T380" s="79" t="s">
        <v>376</v>
      </c>
      <c r="U380" s="79" t="s">
        <v>269</v>
      </c>
      <c r="V380" s="134" t="s">
        <v>157</v>
      </c>
      <c r="W380" s="134" t="s">
        <v>157</v>
      </c>
    </row>
    <row r="381" spans="1:23" ht="13.5" customHeight="1" thickBot="1">
      <c r="A381" s="101" t="s">
        <v>374</v>
      </c>
      <c r="B381" s="48" t="s">
        <v>207</v>
      </c>
      <c r="C381" s="47" t="s">
        <v>378</v>
      </c>
      <c r="D381" s="311"/>
      <c r="E381" s="311"/>
      <c r="F381" s="311"/>
      <c r="G381" s="311"/>
      <c r="H381" s="311"/>
      <c r="I381" s="311"/>
      <c r="J381" s="311"/>
      <c r="K381" s="311"/>
      <c r="L381" s="40" t="s">
        <v>1542</v>
      </c>
      <c r="M381" s="39"/>
      <c r="N381" s="39"/>
      <c r="O381" s="39" t="s">
        <v>197</v>
      </c>
      <c r="P381" s="39" t="s">
        <v>198</v>
      </c>
      <c r="Q381" s="39">
        <v>0</v>
      </c>
      <c r="R381" s="39" t="s">
        <v>198</v>
      </c>
      <c r="S381" s="39"/>
      <c r="T381" s="39" t="s">
        <v>376</v>
      </c>
      <c r="U381" s="39" t="s">
        <v>269</v>
      </c>
      <c r="V381" s="145"/>
      <c r="W381" s="204"/>
    </row>
    <row r="382" spans="1:23" ht="13.5" customHeight="1" thickBot="1">
      <c r="A382" s="101"/>
      <c r="B382" s="48"/>
      <c r="C382" s="75"/>
      <c r="D382" s="44"/>
      <c r="E382" s="44">
        <v>6</v>
      </c>
      <c r="F382" s="44">
        <v>5</v>
      </c>
      <c r="G382" s="44">
        <v>4</v>
      </c>
      <c r="H382" s="44">
        <v>3</v>
      </c>
      <c r="I382" s="44">
        <v>2</v>
      </c>
      <c r="J382" s="44">
        <v>1</v>
      </c>
      <c r="K382" s="44">
        <v>0</v>
      </c>
      <c r="L382" s="55" t="s">
        <v>967</v>
      </c>
      <c r="M382" s="79"/>
      <c r="N382" s="79"/>
      <c r="O382" s="79" t="s">
        <v>197</v>
      </c>
      <c r="P382" s="79" t="s">
        <v>198</v>
      </c>
      <c r="Q382" s="79"/>
      <c r="R382" s="79" t="s">
        <v>198</v>
      </c>
      <c r="S382" s="79"/>
      <c r="T382" s="79" t="s">
        <v>376</v>
      </c>
      <c r="U382" s="79" t="s">
        <v>269</v>
      </c>
      <c r="V382" s="134" t="s">
        <v>162</v>
      </c>
      <c r="W382" s="134" t="s">
        <v>162</v>
      </c>
    </row>
    <row r="383" spans="1:23" ht="10" customHeight="1" thickBot="1">
      <c r="A383" s="101"/>
      <c r="B383" s="48"/>
      <c r="C383" s="75"/>
      <c r="D383" s="44">
        <v>0</v>
      </c>
      <c r="E383" s="44"/>
      <c r="F383" s="44"/>
      <c r="G383" s="44"/>
      <c r="H383" s="44"/>
      <c r="I383" s="44"/>
      <c r="J383" s="44"/>
      <c r="K383" s="44"/>
      <c r="L383" s="55" t="s">
        <v>968</v>
      </c>
      <c r="M383" s="79"/>
      <c r="N383" s="79"/>
      <c r="O383" s="79" t="s">
        <v>197</v>
      </c>
      <c r="P383" s="79" t="s">
        <v>198</v>
      </c>
      <c r="Q383" s="79"/>
      <c r="R383" s="79" t="s">
        <v>198</v>
      </c>
      <c r="S383" s="79"/>
      <c r="T383" s="79" t="s">
        <v>376</v>
      </c>
      <c r="U383" s="79" t="s">
        <v>269</v>
      </c>
      <c r="V383" s="134" t="s">
        <v>157</v>
      </c>
      <c r="W383" s="134" t="s">
        <v>157</v>
      </c>
    </row>
    <row r="384" spans="1:23" ht="12" hidden="1" customHeight="1" thickBot="1">
      <c r="A384" s="49" t="s">
        <v>374</v>
      </c>
      <c r="B384" s="48" t="s">
        <v>214</v>
      </c>
      <c r="C384" s="47" t="s">
        <v>379</v>
      </c>
      <c r="D384" s="301"/>
      <c r="E384" s="301"/>
      <c r="F384" s="301"/>
      <c r="G384" s="301"/>
      <c r="H384" s="301"/>
      <c r="I384" s="301"/>
      <c r="J384" s="301"/>
      <c r="K384" s="301"/>
      <c r="L384" s="46"/>
      <c r="M384" s="45"/>
      <c r="N384" s="45"/>
      <c r="O384" s="45" t="s">
        <v>197</v>
      </c>
      <c r="P384" s="45" t="s">
        <v>204</v>
      </c>
      <c r="Q384" s="45"/>
      <c r="R384" s="45" t="s">
        <v>198</v>
      </c>
      <c r="S384" s="45"/>
      <c r="T384" s="45" t="s">
        <v>376</v>
      </c>
      <c r="U384" s="45" t="s">
        <v>269</v>
      </c>
      <c r="V384" s="144"/>
      <c r="W384" s="202"/>
    </row>
    <row r="385" spans="1:23" ht="12" hidden="1" customHeight="1">
      <c r="A385" s="43"/>
      <c r="B385" s="48"/>
      <c r="C385" s="75"/>
      <c r="D385" s="44"/>
      <c r="E385" s="44"/>
      <c r="F385" s="44"/>
      <c r="G385" s="44"/>
      <c r="H385" s="44"/>
      <c r="I385" s="44"/>
      <c r="J385" s="44"/>
      <c r="K385" s="44">
        <v>0</v>
      </c>
      <c r="L385" s="55"/>
      <c r="M385" s="79"/>
      <c r="N385" s="79"/>
      <c r="O385" s="79" t="s">
        <v>197</v>
      </c>
      <c r="P385" s="79" t="s">
        <v>204</v>
      </c>
      <c r="Q385" s="79"/>
      <c r="R385" s="79" t="s">
        <v>198</v>
      </c>
      <c r="S385" s="79"/>
      <c r="T385" s="79" t="s">
        <v>376</v>
      </c>
      <c r="U385" s="91" t="s">
        <v>269</v>
      </c>
      <c r="V385" s="132" t="s">
        <v>157</v>
      </c>
      <c r="W385" s="132" t="s">
        <v>157</v>
      </c>
    </row>
    <row r="386" spans="1:23" ht="12" hidden="1" customHeight="1" thickBot="1">
      <c r="A386" s="49"/>
      <c r="B386" s="48"/>
      <c r="C386" s="75"/>
      <c r="D386" s="44"/>
      <c r="E386" s="44"/>
      <c r="F386" s="44"/>
      <c r="G386" s="44"/>
      <c r="H386" s="44"/>
      <c r="I386" s="44"/>
      <c r="J386" s="44">
        <v>0</v>
      </c>
      <c r="K386" s="44"/>
      <c r="L386" s="55"/>
      <c r="M386" s="79"/>
      <c r="N386" s="79"/>
      <c r="O386" s="79" t="s">
        <v>197</v>
      </c>
      <c r="P386" s="79" t="s">
        <v>204</v>
      </c>
      <c r="Q386" s="79"/>
      <c r="R386" s="79" t="s">
        <v>198</v>
      </c>
      <c r="S386" s="79"/>
      <c r="T386" s="79" t="s">
        <v>376</v>
      </c>
      <c r="U386" s="91" t="s">
        <v>269</v>
      </c>
      <c r="V386" s="132" t="s">
        <v>157</v>
      </c>
      <c r="W386" s="132" t="s">
        <v>157</v>
      </c>
    </row>
    <row r="387" spans="1:23" ht="12" hidden="1" customHeight="1">
      <c r="A387" s="43"/>
      <c r="B387" s="48"/>
      <c r="C387" s="75"/>
      <c r="D387" s="44"/>
      <c r="E387" s="44"/>
      <c r="F387" s="44"/>
      <c r="G387" s="44"/>
      <c r="H387" s="44"/>
      <c r="I387" s="44">
        <v>0</v>
      </c>
      <c r="J387" s="44"/>
      <c r="K387" s="44"/>
      <c r="L387" s="55"/>
      <c r="M387" s="79"/>
      <c r="N387" s="79"/>
      <c r="O387" s="79" t="s">
        <v>197</v>
      </c>
      <c r="P387" s="79" t="s">
        <v>204</v>
      </c>
      <c r="Q387" s="79"/>
      <c r="R387" s="79" t="s">
        <v>198</v>
      </c>
      <c r="S387" s="79"/>
      <c r="T387" s="79" t="s">
        <v>376</v>
      </c>
      <c r="U387" s="91" t="s">
        <v>269</v>
      </c>
      <c r="V387" s="132" t="s">
        <v>157</v>
      </c>
      <c r="W387" s="132" t="s">
        <v>157</v>
      </c>
    </row>
    <row r="388" spans="1:23" ht="12" hidden="1" customHeight="1">
      <c r="A388" s="38"/>
      <c r="B388" s="48"/>
      <c r="C388" s="75"/>
      <c r="D388" s="44"/>
      <c r="E388" s="44"/>
      <c r="F388" s="44"/>
      <c r="G388" s="44"/>
      <c r="H388" s="44">
        <v>0</v>
      </c>
      <c r="I388" s="44"/>
      <c r="J388" s="44"/>
      <c r="K388" s="44"/>
      <c r="L388" s="55"/>
      <c r="M388" s="79"/>
      <c r="N388" s="79"/>
      <c r="O388" s="79" t="s">
        <v>197</v>
      </c>
      <c r="P388" s="79" t="s">
        <v>204</v>
      </c>
      <c r="Q388" s="79"/>
      <c r="R388" s="79" t="s">
        <v>198</v>
      </c>
      <c r="S388" s="79"/>
      <c r="T388" s="79" t="s">
        <v>376</v>
      </c>
      <c r="U388" s="91" t="s">
        <v>269</v>
      </c>
      <c r="V388" s="132" t="s">
        <v>157</v>
      </c>
      <c r="W388" s="132" t="s">
        <v>157</v>
      </c>
    </row>
    <row r="389" spans="1:23" ht="12" hidden="1" customHeight="1">
      <c r="A389" s="49"/>
      <c r="B389" s="48"/>
      <c r="C389" s="75"/>
      <c r="D389" s="44">
        <v>3</v>
      </c>
      <c r="E389" s="44">
        <v>2</v>
      </c>
      <c r="F389" s="44">
        <v>1</v>
      </c>
      <c r="G389" s="44">
        <v>0</v>
      </c>
      <c r="H389" s="44"/>
      <c r="I389" s="44"/>
      <c r="J389" s="44"/>
      <c r="K389" s="44"/>
      <c r="L389" s="85"/>
      <c r="M389" s="79"/>
      <c r="N389" s="79"/>
      <c r="O389" s="79" t="s">
        <v>206</v>
      </c>
      <c r="P389" s="79" t="s">
        <v>204</v>
      </c>
      <c r="Q389" s="79"/>
      <c r="R389" s="79" t="s">
        <v>198</v>
      </c>
      <c r="S389" s="79"/>
      <c r="T389" s="79" t="s">
        <v>376</v>
      </c>
      <c r="U389" s="91" t="s">
        <v>269</v>
      </c>
      <c r="V389" s="132" t="s">
        <v>163</v>
      </c>
      <c r="W389" s="132" t="s">
        <v>163</v>
      </c>
    </row>
    <row r="390" spans="1:23" ht="12" hidden="1" customHeight="1" thickBot="1">
      <c r="A390" s="49" t="s">
        <v>374</v>
      </c>
      <c r="B390" s="48" t="s">
        <v>380</v>
      </c>
      <c r="C390" s="47" t="s">
        <v>381</v>
      </c>
      <c r="D390" s="301"/>
      <c r="E390" s="301"/>
      <c r="F390" s="301"/>
      <c r="G390" s="301"/>
      <c r="H390" s="301"/>
      <c r="I390" s="301"/>
      <c r="J390" s="301"/>
      <c r="K390" s="301"/>
      <c r="L390" s="46"/>
      <c r="M390" s="45"/>
      <c r="N390" s="45"/>
      <c r="O390" s="45" t="s">
        <v>197</v>
      </c>
      <c r="P390" s="45" t="s">
        <v>204</v>
      </c>
      <c r="Q390" s="45"/>
      <c r="R390" s="45" t="s">
        <v>198</v>
      </c>
      <c r="S390" s="45"/>
      <c r="T390" s="45" t="s">
        <v>376</v>
      </c>
      <c r="U390" s="45" t="s">
        <v>269</v>
      </c>
      <c r="V390" s="144"/>
      <c r="W390" s="202"/>
    </row>
    <row r="391" spans="1:23" ht="45.75" hidden="1" customHeight="1">
      <c r="A391" s="43"/>
      <c r="B391" s="48"/>
      <c r="C391" s="75"/>
      <c r="D391" s="68"/>
      <c r="E391" s="68"/>
      <c r="F391" s="68"/>
      <c r="G391" s="68"/>
      <c r="H391" s="68"/>
      <c r="I391" s="68"/>
      <c r="J391" s="68">
        <v>1</v>
      </c>
      <c r="K391" s="44">
        <v>0</v>
      </c>
      <c r="L391" s="58"/>
      <c r="M391" s="79"/>
      <c r="N391" s="79"/>
      <c r="O391" s="79" t="s">
        <v>197</v>
      </c>
      <c r="P391" s="79" t="s">
        <v>204</v>
      </c>
      <c r="Q391" s="79"/>
      <c r="R391" s="79" t="s">
        <v>198</v>
      </c>
      <c r="S391" s="79"/>
      <c r="T391" s="79" t="s">
        <v>376</v>
      </c>
      <c r="U391" s="79" t="s">
        <v>269</v>
      </c>
      <c r="V391" s="132" t="s">
        <v>156</v>
      </c>
      <c r="W391" s="132" t="s">
        <v>156</v>
      </c>
    </row>
    <row r="392" spans="1:23" ht="34.5" hidden="1" customHeight="1">
      <c r="A392" s="37"/>
      <c r="B392" s="48"/>
      <c r="C392" s="75"/>
      <c r="D392" s="68"/>
      <c r="E392" s="68"/>
      <c r="F392" s="68"/>
      <c r="G392" s="68"/>
      <c r="H392" s="68"/>
      <c r="I392" s="68">
        <v>0</v>
      </c>
      <c r="J392" s="68"/>
      <c r="K392" s="44"/>
      <c r="L392" s="58"/>
      <c r="M392" s="79"/>
      <c r="N392" s="79"/>
      <c r="O392" s="79" t="s">
        <v>197</v>
      </c>
      <c r="P392" s="79" t="s">
        <v>204</v>
      </c>
      <c r="Q392" s="79"/>
      <c r="R392" s="79" t="s">
        <v>198</v>
      </c>
      <c r="S392" s="79"/>
      <c r="T392" s="79" t="s">
        <v>376</v>
      </c>
      <c r="U392" s="79" t="s">
        <v>269</v>
      </c>
      <c r="V392" s="132" t="s">
        <v>157</v>
      </c>
      <c r="W392" s="132" t="s">
        <v>157</v>
      </c>
    </row>
    <row r="393" spans="1:23" ht="14.15" hidden="1" customHeight="1" thickBot="1">
      <c r="A393" s="54"/>
      <c r="B393" s="36"/>
      <c r="C393" s="94"/>
      <c r="D393" s="68">
        <v>4</v>
      </c>
      <c r="E393" s="68">
        <v>3</v>
      </c>
      <c r="F393" s="68">
        <v>2</v>
      </c>
      <c r="G393" s="35">
        <v>1</v>
      </c>
      <c r="H393" s="68">
        <v>0</v>
      </c>
      <c r="I393" s="68"/>
      <c r="J393" s="68"/>
      <c r="K393" s="68"/>
      <c r="L393" s="58"/>
      <c r="M393" s="79"/>
      <c r="N393" s="79"/>
      <c r="O393" s="79" t="s">
        <v>197</v>
      </c>
      <c r="P393" s="79" t="s">
        <v>204</v>
      </c>
      <c r="Q393" s="91"/>
      <c r="R393" s="91" t="s">
        <v>198</v>
      </c>
      <c r="S393" s="91"/>
      <c r="T393" s="91" t="s">
        <v>376</v>
      </c>
      <c r="U393" s="79" t="s">
        <v>269</v>
      </c>
      <c r="V393" s="134" t="s">
        <v>165</v>
      </c>
      <c r="W393" s="134" t="s">
        <v>165</v>
      </c>
    </row>
    <row r="394" spans="1:23" ht="10" customHeight="1" thickBot="1">
      <c r="A394" s="101" t="s">
        <v>374</v>
      </c>
      <c r="B394" s="36" t="s">
        <v>382</v>
      </c>
      <c r="C394" s="99" t="s">
        <v>383</v>
      </c>
      <c r="D394" s="290"/>
      <c r="E394" s="290"/>
      <c r="F394" s="290"/>
      <c r="G394" s="290"/>
      <c r="H394" s="290"/>
      <c r="I394" s="290"/>
      <c r="J394" s="290"/>
      <c r="K394" s="290"/>
      <c r="L394" s="40" t="s">
        <v>1541</v>
      </c>
      <c r="M394" s="33"/>
      <c r="N394" s="33"/>
      <c r="O394" s="33" t="s">
        <v>197</v>
      </c>
      <c r="P394" s="33" t="s">
        <v>198</v>
      </c>
      <c r="Q394" s="33">
        <v>123</v>
      </c>
      <c r="R394" s="33" t="s">
        <v>198</v>
      </c>
      <c r="S394" s="33"/>
      <c r="T394" s="33" t="s">
        <v>376</v>
      </c>
      <c r="U394" s="33" t="s">
        <v>269</v>
      </c>
      <c r="V394" s="146"/>
      <c r="W394" s="205"/>
    </row>
    <row r="395" spans="1:23" ht="33.75" customHeight="1">
      <c r="A395" s="69"/>
      <c r="B395" s="36"/>
      <c r="C395" s="94"/>
      <c r="D395" s="68"/>
      <c r="E395" s="68"/>
      <c r="F395" s="68"/>
      <c r="G395" s="68"/>
      <c r="H395" s="68"/>
      <c r="I395" s="68"/>
      <c r="J395" s="68"/>
      <c r="K395" s="68">
        <v>0</v>
      </c>
      <c r="L395" s="58" t="s">
        <v>969</v>
      </c>
      <c r="M395" s="91"/>
      <c r="N395" s="91"/>
      <c r="O395" s="91" t="s">
        <v>197</v>
      </c>
      <c r="P395" s="91" t="s">
        <v>198</v>
      </c>
      <c r="Q395" s="91"/>
      <c r="R395" s="91" t="s">
        <v>198</v>
      </c>
      <c r="S395" s="91"/>
      <c r="T395" s="91" t="s">
        <v>376</v>
      </c>
      <c r="U395" s="91" t="s">
        <v>269</v>
      </c>
      <c r="V395" s="132" t="str">
        <f>IF(Sequencing!D22="Yes","1b0","1b1")</f>
        <v>1b1</v>
      </c>
      <c r="W395" s="132" t="s">
        <v>157</v>
      </c>
    </row>
    <row r="396" spans="1:23" ht="33.75" customHeight="1">
      <c r="A396" s="54"/>
      <c r="B396" s="36"/>
      <c r="C396" s="94"/>
      <c r="D396" s="68"/>
      <c r="E396" s="68"/>
      <c r="F396" s="68"/>
      <c r="G396" s="68"/>
      <c r="H396" s="68"/>
      <c r="I396" s="68"/>
      <c r="J396" s="68">
        <v>0</v>
      </c>
      <c r="K396" s="68"/>
      <c r="L396" s="58" t="s">
        <v>970</v>
      </c>
      <c r="M396" s="91"/>
      <c r="N396" s="91"/>
      <c r="O396" s="91" t="s">
        <v>197</v>
      </c>
      <c r="P396" s="91" t="s">
        <v>198</v>
      </c>
      <c r="Q396" s="91"/>
      <c r="R396" s="91" t="s">
        <v>198</v>
      </c>
      <c r="S396" s="91"/>
      <c r="T396" s="91" t="s">
        <v>376</v>
      </c>
      <c r="U396" s="91" t="s">
        <v>269</v>
      </c>
      <c r="V396" s="132" t="str">
        <f>IF(Sequencing!E22="Yes","1b0","1b1")</f>
        <v>1b1</v>
      </c>
      <c r="W396" s="132" t="s">
        <v>157</v>
      </c>
    </row>
    <row r="397" spans="1:23" ht="34.5" customHeight="1" thickBot="1">
      <c r="A397" s="32"/>
      <c r="B397" s="36"/>
      <c r="C397" s="94"/>
      <c r="D397" s="68"/>
      <c r="E397" s="68"/>
      <c r="F397" s="68"/>
      <c r="G397" s="68"/>
      <c r="H397" s="68"/>
      <c r="I397" s="68">
        <v>0</v>
      </c>
      <c r="J397" s="68"/>
      <c r="K397" s="68"/>
      <c r="L397" s="58" t="s">
        <v>971</v>
      </c>
      <c r="M397" s="91"/>
      <c r="N397" s="91"/>
      <c r="O397" s="91" t="s">
        <v>197</v>
      </c>
      <c r="P397" s="91" t="s">
        <v>198</v>
      </c>
      <c r="Q397" s="91"/>
      <c r="R397" s="91" t="s">
        <v>198</v>
      </c>
      <c r="S397" s="91"/>
      <c r="T397" s="91" t="s">
        <v>376</v>
      </c>
      <c r="U397" s="91" t="s">
        <v>269</v>
      </c>
      <c r="V397" s="132" t="str">
        <f>IF(Sequencing!F22="Yes","1b0","1b1")</f>
        <v>1b0</v>
      </c>
      <c r="W397" s="132" t="s">
        <v>157</v>
      </c>
    </row>
    <row r="398" spans="1:23" ht="34.5" customHeight="1" thickBot="1">
      <c r="A398" s="32"/>
      <c r="B398" s="36"/>
      <c r="C398" s="94"/>
      <c r="D398" s="68"/>
      <c r="E398" s="68"/>
      <c r="F398" s="68"/>
      <c r="G398" s="68"/>
      <c r="H398" s="68">
        <v>0</v>
      </c>
      <c r="I398" s="68"/>
      <c r="J398" s="68"/>
      <c r="K398" s="68"/>
      <c r="L398" s="58" t="s">
        <v>972</v>
      </c>
      <c r="M398" s="91"/>
      <c r="N398" s="91"/>
      <c r="O398" s="91" t="s">
        <v>197</v>
      </c>
      <c r="P398" s="91" t="s">
        <v>198</v>
      </c>
      <c r="Q398" s="91"/>
      <c r="R398" s="91" t="s">
        <v>198</v>
      </c>
      <c r="S398" s="91"/>
      <c r="T398" s="91" t="s">
        <v>376</v>
      </c>
      <c r="U398" s="91" t="s">
        <v>269</v>
      </c>
      <c r="V398" s="132" t="str">
        <f>IF(Sequencing!G22="Yes","1b0","1b1")</f>
        <v>1b1</v>
      </c>
      <c r="W398" s="132" t="s">
        <v>157</v>
      </c>
    </row>
    <row r="399" spans="1:23" ht="33.75" customHeight="1">
      <c r="A399" s="69"/>
      <c r="B399" s="36"/>
      <c r="C399" s="94"/>
      <c r="D399" s="68"/>
      <c r="E399" s="68"/>
      <c r="F399" s="68"/>
      <c r="G399" s="68">
        <v>0</v>
      </c>
      <c r="H399" s="68"/>
      <c r="I399" s="68"/>
      <c r="J399" s="68"/>
      <c r="K399" s="68"/>
      <c r="L399" s="58" t="s">
        <v>973</v>
      </c>
      <c r="M399" s="91"/>
      <c r="N399" s="91"/>
      <c r="O399" s="91" t="s">
        <v>197</v>
      </c>
      <c r="P399" s="91" t="s">
        <v>198</v>
      </c>
      <c r="Q399" s="91"/>
      <c r="R399" s="91" t="s">
        <v>198</v>
      </c>
      <c r="S399" s="91"/>
      <c r="T399" s="91" t="s">
        <v>376</v>
      </c>
      <c r="U399" s="91" t="s">
        <v>269</v>
      </c>
      <c r="V399" s="132" t="str">
        <f>IF(Sequencing!H22="Yes","1b0","1b1")</f>
        <v>1b1</v>
      </c>
      <c r="W399" s="132" t="s">
        <v>157</v>
      </c>
    </row>
    <row r="400" spans="1:23" ht="33.75" customHeight="1">
      <c r="A400" s="54"/>
      <c r="B400" s="36"/>
      <c r="C400" s="94"/>
      <c r="D400" s="68"/>
      <c r="E400" s="68"/>
      <c r="F400" s="68">
        <v>0</v>
      </c>
      <c r="G400" s="68"/>
      <c r="H400" s="68"/>
      <c r="I400" s="68"/>
      <c r="J400" s="68"/>
      <c r="K400" s="68"/>
      <c r="L400" s="58" t="s">
        <v>974</v>
      </c>
      <c r="M400" s="91"/>
      <c r="N400" s="91"/>
      <c r="O400" s="91" t="s">
        <v>197</v>
      </c>
      <c r="P400" s="91" t="s">
        <v>198</v>
      </c>
      <c r="Q400" s="91"/>
      <c r="R400" s="91" t="s">
        <v>198</v>
      </c>
      <c r="S400" s="91"/>
      <c r="T400" s="91" t="s">
        <v>376</v>
      </c>
      <c r="U400" s="91" t="s">
        <v>269</v>
      </c>
      <c r="V400" s="132" t="str">
        <f>IF(Sequencing!K22="Yes","1b0","1b1")</f>
        <v>1b1</v>
      </c>
      <c r="W400" s="132" t="s">
        <v>157</v>
      </c>
    </row>
    <row r="401" spans="1:23" ht="34.5" customHeight="1" thickBot="1">
      <c r="A401" s="32"/>
      <c r="B401" s="36"/>
      <c r="C401" s="94"/>
      <c r="D401" s="68"/>
      <c r="E401" s="68">
        <v>0</v>
      </c>
      <c r="F401" s="68"/>
      <c r="G401" s="68"/>
      <c r="H401" s="68"/>
      <c r="I401" s="68"/>
      <c r="J401" s="68"/>
      <c r="K401" s="68"/>
      <c r="L401" s="58" t="s">
        <v>975</v>
      </c>
      <c r="M401" s="91"/>
      <c r="N401" s="91"/>
      <c r="O401" s="91" t="s">
        <v>197</v>
      </c>
      <c r="P401" s="91" t="s">
        <v>198</v>
      </c>
      <c r="Q401" s="91"/>
      <c r="R401" s="91" t="s">
        <v>198</v>
      </c>
      <c r="S401" s="91"/>
      <c r="T401" s="91" t="s">
        <v>376</v>
      </c>
      <c r="U401" s="91" t="s">
        <v>269</v>
      </c>
      <c r="V401" s="132" t="str">
        <f>IF(Sequencing!I22="Yes","1b0","1b1")</f>
        <v>1b1</v>
      </c>
      <c r="W401" s="132" t="s">
        <v>157</v>
      </c>
    </row>
    <row r="402" spans="1:23" ht="34.5" customHeight="1" thickBot="1">
      <c r="A402" s="32"/>
      <c r="B402" s="36"/>
      <c r="C402" s="94"/>
      <c r="D402" s="68">
        <v>0</v>
      </c>
      <c r="E402" s="68"/>
      <c r="F402" s="68"/>
      <c r="G402" s="68"/>
      <c r="H402" s="68"/>
      <c r="I402" s="68"/>
      <c r="J402" s="68"/>
      <c r="K402" s="68"/>
      <c r="L402" s="58" t="s">
        <v>976</v>
      </c>
      <c r="M402" s="91"/>
      <c r="N402" s="91"/>
      <c r="O402" s="91" t="s">
        <v>197</v>
      </c>
      <c r="P402" s="91" t="s">
        <v>198</v>
      </c>
      <c r="Q402" s="91"/>
      <c r="R402" s="91" t="s">
        <v>198</v>
      </c>
      <c r="S402" s="91"/>
      <c r="T402" s="91" t="s">
        <v>376</v>
      </c>
      <c r="U402" s="91" t="s">
        <v>269</v>
      </c>
      <c r="V402" s="132" t="str">
        <f>IF(Sequencing!J22="Yes","1b0","1b1")</f>
        <v>1b1</v>
      </c>
      <c r="W402" s="132" t="s">
        <v>157</v>
      </c>
    </row>
    <row r="403" spans="1:23" ht="13.5" customHeight="1" thickBot="1">
      <c r="A403" s="101" t="s">
        <v>374</v>
      </c>
      <c r="B403" s="36" t="s">
        <v>384</v>
      </c>
      <c r="C403" s="99" t="s">
        <v>385</v>
      </c>
      <c r="D403" s="290"/>
      <c r="E403" s="290"/>
      <c r="F403" s="290"/>
      <c r="G403" s="290"/>
      <c r="H403" s="290"/>
      <c r="I403" s="290"/>
      <c r="J403" s="290"/>
      <c r="K403" s="290"/>
      <c r="L403" s="40" t="s">
        <v>1544</v>
      </c>
      <c r="M403" s="33"/>
      <c r="N403" s="33"/>
      <c r="O403" s="33" t="s">
        <v>197</v>
      </c>
      <c r="P403" s="33" t="s">
        <v>198</v>
      </c>
      <c r="Q403" s="33">
        <v>124</v>
      </c>
      <c r="R403" s="33" t="s">
        <v>198</v>
      </c>
      <c r="S403" s="33"/>
      <c r="T403" s="33" t="s">
        <v>376</v>
      </c>
      <c r="U403" s="33" t="s">
        <v>269</v>
      </c>
      <c r="V403" s="146"/>
      <c r="W403" s="205"/>
    </row>
    <row r="404" spans="1:23" ht="33.75" customHeight="1">
      <c r="A404" s="69"/>
      <c r="B404" s="36"/>
      <c r="C404" s="94"/>
      <c r="D404" s="68"/>
      <c r="E404" s="68"/>
      <c r="F404" s="68"/>
      <c r="G404" s="68"/>
      <c r="H404" s="68"/>
      <c r="I404" s="68"/>
      <c r="J404" s="68"/>
      <c r="K404" s="68">
        <v>0</v>
      </c>
      <c r="L404" s="58" t="s">
        <v>977</v>
      </c>
      <c r="M404" s="91"/>
      <c r="N404" s="91"/>
      <c r="O404" s="91" t="s">
        <v>197</v>
      </c>
      <c r="P404" s="91" t="s">
        <v>198</v>
      </c>
      <c r="Q404" s="91"/>
      <c r="R404" s="91" t="s">
        <v>198</v>
      </c>
      <c r="S404" s="91"/>
      <c r="T404" s="91" t="s">
        <v>376</v>
      </c>
      <c r="U404" s="91" t="s">
        <v>269</v>
      </c>
      <c r="V404" s="132" t="str">
        <f>IF(Sequencing!L22="Yes","1b0","1b1")</f>
        <v>1b1</v>
      </c>
      <c r="W404" s="132" t="s">
        <v>157</v>
      </c>
    </row>
    <row r="405" spans="1:23" ht="33.75" customHeight="1">
      <c r="A405" s="54"/>
      <c r="B405" s="36"/>
      <c r="C405" s="94"/>
      <c r="D405" s="68"/>
      <c r="E405" s="68"/>
      <c r="F405" s="68"/>
      <c r="G405" s="68"/>
      <c r="H405" s="68"/>
      <c r="I405" s="68"/>
      <c r="J405" s="68">
        <v>0</v>
      </c>
      <c r="K405" s="68"/>
      <c r="L405" s="58" t="s">
        <v>978</v>
      </c>
      <c r="M405" s="91"/>
      <c r="N405" s="91"/>
      <c r="O405" s="91" t="s">
        <v>197</v>
      </c>
      <c r="P405" s="91" t="s">
        <v>198</v>
      </c>
      <c r="Q405" s="91"/>
      <c r="R405" s="91" t="s">
        <v>198</v>
      </c>
      <c r="S405" s="91"/>
      <c r="T405" s="91" t="s">
        <v>376</v>
      </c>
      <c r="U405" s="91" t="s">
        <v>269</v>
      </c>
      <c r="V405" s="132" t="str">
        <f>IF(Sequencing!M22="Yes","1b0","1b1")</f>
        <v>1b1</v>
      </c>
      <c r="W405" s="132" t="s">
        <v>157</v>
      </c>
    </row>
    <row r="406" spans="1:23" ht="102" customHeight="1" thickBot="1">
      <c r="A406" s="32"/>
      <c r="B406" s="36"/>
      <c r="C406" s="94"/>
      <c r="D406" s="68"/>
      <c r="E406" s="68"/>
      <c r="F406" s="68"/>
      <c r="G406" s="68">
        <v>2</v>
      </c>
      <c r="H406" s="68">
        <v>1</v>
      </c>
      <c r="I406" s="68">
        <v>0</v>
      </c>
      <c r="J406" s="68"/>
      <c r="K406" s="68"/>
      <c r="L406" s="58" t="s">
        <v>979</v>
      </c>
      <c r="M406" s="91"/>
      <c r="N406" s="91"/>
      <c r="O406" s="91" t="s">
        <v>197</v>
      </c>
      <c r="P406" s="91" t="s">
        <v>198</v>
      </c>
      <c r="Q406" s="91"/>
      <c r="R406" s="91" t="s">
        <v>198</v>
      </c>
      <c r="S406" s="91"/>
      <c r="T406" s="91" t="s">
        <v>376</v>
      </c>
      <c r="U406" s="91" t="s">
        <v>269</v>
      </c>
      <c r="V406" s="132" t="str">
        <f>INDEX(Sequencing!Z4:Z11,MATCH(Sequencing!C5,Sequencing!Y4:Y11,0))</f>
        <v>3b000</v>
      </c>
      <c r="W406" s="132" t="s">
        <v>158</v>
      </c>
    </row>
    <row r="407" spans="1:23" ht="33.75" customHeight="1">
      <c r="A407" s="54"/>
      <c r="B407" s="36"/>
      <c r="C407" s="94"/>
      <c r="D407" s="68"/>
      <c r="E407" s="68"/>
      <c r="F407" s="68">
        <v>0</v>
      </c>
      <c r="G407" s="68"/>
      <c r="H407" s="68"/>
      <c r="I407" s="68"/>
      <c r="J407" s="68"/>
      <c r="K407" s="68"/>
      <c r="L407" s="58" t="s">
        <v>980</v>
      </c>
      <c r="M407" s="91"/>
      <c r="N407" s="91"/>
      <c r="O407" s="91" t="s">
        <v>197</v>
      </c>
      <c r="P407" s="91" t="s">
        <v>198</v>
      </c>
      <c r="Q407" s="91"/>
      <c r="R407" s="91" t="s">
        <v>198</v>
      </c>
      <c r="S407" s="91"/>
      <c r="T407" s="91" t="s">
        <v>376</v>
      </c>
      <c r="U407" s="91" t="s">
        <v>269</v>
      </c>
      <c r="V407" s="132" t="str">
        <f>IF(Overview!D13="10 mV","1b0","1b1")</f>
        <v>1b1</v>
      </c>
      <c r="W407" s="132" t="s">
        <v>157</v>
      </c>
    </row>
    <row r="408" spans="1:23" ht="57" customHeight="1" thickBot="1">
      <c r="A408" s="32"/>
      <c r="B408" s="36"/>
      <c r="C408" s="94"/>
      <c r="D408" s="68">
        <v>1</v>
      </c>
      <c r="E408" s="68">
        <v>0</v>
      </c>
      <c r="F408" s="68"/>
      <c r="G408" s="68"/>
      <c r="H408" s="68"/>
      <c r="I408" s="68"/>
      <c r="J408" s="68"/>
      <c r="K408" s="68"/>
      <c r="L408" s="58" t="s">
        <v>981</v>
      </c>
      <c r="M408" s="91"/>
      <c r="N408" s="91"/>
      <c r="O408" s="91" t="s">
        <v>197</v>
      </c>
      <c r="P408" s="91" t="s">
        <v>198</v>
      </c>
      <c r="Q408" s="91"/>
      <c r="R408" s="91" t="s">
        <v>198</v>
      </c>
      <c r="S408" s="91"/>
      <c r="T408" s="91" t="s">
        <v>376</v>
      </c>
      <c r="U408" s="91" t="s">
        <v>269</v>
      </c>
      <c r="V408" s="132" t="s">
        <v>160</v>
      </c>
      <c r="W408" s="132" t="s">
        <v>160</v>
      </c>
    </row>
    <row r="409" spans="1:23" ht="13.5" customHeight="1" thickBot="1">
      <c r="A409" s="101" t="s">
        <v>374</v>
      </c>
      <c r="B409" s="36" t="s">
        <v>386</v>
      </c>
      <c r="C409" s="99" t="s">
        <v>387</v>
      </c>
      <c r="D409" s="290"/>
      <c r="E409" s="290"/>
      <c r="F409" s="290"/>
      <c r="G409" s="290"/>
      <c r="H409" s="290"/>
      <c r="I409" s="290"/>
      <c r="J409" s="290"/>
      <c r="K409" s="290"/>
      <c r="L409" s="40" t="s">
        <v>1545</v>
      </c>
      <c r="M409" s="33"/>
      <c r="N409" s="33"/>
      <c r="O409" s="33" t="s">
        <v>197</v>
      </c>
      <c r="P409" s="33" t="s">
        <v>198</v>
      </c>
      <c r="Q409" s="33">
        <v>125</v>
      </c>
      <c r="R409" s="33" t="s">
        <v>198</v>
      </c>
      <c r="S409" s="33"/>
      <c r="T409" s="33" t="s">
        <v>376</v>
      </c>
      <c r="U409" s="33" t="s">
        <v>269</v>
      </c>
      <c r="V409" s="146"/>
      <c r="W409" s="205"/>
    </row>
    <row r="410" spans="1:23" ht="112.5" customHeight="1">
      <c r="A410" s="69"/>
      <c r="B410" s="36"/>
      <c r="C410" s="94"/>
      <c r="D410" s="68"/>
      <c r="E410" s="68"/>
      <c r="F410" s="68"/>
      <c r="G410" s="68"/>
      <c r="H410" s="68"/>
      <c r="I410" s="68">
        <v>2</v>
      </c>
      <c r="J410" s="68">
        <v>1</v>
      </c>
      <c r="K410" s="68">
        <v>0</v>
      </c>
      <c r="L410" s="58" t="s">
        <v>982</v>
      </c>
      <c r="M410" s="91"/>
      <c r="N410" s="91"/>
      <c r="O410" s="91" t="s">
        <v>197</v>
      </c>
      <c r="P410" s="91" t="s">
        <v>198</v>
      </c>
      <c r="Q410" s="91"/>
      <c r="R410" s="91" t="s">
        <v>198</v>
      </c>
      <c r="S410" s="91"/>
      <c r="T410" s="91" t="s">
        <v>376</v>
      </c>
      <c r="U410" s="91" t="s">
        <v>269</v>
      </c>
      <c r="V410" s="132" t="str">
        <f>INDEX(Sequencing!AI4:AI12,MATCH(Sequencing!U22,Sequencing!AH4:AH12,0))</f>
        <v>3b100</v>
      </c>
      <c r="W410" s="132" t="s">
        <v>158</v>
      </c>
    </row>
    <row r="411" spans="1:23" ht="112.5" customHeight="1">
      <c r="A411" s="54"/>
      <c r="B411" s="36"/>
      <c r="C411" s="94"/>
      <c r="D411" s="68"/>
      <c r="E411" s="68"/>
      <c r="F411" s="68">
        <v>2</v>
      </c>
      <c r="G411" s="68">
        <v>1</v>
      </c>
      <c r="H411" s="68">
        <v>0</v>
      </c>
      <c r="I411" s="68"/>
      <c r="J411" s="68"/>
      <c r="K411" s="68"/>
      <c r="L411" s="58" t="s">
        <v>983</v>
      </c>
      <c r="M411" s="91"/>
      <c r="N411" s="91"/>
      <c r="O411" s="91" t="s">
        <v>197</v>
      </c>
      <c r="P411" s="91" t="s">
        <v>198</v>
      </c>
      <c r="Q411" s="91"/>
      <c r="R411" s="91" t="s">
        <v>198</v>
      </c>
      <c r="S411" s="91"/>
      <c r="T411" s="91" t="s">
        <v>376</v>
      </c>
      <c r="U411" s="91" t="s">
        <v>269</v>
      </c>
      <c r="V411" s="132" t="str">
        <f>INDEX(Sequencing!AI4:AI12,MATCH(Sequencing!V22,Sequencing!AH4:AH12,0))</f>
        <v>3b100</v>
      </c>
      <c r="W411" s="132" t="s">
        <v>158</v>
      </c>
    </row>
    <row r="412" spans="1:23" ht="56.25" customHeight="1" thickBot="1">
      <c r="A412" s="54"/>
      <c r="B412" s="36"/>
      <c r="C412" s="94"/>
      <c r="D412" s="68">
        <v>1</v>
      </c>
      <c r="E412" s="68">
        <v>0</v>
      </c>
      <c r="F412" s="68"/>
      <c r="G412" s="68"/>
      <c r="H412" s="68"/>
      <c r="I412" s="68"/>
      <c r="J412" s="68"/>
      <c r="K412" s="68"/>
      <c r="L412" s="58" t="s">
        <v>984</v>
      </c>
      <c r="M412" s="91"/>
      <c r="N412" s="91"/>
      <c r="O412" s="91" t="s">
        <v>197</v>
      </c>
      <c r="P412" s="91" t="s">
        <v>198</v>
      </c>
      <c r="Q412" s="91"/>
      <c r="R412" s="91" t="s">
        <v>198</v>
      </c>
      <c r="S412" s="91"/>
      <c r="T412" s="91" t="s">
        <v>376</v>
      </c>
      <c r="U412" s="91" t="s">
        <v>269</v>
      </c>
      <c r="V412" s="132" t="s">
        <v>156</v>
      </c>
      <c r="W412" s="132" t="s">
        <v>156</v>
      </c>
    </row>
    <row r="413" spans="1:23" ht="13.5" customHeight="1" thickBot="1">
      <c r="A413" s="101" t="s">
        <v>374</v>
      </c>
      <c r="B413" s="36" t="s">
        <v>388</v>
      </c>
      <c r="C413" s="99" t="s">
        <v>389</v>
      </c>
      <c r="D413" s="290"/>
      <c r="E413" s="290"/>
      <c r="F413" s="290"/>
      <c r="G413" s="290"/>
      <c r="H413" s="290"/>
      <c r="I413" s="290"/>
      <c r="J413" s="290"/>
      <c r="K413" s="290"/>
      <c r="L413" s="40" t="str">
        <f>CONCATENATE("BUCK",RIGHT(C413,10))</f>
        <v>BUCK2_CTRL_EN1</v>
      </c>
      <c r="M413" s="33"/>
      <c r="N413" s="33"/>
      <c r="O413" s="33" t="s">
        <v>197</v>
      </c>
      <c r="P413" s="33" t="s">
        <v>198</v>
      </c>
      <c r="Q413" s="33">
        <v>7</v>
      </c>
      <c r="R413" s="33" t="s">
        <v>198</v>
      </c>
      <c r="S413" s="33"/>
      <c r="T413" s="33" t="s">
        <v>376</v>
      </c>
      <c r="U413" s="33" t="s">
        <v>269</v>
      </c>
      <c r="V413" s="146"/>
      <c r="W413" s="205"/>
    </row>
    <row r="414" spans="1:23" ht="33.75" customHeight="1">
      <c r="A414" s="69"/>
      <c r="B414" s="36"/>
      <c r="C414" s="94"/>
      <c r="D414" s="68"/>
      <c r="E414" s="68"/>
      <c r="F414" s="68"/>
      <c r="G414" s="68"/>
      <c r="H414" s="68"/>
      <c r="I414" s="68"/>
      <c r="J414" s="68"/>
      <c r="K414" s="68">
        <v>0</v>
      </c>
      <c r="L414" s="58" t="s">
        <v>985</v>
      </c>
      <c r="M414" s="91"/>
      <c r="N414" s="91"/>
      <c r="O414" s="91" t="s">
        <v>197</v>
      </c>
      <c r="P414" s="91" t="s">
        <v>198</v>
      </c>
      <c r="Q414" s="91"/>
      <c r="R414" s="91" t="s">
        <v>198</v>
      </c>
      <c r="S414" s="91"/>
      <c r="T414" s="91" t="s">
        <v>376</v>
      </c>
      <c r="U414" s="91" t="s">
        <v>269</v>
      </c>
      <c r="V414" s="132" t="str">
        <f>IF(Sequencing!C23="Yes","1b0","1b1")</f>
        <v>1b1</v>
      </c>
      <c r="W414" s="132" t="s">
        <v>157</v>
      </c>
    </row>
    <row r="415" spans="1:23" ht="33.75" customHeight="1">
      <c r="A415" s="54"/>
      <c r="B415" s="36"/>
      <c r="C415" s="94"/>
      <c r="D415" s="68"/>
      <c r="E415" s="68"/>
      <c r="F415" s="68"/>
      <c r="G415" s="68"/>
      <c r="H415" s="68"/>
      <c r="I415" s="68"/>
      <c r="J415" s="68">
        <v>0</v>
      </c>
      <c r="K415" s="68"/>
      <c r="L415" s="58" t="s">
        <v>986</v>
      </c>
      <c r="M415" s="91"/>
      <c r="N415" s="91"/>
      <c r="O415" s="91" t="s">
        <v>197</v>
      </c>
      <c r="P415" s="91" t="s">
        <v>198</v>
      </c>
      <c r="Q415" s="91"/>
      <c r="R415" s="91" t="s">
        <v>198</v>
      </c>
      <c r="S415" s="91"/>
      <c r="T415" s="91" t="s">
        <v>376</v>
      </c>
      <c r="U415" s="91" t="s">
        <v>269</v>
      </c>
      <c r="V415" s="132" t="str">
        <f>IF(Sequencing!E23="Yes","1b0","1b1")</f>
        <v>1b1</v>
      </c>
      <c r="W415" s="132" t="s">
        <v>157</v>
      </c>
    </row>
    <row r="416" spans="1:23" ht="34.5" customHeight="1" thickBot="1">
      <c r="A416" s="32"/>
      <c r="B416" s="36"/>
      <c r="C416" s="94"/>
      <c r="D416" s="68"/>
      <c r="E416" s="68"/>
      <c r="F416" s="68"/>
      <c r="G416" s="68"/>
      <c r="H416" s="68"/>
      <c r="I416" s="68">
        <v>0</v>
      </c>
      <c r="J416" s="68"/>
      <c r="K416" s="68"/>
      <c r="L416" s="58" t="s">
        <v>987</v>
      </c>
      <c r="M416" s="91"/>
      <c r="N416" s="91"/>
      <c r="O416" s="91" t="s">
        <v>197</v>
      </c>
      <c r="P416" s="91" t="s">
        <v>198</v>
      </c>
      <c r="Q416" s="91"/>
      <c r="R416" s="91" t="s">
        <v>198</v>
      </c>
      <c r="S416" s="91"/>
      <c r="T416" s="91" t="s">
        <v>376</v>
      </c>
      <c r="U416" s="91" t="s">
        <v>269</v>
      </c>
      <c r="V416" s="132" t="str">
        <f>IF(Sequencing!F23="Yes","1b0","1b1")</f>
        <v>1b1</v>
      </c>
      <c r="W416" s="132" t="s">
        <v>157</v>
      </c>
    </row>
    <row r="417" spans="1:23" ht="34.5" customHeight="1" thickBot="1">
      <c r="A417" s="32"/>
      <c r="B417" s="36"/>
      <c r="C417" s="94"/>
      <c r="D417" s="68"/>
      <c r="E417" s="68"/>
      <c r="F417" s="68"/>
      <c r="G417" s="68"/>
      <c r="H417" s="68">
        <v>0</v>
      </c>
      <c r="I417" s="68"/>
      <c r="J417" s="68"/>
      <c r="K417" s="68"/>
      <c r="L417" s="58" t="s">
        <v>988</v>
      </c>
      <c r="M417" s="91"/>
      <c r="N417" s="91"/>
      <c r="O417" s="91" t="s">
        <v>197</v>
      </c>
      <c r="P417" s="91" t="s">
        <v>198</v>
      </c>
      <c r="Q417" s="91"/>
      <c r="R417" s="91" t="s">
        <v>198</v>
      </c>
      <c r="S417" s="91"/>
      <c r="T417" s="91" t="s">
        <v>376</v>
      </c>
      <c r="U417" s="91" t="s">
        <v>269</v>
      </c>
      <c r="V417" s="132" t="str">
        <f>IF(Sequencing!G23="Yes","1b0","1b1")</f>
        <v>1b1</v>
      </c>
      <c r="W417" s="132" t="s">
        <v>157</v>
      </c>
    </row>
    <row r="418" spans="1:23" ht="33.75" customHeight="1">
      <c r="A418" s="69"/>
      <c r="B418" s="36"/>
      <c r="C418" s="94"/>
      <c r="D418" s="68"/>
      <c r="E418" s="68"/>
      <c r="F418" s="68"/>
      <c r="G418" s="68">
        <v>0</v>
      </c>
      <c r="H418" s="68"/>
      <c r="I418" s="68"/>
      <c r="J418" s="68"/>
      <c r="K418" s="68"/>
      <c r="L418" s="58" t="s">
        <v>989</v>
      </c>
      <c r="M418" s="91"/>
      <c r="N418" s="91"/>
      <c r="O418" s="91" t="s">
        <v>197</v>
      </c>
      <c r="P418" s="91" t="s">
        <v>198</v>
      </c>
      <c r="Q418" s="91"/>
      <c r="R418" s="91" t="s">
        <v>198</v>
      </c>
      <c r="S418" s="91"/>
      <c r="T418" s="91" t="s">
        <v>376</v>
      </c>
      <c r="U418" s="91" t="s">
        <v>269</v>
      </c>
      <c r="V418" s="132" t="str">
        <f>IF(Sequencing!H23="Yes","1b0","1b1")</f>
        <v>1b1</v>
      </c>
      <c r="W418" s="132" t="s">
        <v>157</v>
      </c>
    </row>
    <row r="419" spans="1:23" ht="33.75" customHeight="1">
      <c r="A419" s="54"/>
      <c r="B419" s="36"/>
      <c r="C419" s="94"/>
      <c r="D419" s="68"/>
      <c r="E419" s="68"/>
      <c r="F419" s="68">
        <v>0</v>
      </c>
      <c r="G419" s="68"/>
      <c r="H419" s="68"/>
      <c r="I419" s="68"/>
      <c r="J419" s="68"/>
      <c r="K419" s="68"/>
      <c r="L419" s="58" t="s">
        <v>990</v>
      </c>
      <c r="M419" s="91"/>
      <c r="N419" s="91"/>
      <c r="O419" s="91" t="s">
        <v>197</v>
      </c>
      <c r="P419" s="91" t="s">
        <v>198</v>
      </c>
      <c r="Q419" s="91"/>
      <c r="R419" s="91" t="s">
        <v>198</v>
      </c>
      <c r="S419" s="91"/>
      <c r="T419" s="91" t="s">
        <v>376</v>
      </c>
      <c r="U419" s="91" t="s">
        <v>269</v>
      </c>
      <c r="V419" s="132" t="str">
        <f>IF(Sequencing!K23="Yes","1b0","1b1")</f>
        <v>1b1</v>
      </c>
      <c r="W419" s="132" t="s">
        <v>157</v>
      </c>
    </row>
    <row r="420" spans="1:23" ht="34.5" customHeight="1" thickBot="1">
      <c r="A420" s="32"/>
      <c r="B420" s="36"/>
      <c r="C420" s="94"/>
      <c r="D420" s="68"/>
      <c r="E420" s="68">
        <v>0</v>
      </c>
      <c r="F420" s="68"/>
      <c r="G420" s="68"/>
      <c r="H420" s="68"/>
      <c r="I420" s="68"/>
      <c r="J420" s="68"/>
      <c r="K420" s="68"/>
      <c r="L420" s="58" t="s">
        <v>991</v>
      </c>
      <c r="M420" s="91"/>
      <c r="N420" s="91"/>
      <c r="O420" s="91" t="s">
        <v>197</v>
      </c>
      <c r="P420" s="91" t="s">
        <v>198</v>
      </c>
      <c r="Q420" s="91"/>
      <c r="R420" s="91" t="s">
        <v>198</v>
      </c>
      <c r="S420" s="91"/>
      <c r="T420" s="91" t="s">
        <v>376</v>
      </c>
      <c r="U420" s="91" t="s">
        <v>269</v>
      </c>
      <c r="V420" s="132" t="str">
        <f>IF(Sequencing!I23="Yes","1b0","1b1")</f>
        <v>1b1</v>
      </c>
      <c r="W420" s="132" t="s">
        <v>157</v>
      </c>
    </row>
    <row r="421" spans="1:23" ht="34.5" customHeight="1" thickBot="1">
      <c r="A421" s="32"/>
      <c r="B421" s="36"/>
      <c r="C421" s="94"/>
      <c r="D421" s="68">
        <v>0</v>
      </c>
      <c r="E421" s="68"/>
      <c r="F421" s="68"/>
      <c r="G421" s="68"/>
      <c r="H421" s="68"/>
      <c r="I421" s="68"/>
      <c r="J421" s="68"/>
      <c r="K421" s="68"/>
      <c r="L421" s="58" t="s">
        <v>992</v>
      </c>
      <c r="M421" s="91"/>
      <c r="N421" s="91"/>
      <c r="O421" s="91" t="s">
        <v>197</v>
      </c>
      <c r="P421" s="91" t="s">
        <v>198</v>
      </c>
      <c r="Q421" s="91"/>
      <c r="R421" s="91" t="s">
        <v>198</v>
      </c>
      <c r="S421" s="91"/>
      <c r="T421" s="91" t="s">
        <v>376</v>
      </c>
      <c r="U421" s="91" t="s">
        <v>269</v>
      </c>
      <c r="V421" s="132" t="str">
        <f>IF(Sequencing!J23="Yes","1b0","1b1")</f>
        <v>1b0</v>
      </c>
      <c r="W421" s="132" t="s">
        <v>157</v>
      </c>
    </row>
    <row r="422" spans="1:23" ht="13.5" customHeight="1" thickBot="1">
      <c r="A422" s="101" t="s">
        <v>374</v>
      </c>
      <c r="B422" s="36" t="s">
        <v>390</v>
      </c>
      <c r="C422" s="99" t="s">
        <v>391</v>
      </c>
      <c r="D422" s="290"/>
      <c r="E422" s="290"/>
      <c r="F422" s="290"/>
      <c r="G422" s="290"/>
      <c r="H422" s="290"/>
      <c r="I422" s="290"/>
      <c r="J422" s="290"/>
      <c r="K422" s="290"/>
      <c r="L422" s="40" t="str">
        <f>CONCATENATE("BUCK",RIGHT(C422,10))</f>
        <v>BUCK2_CTRL_EN2</v>
      </c>
      <c r="M422" s="33"/>
      <c r="N422" s="33"/>
      <c r="O422" s="33" t="s">
        <v>197</v>
      </c>
      <c r="P422" s="33" t="s">
        <v>198</v>
      </c>
      <c r="Q422" s="33">
        <v>8</v>
      </c>
      <c r="R422" s="33" t="s">
        <v>198</v>
      </c>
      <c r="S422" s="33"/>
      <c r="T422" s="33" t="s">
        <v>376</v>
      </c>
      <c r="U422" s="33" t="s">
        <v>269</v>
      </c>
      <c r="V422" s="146"/>
      <c r="W422" s="205"/>
    </row>
    <row r="423" spans="1:23" ht="33.75" customHeight="1">
      <c r="A423" s="69"/>
      <c r="B423" s="36"/>
      <c r="C423" s="94"/>
      <c r="D423" s="68"/>
      <c r="E423" s="68"/>
      <c r="F423" s="68"/>
      <c r="G423" s="68"/>
      <c r="H423" s="68"/>
      <c r="I423" s="68"/>
      <c r="J423" s="68"/>
      <c r="K423" s="68">
        <v>0</v>
      </c>
      <c r="L423" s="58" t="s">
        <v>993</v>
      </c>
      <c r="M423" s="91"/>
      <c r="N423" s="91"/>
      <c r="O423" s="91" t="s">
        <v>197</v>
      </c>
      <c r="P423" s="91" t="s">
        <v>198</v>
      </c>
      <c r="Q423" s="91"/>
      <c r="R423" s="91" t="s">
        <v>198</v>
      </c>
      <c r="S423" s="91"/>
      <c r="T423" s="91" t="s">
        <v>376</v>
      </c>
      <c r="U423" s="91" t="s">
        <v>269</v>
      </c>
      <c r="V423" s="132" t="str">
        <f>IF(Sequencing!L23="Yes","1b0","1b1")</f>
        <v>1b1</v>
      </c>
      <c r="W423" s="132" t="s">
        <v>157</v>
      </c>
    </row>
    <row r="424" spans="1:23" ht="33.75" customHeight="1">
      <c r="A424" s="54"/>
      <c r="B424" s="36"/>
      <c r="C424" s="94"/>
      <c r="D424" s="68"/>
      <c r="E424" s="68"/>
      <c r="F424" s="68"/>
      <c r="G424" s="68"/>
      <c r="H424" s="68"/>
      <c r="I424" s="68"/>
      <c r="J424" s="68">
        <v>0</v>
      </c>
      <c r="K424" s="68"/>
      <c r="L424" s="58" t="s">
        <v>994</v>
      </c>
      <c r="M424" s="91"/>
      <c r="N424" s="91"/>
      <c r="O424" s="91" t="s">
        <v>197</v>
      </c>
      <c r="P424" s="91" t="s">
        <v>198</v>
      </c>
      <c r="Q424" s="91"/>
      <c r="R424" s="91" t="s">
        <v>198</v>
      </c>
      <c r="S424" s="91"/>
      <c r="T424" s="91" t="s">
        <v>376</v>
      </c>
      <c r="U424" s="91" t="s">
        <v>269</v>
      </c>
      <c r="V424" s="132" t="str">
        <f>IF(Sequencing!M23="Yes","1b0","1b1")</f>
        <v>1b1</v>
      </c>
      <c r="W424" s="132" t="s">
        <v>157</v>
      </c>
    </row>
    <row r="425" spans="1:23" ht="102" customHeight="1" thickBot="1">
      <c r="A425" s="32"/>
      <c r="B425" s="36"/>
      <c r="C425" s="94"/>
      <c r="D425" s="68"/>
      <c r="E425" s="68"/>
      <c r="F425" s="68"/>
      <c r="G425" s="68">
        <v>2</v>
      </c>
      <c r="H425" s="68">
        <v>1</v>
      </c>
      <c r="I425" s="68">
        <v>0</v>
      </c>
      <c r="J425" s="68"/>
      <c r="K425" s="68"/>
      <c r="L425" s="58" t="s">
        <v>995</v>
      </c>
      <c r="M425" s="91"/>
      <c r="N425" s="91"/>
      <c r="O425" s="91" t="s">
        <v>197</v>
      </c>
      <c r="P425" s="91" t="s">
        <v>198</v>
      </c>
      <c r="Q425" s="91"/>
      <c r="R425" s="91" t="s">
        <v>198</v>
      </c>
      <c r="S425" s="91"/>
      <c r="T425" s="91" t="s">
        <v>376</v>
      </c>
      <c r="U425" s="91" t="s">
        <v>269</v>
      </c>
      <c r="V425" s="132" t="str">
        <f>INDEX(Sequencing!Z4:Z11,MATCH(Sequencing!C6,Sequencing!Y4:Y11,0))</f>
        <v>3b001</v>
      </c>
      <c r="W425" s="132" t="s">
        <v>158</v>
      </c>
    </row>
    <row r="426" spans="1:23" ht="33.75" customHeight="1">
      <c r="A426" s="54"/>
      <c r="B426" s="36"/>
      <c r="C426" s="94"/>
      <c r="D426" s="68"/>
      <c r="E426" s="68"/>
      <c r="F426" s="68">
        <v>0</v>
      </c>
      <c r="G426" s="68"/>
      <c r="H426" s="68"/>
      <c r="I426" s="68"/>
      <c r="J426" s="68"/>
      <c r="K426" s="68"/>
      <c r="L426" s="58" t="s">
        <v>996</v>
      </c>
      <c r="M426" s="91"/>
      <c r="N426" s="91"/>
      <c r="O426" s="91" t="s">
        <v>197</v>
      </c>
      <c r="P426" s="91" t="s">
        <v>198</v>
      </c>
      <c r="Q426" s="91"/>
      <c r="R426" s="91" t="s">
        <v>198</v>
      </c>
      <c r="S426" s="91"/>
      <c r="T426" s="91" t="s">
        <v>376</v>
      </c>
      <c r="U426" s="91" t="s">
        <v>269</v>
      </c>
      <c r="V426" s="132" t="str">
        <f>IF(Overview!D15="10 mV","1b0","1b1")</f>
        <v>1b0</v>
      </c>
      <c r="W426" s="132" t="s">
        <v>157</v>
      </c>
    </row>
    <row r="427" spans="1:23" ht="57" customHeight="1" thickBot="1">
      <c r="A427" s="32"/>
      <c r="B427" s="36"/>
      <c r="C427" s="94"/>
      <c r="D427" s="68">
        <v>1</v>
      </c>
      <c r="E427" s="68">
        <v>0</v>
      </c>
      <c r="F427" s="68"/>
      <c r="G427" s="68"/>
      <c r="H427" s="68"/>
      <c r="I427" s="68"/>
      <c r="J427" s="68"/>
      <c r="K427" s="68"/>
      <c r="L427" s="58" t="s">
        <v>997</v>
      </c>
      <c r="M427" s="91"/>
      <c r="N427" s="91"/>
      <c r="O427" s="91" t="s">
        <v>197</v>
      </c>
      <c r="P427" s="91" t="s">
        <v>198</v>
      </c>
      <c r="Q427" s="91"/>
      <c r="R427" s="91" t="s">
        <v>198</v>
      </c>
      <c r="S427" s="91"/>
      <c r="T427" s="91" t="s">
        <v>376</v>
      </c>
      <c r="U427" s="91" t="s">
        <v>269</v>
      </c>
      <c r="V427" s="132" t="s">
        <v>160</v>
      </c>
      <c r="W427" s="132" t="s">
        <v>160</v>
      </c>
    </row>
    <row r="428" spans="1:23" ht="13.5" customHeight="1" thickBot="1">
      <c r="A428" s="101" t="s">
        <v>374</v>
      </c>
      <c r="B428" s="36" t="s">
        <v>392</v>
      </c>
      <c r="C428" s="99" t="s">
        <v>393</v>
      </c>
      <c r="D428" s="290"/>
      <c r="E428" s="290"/>
      <c r="F428" s="290"/>
      <c r="G428" s="290"/>
      <c r="H428" s="290"/>
      <c r="I428" s="290"/>
      <c r="J428" s="290"/>
      <c r="K428" s="290"/>
      <c r="L428" s="40" t="str">
        <f>CONCATENATE("BUCK",RIGHT(C428,10))</f>
        <v>BUCK2_CTRL_EN3</v>
      </c>
      <c r="M428" s="33"/>
      <c r="N428" s="33"/>
      <c r="O428" s="33" t="s">
        <v>197</v>
      </c>
      <c r="P428" s="33" t="s">
        <v>198</v>
      </c>
      <c r="Q428" s="33">
        <v>9</v>
      </c>
      <c r="R428" s="33" t="s">
        <v>198</v>
      </c>
      <c r="S428" s="33"/>
      <c r="T428" s="33" t="s">
        <v>376</v>
      </c>
      <c r="U428" s="33" t="s">
        <v>269</v>
      </c>
      <c r="V428" s="146"/>
      <c r="W428" s="205"/>
    </row>
    <row r="429" spans="1:23" ht="112.5" customHeight="1">
      <c r="A429" s="69"/>
      <c r="B429" s="36"/>
      <c r="C429" s="94"/>
      <c r="D429" s="68"/>
      <c r="E429" s="68"/>
      <c r="F429" s="68"/>
      <c r="G429" s="68"/>
      <c r="H429" s="68"/>
      <c r="I429" s="68">
        <v>2</v>
      </c>
      <c r="J429" s="68">
        <v>1</v>
      </c>
      <c r="K429" s="68">
        <v>0</v>
      </c>
      <c r="L429" s="58" t="s">
        <v>998</v>
      </c>
      <c r="M429" s="91"/>
      <c r="N429" s="91"/>
      <c r="O429" s="91" t="s">
        <v>197</v>
      </c>
      <c r="P429" s="91" t="s">
        <v>198</v>
      </c>
      <c r="Q429" s="91"/>
      <c r="R429" s="91" t="s">
        <v>198</v>
      </c>
      <c r="S429" s="91"/>
      <c r="T429" s="91" t="s">
        <v>376</v>
      </c>
      <c r="U429" s="91" t="s">
        <v>269</v>
      </c>
      <c r="V429" s="132" t="str">
        <f>INDEX(Sequencing!AI4:AI12,MATCH(Sequencing!U23,Sequencing!AH4:AH12,0))</f>
        <v>3b100</v>
      </c>
      <c r="W429" s="132" t="s">
        <v>158</v>
      </c>
    </row>
    <row r="430" spans="1:23" ht="112.5" customHeight="1">
      <c r="A430" s="54"/>
      <c r="B430" s="36"/>
      <c r="C430" s="94"/>
      <c r="D430" s="68"/>
      <c r="E430" s="68"/>
      <c r="F430" s="68">
        <v>2</v>
      </c>
      <c r="G430" s="68">
        <v>1</v>
      </c>
      <c r="H430" s="68">
        <v>0</v>
      </c>
      <c r="I430" s="68"/>
      <c r="J430" s="68"/>
      <c r="K430" s="68"/>
      <c r="L430" s="58" t="s">
        <v>999</v>
      </c>
      <c r="M430" s="91"/>
      <c r="N430" s="91"/>
      <c r="O430" s="91" t="s">
        <v>197</v>
      </c>
      <c r="P430" s="91" t="s">
        <v>198</v>
      </c>
      <c r="Q430" s="91"/>
      <c r="R430" s="91" t="s">
        <v>198</v>
      </c>
      <c r="S430" s="91"/>
      <c r="T430" s="91" t="s">
        <v>376</v>
      </c>
      <c r="U430" s="91" t="s">
        <v>269</v>
      </c>
      <c r="V430" s="132" t="str">
        <f>INDEX(Sequencing!AI4:AI12,MATCH(Sequencing!V23,Sequencing!AH4:AH12,0))</f>
        <v>3b100</v>
      </c>
      <c r="W430" s="132" t="s">
        <v>158</v>
      </c>
    </row>
    <row r="431" spans="1:23" ht="56.25" customHeight="1" thickBot="1">
      <c r="A431" s="54"/>
      <c r="B431" s="36"/>
      <c r="C431" s="94"/>
      <c r="D431" s="68">
        <v>1</v>
      </c>
      <c r="E431" s="68">
        <v>0</v>
      </c>
      <c r="F431" s="68"/>
      <c r="G431" s="68"/>
      <c r="H431" s="68"/>
      <c r="I431" s="68"/>
      <c r="J431" s="68"/>
      <c r="K431" s="68"/>
      <c r="L431" s="58" t="s">
        <v>1000</v>
      </c>
      <c r="M431" s="91"/>
      <c r="N431" s="91"/>
      <c r="O431" s="91" t="s">
        <v>197</v>
      </c>
      <c r="P431" s="91" t="s">
        <v>198</v>
      </c>
      <c r="Q431" s="91"/>
      <c r="R431" s="91" t="s">
        <v>198</v>
      </c>
      <c r="S431" s="91"/>
      <c r="T431" s="91" t="s">
        <v>376</v>
      </c>
      <c r="U431" s="91" t="s">
        <v>269</v>
      </c>
      <c r="V431" s="132" t="s">
        <v>156</v>
      </c>
      <c r="W431" s="132" t="s">
        <v>156</v>
      </c>
    </row>
    <row r="432" spans="1:23" ht="13.5" customHeight="1" thickBot="1">
      <c r="A432" s="101" t="s">
        <v>374</v>
      </c>
      <c r="B432" s="36" t="s">
        <v>394</v>
      </c>
      <c r="C432" s="99" t="s">
        <v>395</v>
      </c>
      <c r="D432" s="290"/>
      <c r="E432" s="290"/>
      <c r="F432" s="290"/>
      <c r="G432" s="290"/>
      <c r="H432" s="290"/>
      <c r="I432" s="290"/>
      <c r="J432" s="290"/>
      <c r="K432" s="290"/>
      <c r="L432" s="40" t="str">
        <f>CONCATENATE("BUCK",RIGHT(C432,10))</f>
        <v>BUCK3_CTRL_EN1</v>
      </c>
      <c r="M432" s="33"/>
      <c r="N432" s="33"/>
      <c r="O432" s="33" t="s">
        <v>197</v>
      </c>
      <c r="P432" s="33" t="s">
        <v>198</v>
      </c>
      <c r="Q432" s="33">
        <v>10</v>
      </c>
      <c r="R432" s="33" t="s">
        <v>198</v>
      </c>
      <c r="S432" s="33"/>
      <c r="T432" s="33" t="s">
        <v>376</v>
      </c>
      <c r="U432" s="33" t="s">
        <v>269</v>
      </c>
      <c r="V432" s="146"/>
      <c r="W432" s="205"/>
    </row>
    <row r="433" spans="1:23" ht="33.75" customHeight="1">
      <c r="A433" s="69"/>
      <c r="B433" s="36"/>
      <c r="C433" s="94"/>
      <c r="D433" s="68"/>
      <c r="E433" s="68"/>
      <c r="F433" s="68"/>
      <c r="G433" s="68"/>
      <c r="H433" s="68"/>
      <c r="I433" s="68"/>
      <c r="J433" s="68"/>
      <c r="K433" s="68">
        <v>0</v>
      </c>
      <c r="L433" s="58" t="s">
        <v>1001</v>
      </c>
      <c r="M433" s="91"/>
      <c r="N433" s="91"/>
      <c r="O433" s="91" t="s">
        <v>197</v>
      </c>
      <c r="P433" s="91" t="s">
        <v>198</v>
      </c>
      <c r="Q433" s="91"/>
      <c r="R433" s="91" t="s">
        <v>198</v>
      </c>
      <c r="S433" s="91"/>
      <c r="T433" s="91" t="s">
        <v>376</v>
      </c>
      <c r="U433" s="91" t="s">
        <v>269</v>
      </c>
      <c r="V433" s="132" t="str">
        <f>IF(Sequencing!C24="Yes","1b0","1b1")</f>
        <v>1b1</v>
      </c>
      <c r="W433" s="132" t="s">
        <v>157</v>
      </c>
    </row>
    <row r="434" spans="1:23" ht="33.75" customHeight="1">
      <c r="A434" s="54"/>
      <c r="B434" s="36"/>
      <c r="C434" s="94"/>
      <c r="D434" s="68"/>
      <c r="E434" s="68"/>
      <c r="F434" s="68"/>
      <c r="G434" s="68"/>
      <c r="H434" s="68"/>
      <c r="I434" s="68"/>
      <c r="J434" s="68">
        <v>0</v>
      </c>
      <c r="K434" s="68"/>
      <c r="L434" s="58" t="s">
        <v>1002</v>
      </c>
      <c r="M434" s="91"/>
      <c r="N434" s="91"/>
      <c r="O434" s="91" t="s">
        <v>197</v>
      </c>
      <c r="P434" s="91" t="s">
        <v>198</v>
      </c>
      <c r="Q434" s="91"/>
      <c r="R434" s="91" t="s">
        <v>198</v>
      </c>
      <c r="S434" s="91"/>
      <c r="T434" s="91" t="s">
        <v>376</v>
      </c>
      <c r="U434" s="91" t="s">
        <v>269</v>
      </c>
      <c r="V434" s="132" t="str">
        <f>IF(Sequencing!D24="Yes","1b0","1b1")</f>
        <v>1b1</v>
      </c>
      <c r="W434" s="132" t="s">
        <v>157</v>
      </c>
    </row>
    <row r="435" spans="1:23" ht="34.5" customHeight="1" thickBot="1">
      <c r="A435" s="32"/>
      <c r="B435" s="36"/>
      <c r="C435" s="94"/>
      <c r="D435" s="68"/>
      <c r="E435" s="68"/>
      <c r="F435" s="68"/>
      <c r="G435" s="68"/>
      <c r="H435" s="68"/>
      <c r="I435" s="68">
        <v>0</v>
      </c>
      <c r="J435" s="68"/>
      <c r="K435" s="68"/>
      <c r="L435" s="58" t="s">
        <v>1003</v>
      </c>
      <c r="M435" s="91"/>
      <c r="N435" s="91"/>
      <c r="O435" s="91" t="s">
        <v>197</v>
      </c>
      <c r="P435" s="91" t="s">
        <v>198</v>
      </c>
      <c r="Q435" s="91"/>
      <c r="R435" s="91" t="s">
        <v>198</v>
      </c>
      <c r="S435" s="91"/>
      <c r="T435" s="91" t="s">
        <v>376</v>
      </c>
      <c r="U435" s="91" t="s">
        <v>269</v>
      </c>
      <c r="V435" s="132" t="str">
        <f>IF(Sequencing!F24="Yes","1b0","1b1")</f>
        <v>1b1</v>
      </c>
      <c r="W435" s="132" t="s">
        <v>157</v>
      </c>
    </row>
    <row r="436" spans="1:23" ht="34.5" customHeight="1" thickBot="1">
      <c r="A436" s="32"/>
      <c r="B436" s="36"/>
      <c r="C436" s="94"/>
      <c r="D436" s="68"/>
      <c r="E436" s="68"/>
      <c r="F436" s="68"/>
      <c r="G436" s="68"/>
      <c r="H436" s="68">
        <v>0</v>
      </c>
      <c r="I436" s="68"/>
      <c r="J436" s="68"/>
      <c r="K436" s="68"/>
      <c r="L436" s="58" t="s">
        <v>1004</v>
      </c>
      <c r="M436" s="91"/>
      <c r="N436" s="91"/>
      <c r="O436" s="91" t="s">
        <v>197</v>
      </c>
      <c r="P436" s="91" t="s">
        <v>198</v>
      </c>
      <c r="Q436" s="91"/>
      <c r="R436" s="91" t="s">
        <v>198</v>
      </c>
      <c r="S436" s="91"/>
      <c r="T436" s="91" t="s">
        <v>376</v>
      </c>
      <c r="U436" s="91" t="s">
        <v>269</v>
      </c>
      <c r="V436" s="132" t="str">
        <f>IF(Sequencing!G24="Yes","1b0","1b1")</f>
        <v>1b1</v>
      </c>
      <c r="W436" s="132" t="s">
        <v>157</v>
      </c>
    </row>
    <row r="437" spans="1:23" ht="33.75" customHeight="1">
      <c r="A437" s="69"/>
      <c r="B437" s="36"/>
      <c r="C437" s="94"/>
      <c r="D437" s="68"/>
      <c r="E437" s="68"/>
      <c r="F437" s="68"/>
      <c r="G437" s="68">
        <v>0</v>
      </c>
      <c r="H437" s="68"/>
      <c r="I437" s="68"/>
      <c r="J437" s="68"/>
      <c r="K437" s="68"/>
      <c r="L437" s="58" t="s">
        <v>1005</v>
      </c>
      <c r="M437" s="91"/>
      <c r="N437" s="91"/>
      <c r="O437" s="91" t="s">
        <v>197</v>
      </c>
      <c r="P437" s="91" t="s">
        <v>198</v>
      </c>
      <c r="Q437" s="91"/>
      <c r="R437" s="91" t="s">
        <v>198</v>
      </c>
      <c r="S437" s="91"/>
      <c r="T437" s="91" t="s">
        <v>376</v>
      </c>
      <c r="U437" s="91" t="s">
        <v>269</v>
      </c>
      <c r="V437" s="132" t="str">
        <f>IF(Sequencing!H24="Yes","1b0","1b1")</f>
        <v>1b1</v>
      </c>
      <c r="W437" s="132" t="s">
        <v>157</v>
      </c>
    </row>
    <row r="438" spans="1:23" ht="33.75" customHeight="1">
      <c r="A438" s="54"/>
      <c r="B438" s="36"/>
      <c r="C438" s="94"/>
      <c r="D438" s="68"/>
      <c r="E438" s="68"/>
      <c r="F438" s="68">
        <v>0</v>
      </c>
      <c r="G438" s="68"/>
      <c r="H438" s="68"/>
      <c r="I438" s="68"/>
      <c r="J438" s="68"/>
      <c r="K438" s="68"/>
      <c r="L438" s="58" t="s">
        <v>1006</v>
      </c>
      <c r="M438" s="91"/>
      <c r="N438" s="91"/>
      <c r="O438" s="91" t="s">
        <v>197</v>
      </c>
      <c r="P438" s="91" t="s">
        <v>198</v>
      </c>
      <c r="Q438" s="91"/>
      <c r="R438" s="91" t="s">
        <v>198</v>
      </c>
      <c r="S438" s="91"/>
      <c r="T438" s="91" t="s">
        <v>376</v>
      </c>
      <c r="U438" s="91" t="s">
        <v>269</v>
      </c>
      <c r="V438" s="132" t="str">
        <f>IF(Sequencing!K24="Yes","1b0","1b1")</f>
        <v>1b1</v>
      </c>
      <c r="W438" s="132" t="s">
        <v>157</v>
      </c>
    </row>
    <row r="439" spans="1:23" ht="34.5" customHeight="1" thickBot="1">
      <c r="A439" s="32"/>
      <c r="B439" s="36"/>
      <c r="C439" s="94"/>
      <c r="D439" s="68"/>
      <c r="E439" s="68">
        <v>0</v>
      </c>
      <c r="F439" s="68"/>
      <c r="G439" s="68"/>
      <c r="H439" s="68"/>
      <c r="I439" s="68"/>
      <c r="J439" s="68"/>
      <c r="K439" s="68"/>
      <c r="L439" s="58" t="s">
        <v>1007</v>
      </c>
      <c r="M439" s="91"/>
      <c r="N439" s="91"/>
      <c r="O439" s="91" t="s">
        <v>197</v>
      </c>
      <c r="P439" s="91" t="s">
        <v>198</v>
      </c>
      <c r="Q439" s="91"/>
      <c r="R439" s="91" t="s">
        <v>198</v>
      </c>
      <c r="S439" s="91"/>
      <c r="T439" s="91" t="s">
        <v>376</v>
      </c>
      <c r="U439" s="91" t="s">
        <v>269</v>
      </c>
      <c r="V439" s="132" t="str">
        <f>IF(Sequencing!I24="Yes","1b0","1b1")</f>
        <v>1b1</v>
      </c>
      <c r="W439" s="132" t="s">
        <v>157</v>
      </c>
    </row>
    <row r="440" spans="1:23" ht="34.5" customHeight="1" thickBot="1">
      <c r="A440" s="32"/>
      <c r="B440" s="36"/>
      <c r="C440" s="94"/>
      <c r="D440" s="68">
        <v>0</v>
      </c>
      <c r="E440" s="68"/>
      <c r="F440" s="68"/>
      <c r="G440" s="68"/>
      <c r="H440" s="68"/>
      <c r="I440" s="68"/>
      <c r="J440" s="68"/>
      <c r="K440" s="68"/>
      <c r="L440" s="58" t="s">
        <v>1008</v>
      </c>
      <c r="M440" s="91"/>
      <c r="N440" s="91"/>
      <c r="O440" s="91" t="s">
        <v>197</v>
      </c>
      <c r="P440" s="91" t="s">
        <v>198</v>
      </c>
      <c r="Q440" s="91"/>
      <c r="R440" s="91" t="s">
        <v>198</v>
      </c>
      <c r="S440" s="91"/>
      <c r="T440" s="91" t="s">
        <v>376</v>
      </c>
      <c r="U440" s="91" t="s">
        <v>269</v>
      </c>
      <c r="V440" s="132" t="str">
        <f>IF(Sequencing!J24="Yes","1b0","1b1")</f>
        <v>1b1</v>
      </c>
      <c r="W440" s="132" t="s">
        <v>157</v>
      </c>
    </row>
    <row r="441" spans="1:23" ht="13.5" customHeight="1" thickBot="1">
      <c r="A441" s="101" t="s">
        <v>374</v>
      </c>
      <c r="B441" s="36" t="s">
        <v>396</v>
      </c>
      <c r="C441" s="99" t="s">
        <v>397</v>
      </c>
      <c r="D441" s="290"/>
      <c r="E441" s="290"/>
      <c r="F441" s="290"/>
      <c r="G441" s="290"/>
      <c r="H441" s="290"/>
      <c r="I441" s="290"/>
      <c r="J441" s="290"/>
      <c r="K441" s="290"/>
      <c r="L441" s="40" t="str">
        <f>CONCATENATE("BUCK",RIGHT(C441,10))</f>
        <v>BUCK3_CTRL_EN2</v>
      </c>
      <c r="M441" s="33"/>
      <c r="N441" s="33"/>
      <c r="O441" s="33" t="s">
        <v>197</v>
      </c>
      <c r="P441" s="33" t="s">
        <v>198</v>
      </c>
      <c r="Q441" s="33">
        <v>11</v>
      </c>
      <c r="R441" s="33" t="s">
        <v>198</v>
      </c>
      <c r="S441" s="33"/>
      <c r="T441" s="33" t="s">
        <v>376</v>
      </c>
      <c r="U441" s="33" t="s">
        <v>269</v>
      </c>
      <c r="V441" s="146"/>
      <c r="W441" s="205"/>
    </row>
    <row r="442" spans="1:23" ht="33.75" customHeight="1">
      <c r="A442" s="69"/>
      <c r="B442" s="36"/>
      <c r="C442" s="94"/>
      <c r="D442" s="68"/>
      <c r="E442" s="68"/>
      <c r="F442" s="68"/>
      <c r="G442" s="68"/>
      <c r="H442" s="68"/>
      <c r="I442" s="68"/>
      <c r="J442" s="68"/>
      <c r="K442" s="68">
        <v>0</v>
      </c>
      <c r="L442" s="58" t="s">
        <v>1009</v>
      </c>
      <c r="M442" s="91"/>
      <c r="N442" s="91"/>
      <c r="O442" s="91" t="s">
        <v>197</v>
      </c>
      <c r="P442" s="91" t="s">
        <v>198</v>
      </c>
      <c r="Q442" s="91"/>
      <c r="R442" s="91" t="s">
        <v>198</v>
      </c>
      <c r="S442" s="91"/>
      <c r="T442" s="91" t="s">
        <v>376</v>
      </c>
      <c r="U442" s="91" t="s">
        <v>269</v>
      </c>
      <c r="V442" s="132" t="str">
        <f>IF(Sequencing!L24="Yes","1b0","1b1")</f>
        <v>1b1</v>
      </c>
      <c r="W442" s="132" t="s">
        <v>157</v>
      </c>
    </row>
    <row r="443" spans="1:23" ht="33.75" customHeight="1">
      <c r="A443" s="54"/>
      <c r="B443" s="36"/>
      <c r="C443" s="94"/>
      <c r="D443" s="68"/>
      <c r="E443" s="68"/>
      <c r="F443" s="68"/>
      <c r="G443" s="68"/>
      <c r="H443" s="68"/>
      <c r="I443" s="68"/>
      <c r="J443" s="68">
        <v>0</v>
      </c>
      <c r="K443" s="68"/>
      <c r="L443" s="58" t="s">
        <v>1010</v>
      </c>
      <c r="M443" s="91"/>
      <c r="N443" s="91"/>
      <c r="O443" s="91" t="s">
        <v>197</v>
      </c>
      <c r="P443" s="91" t="s">
        <v>198</v>
      </c>
      <c r="Q443" s="91"/>
      <c r="R443" s="91" t="s">
        <v>198</v>
      </c>
      <c r="S443" s="91"/>
      <c r="T443" s="91" t="s">
        <v>376</v>
      </c>
      <c r="U443" s="91" t="s">
        <v>269</v>
      </c>
      <c r="V443" s="132" t="str">
        <f>IF(Sequencing!M24="Yes","1b0","1b1")</f>
        <v>1b1</v>
      </c>
      <c r="W443" s="132" t="s">
        <v>157</v>
      </c>
    </row>
    <row r="444" spans="1:23" ht="102" customHeight="1" thickBot="1">
      <c r="A444" s="32"/>
      <c r="B444" s="36"/>
      <c r="C444" s="94"/>
      <c r="D444" s="68"/>
      <c r="E444" s="68"/>
      <c r="F444" s="68"/>
      <c r="G444" s="68">
        <v>2</v>
      </c>
      <c r="H444" s="68">
        <v>1</v>
      </c>
      <c r="I444" s="68">
        <v>0</v>
      </c>
      <c r="J444" s="68"/>
      <c r="K444" s="68"/>
      <c r="L444" s="58" t="s">
        <v>1011</v>
      </c>
      <c r="M444" s="91"/>
      <c r="N444" s="91"/>
      <c r="O444" s="91" t="s">
        <v>197</v>
      </c>
      <c r="P444" s="91" t="s">
        <v>198</v>
      </c>
      <c r="Q444" s="91"/>
      <c r="R444" s="91" t="s">
        <v>198</v>
      </c>
      <c r="S444" s="91"/>
      <c r="T444" s="91" t="s">
        <v>376</v>
      </c>
      <c r="U444" s="91" t="s">
        <v>269</v>
      </c>
      <c r="V444" s="132" t="str">
        <f>INDEX(Sequencing!Z4:Z11,MATCH(Sequencing!C7,Sequencing!Y4:Y11,0))</f>
        <v>3b000</v>
      </c>
      <c r="W444" s="132" t="s">
        <v>158</v>
      </c>
    </row>
    <row r="445" spans="1:23" ht="56.25" customHeight="1">
      <c r="A445" s="54"/>
      <c r="B445" s="36"/>
      <c r="C445" s="94"/>
      <c r="D445" s="68"/>
      <c r="E445" s="68">
        <v>1</v>
      </c>
      <c r="F445" s="68">
        <v>0</v>
      </c>
      <c r="G445" s="68"/>
      <c r="H445" s="68"/>
      <c r="I445" s="68"/>
      <c r="J445" s="68"/>
      <c r="K445" s="68"/>
      <c r="L445" s="58" t="s">
        <v>1417</v>
      </c>
      <c r="M445" s="91"/>
      <c r="N445" s="91"/>
      <c r="O445" s="91" t="s">
        <v>197</v>
      </c>
      <c r="P445" s="91" t="s">
        <v>198</v>
      </c>
      <c r="Q445" s="91"/>
      <c r="R445" s="91" t="s">
        <v>198</v>
      </c>
      <c r="S445" s="91"/>
      <c r="T445" s="91" t="s">
        <v>376</v>
      </c>
      <c r="U445" s="91" t="s">
        <v>269</v>
      </c>
      <c r="V445" s="132" t="str">
        <f>IF(Overview!D17="25 mV","2b11",IF(Overview!D17="10 mV", "2b00",IF(Overview!D17="12.5 mV", "2b01",IF(Overview!D17="20 mV", "2b10","ERROR"))))</f>
        <v>2b11</v>
      </c>
      <c r="W445" s="132" t="s">
        <v>156</v>
      </c>
    </row>
    <row r="446" spans="1:23" ht="34.5" customHeight="1" thickBot="1">
      <c r="A446" s="32"/>
      <c r="B446" s="36"/>
      <c r="C446" s="94"/>
      <c r="D446" s="68">
        <v>0</v>
      </c>
      <c r="E446" s="68"/>
      <c r="F446" s="68"/>
      <c r="G446" s="68"/>
      <c r="H446" s="68"/>
      <c r="I446" s="68"/>
      <c r="J446" s="68"/>
      <c r="K446" s="68"/>
      <c r="L446" s="58" t="s">
        <v>1418</v>
      </c>
      <c r="M446" s="91"/>
      <c r="N446" s="91"/>
      <c r="O446" s="91" t="s">
        <v>197</v>
      </c>
      <c r="P446" s="91" t="s">
        <v>198</v>
      </c>
      <c r="Q446" s="91"/>
      <c r="R446" s="91" t="s">
        <v>198</v>
      </c>
      <c r="S446" s="91"/>
      <c r="T446" s="91" t="s">
        <v>376</v>
      </c>
      <c r="U446" s="91" t="s">
        <v>269</v>
      </c>
      <c r="V446" s="132" t="s">
        <v>157</v>
      </c>
      <c r="W446" s="132" t="s">
        <v>157</v>
      </c>
    </row>
    <row r="447" spans="1:23" ht="13.5" customHeight="1" thickBot="1">
      <c r="A447" s="101" t="s">
        <v>374</v>
      </c>
      <c r="B447" s="36" t="s">
        <v>398</v>
      </c>
      <c r="C447" s="99" t="s">
        <v>399</v>
      </c>
      <c r="D447" s="290"/>
      <c r="E447" s="290"/>
      <c r="F447" s="290"/>
      <c r="G447" s="290"/>
      <c r="H447" s="290"/>
      <c r="I447" s="290"/>
      <c r="J447" s="290"/>
      <c r="K447" s="290"/>
      <c r="L447" s="40" t="str">
        <f>CONCATENATE("BUCK",RIGHT(C447,10))</f>
        <v>BUCK3_CTRL_EN3</v>
      </c>
      <c r="M447" s="33"/>
      <c r="N447" s="33"/>
      <c r="O447" s="33" t="s">
        <v>197</v>
      </c>
      <c r="P447" s="33" t="s">
        <v>198</v>
      </c>
      <c r="Q447" s="33">
        <v>12</v>
      </c>
      <c r="R447" s="33" t="s">
        <v>198</v>
      </c>
      <c r="S447" s="33"/>
      <c r="T447" s="33" t="s">
        <v>376</v>
      </c>
      <c r="U447" s="33" t="s">
        <v>269</v>
      </c>
      <c r="V447" s="146"/>
      <c r="W447" s="205"/>
    </row>
    <row r="448" spans="1:23" ht="112.5" customHeight="1">
      <c r="A448" s="69"/>
      <c r="B448" s="36"/>
      <c r="C448" s="94"/>
      <c r="D448" s="68"/>
      <c r="E448" s="68"/>
      <c r="F448" s="68"/>
      <c r="G448" s="68"/>
      <c r="H448" s="68"/>
      <c r="I448" s="68">
        <v>2</v>
      </c>
      <c r="J448" s="68">
        <v>1</v>
      </c>
      <c r="K448" s="68">
        <v>0</v>
      </c>
      <c r="L448" s="58" t="s">
        <v>1012</v>
      </c>
      <c r="M448" s="91"/>
      <c r="N448" s="91"/>
      <c r="O448" s="91" t="s">
        <v>197</v>
      </c>
      <c r="P448" s="91" t="s">
        <v>198</v>
      </c>
      <c r="Q448" s="91"/>
      <c r="R448" s="91" t="s">
        <v>198</v>
      </c>
      <c r="S448" s="91"/>
      <c r="T448" s="91" t="s">
        <v>376</v>
      </c>
      <c r="U448" s="91" t="s">
        <v>269</v>
      </c>
      <c r="V448" s="132" t="str">
        <f>INDEX(Sequencing!AI4:AI12,MATCH(Sequencing!U24,Sequencing!AH4:AH12,0))</f>
        <v>3b100</v>
      </c>
      <c r="W448" s="132" t="s">
        <v>158</v>
      </c>
    </row>
    <row r="449" spans="1:23" ht="112.5" customHeight="1">
      <c r="A449" s="54"/>
      <c r="B449" s="36"/>
      <c r="C449" s="94"/>
      <c r="D449" s="68"/>
      <c r="E449" s="68"/>
      <c r="F449" s="68">
        <v>2</v>
      </c>
      <c r="G449" s="68">
        <v>1</v>
      </c>
      <c r="H449" s="68">
        <v>0</v>
      </c>
      <c r="I449" s="68"/>
      <c r="J449" s="68"/>
      <c r="K449" s="68"/>
      <c r="L449" s="58" t="s">
        <v>1013</v>
      </c>
      <c r="M449" s="91"/>
      <c r="N449" s="91"/>
      <c r="O449" s="91" t="s">
        <v>197</v>
      </c>
      <c r="P449" s="91" t="s">
        <v>198</v>
      </c>
      <c r="Q449" s="91"/>
      <c r="R449" s="91" t="s">
        <v>198</v>
      </c>
      <c r="S449" s="91"/>
      <c r="T449" s="91" t="s">
        <v>376</v>
      </c>
      <c r="U449" s="91" t="s">
        <v>269</v>
      </c>
      <c r="V449" s="132" t="str">
        <f>INDEX(Sequencing!AI4:AI12,MATCH(Sequencing!V24,Sequencing!AH4:AH12,0))</f>
        <v>3b100</v>
      </c>
      <c r="W449" s="132" t="s">
        <v>158</v>
      </c>
    </row>
    <row r="450" spans="1:23" ht="67.5" customHeight="1" thickBot="1">
      <c r="A450" s="54"/>
      <c r="B450" s="36"/>
      <c r="C450" s="94"/>
      <c r="D450" s="68">
        <v>1</v>
      </c>
      <c r="E450" s="68">
        <v>0</v>
      </c>
      <c r="F450" s="68"/>
      <c r="G450" s="68"/>
      <c r="H450" s="68"/>
      <c r="I450" s="68"/>
      <c r="J450" s="68"/>
      <c r="K450" s="68"/>
      <c r="L450" s="58" t="s">
        <v>1014</v>
      </c>
      <c r="M450" s="91"/>
      <c r="N450" s="91"/>
      <c r="O450" s="91" t="s">
        <v>197</v>
      </c>
      <c r="P450" s="91" t="s">
        <v>198</v>
      </c>
      <c r="Q450" s="91"/>
      <c r="R450" s="91" t="s">
        <v>198</v>
      </c>
      <c r="S450" s="91"/>
      <c r="T450" s="91" t="s">
        <v>376</v>
      </c>
      <c r="U450" s="91" t="s">
        <v>269</v>
      </c>
      <c r="V450" s="132" t="s">
        <v>156</v>
      </c>
      <c r="W450" s="132" t="s">
        <v>156</v>
      </c>
    </row>
    <row r="451" spans="1:23" ht="13.5" customHeight="1" thickBot="1">
      <c r="A451" s="101" t="s">
        <v>374</v>
      </c>
      <c r="B451" s="36" t="s">
        <v>400</v>
      </c>
      <c r="C451" s="99" t="s">
        <v>401</v>
      </c>
      <c r="D451" s="290"/>
      <c r="E451" s="290"/>
      <c r="F451" s="290"/>
      <c r="G451" s="290"/>
      <c r="H451" s="290"/>
      <c r="I451" s="290"/>
      <c r="J451" s="290"/>
      <c r="K451" s="290"/>
      <c r="L451" s="40" t="str">
        <f>CONCATENATE("BUCK",RIGHT(C451,10))</f>
        <v>BUCK4_CTRL_EN1</v>
      </c>
      <c r="M451" s="33"/>
      <c r="N451" s="33"/>
      <c r="O451" s="33" t="s">
        <v>197</v>
      </c>
      <c r="P451" s="33" t="s">
        <v>198</v>
      </c>
      <c r="Q451" s="33">
        <v>13</v>
      </c>
      <c r="R451" s="33" t="s">
        <v>198</v>
      </c>
      <c r="S451" s="33"/>
      <c r="T451" s="33" t="s">
        <v>376</v>
      </c>
      <c r="U451" s="33" t="s">
        <v>269</v>
      </c>
      <c r="V451" s="146"/>
      <c r="W451" s="205"/>
    </row>
    <row r="452" spans="1:23" ht="33.75" customHeight="1">
      <c r="A452" s="69"/>
      <c r="B452" s="36"/>
      <c r="C452" s="94"/>
      <c r="D452" s="68"/>
      <c r="E452" s="68"/>
      <c r="F452" s="68"/>
      <c r="G452" s="68"/>
      <c r="H452" s="68"/>
      <c r="I452" s="68"/>
      <c r="J452" s="68"/>
      <c r="K452" s="68">
        <v>0</v>
      </c>
      <c r="L452" s="58" t="s">
        <v>1015</v>
      </c>
      <c r="M452" s="91"/>
      <c r="N452" s="91"/>
      <c r="O452" s="91" t="s">
        <v>197</v>
      </c>
      <c r="P452" s="91" t="s">
        <v>198</v>
      </c>
      <c r="Q452" s="91"/>
      <c r="R452" s="91" t="s">
        <v>198</v>
      </c>
      <c r="S452" s="91"/>
      <c r="T452" s="91" t="s">
        <v>376</v>
      </c>
      <c r="U452" s="91" t="s">
        <v>269</v>
      </c>
      <c r="V452" s="132" t="str">
        <f>IF(Sequencing!C25="Yes","1b0","1b1")</f>
        <v>1b1</v>
      </c>
      <c r="W452" s="132" t="s">
        <v>157</v>
      </c>
    </row>
    <row r="453" spans="1:23" ht="33.75" customHeight="1">
      <c r="A453" s="54"/>
      <c r="B453" s="36"/>
      <c r="C453" s="94"/>
      <c r="D453" s="68"/>
      <c r="E453" s="68"/>
      <c r="F453" s="68"/>
      <c r="G453" s="68"/>
      <c r="H453" s="68"/>
      <c r="I453" s="68"/>
      <c r="J453" s="68">
        <v>0</v>
      </c>
      <c r="K453" s="68"/>
      <c r="L453" s="58" t="s">
        <v>1016</v>
      </c>
      <c r="M453" s="91"/>
      <c r="N453" s="91"/>
      <c r="O453" s="91" t="s">
        <v>197</v>
      </c>
      <c r="P453" s="91" t="s">
        <v>198</v>
      </c>
      <c r="Q453" s="91"/>
      <c r="R453" s="91" t="s">
        <v>198</v>
      </c>
      <c r="S453" s="91"/>
      <c r="T453" s="91" t="s">
        <v>376</v>
      </c>
      <c r="U453" s="91" t="s">
        <v>269</v>
      </c>
      <c r="V453" s="132" t="str">
        <f>IF(Sequencing!D25="Yes","1b0","1b1")</f>
        <v>1b1</v>
      </c>
      <c r="W453" s="132" t="s">
        <v>157</v>
      </c>
    </row>
    <row r="454" spans="1:23" ht="34.5" customHeight="1" thickBot="1">
      <c r="A454" s="32"/>
      <c r="B454" s="36"/>
      <c r="C454" s="94"/>
      <c r="D454" s="68"/>
      <c r="E454" s="68"/>
      <c r="F454" s="68"/>
      <c r="G454" s="68"/>
      <c r="H454" s="68"/>
      <c r="I454" s="68">
        <v>0</v>
      </c>
      <c r="J454" s="68"/>
      <c r="K454" s="68"/>
      <c r="L454" s="58" t="s">
        <v>1017</v>
      </c>
      <c r="M454" s="91"/>
      <c r="N454" s="91"/>
      <c r="O454" s="91" t="s">
        <v>197</v>
      </c>
      <c r="P454" s="91" t="s">
        <v>198</v>
      </c>
      <c r="Q454" s="91"/>
      <c r="R454" s="91" t="s">
        <v>198</v>
      </c>
      <c r="S454" s="91"/>
      <c r="T454" s="91" t="s">
        <v>376</v>
      </c>
      <c r="U454" s="91" t="s">
        <v>269</v>
      </c>
      <c r="V454" s="132" t="str">
        <f>IF(Sequencing!E25="Yes","1b0","1b1")</f>
        <v>1b0</v>
      </c>
      <c r="W454" s="132" t="s">
        <v>157</v>
      </c>
    </row>
    <row r="455" spans="1:23" ht="34.5" customHeight="1" thickBot="1">
      <c r="A455" s="32"/>
      <c r="B455" s="36"/>
      <c r="C455" s="94"/>
      <c r="D455" s="68"/>
      <c r="E455" s="68"/>
      <c r="F455" s="68"/>
      <c r="G455" s="68"/>
      <c r="H455" s="68">
        <v>0</v>
      </c>
      <c r="I455" s="68"/>
      <c r="J455" s="68"/>
      <c r="K455" s="68"/>
      <c r="L455" s="58" t="s">
        <v>1018</v>
      </c>
      <c r="M455" s="91"/>
      <c r="N455" s="91"/>
      <c r="O455" s="91" t="s">
        <v>197</v>
      </c>
      <c r="P455" s="91" t="s">
        <v>198</v>
      </c>
      <c r="Q455" s="91"/>
      <c r="R455" s="91" t="s">
        <v>198</v>
      </c>
      <c r="S455" s="91"/>
      <c r="T455" s="91" t="s">
        <v>376</v>
      </c>
      <c r="U455" s="91" t="s">
        <v>269</v>
      </c>
      <c r="V455" s="132" t="str">
        <f>IF(Sequencing!G25="Yes","1b0","1b1")</f>
        <v>1b1</v>
      </c>
      <c r="W455" s="132" t="s">
        <v>157</v>
      </c>
    </row>
    <row r="456" spans="1:23" ht="33.75" customHeight="1">
      <c r="A456" s="69"/>
      <c r="B456" s="36"/>
      <c r="C456" s="94"/>
      <c r="D456" s="68"/>
      <c r="E456" s="68"/>
      <c r="F456" s="68"/>
      <c r="G456" s="68">
        <v>0</v>
      </c>
      <c r="H456" s="68"/>
      <c r="I456" s="68"/>
      <c r="J456" s="68"/>
      <c r="K456" s="68"/>
      <c r="L456" s="58" t="s">
        <v>1019</v>
      </c>
      <c r="M456" s="91"/>
      <c r="N456" s="91"/>
      <c r="O456" s="91" t="s">
        <v>197</v>
      </c>
      <c r="P456" s="91" t="s">
        <v>198</v>
      </c>
      <c r="Q456" s="91"/>
      <c r="R456" s="91" t="s">
        <v>198</v>
      </c>
      <c r="S456" s="91"/>
      <c r="T456" s="91" t="s">
        <v>376</v>
      </c>
      <c r="U456" s="91" t="s">
        <v>269</v>
      </c>
      <c r="V456" s="132" t="str">
        <f>IF(Sequencing!H25="Yes","1b0","1b1")</f>
        <v>1b1</v>
      </c>
      <c r="W456" s="132" t="s">
        <v>157</v>
      </c>
    </row>
    <row r="457" spans="1:23" ht="33.75" customHeight="1">
      <c r="A457" s="54"/>
      <c r="B457" s="36"/>
      <c r="C457" s="94"/>
      <c r="D457" s="68"/>
      <c r="E457" s="68"/>
      <c r="F457" s="68">
        <v>0</v>
      </c>
      <c r="G457" s="68"/>
      <c r="H457" s="68"/>
      <c r="I457" s="68"/>
      <c r="J457" s="68"/>
      <c r="K457" s="68"/>
      <c r="L457" s="58" t="s">
        <v>1020</v>
      </c>
      <c r="M457" s="91"/>
      <c r="N457" s="91"/>
      <c r="O457" s="91" t="s">
        <v>197</v>
      </c>
      <c r="P457" s="91" t="s">
        <v>198</v>
      </c>
      <c r="Q457" s="91"/>
      <c r="R457" s="91" t="s">
        <v>198</v>
      </c>
      <c r="S457" s="91"/>
      <c r="T457" s="91" t="s">
        <v>376</v>
      </c>
      <c r="U457" s="91" t="s">
        <v>269</v>
      </c>
      <c r="V457" s="132" t="str">
        <f>IF(Sequencing!K25="Yes","1b0","1b1")</f>
        <v>1b1</v>
      </c>
      <c r="W457" s="132" t="s">
        <v>157</v>
      </c>
    </row>
    <row r="458" spans="1:23" ht="34.5" customHeight="1" thickBot="1">
      <c r="A458" s="32"/>
      <c r="B458" s="36"/>
      <c r="C458" s="94"/>
      <c r="D458" s="68"/>
      <c r="E458" s="68">
        <v>0</v>
      </c>
      <c r="F458" s="68"/>
      <c r="G458" s="68"/>
      <c r="H458" s="68"/>
      <c r="I458" s="68"/>
      <c r="J458" s="68"/>
      <c r="K458" s="68"/>
      <c r="L458" s="58" t="s">
        <v>1021</v>
      </c>
      <c r="M458" s="91"/>
      <c r="N458" s="91"/>
      <c r="O458" s="91" t="s">
        <v>197</v>
      </c>
      <c r="P458" s="91" t="s">
        <v>198</v>
      </c>
      <c r="Q458" s="91"/>
      <c r="R458" s="91" t="s">
        <v>198</v>
      </c>
      <c r="S458" s="91"/>
      <c r="T458" s="91" t="s">
        <v>376</v>
      </c>
      <c r="U458" s="91" t="s">
        <v>269</v>
      </c>
      <c r="V458" s="132" t="str">
        <f>IF(Sequencing!I25="Yes","1b0","1b1")</f>
        <v>1b1</v>
      </c>
      <c r="W458" s="132" t="s">
        <v>157</v>
      </c>
    </row>
    <row r="459" spans="1:23" ht="34.5" customHeight="1" thickBot="1">
      <c r="A459" s="32"/>
      <c r="B459" s="36"/>
      <c r="C459" s="94"/>
      <c r="D459" s="68">
        <v>0</v>
      </c>
      <c r="E459" s="68"/>
      <c r="F459" s="68"/>
      <c r="G459" s="68"/>
      <c r="H459" s="68"/>
      <c r="I459" s="68"/>
      <c r="J459" s="68"/>
      <c r="K459" s="68"/>
      <c r="L459" s="58" t="s">
        <v>1022</v>
      </c>
      <c r="M459" s="91"/>
      <c r="N459" s="91"/>
      <c r="O459" s="91" t="s">
        <v>197</v>
      </c>
      <c r="P459" s="91" t="s">
        <v>198</v>
      </c>
      <c r="Q459" s="91"/>
      <c r="R459" s="91" t="s">
        <v>198</v>
      </c>
      <c r="S459" s="91"/>
      <c r="T459" s="91" t="s">
        <v>376</v>
      </c>
      <c r="U459" s="91" t="s">
        <v>269</v>
      </c>
      <c r="V459" s="132" t="str">
        <f>IF(Sequencing!J25="Yes","1b0","1b1")</f>
        <v>1b1</v>
      </c>
      <c r="W459" s="132" t="s">
        <v>157</v>
      </c>
    </row>
    <row r="460" spans="1:23" ht="13.5" customHeight="1" thickBot="1">
      <c r="A460" s="101" t="s">
        <v>374</v>
      </c>
      <c r="B460" s="36" t="s">
        <v>402</v>
      </c>
      <c r="C460" s="99" t="s">
        <v>403</v>
      </c>
      <c r="D460" s="290"/>
      <c r="E460" s="290"/>
      <c r="F460" s="290"/>
      <c r="G460" s="290"/>
      <c r="H460" s="290"/>
      <c r="I460" s="290"/>
      <c r="J460" s="290"/>
      <c r="K460" s="290"/>
      <c r="L460" s="40" t="str">
        <f>CONCATENATE("BUCK",RIGHT(C460,10))</f>
        <v>BUCK4_CTRL_EN2</v>
      </c>
      <c r="M460" s="33"/>
      <c r="N460" s="33"/>
      <c r="O460" s="33" t="s">
        <v>197</v>
      </c>
      <c r="P460" s="33" t="s">
        <v>198</v>
      </c>
      <c r="Q460" s="33">
        <v>14</v>
      </c>
      <c r="R460" s="33" t="s">
        <v>198</v>
      </c>
      <c r="S460" s="33"/>
      <c r="T460" s="33" t="s">
        <v>376</v>
      </c>
      <c r="U460" s="33" t="s">
        <v>269</v>
      </c>
      <c r="V460" s="146"/>
      <c r="W460" s="205"/>
    </row>
    <row r="461" spans="1:23" ht="33.75" customHeight="1">
      <c r="A461" s="69"/>
      <c r="B461" s="36"/>
      <c r="C461" s="94"/>
      <c r="D461" s="68"/>
      <c r="E461" s="68"/>
      <c r="F461" s="68"/>
      <c r="G461" s="68"/>
      <c r="H461" s="68"/>
      <c r="I461" s="68"/>
      <c r="J461" s="68"/>
      <c r="K461" s="68">
        <v>0</v>
      </c>
      <c r="L461" s="58" t="s">
        <v>1023</v>
      </c>
      <c r="M461" s="91"/>
      <c r="N461" s="91"/>
      <c r="O461" s="91" t="s">
        <v>197</v>
      </c>
      <c r="P461" s="91" t="s">
        <v>198</v>
      </c>
      <c r="Q461" s="91"/>
      <c r="R461" s="91" t="s">
        <v>198</v>
      </c>
      <c r="S461" s="91"/>
      <c r="T461" s="91" t="s">
        <v>376</v>
      </c>
      <c r="U461" s="91" t="s">
        <v>269</v>
      </c>
      <c r="V461" s="132" t="str">
        <f>IF(Sequencing!L25="Yes","1b0","1b1")</f>
        <v>1b1</v>
      </c>
      <c r="W461" s="132" t="s">
        <v>157</v>
      </c>
    </row>
    <row r="462" spans="1:23" ht="33.75" customHeight="1">
      <c r="A462" s="54"/>
      <c r="B462" s="36"/>
      <c r="C462" s="94"/>
      <c r="D462" s="68"/>
      <c r="E462" s="68"/>
      <c r="F462" s="68"/>
      <c r="G462" s="68"/>
      <c r="H462" s="68"/>
      <c r="I462" s="68"/>
      <c r="J462" s="68">
        <v>0</v>
      </c>
      <c r="K462" s="68"/>
      <c r="L462" s="58" t="s">
        <v>1024</v>
      </c>
      <c r="M462" s="91"/>
      <c r="N462" s="91"/>
      <c r="O462" s="91" t="s">
        <v>197</v>
      </c>
      <c r="P462" s="91" t="s">
        <v>198</v>
      </c>
      <c r="Q462" s="91"/>
      <c r="R462" s="91" t="s">
        <v>198</v>
      </c>
      <c r="S462" s="91"/>
      <c r="T462" s="91" t="s">
        <v>376</v>
      </c>
      <c r="U462" s="91" t="s">
        <v>269</v>
      </c>
      <c r="V462" s="132" t="str">
        <f>IF(Sequencing!M25="Yes","1b0","1b1")</f>
        <v>1b1</v>
      </c>
      <c r="W462" s="132" t="s">
        <v>157</v>
      </c>
    </row>
    <row r="463" spans="1:23" ht="102" customHeight="1" thickBot="1">
      <c r="A463" s="32"/>
      <c r="B463" s="36"/>
      <c r="C463" s="94"/>
      <c r="D463" s="68"/>
      <c r="E463" s="68"/>
      <c r="F463" s="68"/>
      <c r="G463" s="68">
        <v>2</v>
      </c>
      <c r="H463" s="68">
        <v>1</v>
      </c>
      <c r="I463" s="68">
        <v>0</v>
      </c>
      <c r="J463" s="68"/>
      <c r="K463" s="68"/>
      <c r="L463" s="58" t="s">
        <v>1025</v>
      </c>
      <c r="M463" s="91"/>
      <c r="N463" s="91"/>
      <c r="O463" s="91" t="s">
        <v>197</v>
      </c>
      <c r="P463" s="91" t="s">
        <v>198</v>
      </c>
      <c r="Q463" s="91"/>
      <c r="R463" s="91" t="s">
        <v>198</v>
      </c>
      <c r="S463" s="91"/>
      <c r="T463" s="91" t="s">
        <v>376</v>
      </c>
      <c r="U463" s="91" t="s">
        <v>269</v>
      </c>
      <c r="V463" s="132" t="str">
        <f>INDEX(Sequencing!Z4:Z11,MATCH(Sequencing!C8,Sequencing!Y4:Y11,0))</f>
        <v>3b000</v>
      </c>
      <c r="W463" s="132" t="s">
        <v>158</v>
      </c>
    </row>
    <row r="464" spans="1:23" ht="56.25" customHeight="1">
      <c r="A464" s="54"/>
      <c r="B464" s="36"/>
      <c r="C464" s="94"/>
      <c r="D464" s="68"/>
      <c r="E464" s="68">
        <v>1</v>
      </c>
      <c r="F464" s="68">
        <v>0</v>
      </c>
      <c r="G464" s="68"/>
      <c r="H464" s="68"/>
      <c r="I464" s="68"/>
      <c r="J464" s="68"/>
      <c r="K464" s="68"/>
      <c r="L464" s="58" t="s">
        <v>1026</v>
      </c>
      <c r="M464" s="91"/>
      <c r="N464" s="91"/>
      <c r="O464" s="91" t="s">
        <v>197</v>
      </c>
      <c r="P464" s="91" t="s">
        <v>198</v>
      </c>
      <c r="Q464" s="91"/>
      <c r="R464" s="91" t="s">
        <v>198</v>
      </c>
      <c r="S464" s="91"/>
      <c r="T464" s="91" t="s">
        <v>376</v>
      </c>
      <c r="U464" s="91" t="s">
        <v>269</v>
      </c>
      <c r="V464" s="132" t="str">
        <f>IF(Overview!D19="25 mV","2b11",IF(Overview!D19="10 mV","2b00","Error: input other values"))</f>
        <v>2b11</v>
      </c>
      <c r="W464" s="132" t="s">
        <v>156</v>
      </c>
    </row>
    <row r="465" spans="1:23" ht="34.5" customHeight="1" thickBot="1">
      <c r="A465" s="32"/>
      <c r="B465" s="36"/>
      <c r="C465" s="94"/>
      <c r="D465" s="68">
        <v>0</v>
      </c>
      <c r="E465" s="68"/>
      <c r="F465" s="68"/>
      <c r="G465" s="68"/>
      <c r="H465" s="68"/>
      <c r="I465" s="68"/>
      <c r="J465" s="68"/>
      <c r="K465" s="68"/>
      <c r="L465" s="58" t="s">
        <v>1027</v>
      </c>
      <c r="M465" s="91"/>
      <c r="N465" s="91"/>
      <c r="O465" s="91" t="s">
        <v>197</v>
      </c>
      <c r="P465" s="91" t="s">
        <v>198</v>
      </c>
      <c r="Q465" s="91"/>
      <c r="R465" s="91" t="s">
        <v>198</v>
      </c>
      <c r="S465" s="91"/>
      <c r="T465" s="91" t="s">
        <v>376</v>
      </c>
      <c r="U465" s="91" t="s">
        <v>269</v>
      </c>
      <c r="V465" s="132" t="s">
        <v>159</v>
      </c>
      <c r="W465" s="132" t="s">
        <v>159</v>
      </c>
    </row>
    <row r="466" spans="1:23" ht="13.5" customHeight="1" thickBot="1">
      <c r="A466" s="101" t="s">
        <v>374</v>
      </c>
      <c r="B466" s="36" t="s">
        <v>404</v>
      </c>
      <c r="C466" s="99" t="s">
        <v>405</v>
      </c>
      <c r="D466" s="290"/>
      <c r="E466" s="290"/>
      <c r="F466" s="290"/>
      <c r="G466" s="290"/>
      <c r="H466" s="290"/>
      <c r="I466" s="290"/>
      <c r="J466" s="290"/>
      <c r="K466" s="290"/>
      <c r="L466" s="40" t="str">
        <f>CONCATENATE("BUCK",RIGHT(C466,10))</f>
        <v>BUCK4_CTRL_EN3</v>
      </c>
      <c r="M466" s="33"/>
      <c r="N466" s="33"/>
      <c r="O466" s="33" t="s">
        <v>197</v>
      </c>
      <c r="P466" s="33" t="s">
        <v>198</v>
      </c>
      <c r="Q466" s="33">
        <v>15</v>
      </c>
      <c r="R466" s="33" t="s">
        <v>198</v>
      </c>
      <c r="S466" s="33"/>
      <c r="T466" s="33" t="s">
        <v>376</v>
      </c>
      <c r="U466" s="33" t="s">
        <v>269</v>
      </c>
      <c r="V466" s="146"/>
      <c r="W466" s="205"/>
    </row>
    <row r="467" spans="1:23" ht="112.5" customHeight="1">
      <c r="A467" s="69"/>
      <c r="B467" s="36"/>
      <c r="C467" s="94"/>
      <c r="D467" s="68"/>
      <c r="E467" s="68"/>
      <c r="F467" s="68"/>
      <c r="G467" s="68"/>
      <c r="H467" s="68"/>
      <c r="I467" s="68">
        <v>2</v>
      </c>
      <c r="J467" s="68">
        <v>1</v>
      </c>
      <c r="K467" s="68">
        <v>0</v>
      </c>
      <c r="L467" s="58" t="s">
        <v>1028</v>
      </c>
      <c r="M467" s="91"/>
      <c r="N467" s="91"/>
      <c r="O467" s="91" t="s">
        <v>197</v>
      </c>
      <c r="P467" s="91" t="s">
        <v>198</v>
      </c>
      <c r="Q467" s="91"/>
      <c r="R467" s="91" t="s">
        <v>198</v>
      </c>
      <c r="S467" s="91"/>
      <c r="T467" s="91" t="s">
        <v>376</v>
      </c>
      <c r="U467" s="91" t="s">
        <v>269</v>
      </c>
      <c r="V467" s="132" t="str">
        <f>INDEX(Sequencing!AI4:AI12,MATCH(Sequencing!U25,Sequencing!AH4:AH12,0))</f>
        <v>3b100</v>
      </c>
      <c r="W467" s="132" t="s">
        <v>158</v>
      </c>
    </row>
    <row r="468" spans="1:23" ht="112.5" customHeight="1">
      <c r="A468" s="54"/>
      <c r="B468" s="36"/>
      <c r="C468" s="94"/>
      <c r="D468" s="68"/>
      <c r="E468" s="68"/>
      <c r="F468" s="68">
        <v>2</v>
      </c>
      <c r="G468" s="68">
        <v>1</v>
      </c>
      <c r="H468" s="68">
        <v>0</v>
      </c>
      <c r="I468" s="68"/>
      <c r="J468" s="68"/>
      <c r="K468" s="68"/>
      <c r="L468" s="58" t="s">
        <v>1029</v>
      </c>
      <c r="M468" s="91"/>
      <c r="N468" s="91"/>
      <c r="O468" s="91" t="s">
        <v>197</v>
      </c>
      <c r="P468" s="91" t="s">
        <v>198</v>
      </c>
      <c r="Q468" s="91"/>
      <c r="R468" s="91" t="s">
        <v>198</v>
      </c>
      <c r="S468" s="91"/>
      <c r="T468" s="91" t="s">
        <v>376</v>
      </c>
      <c r="U468" s="91" t="s">
        <v>269</v>
      </c>
      <c r="V468" s="132" t="str">
        <f>INDEX(Sequencing!AI4:AI12,MATCH(Sequencing!V25,Sequencing!AH4:AH12,0))</f>
        <v>3b100</v>
      </c>
      <c r="W468" s="132" t="s">
        <v>158</v>
      </c>
    </row>
    <row r="469" spans="1:23" ht="67.5" customHeight="1" thickBot="1">
      <c r="A469" s="54"/>
      <c r="B469" s="36"/>
      <c r="C469" s="94"/>
      <c r="D469" s="68">
        <v>1</v>
      </c>
      <c r="E469" s="68">
        <v>0</v>
      </c>
      <c r="F469" s="68"/>
      <c r="G469" s="68"/>
      <c r="H469" s="68"/>
      <c r="I469" s="68"/>
      <c r="J469" s="68"/>
      <c r="K469" s="68"/>
      <c r="L469" s="58" t="s">
        <v>1030</v>
      </c>
      <c r="M469" s="91"/>
      <c r="N469" s="91"/>
      <c r="O469" s="91" t="s">
        <v>197</v>
      </c>
      <c r="P469" s="91" t="s">
        <v>198</v>
      </c>
      <c r="Q469" s="91"/>
      <c r="R469" s="91" t="s">
        <v>198</v>
      </c>
      <c r="S469" s="91"/>
      <c r="T469" s="91" t="s">
        <v>376</v>
      </c>
      <c r="U469" s="91" t="s">
        <v>269</v>
      </c>
      <c r="V469" s="132" t="s">
        <v>156</v>
      </c>
      <c r="W469" s="132" t="s">
        <v>156</v>
      </c>
    </row>
    <row r="470" spans="1:23" ht="13.5" customHeight="1" thickBot="1">
      <c r="A470" s="101" t="s">
        <v>374</v>
      </c>
      <c r="B470" s="36" t="s">
        <v>406</v>
      </c>
      <c r="C470" s="99" t="s">
        <v>407</v>
      </c>
      <c r="D470" s="290"/>
      <c r="E470" s="290"/>
      <c r="F470" s="290"/>
      <c r="G470" s="290"/>
      <c r="H470" s="290"/>
      <c r="I470" s="290"/>
      <c r="J470" s="290"/>
      <c r="K470" s="290"/>
      <c r="L470" s="40" t="str">
        <f>CONCATENATE("BUCK",RIGHT(C470,10))</f>
        <v>BUCK5_CTRL_EN1</v>
      </c>
      <c r="M470" s="33"/>
      <c r="N470" s="33"/>
      <c r="O470" s="33" t="s">
        <v>197</v>
      </c>
      <c r="P470" s="33" t="s">
        <v>198</v>
      </c>
      <c r="Q470" s="33">
        <v>16</v>
      </c>
      <c r="R470" s="33" t="s">
        <v>198</v>
      </c>
      <c r="S470" s="33"/>
      <c r="T470" s="33" t="s">
        <v>376</v>
      </c>
      <c r="U470" s="33" t="s">
        <v>269</v>
      </c>
      <c r="V470" s="146"/>
      <c r="W470" s="205"/>
    </row>
    <row r="471" spans="1:23" ht="33.75" customHeight="1">
      <c r="A471" s="69"/>
      <c r="B471" s="36"/>
      <c r="C471" s="94"/>
      <c r="D471" s="68"/>
      <c r="E471" s="68"/>
      <c r="F471" s="68"/>
      <c r="G471" s="68"/>
      <c r="H471" s="68"/>
      <c r="I471" s="68"/>
      <c r="J471" s="68"/>
      <c r="K471" s="68">
        <v>0</v>
      </c>
      <c r="L471" s="58" t="s">
        <v>1031</v>
      </c>
      <c r="M471" s="91"/>
      <c r="N471" s="91"/>
      <c r="O471" s="91" t="s">
        <v>197</v>
      </c>
      <c r="P471" s="91" t="s">
        <v>198</v>
      </c>
      <c r="Q471" s="91"/>
      <c r="R471" s="91" t="s">
        <v>198</v>
      </c>
      <c r="S471" s="91"/>
      <c r="T471" s="91" t="s">
        <v>376</v>
      </c>
      <c r="U471" s="91" t="s">
        <v>269</v>
      </c>
      <c r="V471" s="132" t="str">
        <f>IF(Sequencing!C26="Yes","1b0","1b1")</f>
        <v>1b1</v>
      </c>
      <c r="W471" s="132" t="s">
        <v>157</v>
      </c>
    </row>
    <row r="472" spans="1:23" ht="33.75" customHeight="1">
      <c r="A472" s="54"/>
      <c r="B472" s="36"/>
      <c r="C472" s="94"/>
      <c r="D472" s="68"/>
      <c r="E472" s="68"/>
      <c r="F472" s="68"/>
      <c r="G472" s="68"/>
      <c r="H472" s="68"/>
      <c r="I472" s="68"/>
      <c r="J472" s="68">
        <v>0</v>
      </c>
      <c r="K472" s="68"/>
      <c r="L472" s="58" t="s">
        <v>1032</v>
      </c>
      <c r="M472" s="91"/>
      <c r="N472" s="91"/>
      <c r="O472" s="91" t="s">
        <v>197</v>
      </c>
      <c r="P472" s="91" t="s">
        <v>198</v>
      </c>
      <c r="Q472" s="91"/>
      <c r="R472" s="91" t="s">
        <v>198</v>
      </c>
      <c r="S472" s="91"/>
      <c r="T472" s="91" t="s">
        <v>376</v>
      </c>
      <c r="U472" s="91" t="s">
        <v>269</v>
      </c>
      <c r="V472" s="132" t="str">
        <f>IF(Sequencing!D26="Yes","1b0","1b1")</f>
        <v>1b1</v>
      </c>
      <c r="W472" s="132" t="s">
        <v>157</v>
      </c>
    </row>
    <row r="473" spans="1:23" ht="34.5" customHeight="1" thickBot="1">
      <c r="A473" s="32"/>
      <c r="B473" s="36"/>
      <c r="C473" s="94"/>
      <c r="D473" s="68"/>
      <c r="E473" s="68"/>
      <c r="F473" s="68"/>
      <c r="G473" s="68"/>
      <c r="H473" s="68"/>
      <c r="I473" s="68">
        <v>0</v>
      </c>
      <c r="J473" s="68"/>
      <c r="K473" s="68"/>
      <c r="L473" s="58" t="s">
        <v>1033</v>
      </c>
      <c r="M473" s="91"/>
      <c r="N473" s="91"/>
      <c r="O473" s="91" t="s">
        <v>197</v>
      </c>
      <c r="P473" s="91" t="s">
        <v>198</v>
      </c>
      <c r="Q473" s="91"/>
      <c r="R473" s="91" t="s">
        <v>198</v>
      </c>
      <c r="S473" s="91"/>
      <c r="T473" s="91" t="s">
        <v>376</v>
      </c>
      <c r="U473" s="91" t="s">
        <v>269</v>
      </c>
      <c r="V473" s="132" t="str">
        <f>IF(Sequencing!E26="Yes","1b0","1b1")</f>
        <v>1b1</v>
      </c>
      <c r="W473" s="132" t="s">
        <v>157</v>
      </c>
    </row>
    <row r="474" spans="1:23" ht="34.5" customHeight="1" thickBot="1">
      <c r="A474" s="32"/>
      <c r="B474" s="36"/>
      <c r="C474" s="94"/>
      <c r="D474" s="68"/>
      <c r="E474" s="68"/>
      <c r="F474" s="68"/>
      <c r="G474" s="68"/>
      <c r="H474" s="68">
        <v>0</v>
      </c>
      <c r="I474" s="68"/>
      <c r="J474" s="68"/>
      <c r="K474" s="68"/>
      <c r="L474" s="58" t="s">
        <v>1034</v>
      </c>
      <c r="M474" s="91"/>
      <c r="N474" s="91"/>
      <c r="O474" s="91" t="s">
        <v>197</v>
      </c>
      <c r="P474" s="91" t="s">
        <v>198</v>
      </c>
      <c r="Q474" s="91"/>
      <c r="R474" s="91" t="s">
        <v>198</v>
      </c>
      <c r="S474" s="91"/>
      <c r="T474" s="91" t="s">
        <v>376</v>
      </c>
      <c r="U474" s="91" t="s">
        <v>269</v>
      </c>
      <c r="V474" s="132" t="str">
        <f>IF(Sequencing!F26="Yes","1b0","1b1")</f>
        <v>1b1</v>
      </c>
      <c r="W474" s="132" t="s">
        <v>157</v>
      </c>
    </row>
    <row r="475" spans="1:23" ht="33.75" customHeight="1">
      <c r="A475" s="69"/>
      <c r="B475" s="36"/>
      <c r="C475" s="94"/>
      <c r="D475" s="68"/>
      <c r="E475" s="68"/>
      <c r="F475" s="68"/>
      <c r="G475" s="68">
        <v>0</v>
      </c>
      <c r="H475" s="68"/>
      <c r="I475" s="68"/>
      <c r="J475" s="68"/>
      <c r="K475" s="68"/>
      <c r="L475" s="58" t="s">
        <v>1035</v>
      </c>
      <c r="M475" s="91"/>
      <c r="N475" s="91"/>
      <c r="O475" s="91" t="s">
        <v>197</v>
      </c>
      <c r="P475" s="91" t="s">
        <v>198</v>
      </c>
      <c r="Q475" s="91"/>
      <c r="R475" s="91" t="s">
        <v>198</v>
      </c>
      <c r="S475" s="91"/>
      <c r="T475" s="91" t="s">
        <v>376</v>
      </c>
      <c r="U475" s="91" t="s">
        <v>269</v>
      </c>
      <c r="V475" s="132" t="str">
        <f>IF(Sequencing!H26="Yes","1b0","1b1")</f>
        <v>1b1</v>
      </c>
      <c r="W475" s="132" t="s">
        <v>157</v>
      </c>
    </row>
    <row r="476" spans="1:23" ht="33.75" customHeight="1">
      <c r="A476" s="54"/>
      <c r="B476" s="36"/>
      <c r="C476" s="94"/>
      <c r="D476" s="68"/>
      <c r="E476" s="68"/>
      <c r="F476" s="68">
        <v>0</v>
      </c>
      <c r="G476" s="68"/>
      <c r="H476" s="68"/>
      <c r="I476" s="68"/>
      <c r="J476" s="68"/>
      <c r="K476" s="68"/>
      <c r="L476" s="58" t="s">
        <v>1036</v>
      </c>
      <c r="M476" s="91"/>
      <c r="N476" s="91"/>
      <c r="O476" s="91" t="s">
        <v>197</v>
      </c>
      <c r="P476" s="91" t="s">
        <v>198</v>
      </c>
      <c r="Q476" s="91"/>
      <c r="R476" s="91" t="s">
        <v>198</v>
      </c>
      <c r="S476" s="91"/>
      <c r="T476" s="91" t="s">
        <v>376</v>
      </c>
      <c r="U476" s="91" t="s">
        <v>269</v>
      </c>
      <c r="V476" s="132" t="str">
        <f>IF(Sequencing!K26="Yes","1b0","1b1")</f>
        <v>1b1</v>
      </c>
      <c r="W476" s="132" t="s">
        <v>157</v>
      </c>
    </row>
    <row r="477" spans="1:23" ht="34.5" customHeight="1" thickBot="1">
      <c r="A477" s="32"/>
      <c r="B477" s="36"/>
      <c r="C477" s="94"/>
      <c r="D477" s="68"/>
      <c r="E477" s="68">
        <v>0</v>
      </c>
      <c r="F477" s="68"/>
      <c r="G477" s="68"/>
      <c r="H477" s="68"/>
      <c r="I477" s="68"/>
      <c r="J477" s="68"/>
      <c r="K477" s="68"/>
      <c r="L477" s="58" t="s">
        <v>1037</v>
      </c>
      <c r="M477" s="91"/>
      <c r="N477" s="91"/>
      <c r="O477" s="91" t="s">
        <v>197</v>
      </c>
      <c r="P477" s="91" t="s">
        <v>198</v>
      </c>
      <c r="Q477" s="91"/>
      <c r="R477" s="91" t="s">
        <v>198</v>
      </c>
      <c r="S477" s="91"/>
      <c r="T477" s="91" t="s">
        <v>376</v>
      </c>
      <c r="U477" s="91" t="s">
        <v>269</v>
      </c>
      <c r="V477" s="132" t="str">
        <f>IF(Sequencing!I26="Yes","1b0","1b1")</f>
        <v>1b1</v>
      </c>
      <c r="W477" s="132" t="s">
        <v>157</v>
      </c>
    </row>
    <row r="478" spans="1:23" ht="34.5" customHeight="1" thickBot="1">
      <c r="A478" s="32"/>
      <c r="B478" s="36"/>
      <c r="C478" s="94"/>
      <c r="D478" s="68">
        <v>0</v>
      </c>
      <c r="E478" s="68"/>
      <c r="F478" s="68"/>
      <c r="G478" s="68"/>
      <c r="H478" s="68"/>
      <c r="I478" s="68"/>
      <c r="J478" s="68"/>
      <c r="K478" s="68"/>
      <c r="L478" s="58" t="s">
        <v>1038</v>
      </c>
      <c r="M478" s="91"/>
      <c r="N478" s="91"/>
      <c r="O478" s="91" t="s">
        <v>197</v>
      </c>
      <c r="P478" s="91" t="s">
        <v>198</v>
      </c>
      <c r="Q478" s="91"/>
      <c r="R478" s="91" t="s">
        <v>198</v>
      </c>
      <c r="S478" s="91"/>
      <c r="T478" s="91" t="s">
        <v>376</v>
      </c>
      <c r="U478" s="91" t="s">
        <v>269</v>
      </c>
      <c r="V478" s="132" t="str">
        <f>IF(Sequencing!J26="Yes","1b0","1b1")</f>
        <v>1b1</v>
      </c>
      <c r="W478" s="132" t="s">
        <v>157</v>
      </c>
    </row>
    <row r="479" spans="1:23" ht="13.5" customHeight="1" thickBot="1">
      <c r="A479" s="101" t="s">
        <v>374</v>
      </c>
      <c r="B479" s="36" t="s">
        <v>408</v>
      </c>
      <c r="C479" s="99" t="s">
        <v>409</v>
      </c>
      <c r="D479" s="290"/>
      <c r="E479" s="290"/>
      <c r="F479" s="290"/>
      <c r="G479" s="290"/>
      <c r="H479" s="290"/>
      <c r="I479" s="290"/>
      <c r="J479" s="290"/>
      <c r="K479" s="290"/>
      <c r="L479" s="40" t="str">
        <f>CONCATENATE("BUCK",RIGHT(C479,10))</f>
        <v>BUCK5_CTRL_EN2</v>
      </c>
      <c r="M479" s="33"/>
      <c r="N479" s="33"/>
      <c r="O479" s="33" t="s">
        <v>197</v>
      </c>
      <c r="P479" s="33" t="s">
        <v>198</v>
      </c>
      <c r="Q479" s="33">
        <v>17</v>
      </c>
      <c r="R479" s="33" t="s">
        <v>198</v>
      </c>
      <c r="S479" s="33"/>
      <c r="T479" s="33" t="s">
        <v>376</v>
      </c>
      <c r="U479" s="33" t="s">
        <v>269</v>
      </c>
      <c r="V479" s="146"/>
      <c r="W479" s="205"/>
    </row>
    <row r="480" spans="1:23" ht="33.75" customHeight="1">
      <c r="A480" s="69"/>
      <c r="B480" s="36"/>
      <c r="C480" s="94"/>
      <c r="D480" s="68"/>
      <c r="E480" s="68"/>
      <c r="F480" s="68"/>
      <c r="G480" s="68"/>
      <c r="H480" s="68"/>
      <c r="I480" s="68"/>
      <c r="J480" s="68"/>
      <c r="K480" s="68">
        <v>0</v>
      </c>
      <c r="L480" s="58" t="s">
        <v>1039</v>
      </c>
      <c r="M480" s="91"/>
      <c r="N480" s="91"/>
      <c r="O480" s="91" t="s">
        <v>197</v>
      </c>
      <c r="P480" s="91" t="s">
        <v>198</v>
      </c>
      <c r="Q480" s="91"/>
      <c r="R480" s="91" t="s">
        <v>198</v>
      </c>
      <c r="S480" s="91"/>
      <c r="T480" s="91" t="s">
        <v>376</v>
      </c>
      <c r="U480" s="91" t="s">
        <v>269</v>
      </c>
      <c r="V480" s="132" t="str">
        <f>IF(Sequencing!L26="Yes","1b0","1b1")</f>
        <v>1b1</v>
      </c>
      <c r="W480" s="132" t="s">
        <v>157</v>
      </c>
    </row>
    <row r="481" spans="1:23" ht="33.75" customHeight="1">
      <c r="A481" s="54"/>
      <c r="B481" s="36"/>
      <c r="C481" s="94"/>
      <c r="D481" s="68"/>
      <c r="E481" s="68"/>
      <c r="F481" s="68"/>
      <c r="G481" s="68"/>
      <c r="H481" s="68"/>
      <c r="I481" s="68"/>
      <c r="J481" s="68">
        <v>0</v>
      </c>
      <c r="K481" s="68"/>
      <c r="L481" s="58" t="s">
        <v>1040</v>
      </c>
      <c r="M481" s="91"/>
      <c r="N481" s="91"/>
      <c r="O481" s="91" t="s">
        <v>197</v>
      </c>
      <c r="P481" s="91" t="s">
        <v>198</v>
      </c>
      <c r="Q481" s="91"/>
      <c r="R481" s="91" t="s">
        <v>198</v>
      </c>
      <c r="S481" s="91"/>
      <c r="T481" s="91" t="s">
        <v>376</v>
      </c>
      <c r="U481" s="91" t="s">
        <v>269</v>
      </c>
      <c r="V481" s="132" t="str">
        <f>IF(Sequencing!M26="Yes","1b0","1b1")</f>
        <v>1b1</v>
      </c>
      <c r="W481" s="132" t="s">
        <v>157</v>
      </c>
    </row>
    <row r="482" spans="1:23" ht="102" customHeight="1" thickBot="1">
      <c r="A482" s="32"/>
      <c r="B482" s="36"/>
      <c r="C482" s="94"/>
      <c r="D482" s="68"/>
      <c r="E482" s="68"/>
      <c r="F482" s="68"/>
      <c r="G482" s="68">
        <v>2</v>
      </c>
      <c r="H482" s="68">
        <v>1</v>
      </c>
      <c r="I482" s="68">
        <v>0</v>
      </c>
      <c r="J482" s="68"/>
      <c r="K482" s="68"/>
      <c r="L482" s="58" t="s">
        <v>1041</v>
      </c>
      <c r="M482" s="91"/>
      <c r="N482" s="91"/>
      <c r="O482" s="91" t="s">
        <v>197</v>
      </c>
      <c r="P482" s="91" t="s">
        <v>198</v>
      </c>
      <c r="Q482" s="91"/>
      <c r="R482" s="91" t="s">
        <v>198</v>
      </c>
      <c r="S482" s="91"/>
      <c r="T482" s="91" t="s">
        <v>376</v>
      </c>
      <c r="U482" s="91" t="s">
        <v>269</v>
      </c>
      <c r="V482" s="132" t="str">
        <f>INDEX(Sequencing!Z4:Z11,MATCH(Sequencing!C9,Sequencing!Y4:Y11,0))</f>
        <v>3b000</v>
      </c>
      <c r="W482" s="132" t="s">
        <v>158</v>
      </c>
    </row>
    <row r="483" spans="1:23" ht="56.25" customHeight="1">
      <c r="A483" s="54"/>
      <c r="B483" s="36"/>
      <c r="C483" s="94"/>
      <c r="D483" s="68"/>
      <c r="E483" s="68">
        <v>1</v>
      </c>
      <c r="F483" s="68">
        <v>0</v>
      </c>
      <c r="G483" s="68"/>
      <c r="H483" s="68"/>
      <c r="I483" s="68"/>
      <c r="J483" s="68"/>
      <c r="K483" s="68"/>
      <c r="L483" s="58" t="s">
        <v>1042</v>
      </c>
      <c r="M483" s="91"/>
      <c r="N483" s="91"/>
      <c r="O483" s="91" t="s">
        <v>197</v>
      </c>
      <c r="P483" s="91" t="s">
        <v>198</v>
      </c>
      <c r="Q483" s="91"/>
      <c r="R483" s="91" t="s">
        <v>198</v>
      </c>
      <c r="S483" s="91"/>
      <c r="T483" s="91" t="s">
        <v>376</v>
      </c>
      <c r="U483" s="91" t="s">
        <v>269</v>
      </c>
      <c r="V483" s="132" t="str">
        <f>IF(Overview!D21="25 mV","2b11",IF(Overview!D21="10 mV","2b00","Error enter other values"))</f>
        <v>2b11</v>
      </c>
      <c r="W483" s="132" t="s">
        <v>156</v>
      </c>
    </row>
    <row r="484" spans="1:23" ht="34.5" customHeight="1" thickBot="1">
      <c r="A484" s="32"/>
      <c r="B484" s="36"/>
      <c r="C484" s="94"/>
      <c r="D484" s="68">
        <v>0</v>
      </c>
      <c r="E484" s="68"/>
      <c r="F484" s="68"/>
      <c r="G484" s="68"/>
      <c r="H484" s="68"/>
      <c r="I484" s="68"/>
      <c r="J484" s="68"/>
      <c r="K484" s="68"/>
      <c r="L484" s="58" t="s">
        <v>1043</v>
      </c>
      <c r="M484" s="91"/>
      <c r="N484" s="91"/>
      <c r="O484" s="91" t="s">
        <v>197</v>
      </c>
      <c r="P484" s="91" t="s">
        <v>198</v>
      </c>
      <c r="Q484" s="91"/>
      <c r="R484" s="91" t="s">
        <v>198</v>
      </c>
      <c r="S484" s="91"/>
      <c r="T484" s="91" t="s">
        <v>376</v>
      </c>
      <c r="U484" s="91" t="s">
        <v>269</v>
      </c>
      <c r="V484" s="132" t="s">
        <v>157</v>
      </c>
      <c r="W484" s="132" t="s">
        <v>157</v>
      </c>
    </row>
    <row r="485" spans="1:23" ht="13.5" customHeight="1" thickBot="1">
      <c r="A485" s="101" t="s">
        <v>374</v>
      </c>
      <c r="B485" s="36" t="s">
        <v>410</v>
      </c>
      <c r="C485" s="99" t="s">
        <v>411</v>
      </c>
      <c r="D485" s="290"/>
      <c r="E485" s="290"/>
      <c r="F485" s="290"/>
      <c r="G485" s="290"/>
      <c r="H485" s="290"/>
      <c r="I485" s="290"/>
      <c r="J485" s="290"/>
      <c r="K485" s="290"/>
      <c r="L485" s="40" t="str">
        <f>CONCATENATE("BUCK",RIGHT(C485,10))</f>
        <v>BUCK5_CTRL_EN3</v>
      </c>
      <c r="M485" s="33"/>
      <c r="N485" s="33"/>
      <c r="O485" s="33" t="s">
        <v>197</v>
      </c>
      <c r="P485" s="33" t="s">
        <v>198</v>
      </c>
      <c r="Q485" s="33">
        <v>18</v>
      </c>
      <c r="R485" s="33" t="s">
        <v>198</v>
      </c>
      <c r="S485" s="33"/>
      <c r="T485" s="33" t="s">
        <v>376</v>
      </c>
      <c r="U485" s="33" t="s">
        <v>269</v>
      </c>
      <c r="V485" s="146"/>
      <c r="W485" s="205"/>
    </row>
    <row r="486" spans="1:23" ht="112.5" customHeight="1">
      <c r="A486" s="69"/>
      <c r="B486" s="36"/>
      <c r="C486" s="94"/>
      <c r="D486" s="68"/>
      <c r="E486" s="68"/>
      <c r="F486" s="68"/>
      <c r="G486" s="68"/>
      <c r="H486" s="68"/>
      <c r="I486" s="68">
        <v>2</v>
      </c>
      <c r="J486" s="68">
        <v>1</v>
      </c>
      <c r="K486" s="68">
        <v>0</v>
      </c>
      <c r="L486" s="58" t="s">
        <v>1044</v>
      </c>
      <c r="M486" s="91"/>
      <c r="N486" s="91"/>
      <c r="O486" s="91" t="s">
        <v>197</v>
      </c>
      <c r="P486" s="91" t="s">
        <v>198</v>
      </c>
      <c r="Q486" s="91"/>
      <c r="R486" s="91" t="s">
        <v>198</v>
      </c>
      <c r="S486" s="91"/>
      <c r="T486" s="91" t="s">
        <v>376</v>
      </c>
      <c r="U486" s="91" t="s">
        <v>269</v>
      </c>
      <c r="V486" s="132" t="str">
        <f>INDEX(Sequencing!AI4:AI12,MATCH(Sequencing!U26,Sequencing!AH4:AH12,0))</f>
        <v>3b010</v>
      </c>
      <c r="W486" s="132" t="s">
        <v>158</v>
      </c>
    </row>
    <row r="487" spans="1:23" ht="112.5" customHeight="1">
      <c r="A487" s="54"/>
      <c r="B487" s="36"/>
      <c r="C487" s="94"/>
      <c r="D487" s="68"/>
      <c r="E487" s="68"/>
      <c r="F487" s="68">
        <v>2</v>
      </c>
      <c r="G487" s="68">
        <v>1</v>
      </c>
      <c r="H487" s="68">
        <v>0</v>
      </c>
      <c r="I487" s="68"/>
      <c r="J487" s="68"/>
      <c r="K487" s="68"/>
      <c r="L487" s="58" t="s">
        <v>1045</v>
      </c>
      <c r="M487" s="91"/>
      <c r="N487" s="91"/>
      <c r="O487" s="91" t="s">
        <v>197</v>
      </c>
      <c r="P487" s="91" t="s">
        <v>198</v>
      </c>
      <c r="Q487" s="91"/>
      <c r="R487" s="91" t="s">
        <v>198</v>
      </c>
      <c r="S487" s="91"/>
      <c r="T487" s="91" t="s">
        <v>376</v>
      </c>
      <c r="U487" s="91" t="s">
        <v>269</v>
      </c>
      <c r="V487" s="132" t="str">
        <f>INDEX(Sequencing!AI4:AI12,MATCH(Sequencing!V26,Sequencing!AH4:AH12,0))</f>
        <v>3b010</v>
      </c>
      <c r="W487" s="132" t="s">
        <v>158</v>
      </c>
    </row>
    <row r="488" spans="1:23" ht="67.5" customHeight="1" thickBot="1">
      <c r="A488" s="54"/>
      <c r="B488" s="36"/>
      <c r="C488" s="94"/>
      <c r="D488" s="68">
        <v>1</v>
      </c>
      <c r="E488" s="68">
        <v>0</v>
      </c>
      <c r="F488" s="68"/>
      <c r="G488" s="68"/>
      <c r="H488" s="68"/>
      <c r="I488" s="68"/>
      <c r="J488" s="68"/>
      <c r="K488" s="68"/>
      <c r="L488" s="58" t="s">
        <v>1046</v>
      </c>
      <c r="M488" s="91"/>
      <c r="N488" s="91"/>
      <c r="O488" s="91" t="s">
        <v>197</v>
      </c>
      <c r="P488" s="91" t="s">
        <v>198</v>
      </c>
      <c r="Q488" s="91"/>
      <c r="R488" s="91" t="s">
        <v>198</v>
      </c>
      <c r="S488" s="91"/>
      <c r="T488" s="91" t="s">
        <v>376</v>
      </c>
      <c r="U488" s="91" t="s">
        <v>269</v>
      </c>
      <c r="V488" s="132" t="s">
        <v>156</v>
      </c>
      <c r="W488" s="132" t="s">
        <v>156</v>
      </c>
    </row>
    <row r="489" spans="1:23" ht="13.5" customHeight="1" thickBot="1">
      <c r="A489" s="101" t="s">
        <v>374</v>
      </c>
      <c r="B489" s="36" t="s">
        <v>412</v>
      </c>
      <c r="C489" s="99" t="s">
        <v>413</v>
      </c>
      <c r="D489" s="290"/>
      <c r="E489" s="290"/>
      <c r="F489" s="290"/>
      <c r="G489" s="290"/>
      <c r="H489" s="290"/>
      <c r="I489" s="290"/>
      <c r="J489" s="290"/>
      <c r="K489" s="290"/>
      <c r="L489" s="40" t="str">
        <f>CONCATENATE("BUCK",RIGHT(C489,10))</f>
        <v>BUCK6_CTRL_EN1</v>
      </c>
      <c r="M489" s="33"/>
      <c r="N489" s="33"/>
      <c r="O489" s="33" t="s">
        <v>197</v>
      </c>
      <c r="P489" s="33" t="s">
        <v>198</v>
      </c>
      <c r="Q489" s="33">
        <v>19</v>
      </c>
      <c r="R489" s="33" t="s">
        <v>198</v>
      </c>
      <c r="S489" s="33"/>
      <c r="T489" s="33" t="s">
        <v>376</v>
      </c>
      <c r="U489" s="33" t="s">
        <v>269</v>
      </c>
      <c r="V489" s="146"/>
      <c r="W489" s="205"/>
    </row>
    <row r="490" spans="1:23" ht="33.75" customHeight="1">
      <c r="A490" s="69"/>
      <c r="B490" s="36"/>
      <c r="C490" s="94"/>
      <c r="D490" s="68"/>
      <c r="E490" s="68"/>
      <c r="F490" s="68"/>
      <c r="G490" s="68"/>
      <c r="H490" s="68"/>
      <c r="I490" s="68"/>
      <c r="J490" s="68"/>
      <c r="K490" s="68">
        <v>0</v>
      </c>
      <c r="L490" s="58" t="s">
        <v>1047</v>
      </c>
      <c r="M490" s="91"/>
      <c r="N490" s="91"/>
      <c r="O490" s="91" t="s">
        <v>197</v>
      </c>
      <c r="P490" s="91" t="s">
        <v>198</v>
      </c>
      <c r="Q490" s="91"/>
      <c r="R490" s="91" t="s">
        <v>198</v>
      </c>
      <c r="S490" s="91"/>
      <c r="T490" s="91" t="s">
        <v>376</v>
      </c>
      <c r="U490" s="91" t="s">
        <v>269</v>
      </c>
      <c r="V490" s="132" t="str">
        <f>IF(Sequencing!C27="Yes","1b0","1b1")</f>
        <v>1b1</v>
      </c>
      <c r="W490" s="132" t="s">
        <v>157</v>
      </c>
    </row>
    <row r="491" spans="1:23" ht="33.75" customHeight="1">
      <c r="A491" s="54"/>
      <c r="B491" s="36"/>
      <c r="C491" s="94"/>
      <c r="D491" s="68"/>
      <c r="E491" s="68"/>
      <c r="F491" s="68"/>
      <c r="G491" s="68"/>
      <c r="H491" s="68"/>
      <c r="I491" s="68"/>
      <c r="J491" s="68">
        <v>0</v>
      </c>
      <c r="K491" s="68"/>
      <c r="L491" s="58" t="s">
        <v>1048</v>
      </c>
      <c r="M491" s="91"/>
      <c r="N491" s="91"/>
      <c r="O491" s="91" t="s">
        <v>197</v>
      </c>
      <c r="P491" s="91" t="s">
        <v>198</v>
      </c>
      <c r="Q491" s="91"/>
      <c r="R491" s="91" t="s">
        <v>198</v>
      </c>
      <c r="S491" s="91"/>
      <c r="T491" s="91" t="s">
        <v>376</v>
      </c>
      <c r="U491" s="91" t="s">
        <v>269</v>
      </c>
      <c r="V491" s="132" t="str">
        <f>IF(Sequencing!D27="Yes","1b0","1b1")</f>
        <v>1b0</v>
      </c>
      <c r="W491" s="132" t="s">
        <v>157</v>
      </c>
    </row>
    <row r="492" spans="1:23" ht="34.5" customHeight="1" thickBot="1">
      <c r="A492" s="32"/>
      <c r="B492" s="36"/>
      <c r="C492" s="94"/>
      <c r="D492" s="68"/>
      <c r="E492" s="68"/>
      <c r="F492" s="68"/>
      <c r="G492" s="68"/>
      <c r="H492" s="68"/>
      <c r="I492" s="68">
        <v>0</v>
      </c>
      <c r="J492" s="68"/>
      <c r="K492" s="68"/>
      <c r="L492" s="58" t="s">
        <v>1049</v>
      </c>
      <c r="M492" s="91"/>
      <c r="N492" s="91"/>
      <c r="O492" s="91" t="s">
        <v>197</v>
      </c>
      <c r="P492" s="91" t="s">
        <v>198</v>
      </c>
      <c r="Q492" s="91"/>
      <c r="R492" s="91" t="s">
        <v>198</v>
      </c>
      <c r="S492" s="91"/>
      <c r="T492" s="91" t="s">
        <v>376</v>
      </c>
      <c r="U492" s="91" t="s">
        <v>269</v>
      </c>
      <c r="V492" s="132" t="str">
        <f>IF(Sequencing!E27="Yes","1b0","1b1")</f>
        <v>1b1</v>
      </c>
      <c r="W492" s="132" t="s">
        <v>157</v>
      </c>
    </row>
    <row r="493" spans="1:23" ht="34.5" customHeight="1" thickBot="1">
      <c r="A493" s="32"/>
      <c r="B493" s="36"/>
      <c r="C493" s="94"/>
      <c r="D493" s="68"/>
      <c r="E493" s="68"/>
      <c r="F493" s="68"/>
      <c r="G493" s="68"/>
      <c r="H493" s="68">
        <v>0</v>
      </c>
      <c r="I493" s="68"/>
      <c r="J493" s="68"/>
      <c r="K493" s="68"/>
      <c r="L493" s="58" t="s">
        <v>1050</v>
      </c>
      <c r="M493" s="91"/>
      <c r="N493" s="91"/>
      <c r="O493" s="91" t="s">
        <v>197</v>
      </c>
      <c r="P493" s="91" t="s">
        <v>198</v>
      </c>
      <c r="Q493" s="91"/>
      <c r="R493" s="91" t="s">
        <v>198</v>
      </c>
      <c r="S493" s="91"/>
      <c r="T493" s="91" t="s">
        <v>376</v>
      </c>
      <c r="U493" s="91" t="s">
        <v>269</v>
      </c>
      <c r="V493" s="132" t="str">
        <f>IF(Sequencing!F27="Yes","1b0","1b1")</f>
        <v>1b1</v>
      </c>
      <c r="W493" s="132" t="s">
        <v>157</v>
      </c>
    </row>
    <row r="494" spans="1:23" ht="33.75" customHeight="1">
      <c r="A494" s="69"/>
      <c r="B494" s="36"/>
      <c r="C494" s="94"/>
      <c r="D494" s="68"/>
      <c r="E494" s="68"/>
      <c r="F494" s="68"/>
      <c r="G494" s="68">
        <v>0</v>
      </c>
      <c r="H494" s="68"/>
      <c r="I494" s="68"/>
      <c r="J494" s="68"/>
      <c r="K494" s="68"/>
      <c r="L494" s="58" t="s">
        <v>1051</v>
      </c>
      <c r="M494" s="91"/>
      <c r="N494" s="91"/>
      <c r="O494" s="91" t="s">
        <v>197</v>
      </c>
      <c r="P494" s="91" t="s">
        <v>198</v>
      </c>
      <c r="Q494" s="91"/>
      <c r="R494" s="91" t="s">
        <v>198</v>
      </c>
      <c r="S494" s="91"/>
      <c r="T494" s="91" t="s">
        <v>376</v>
      </c>
      <c r="U494" s="91" t="s">
        <v>269</v>
      </c>
      <c r="V494" s="132" t="str">
        <f>IF(Sequencing!G27="Yes","1b0","1b1")</f>
        <v>1b1</v>
      </c>
      <c r="W494" s="132" t="s">
        <v>157</v>
      </c>
    </row>
    <row r="495" spans="1:23" ht="33.75" customHeight="1">
      <c r="A495" s="54"/>
      <c r="B495" s="36"/>
      <c r="C495" s="94"/>
      <c r="D495" s="68"/>
      <c r="E495" s="68"/>
      <c r="F495" s="68">
        <v>0</v>
      </c>
      <c r="G495" s="68"/>
      <c r="H495" s="68"/>
      <c r="I495" s="68"/>
      <c r="J495" s="68"/>
      <c r="K495" s="68"/>
      <c r="L495" s="58" t="s">
        <v>1052</v>
      </c>
      <c r="M495" s="91"/>
      <c r="N495" s="91"/>
      <c r="O495" s="91" t="s">
        <v>197</v>
      </c>
      <c r="P495" s="91" t="s">
        <v>198</v>
      </c>
      <c r="Q495" s="91"/>
      <c r="R495" s="91" t="s">
        <v>198</v>
      </c>
      <c r="S495" s="91"/>
      <c r="T495" s="91" t="s">
        <v>376</v>
      </c>
      <c r="U495" s="91" t="s">
        <v>269</v>
      </c>
      <c r="V495" s="132" t="str">
        <f>IF(Sequencing!K27="Yes","1b0","1b1")</f>
        <v>1b1</v>
      </c>
      <c r="W495" s="132" t="s">
        <v>157</v>
      </c>
    </row>
    <row r="496" spans="1:23" ht="34.5" customHeight="1" thickBot="1">
      <c r="A496" s="32"/>
      <c r="B496" s="36"/>
      <c r="C496" s="94"/>
      <c r="D496" s="68"/>
      <c r="E496" s="68">
        <v>0</v>
      </c>
      <c r="F496" s="68"/>
      <c r="G496" s="68"/>
      <c r="H496" s="68"/>
      <c r="I496" s="68"/>
      <c r="J496" s="68"/>
      <c r="K496" s="68"/>
      <c r="L496" s="58" t="s">
        <v>1053</v>
      </c>
      <c r="M496" s="91"/>
      <c r="N496" s="91"/>
      <c r="O496" s="91" t="s">
        <v>197</v>
      </c>
      <c r="P496" s="91" t="s">
        <v>198</v>
      </c>
      <c r="Q496" s="91"/>
      <c r="R496" s="91" t="s">
        <v>198</v>
      </c>
      <c r="S496" s="91"/>
      <c r="T496" s="91" t="s">
        <v>376</v>
      </c>
      <c r="U496" s="91" t="s">
        <v>269</v>
      </c>
      <c r="V496" s="132" t="str">
        <f>IF(Sequencing!I27="Yes","1b0","1b1")</f>
        <v>1b1</v>
      </c>
      <c r="W496" s="132" t="s">
        <v>157</v>
      </c>
    </row>
    <row r="497" spans="1:23" ht="34.5" customHeight="1" thickBot="1">
      <c r="A497" s="32"/>
      <c r="B497" s="36"/>
      <c r="C497" s="94"/>
      <c r="D497" s="68">
        <v>0</v>
      </c>
      <c r="E497" s="68"/>
      <c r="F497" s="68"/>
      <c r="G497" s="68"/>
      <c r="H497" s="68"/>
      <c r="I497" s="68"/>
      <c r="J497" s="68"/>
      <c r="K497" s="68"/>
      <c r="L497" s="58" t="s">
        <v>1054</v>
      </c>
      <c r="M497" s="91"/>
      <c r="N497" s="91"/>
      <c r="O497" s="91" t="s">
        <v>197</v>
      </c>
      <c r="P497" s="91" t="s">
        <v>198</v>
      </c>
      <c r="Q497" s="91"/>
      <c r="R497" s="91" t="s">
        <v>198</v>
      </c>
      <c r="S497" s="91"/>
      <c r="T497" s="91" t="s">
        <v>376</v>
      </c>
      <c r="U497" s="91" t="s">
        <v>269</v>
      </c>
      <c r="V497" s="132" t="str">
        <f>IF(Sequencing!J27="Yes","1b0","1b1")</f>
        <v>1b1</v>
      </c>
      <c r="W497" s="132" t="s">
        <v>157</v>
      </c>
    </row>
    <row r="498" spans="1:23" ht="13.5" customHeight="1" thickBot="1">
      <c r="A498" s="101" t="s">
        <v>374</v>
      </c>
      <c r="B498" s="36" t="s">
        <v>414</v>
      </c>
      <c r="C498" s="99" t="s">
        <v>415</v>
      </c>
      <c r="D498" s="290"/>
      <c r="E498" s="290"/>
      <c r="F498" s="290"/>
      <c r="G498" s="290"/>
      <c r="H498" s="290"/>
      <c r="I498" s="290"/>
      <c r="J498" s="290"/>
      <c r="K498" s="290"/>
      <c r="L498" s="40" t="str">
        <f>CONCATENATE("BUCK",RIGHT(C498,10))</f>
        <v>BUCK6_CTRL_EN2</v>
      </c>
      <c r="M498" s="33"/>
      <c r="N498" s="33"/>
      <c r="O498" s="33" t="s">
        <v>197</v>
      </c>
      <c r="P498" s="33" t="s">
        <v>198</v>
      </c>
      <c r="Q498" s="33">
        <v>20</v>
      </c>
      <c r="R498" s="33" t="s">
        <v>198</v>
      </c>
      <c r="S498" s="33"/>
      <c r="T498" s="33" t="s">
        <v>376</v>
      </c>
      <c r="U498" s="33" t="s">
        <v>269</v>
      </c>
      <c r="V498" s="146"/>
      <c r="W498" s="205"/>
    </row>
    <row r="499" spans="1:23" ht="33.75" customHeight="1">
      <c r="A499" s="69"/>
      <c r="B499" s="36"/>
      <c r="C499" s="94"/>
      <c r="D499" s="68"/>
      <c r="E499" s="68"/>
      <c r="F499" s="68"/>
      <c r="G499" s="68"/>
      <c r="H499" s="68"/>
      <c r="I499" s="68"/>
      <c r="J499" s="68"/>
      <c r="K499" s="68">
        <v>0</v>
      </c>
      <c r="L499" s="58" t="s">
        <v>1055</v>
      </c>
      <c r="M499" s="91"/>
      <c r="N499" s="91"/>
      <c r="O499" s="91" t="s">
        <v>197</v>
      </c>
      <c r="P499" s="91" t="s">
        <v>198</v>
      </c>
      <c r="Q499" s="91"/>
      <c r="R499" s="91" t="s">
        <v>198</v>
      </c>
      <c r="S499" s="91"/>
      <c r="T499" s="91" t="s">
        <v>376</v>
      </c>
      <c r="U499" s="91" t="s">
        <v>269</v>
      </c>
      <c r="V499" s="132" t="str">
        <f>IF(Sequencing!L27="Yes","1b0","1b1")</f>
        <v>1b1</v>
      </c>
      <c r="W499" s="132" t="s">
        <v>157</v>
      </c>
    </row>
    <row r="500" spans="1:23" ht="33.75" customHeight="1">
      <c r="A500" s="54"/>
      <c r="B500" s="36"/>
      <c r="C500" s="94"/>
      <c r="D500" s="68"/>
      <c r="E500" s="68"/>
      <c r="F500" s="68"/>
      <c r="G500" s="68"/>
      <c r="H500" s="68"/>
      <c r="I500" s="68"/>
      <c r="J500" s="68">
        <v>0</v>
      </c>
      <c r="K500" s="68"/>
      <c r="L500" s="58" t="s">
        <v>1056</v>
      </c>
      <c r="M500" s="91"/>
      <c r="N500" s="91"/>
      <c r="O500" s="91" t="s">
        <v>197</v>
      </c>
      <c r="P500" s="91" t="s">
        <v>198</v>
      </c>
      <c r="Q500" s="91"/>
      <c r="R500" s="91" t="s">
        <v>198</v>
      </c>
      <c r="S500" s="91"/>
      <c r="T500" s="91" t="s">
        <v>376</v>
      </c>
      <c r="U500" s="91" t="s">
        <v>269</v>
      </c>
      <c r="V500" s="132" t="str">
        <f>IF(Sequencing!M27="Yes","1b0","1b1")</f>
        <v>1b1</v>
      </c>
      <c r="W500" s="132" t="s">
        <v>157</v>
      </c>
    </row>
    <row r="501" spans="1:23" ht="102" customHeight="1" thickBot="1">
      <c r="A501" s="32"/>
      <c r="B501" s="36"/>
      <c r="C501" s="94"/>
      <c r="D501" s="68"/>
      <c r="E501" s="68"/>
      <c r="F501" s="68"/>
      <c r="G501" s="68">
        <v>2</v>
      </c>
      <c r="H501" s="68">
        <v>1</v>
      </c>
      <c r="I501" s="68">
        <v>0</v>
      </c>
      <c r="J501" s="68"/>
      <c r="K501" s="68"/>
      <c r="L501" s="58" t="s">
        <v>1057</v>
      </c>
      <c r="M501" s="91"/>
      <c r="N501" s="91"/>
      <c r="O501" s="91" t="s">
        <v>197</v>
      </c>
      <c r="P501" s="91" t="s">
        <v>198</v>
      </c>
      <c r="Q501" s="91"/>
      <c r="R501" s="91" t="s">
        <v>198</v>
      </c>
      <c r="S501" s="91"/>
      <c r="T501" s="91" t="s">
        <v>376</v>
      </c>
      <c r="U501" s="91" t="s">
        <v>269</v>
      </c>
      <c r="V501" s="132" t="str">
        <f>INDEX(Sequencing!Z4:Z11,MATCH(Sequencing!C10,Sequencing!Y4:Y11,0))</f>
        <v>3b100</v>
      </c>
      <c r="W501" s="132" t="s">
        <v>158</v>
      </c>
    </row>
    <row r="502" spans="1:23" ht="33.75" customHeight="1">
      <c r="A502" s="54"/>
      <c r="B502" s="36"/>
      <c r="C502" s="94"/>
      <c r="D502" s="68"/>
      <c r="E502" s="68"/>
      <c r="F502" s="68">
        <v>0</v>
      </c>
      <c r="G502" s="68"/>
      <c r="H502" s="68"/>
      <c r="I502" s="68"/>
      <c r="J502" s="68"/>
      <c r="K502" s="68"/>
      <c r="L502" s="58" t="s">
        <v>1058</v>
      </c>
      <c r="M502" s="91"/>
      <c r="N502" s="91"/>
      <c r="O502" s="91" t="s">
        <v>197</v>
      </c>
      <c r="P502" s="91" t="s">
        <v>198</v>
      </c>
      <c r="Q502" s="91"/>
      <c r="R502" s="91" t="s">
        <v>198</v>
      </c>
      <c r="S502" s="91"/>
      <c r="T502" s="91" t="s">
        <v>376</v>
      </c>
      <c r="U502" s="91" t="s">
        <v>269</v>
      </c>
      <c r="V502" s="132" t="str">
        <f>IF(Overview!D23="10 mV","1b0","1b1")</f>
        <v>1b0</v>
      </c>
      <c r="W502" s="132" t="s">
        <v>157</v>
      </c>
    </row>
    <row r="503" spans="1:23" ht="57" customHeight="1" thickBot="1">
      <c r="A503" s="32"/>
      <c r="B503" s="36"/>
      <c r="C503" s="94"/>
      <c r="D503" s="68">
        <v>1</v>
      </c>
      <c r="E503" s="68">
        <v>0</v>
      </c>
      <c r="F503" s="68"/>
      <c r="G503" s="68"/>
      <c r="H503" s="68"/>
      <c r="I503" s="68"/>
      <c r="J503" s="68"/>
      <c r="K503" s="68"/>
      <c r="L503" s="58" t="s">
        <v>1059</v>
      </c>
      <c r="M503" s="91"/>
      <c r="N503" s="91"/>
      <c r="O503" s="91" t="s">
        <v>197</v>
      </c>
      <c r="P503" s="91" t="s">
        <v>198</v>
      </c>
      <c r="Q503" s="91"/>
      <c r="R503" s="91" t="s">
        <v>198</v>
      </c>
      <c r="S503" s="91"/>
      <c r="T503" s="91" t="s">
        <v>376</v>
      </c>
      <c r="U503" s="91" t="s">
        <v>269</v>
      </c>
      <c r="V503" s="132" t="s">
        <v>160</v>
      </c>
      <c r="W503" s="132" t="s">
        <v>160</v>
      </c>
    </row>
    <row r="504" spans="1:23" ht="13.5" customHeight="1" thickBot="1">
      <c r="A504" s="101" t="s">
        <v>374</v>
      </c>
      <c r="B504" s="36" t="s">
        <v>416</v>
      </c>
      <c r="C504" s="99" t="s">
        <v>417</v>
      </c>
      <c r="D504" s="290"/>
      <c r="E504" s="290"/>
      <c r="F504" s="290"/>
      <c r="G504" s="290"/>
      <c r="H504" s="290"/>
      <c r="I504" s="290"/>
      <c r="J504" s="290"/>
      <c r="K504" s="290"/>
      <c r="L504" s="40" t="str">
        <f>CONCATENATE("BUCK",RIGHT(C504,10))</f>
        <v>BUCK6_CTRL_EN3</v>
      </c>
      <c r="M504" s="33"/>
      <c r="N504" s="33"/>
      <c r="O504" s="33" t="s">
        <v>197</v>
      </c>
      <c r="P504" s="33" t="s">
        <v>198</v>
      </c>
      <c r="Q504" s="33">
        <v>21</v>
      </c>
      <c r="R504" s="33" t="s">
        <v>198</v>
      </c>
      <c r="S504" s="33"/>
      <c r="T504" s="33" t="s">
        <v>376</v>
      </c>
      <c r="U504" s="33" t="s">
        <v>269</v>
      </c>
      <c r="V504" s="146"/>
      <c r="W504" s="205"/>
    </row>
    <row r="505" spans="1:23" ht="112.5" customHeight="1">
      <c r="A505" s="69"/>
      <c r="B505" s="36"/>
      <c r="C505" s="94"/>
      <c r="D505" s="68"/>
      <c r="E505" s="68"/>
      <c r="F505" s="68"/>
      <c r="G505" s="68"/>
      <c r="H505" s="68"/>
      <c r="I505" s="68">
        <v>2</v>
      </c>
      <c r="J505" s="68">
        <v>1</v>
      </c>
      <c r="K505" s="68">
        <v>0</v>
      </c>
      <c r="L505" s="58" t="s">
        <v>1060</v>
      </c>
      <c r="M505" s="91"/>
      <c r="N505" s="91"/>
      <c r="O505" s="91" t="s">
        <v>197</v>
      </c>
      <c r="P505" s="91" t="s">
        <v>198</v>
      </c>
      <c r="Q505" s="91"/>
      <c r="R505" s="91" t="s">
        <v>198</v>
      </c>
      <c r="S505" s="91"/>
      <c r="T505" s="91" t="s">
        <v>376</v>
      </c>
      <c r="U505" s="91" t="s">
        <v>269</v>
      </c>
      <c r="V505" s="132" t="str">
        <f>INDEX(Sequencing!AI4:AI12,MATCH(Sequencing!U27,Sequencing!AH4:AH12,0))</f>
        <v>3b100</v>
      </c>
      <c r="W505" s="132" t="s">
        <v>158</v>
      </c>
    </row>
    <row r="506" spans="1:23" ht="112.5" customHeight="1">
      <c r="A506" s="54"/>
      <c r="B506" s="36"/>
      <c r="C506" s="94"/>
      <c r="D506" s="68"/>
      <c r="E506" s="68"/>
      <c r="F506" s="68">
        <v>2</v>
      </c>
      <c r="G506" s="68">
        <v>1</v>
      </c>
      <c r="H506" s="68">
        <v>0</v>
      </c>
      <c r="I506" s="68"/>
      <c r="J506" s="68"/>
      <c r="K506" s="68"/>
      <c r="L506" s="58" t="s">
        <v>1061</v>
      </c>
      <c r="M506" s="91"/>
      <c r="N506" s="91"/>
      <c r="O506" s="91" t="s">
        <v>197</v>
      </c>
      <c r="P506" s="91" t="s">
        <v>198</v>
      </c>
      <c r="Q506" s="91"/>
      <c r="R506" s="91" t="s">
        <v>198</v>
      </c>
      <c r="S506" s="91"/>
      <c r="T506" s="91" t="s">
        <v>376</v>
      </c>
      <c r="U506" s="91" t="s">
        <v>269</v>
      </c>
      <c r="V506" s="132" t="str">
        <f>INDEX(Sequencing!AI4:AI12,MATCH(Sequencing!V27,Sequencing!AH4:AH12,0))</f>
        <v>3b100</v>
      </c>
      <c r="W506" s="132" t="s">
        <v>158</v>
      </c>
    </row>
    <row r="507" spans="1:23" ht="56.25" customHeight="1" thickBot="1">
      <c r="A507" s="54"/>
      <c r="B507" s="36"/>
      <c r="C507" s="94"/>
      <c r="D507" s="68">
        <v>1</v>
      </c>
      <c r="E507" s="68">
        <v>0</v>
      </c>
      <c r="F507" s="68"/>
      <c r="G507" s="68"/>
      <c r="H507" s="68"/>
      <c r="I507" s="68"/>
      <c r="J507" s="68"/>
      <c r="K507" s="68"/>
      <c r="L507" s="58" t="s">
        <v>1062</v>
      </c>
      <c r="M507" s="91"/>
      <c r="N507" s="91"/>
      <c r="O507" s="91" t="s">
        <v>197</v>
      </c>
      <c r="P507" s="91" t="s">
        <v>198</v>
      </c>
      <c r="Q507" s="91"/>
      <c r="R507" s="91" t="s">
        <v>198</v>
      </c>
      <c r="S507" s="91"/>
      <c r="T507" s="91" t="s">
        <v>376</v>
      </c>
      <c r="U507" s="91" t="s">
        <v>269</v>
      </c>
      <c r="V507" s="132" t="s">
        <v>156</v>
      </c>
      <c r="W507" s="132" t="s">
        <v>156</v>
      </c>
    </row>
    <row r="508" spans="1:23" ht="13.5" customHeight="1" thickBot="1">
      <c r="A508" s="101" t="s">
        <v>374</v>
      </c>
      <c r="B508" s="36" t="s">
        <v>418</v>
      </c>
      <c r="C508" s="99" t="s">
        <v>419</v>
      </c>
      <c r="D508" s="290"/>
      <c r="E508" s="290"/>
      <c r="F508" s="290"/>
      <c r="G508" s="290"/>
      <c r="H508" s="290"/>
      <c r="I508" s="290"/>
      <c r="J508" s="290"/>
      <c r="K508" s="290"/>
      <c r="L508" s="40" t="str">
        <f>CONCATENATE("SWA",RIGHT(C508,10))</f>
        <v>SWA1_CTRL_EN1</v>
      </c>
      <c r="M508" s="33"/>
      <c r="N508" s="33"/>
      <c r="O508" s="33" t="s">
        <v>197</v>
      </c>
      <c r="P508" s="33" t="s">
        <v>198</v>
      </c>
      <c r="Q508" s="33">
        <v>22</v>
      </c>
      <c r="R508" s="33" t="s">
        <v>198</v>
      </c>
      <c r="S508" s="33"/>
      <c r="T508" s="33" t="s">
        <v>376</v>
      </c>
      <c r="U508" s="33" t="s">
        <v>269</v>
      </c>
      <c r="V508" s="146"/>
      <c r="W508" s="205"/>
    </row>
    <row r="509" spans="1:23" ht="33.75" customHeight="1">
      <c r="A509" s="69"/>
      <c r="B509" s="36"/>
      <c r="C509" s="94"/>
      <c r="D509" s="68"/>
      <c r="E509" s="68"/>
      <c r="F509" s="68"/>
      <c r="G509" s="68"/>
      <c r="H509" s="68"/>
      <c r="I509" s="68"/>
      <c r="J509" s="68"/>
      <c r="K509" s="68">
        <v>0</v>
      </c>
      <c r="L509" s="58" t="s">
        <v>1063</v>
      </c>
      <c r="M509" s="91"/>
      <c r="N509" s="91"/>
      <c r="O509" s="91" t="s">
        <v>197</v>
      </c>
      <c r="P509" s="91" t="s">
        <v>198</v>
      </c>
      <c r="Q509" s="91"/>
      <c r="R509" s="91" t="s">
        <v>198</v>
      </c>
      <c r="S509" s="91"/>
      <c r="T509" s="91" t="s">
        <v>376</v>
      </c>
      <c r="U509" s="91" t="s">
        <v>269</v>
      </c>
      <c r="V509" s="147" t="str">
        <f>IF(Sequencing!C30="Yes","1b0","1b1")</f>
        <v>1b1</v>
      </c>
      <c r="W509" s="132" t="s">
        <v>157</v>
      </c>
    </row>
    <row r="510" spans="1:23" ht="33.75" customHeight="1">
      <c r="A510" s="54"/>
      <c r="B510" s="36"/>
      <c r="C510" s="94"/>
      <c r="D510" s="68"/>
      <c r="E510" s="68"/>
      <c r="F510" s="68"/>
      <c r="G510" s="68"/>
      <c r="H510" s="68"/>
      <c r="I510" s="68"/>
      <c r="J510" s="68">
        <v>0</v>
      </c>
      <c r="K510" s="68"/>
      <c r="L510" s="58" t="s">
        <v>1064</v>
      </c>
      <c r="M510" s="91"/>
      <c r="N510" s="91"/>
      <c r="O510" s="91" t="s">
        <v>197</v>
      </c>
      <c r="P510" s="91" t="s">
        <v>198</v>
      </c>
      <c r="Q510" s="91"/>
      <c r="R510" s="91" t="s">
        <v>198</v>
      </c>
      <c r="S510" s="91"/>
      <c r="T510" s="91" t="s">
        <v>376</v>
      </c>
      <c r="U510" s="91" t="s">
        <v>269</v>
      </c>
      <c r="V510" s="147" t="str">
        <f>IF(Sequencing!D30="Yes","1b0","1b1")</f>
        <v>1b1</v>
      </c>
      <c r="W510" s="132" t="s">
        <v>157</v>
      </c>
    </row>
    <row r="511" spans="1:23" ht="34.5" customHeight="1" thickBot="1">
      <c r="A511" s="32"/>
      <c r="B511" s="36"/>
      <c r="C511" s="94"/>
      <c r="D511" s="68"/>
      <c r="E511" s="68"/>
      <c r="F511" s="68"/>
      <c r="G511" s="68"/>
      <c r="H511" s="68"/>
      <c r="I511" s="68">
        <v>0</v>
      </c>
      <c r="J511" s="68"/>
      <c r="K511" s="68"/>
      <c r="L511" s="58" t="s">
        <v>1065</v>
      </c>
      <c r="M511" s="91"/>
      <c r="N511" s="91"/>
      <c r="O511" s="91" t="s">
        <v>197</v>
      </c>
      <c r="P511" s="91" t="s">
        <v>198</v>
      </c>
      <c r="Q511" s="91"/>
      <c r="R511" s="91" t="s">
        <v>198</v>
      </c>
      <c r="S511" s="91"/>
      <c r="T511" s="91" t="s">
        <v>376</v>
      </c>
      <c r="U511" s="91" t="s">
        <v>269</v>
      </c>
      <c r="V511" s="147" t="str">
        <f>IF(Sequencing!E30="Yes","1b0","1b1")</f>
        <v>1b1</v>
      </c>
      <c r="W511" s="132" t="s">
        <v>157</v>
      </c>
    </row>
    <row r="512" spans="1:23" ht="34.5" customHeight="1" thickBot="1">
      <c r="A512" s="32"/>
      <c r="B512" s="36"/>
      <c r="C512" s="94"/>
      <c r="D512" s="68"/>
      <c r="E512" s="68"/>
      <c r="F512" s="68"/>
      <c r="G512" s="68"/>
      <c r="H512" s="68">
        <v>0</v>
      </c>
      <c r="I512" s="68"/>
      <c r="J512" s="68"/>
      <c r="K512" s="68"/>
      <c r="L512" s="58" t="s">
        <v>1066</v>
      </c>
      <c r="M512" s="91"/>
      <c r="N512" s="91"/>
      <c r="O512" s="91" t="s">
        <v>197</v>
      </c>
      <c r="P512" s="91" t="s">
        <v>198</v>
      </c>
      <c r="Q512" s="91"/>
      <c r="R512" s="91" t="s">
        <v>198</v>
      </c>
      <c r="S512" s="91"/>
      <c r="T512" s="91" t="s">
        <v>376</v>
      </c>
      <c r="U512" s="91" t="s">
        <v>269</v>
      </c>
      <c r="V512" s="147" t="str">
        <f>IF(Sequencing!F30="Yes","1b0","1b1")</f>
        <v>1b1</v>
      </c>
      <c r="W512" s="132" t="s">
        <v>157</v>
      </c>
    </row>
    <row r="513" spans="1:23" ht="33.75" customHeight="1">
      <c r="A513" s="69"/>
      <c r="B513" s="36"/>
      <c r="C513" s="94"/>
      <c r="D513" s="68"/>
      <c r="E513" s="68"/>
      <c r="F513" s="68"/>
      <c r="G513" s="68">
        <v>0</v>
      </c>
      <c r="H513" s="68"/>
      <c r="I513" s="68"/>
      <c r="J513" s="68"/>
      <c r="K513" s="68"/>
      <c r="L513" s="58" t="s">
        <v>1067</v>
      </c>
      <c r="M513" s="91"/>
      <c r="N513" s="91"/>
      <c r="O513" s="91" t="s">
        <v>197</v>
      </c>
      <c r="P513" s="91" t="s">
        <v>198</v>
      </c>
      <c r="Q513" s="91"/>
      <c r="R513" s="91" t="s">
        <v>198</v>
      </c>
      <c r="S513" s="91"/>
      <c r="T513" s="91" t="s">
        <v>376</v>
      </c>
      <c r="U513" s="91" t="s">
        <v>269</v>
      </c>
      <c r="V513" s="147" t="str">
        <f>IF(Sequencing!G30="Yes","1b0","1b1")</f>
        <v>1b1</v>
      </c>
      <c r="W513" s="132" t="s">
        <v>157</v>
      </c>
    </row>
    <row r="514" spans="1:23" ht="33.75" customHeight="1">
      <c r="A514" s="54"/>
      <c r="B514" s="36"/>
      <c r="C514" s="94"/>
      <c r="D514" s="68"/>
      <c r="E514" s="68"/>
      <c r="F514" s="68">
        <v>0</v>
      </c>
      <c r="G514" s="68"/>
      <c r="H514" s="68"/>
      <c r="I514" s="68"/>
      <c r="J514" s="68"/>
      <c r="K514" s="68"/>
      <c r="L514" s="58" t="s">
        <v>1068</v>
      </c>
      <c r="M514" s="91"/>
      <c r="N514" s="91"/>
      <c r="O514" s="91" t="s">
        <v>197</v>
      </c>
      <c r="P514" s="91" t="s">
        <v>198</v>
      </c>
      <c r="Q514" s="91"/>
      <c r="R514" s="91" t="s">
        <v>198</v>
      </c>
      <c r="S514" s="91"/>
      <c r="T514" s="91" t="s">
        <v>376</v>
      </c>
      <c r="U514" s="91" t="s">
        <v>269</v>
      </c>
      <c r="V514" s="147" t="str">
        <f>IF(Sequencing!H30="Yes","1b0","1b1")</f>
        <v>1b1</v>
      </c>
      <c r="W514" s="132" t="s">
        <v>157</v>
      </c>
    </row>
    <row r="515" spans="1:23" ht="34.5" customHeight="1" thickBot="1">
      <c r="A515" s="32"/>
      <c r="B515" s="36"/>
      <c r="C515" s="94"/>
      <c r="D515" s="68"/>
      <c r="E515" s="68">
        <v>0</v>
      </c>
      <c r="F515" s="68"/>
      <c r="G515" s="68"/>
      <c r="H515" s="68"/>
      <c r="I515" s="68"/>
      <c r="J515" s="68"/>
      <c r="K515" s="68"/>
      <c r="L515" s="58" t="s">
        <v>1069</v>
      </c>
      <c r="M515" s="91"/>
      <c r="N515" s="91"/>
      <c r="O515" s="91" t="s">
        <v>197</v>
      </c>
      <c r="P515" s="91" t="s">
        <v>198</v>
      </c>
      <c r="Q515" s="91"/>
      <c r="R515" s="91" t="s">
        <v>198</v>
      </c>
      <c r="S515" s="91"/>
      <c r="T515" s="91" t="s">
        <v>376</v>
      </c>
      <c r="U515" s="91" t="s">
        <v>269</v>
      </c>
      <c r="V515" s="147" t="str">
        <f>IF(Sequencing!I30="Yes","1b0","1b1")</f>
        <v>1b1</v>
      </c>
      <c r="W515" s="132" t="s">
        <v>157</v>
      </c>
    </row>
    <row r="516" spans="1:23" ht="34.5" customHeight="1" thickBot="1">
      <c r="A516" s="32"/>
      <c r="B516" s="36"/>
      <c r="C516" s="94"/>
      <c r="D516" s="68">
        <v>0</v>
      </c>
      <c r="E516" s="68"/>
      <c r="F516" s="68"/>
      <c r="G516" s="68"/>
      <c r="H516" s="68"/>
      <c r="I516" s="68"/>
      <c r="J516" s="68"/>
      <c r="K516" s="68"/>
      <c r="L516" s="58" t="s">
        <v>1070</v>
      </c>
      <c r="M516" s="91"/>
      <c r="N516" s="91"/>
      <c r="O516" s="91" t="s">
        <v>197</v>
      </c>
      <c r="P516" s="91" t="s">
        <v>198</v>
      </c>
      <c r="Q516" s="91"/>
      <c r="R516" s="91" t="s">
        <v>198</v>
      </c>
      <c r="S516" s="91"/>
      <c r="T516" s="91" t="s">
        <v>376</v>
      </c>
      <c r="U516" s="91" t="s">
        <v>269</v>
      </c>
      <c r="V516" s="147" t="str">
        <f>IF(Sequencing!J30="Yes","1b0","1b1")</f>
        <v>1b1</v>
      </c>
      <c r="W516" s="132" t="s">
        <v>157</v>
      </c>
    </row>
    <row r="517" spans="1:23" ht="13.5" customHeight="1" thickBot="1">
      <c r="A517" s="101" t="s">
        <v>374</v>
      </c>
      <c r="B517" s="36" t="s">
        <v>420</v>
      </c>
      <c r="C517" s="99" t="s">
        <v>421</v>
      </c>
      <c r="D517" s="290"/>
      <c r="E517" s="290"/>
      <c r="F517" s="290"/>
      <c r="G517" s="290"/>
      <c r="H517" s="290"/>
      <c r="I517" s="290"/>
      <c r="J517" s="290"/>
      <c r="K517" s="290"/>
      <c r="L517" s="40" t="str">
        <f>CONCATENATE("SWA",RIGHT(C517,10))</f>
        <v>SWA1_CTRL_EN2</v>
      </c>
      <c r="M517" s="33"/>
      <c r="N517" s="33"/>
      <c r="O517" s="33" t="s">
        <v>197</v>
      </c>
      <c r="P517" s="33" t="s">
        <v>198</v>
      </c>
      <c r="Q517" s="33">
        <v>23</v>
      </c>
      <c r="R517" s="33" t="s">
        <v>198</v>
      </c>
      <c r="S517" s="33"/>
      <c r="T517" s="33" t="s">
        <v>376</v>
      </c>
      <c r="U517" s="33" t="s">
        <v>269</v>
      </c>
      <c r="V517" s="146"/>
      <c r="W517" s="205"/>
    </row>
    <row r="518" spans="1:23" ht="33.75" customHeight="1">
      <c r="A518" s="69"/>
      <c r="B518" s="36"/>
      <c r="C518" s="94"/>
      <c r="D518" s="68"/>
      <c r="E518" s="68"/>
      <c r="F518" s="68"/>
      <c r="G518" s="68"/>
      <c r="H518" s="68"/>
      <c r="I518" s="68"/>
      <c r="J518" s="68"/>
      <c r="K518" s="68">
        <v>0</v>
      </c>
      <c r="L518" s="58" t="s">
        <v>1071</v>
      </c>
      <c r="M518" s="91"/>
      <c r="N518" s="91"/>
      <c r="O518" s="91" t="s">
        <v>197</v>
      </c>
      <c r="P518" s="91" t="s">
        <v>198</v>
      </c>
      <c r="Q518" s="91"/>
      <c r="R518" s="91" t="s">
        <v>198</v>
      </c>
      <c r="S518" s="91"/>
      <c r="T518" s="91" t="s">
        <v>376</v>
      </c>
      <c r="U518" s="91" t="s">
        <v>269</v>
      </c>
      <c r="V518" s="147" t="str">
        <f>IF(Sequencing!L30="Yes","1b0","1b1")</f>
        <v>1b1</v>
      </c>
      <c r="W518" s="132" t="s">
        <v>157</v>
      </c>
    </row>
    <row r="519" spans="1:23" ht="33.75" customHeight="1">
      <c r="A519" s="54"/>
      <c r="B519" s="36"/>
      <c r="C519" s="94"/>
      <c r="D519" s="68"/>
      <c r="E519" s="68"/>
      <c r="F519" s="68"/>
      <c r="G519" s="68"/>
      <c r="H519" s="68"/>
      <c r="I519" s="68"/>
      <c r="J519" s="68">
        <v>0</v>
      </c>
      <c r="K519" s="68"/>
      <c r="L519" s="58" t="s">
        <v>1072</v>
      </c>
      <c r="M519" s="91"/>
      <c r="N519" s="91"/>
      <c r="O519" s="91" t="s">
        <v>197</v>
      </c>
      <c r="P519" s="91" t="s">
        <v>198</v>
      </c>
      <c r="Q519" s="91"/>
      <c r="R519" s="91" t="s">
        <v>198</v>
      </c>
      <c r="S519" s="91"/>
      <c r="T519" s="91" t="s">
        <v>376</v>
      </c>
      <c r="U519" s="91" t="s">
        <v>269</v>
      </c>
      <c r="V519" s="147" t="str">
        <f>IF(Sequencing!M30="Yes","1b0","1b1")</f>
        <v>1b1</v>
      </c>
      <c r="W519" s="132" t="s">
        <v>157</v>
      </c>
    </row>
    <row r="520" spans="1:23" ht="102" customHeight="1" thickBot="1">
      <c r="A520" s="32"/>
      <c r="B520" s="36"/>
      <c r="C520" s="94"/>
      <c r="D520" s="68"/>
      <c r="E520" s="68"/>
      <c r="F520" s="68"/>
      <c r="G520" s="68">
        <v>2</v>
      </c>
      <c r="H520" s="68">
        <v>1</v>
      </c>
      <c r="I520" s="68">
        <v>0</v>
      </c>
      <c r="J520" s="68"/>
      <c r="K520" s="68"/>
      <c r="L520" s="58" t="s">
        <v>1073</v>
      </c>
      <c r="M520" s="91"/>
      <c r="N520" s="91"/>
      <c r="O520" s="91" t="s">
        <v>197</v>
      </c>
      <c r="P520" s="91" t="s">
        <v>198</v>
      </c>
      <c r="Q520" s="91"/>
      <c r="R520" s="91" t="s">
        <v>198</v>
      </c>
      <c r="S520" s="91"/>
      <c r="T520" s="91" t="s">
        <v>376</v>
      </c>
      <c r="U520" s="91" t="s">
        <v>269</v>
      </c>
      <c r="V520" s="132" t="str">
        <f>INDEX(Sequencing!Z4:Z11,MATCH(Sequencing!C13,Sequencing!Y4:Y11,0))</f>
        <v>3b000</v>
      </c>
      <c r="W520" s="132" t="s">
        <v>158</v>
      </c>
    </row>
    <row r="521" spans="1:23" ht="56.25" customHeight="1">
      <c r="A521" s="54"/>
      <c r="B521" s="36"/>
      <c r="C521" s="94"/>
      <c r="D521" s="68"/>
      <c r="E521" s="68">
        <v>1</v>
      </c>
      <c r="F521" s="68">
        <v>0</v>
      </c>
      <c r="G521" s="68"/>
      <c r="H521" s="68"/>
      <c r="I521" s="68"/>
      <c r="J521" s="68"/>
      <c r="K521" s="68"/>
      <c r="L521" s="58" t="s">
        <v>1074</v>
      </c>
      <c r="M521" s="91"/>
      <c r="N521" s="91"/>
      <c r="O521" s="91" t="s">
        <v>197</v>
      </c>
      <c r="P521" s="91" t="s">
        <v>198</v>
      </c>
      <c r="Q521" s="91"/>
      <c r="R521" s="91" t="s">
        <v>198</v>
      </c>
      <c r="S521" s="91"/>
      <c r="T521" s="91" t="s">
        <v>376</v>
      </c>
      <c r="U521" s="91" t="s">
        <v>269</v>
      </c>
      <c r="V521" s="132" t="str">
        <f>INDEX(Overview!Y13:Y17,MATCH(Overview!C41,Overview!X13:X17,0))</f>
        <v>2b01</v>
      </c>
      <c r="W521" s="132" t="s">
        <v>156</v>
      </c>
    </row>
    <row r="522" spans="1:23" ht="34.5" customHeight="1" thickBot="1">
      <c r="A522" s="32"/>
      <c r="B522" s="36"/>
      <c r="C522" s="94"/>
      <c r="D522" s="68">
        <v>0</v>
      </c>
      <c r="E522" s="68"/>
      <c r="F522" s="68"/>
      <c r="G522" s="68"/>
      <c r="H522" s="68"/>
      <c r="I522" s="68"/>
      <c r="J522" s="68"/>
      <c r="K522" s="68"/>
      <c r="L522" s="58" t="s">
        <v>1075</v>
      </c>
      <c r="M522" s="91"/>
      <c r="N522" s="91"/>
      <c r="O522" s="91" t="s">
        <v>197</v>
      </c>
      <c r="P522" s="91" t="s">
        <v>198</v>
      </c>
      <c r="Q522" s="91"/>
      <c r="R522" s="91" t="s">
        <v>198</v>
      </c>
      <c r="S522" s="91"/>
      <c r="T522" s="91" t="s">
        <v>376</v>
      </c>
      <c r="U522" s="91" t="s">
        <v>269</v>
      </c>
      <c r="V522" s="132" t="s">
        <v>157</v>
      </c>
      <c r="W522" s="132" t="s">
        <v>157</v>
      </c>
    </row>
    <row r="523" spans="1:23" ht="13.5" customHeight="1" thickBot="1">
      <c r="A523" s="101" t="s">
        <v>374</v>
      </c>
      <c r="B523" s="36" t="s">
        <v>422</v>
      </c>
      <c r="C523" s="99" t="s">
        <v>423</v>
      </c>
      <c r="D523" s="290"/>
      <c r="E523" s="290"/>
      <c r="F523" s="290"/>
      <c r="G523" s="290"/>
      <c r="H523" s="290"/>
      <c r="I523" s="290"/>
      <c r="J523" s="290"/>
      <c r="K523" s="290"/>
      <c r="L523" s="40" t="str">
        <f>CONCATENATE("SWA",RIGHT(C523,10))</f>
        <v>SWA1_CTRL_EN3</v>
      </c>
      <c r="M523" s="33"/>
      <c r="N523" s="33"/>
      <c r="O523" s="33" t="s">
        <v>197</v>
      </c>
      <c r="P523" s="33" t="s">
        <v>198</v>
      </c>
      <c r="Q523" s="33">
        <v>24</v>
      </c>
      <c r="R523" s="33" t="s">
        <v>198</v>
      </c>
      <c r="S523" s="33"/>
      <c r="T523" s="33" t="s">
        <v>376</v>
      </c>
      <c r="U523" s="33" t="s">
        <v>269</v>
      </c>
      <c r="V523" s="146"/>
      <c r="W523" s="205"/>
    </row>
    <row r="524" spans="1:23" ht="112.5" customHeight="1">
      <c r="A524" s="69"/>
      <c r="B524" s="36"/>
      <c r="C524" s="94"/>
      <c r="D524" s="68"/>
      <c r="E524" s="68"/>
      <c r="F524" s="68"/>
      <c r="G524" s="68"/>
      <c r="H524" s="68"/>
      <c r="I524" s="68">
        <v>2</v>
      </c>
      <c r="J524" s="68">
        <v>1</v>
      </c>
      <c r="K524" s="68">
        <v>0</v>
      </c>
      <c r="L524" s="58" t="s">
        <v>1076</v>
      </c>
      <c r="M524" s="91"/>
      <c r="N524" s="91"/>
      <c r="O524" s="91" t="s">
        <v>197</v>
      </c>
      <c r="P524" s="91" t="s">
        <v>198</v>
      </c>
      <c r="Q524" s="91"/>
      <c r="R524" s="91" t="s">
        <v>198</v>
      </c>
      <c r="S524" s="91"/>
      <c r="T524" s="91" t="s">
        <v>376</v>
      </c>
      <c r="U524" s="91" t="s">
        <v>269</v>
      </c>
      <c r="V524" s="147" t="str">
        <f>INDEX(Sequencing!AI4:AI12,MATCH(Sequencing!U30,Sequencing!AH4:AH12,0))</f>
        <v>3b000</v>
      </c>
      <c r="W524" s="132" t="s">
        <v>158</v>
      </c>
    </row>
    <row r="525" spans="1:23" ht="112.5" customHeight="1">
      <c r="A525" s="54"/>
      <c r="B525" s="36"/>
      <c r="C525" s="94"/>
      <c r="D525" s="68"/>
      <c r="E525" s="68"/>
      <c r="F525" s="68">
        <v>2</v>
      </c>
      <c r="G525" s="68">
        <v>1</v>
      </c>
      <c r="H525" s="68">
        <v>0</v>
      </c>
      <c r="I525" s="68"/>
      <c r="J525" s="68"/>
      <c r="K525" s="68"/>
      <c r="L525" s="58" t="s">
        <v>1077</v>
      </c>
      <c r="M525" s="91"/>
      <c r="N525" s="91"/>
      <c r="O525" s="91" t="s">
        <v>197</v>
      </c>
      <c r="P525" s="91" t="s">
        <v>198</v>
      </c>
      <c r="Q525" s="91"/>
      <c r="R525" s="91" t="s">
        <v>198</v>
      </c>
      <c r="S525" s="91"/>
      <c r="T525" s="91" t="s">
        <v>376</v>
      </c>
      <c r="U525" s="91" t="s">
        <v>269</v>
      </c>
      <c r="V525" s="147" t="str">
        <f>INDEX(Sequencing!AI4:AI12,MATCH(Sequencing!V30,Sequencing!AH4:AH12,0))</f>
        <v>3b000</v>
      </c>
      <c r="W525" s="132" t="s">
        <v>158</v>
      </c>
    </row>
    <row r="526" spans="1:23" ht="56.25" customHeight="1" thickBot="1">
      <c r="A526" s="54"/>
      <c r="B526" s="36"/>
      <c r="C526" s="94"/>
      <c r="D526" s="68">
        <v>1</v>
      </c>
      <c r="E526" s="68">
        <v>0</v>
      </c>
      <c r="F526" s="68"/>
      <c r="G526" s="68"/>
      <c r="H526" s="68"/>
      <c r="I526" s="68"/>
      <c r="J526" s="68"/>
      <c r="K526" s="68"/>
      <c r="L526" s="58" t="s">
        <v>1078</v>
      </c>
      <c r="M526" s="91"/>
      <c r="N526" s="91"/>
      <c r="O526" s="91" t="s">
        <v>197</v>
      </c>
      <c r="P526" s="91" t="s">
        <v>198</v>
      </c>
      <c r="Q526" s="91"/>
      <c r="R526" s="91" t="s">
        <v>198</v>
      </c>
      <c r="S526" s="91"/>
      <c r="T526" s="91" t="s">
        <v>376</v>
      </c>
      <c r="U526" s="91" t="s">
        <v>269</v>
      </c>
      <c r="V526" s="132" t="str">
        <f>INDEX(Sequencing!AC4:AC11,MATCH(Sequencing!C16,Sequencing!AB4:AB11,0))</f>
        <v>2b00</v>
      </c>
      <c r="W526" s="132" t="s">
        <v>156</v>
      </c>
    </row>
    <row r="527" spans="1:23" ht="13.5" customHeight="1" thickBot="1">
      <c r="A527" s="101" t="s">
        <v>374</v>
      </c>
      <c r="B527" s="36" t="s">
        <v>425</v>
      </c>
      <c r="C527" s="99" t="s">
        <v>426</v>
      </c>
      <c r="D527" s="290"/>
      <c r="E527" s="290"/>
      <c r="F527" s="290"/>
      <c r="G527" s="290"/>
      <c r="H527" s="290"/>
      <c r="I527" s="290"/>
      <c r="J527" s="290"/>
      <c r="K527" s="290"/>
      <c r="L527" s="40" t="str">
        <f>CONCATENATE("LDOA",RIGHT(C527,10))</f>
        <v>LDOA2_CTRL_EN1</v>
      </c>
      <c r="M527" s="33"/>
      <c r="N527" s="33"/>
      <c r="O527" s="33" t="s">
        <v>197</v>
      </c>
      <c r="P527" s="33" t="s">
        <v>198</v>
      </c>
      <c r="Q527" s="33">
        <v>25</v>
      </c>
      <c r="R527" s="33" t="s">
        <v>198</v>
      </c>
      <c r="S527" s="33"/>
      <c r="T527" s="33" t="s">
        <v>376</v>
      </c>
      <c r="U527" s="33" t="s">
        <v>269</v>
      </c>
      <c r="V527" s="146"/>
      <c r="W527" s="205"/>
    </row>
    <row r="528" spans="1:23" ht="33.75" customHeight="1">
      <c r="A528" s="69"/>
      <c r="B528" s="36"/>
      <c r="C528" s="94"/>
      <c r="D528" s="68"/>
      <c r="E528" s="68"/>
      <c r="F528" s="68"/>
      <c r="G528" s="68"/>
      <c r="H528" s="68"/>
      <c r="I528" s="68"/>
      <c r="J528" s="68"/>
      <c r="K528" s="68">
        <v>0</v>
      </c>
      <c r="L528" s="58" t="s">
        <v>1079</v>
      </c>
      <c r="M528" s="91"/>
      <c r="N528" s="91"/>
      <c r="O528" s="91" t="s">
        <v>197</v>
      </c>
      <c r="P528" s="91" t="s">
        <v>198</v>
      </c>
      <c r="Q528" s="91"/>
      <c r="R528" s="91" t="s">
        <v>198</v>
      </c>
      <c r="S528" s="91"/>
      <c r="T528" s="91" t="s">
        <v>376</v>
      </c>
      <c r="U528" s="91" t="s">
        <v>269</v>
      </c>
      <c r="V528" s="147" t="str">
        <f>IF(Sequencing!C28="Yes","1b0","1b1")</f>
        <v>1b1</v>
      </c>
      <c r="W528" s="132" t="s">
        <v>157</v>
      </c>
    </row>
    <row r="529" spans="1:23" ht="33.75" customHeight="1">
      <c r="A529" s="54"/>
      <c r="B529" s="36"/>
      <c r="C529" s="94"/>
      <c r="D529" s="68"/>
      <c r="E529" s="68"/>
      <c r="F529" s="68"/>
      <c r="G529" s="68"/>
      <c r="H529" s="68"/>
      <c r="I529" s="68"/>
      <c r="J529" s="68">
        <v>0</v>
      </c>
      <c r="K529" s="68"/>
      <c r="L529" s="58" t="s">
        <v>1080</v>
      </c>
      <c r="M529" s="91"/>
      <c r="N529" s="91"/>
      <c r="O529" s="91" t="s">
        <v>197</v>
      </c>
      <c r="P529" s="91" t="s">
        <v>198</v>
      </c>
      <c r="Q529" s="91"/>
      <c r="R529" s="91" t="s">
        <v>198</v>
      </c>
      <c r="S529" s="91"/>
      <c r="T529" s="91" t="s">
        <v>376</v>
      </c>
      <c r="U529" s="91" t="s">
        <v>269</v>
      </c>
      <c r="V529" s="147" t="str">
        <f>IF(Sequencing!D28="Yes","1b0","1b1")</f>
        <v>1b1</v>
      </c>
      <c r="W529" s="132" t="s">
        <v>157</v>
      </c>
    </row>
    <row r="530" spans="1:23" ht="34.5" customHeight="1" thickBot="1">
      <c r="A530" s="32"/>
      <c r="B530" s="36"/>
      <c r="C530" s="94"/>
      <c r="D530" s="68"/>
      <c r="E530" s="68"/>
      <c r="F530" s="68"/>
      <c r="G530" s="68"/>
      <c r="H530" s="68"/>
      <c r="I530" s="68">
        <v>0</v>
      </c>
      <c r="J530" s="68"/>
      <c r="K530" s="68"/>
      <c r="L530" s="58" t="s">
        <v>1081</v>
      </c>
      <c r="M530" s="91"/>
      <c r="N530" s="91"/>
      <c r="O530" s="91" t="s">
        <v>197</v>
      </c>
      <c r="P530" s="91" t="s">
        <v>198</v>
      </c>
      <c r="Q530" s="91"/>
      <c r="R530" s="91" t="s">
        <v>198</v>
      </c>
      <c r="S530" s="91"/>
      <c r="T530" s="91" t="s">
        <v>376</v>
      </c>
      <c r="U530" s="91" t="s">
        <v>269</v>
      </c>
      <c r="V530" s="147" t="str">
        <f>IF(Sequencing!E28="Yes","1b0","1b1")</f>
        <v>1b1</v>
      </c>
      <c r="W530" s="132" t="s">
        <v>157</v>
      </c>
    </row>
    <row r="531" spans="1:23" ht="34.5" customHeight="1" thickBot="1">
      <c r="A531" s="32"/>
      <c r="B531" s="36"/>
      <c r="C531" s="94"/>
      <c r="D531" s="68"/>
      <c r="E531" s="68"/>
      <c r="F531" s="68"/>
      <c r="G531" s="68"/>
      <c r="H531" s="68">
        <v>0</v>
      </c>
      <c r="I531" s="68"/>
      <c r="J531" s="68"/>
      <c r="K531" s="68"/>
      <c r="L531" s="58" t="s">
        <v>1082</v>
      </c>
      <c r="M531" s="91"/>
      <c r="N531" s="91"/>
      <c r="O531" s="91" t="s">
        <v>197</v>
      </c>
      <c r="P531" s="91" t="s">
        <v>198</v>
      </c>
      <c r="Q531" s="91"/>
      <c r="R531" s="91" t="s">
        <v>198</v>
      </c>
      <c r="S531" s="91"/>
      <c r="T531" s="91" t="s">
        <v>376</v>
      </c>
      <c r="U531" s="91" t="s">
        <v>269</v>
      </c>
      <c r="V531" s="147" t="str">
        <f>IF(Sequencing!F28="Yes","1b0","1b1")</f>
        <v>1b1</v>
      </c>
      <c r="W531" s="132" t="s">
        <v>157</v>
      </c>
    </row>
    <row r="532" spans="1:23" ht="33.75" customHeight="1">
      <c r="A532" s="69"/>
      <c r="B532" s="36"/>
      <c r="C532" s="94"/>
      <c r="D532" s="68"/>
      <c r="E532" s="68"/>
      <c r="F532" s="68"/>
      <c r="G532" s="68">
        <v>0</v>
      </c>
      <c r="H532" s="68"/>
      <c r="I532" s="68"/>
      <c r="J532" s="68"/>
      <c r="K532" s="68"/>
      <c r="L532" s="58" t="s">
        <v>1083</v>
      </c>
      <c r="M532" s="91"/>
      <c r="N532" s="91"/>
      <c r="O532" s="91" t="s">
        <v>197</v>
      </c>
      <c r="P532" s="91" t="s">
        <v>198</v>
      </c>
      <c r="Q532" s="91"/>
      <c r="R532" s="91" t="s">
        <v>198</v>
      </c>
      <c r="S532" s="91"/>
      <c r="T532" s="91" t="s">
        <v>376</v>
      </c>
      <c r="U532" s="91" t="s">
        <v>269</v>
      </c>
      <c r="V532" s="147" t="str">
        <f>IF(Sequencing!G28="Yes","1b0","1b1")</f>
        <v>1b1</v>
      </c>
      <c r="W532" s="132" t="s">
        <v>157</v>
      </c>
    </row>
    <row r="533" spans="1:23" ht="33.75" customHeight="1">
      <c r="A533" s="54"/>
      <c r="B533" s="36"/>
      <c r="C533" s="94"/>
      <c r="D533" s="68"/>
      <c r="E533" s="68"/>
      <c r="F533" s="68">
        <v>0</v>
      </c>
      <c r="G533" s="68"/>
      <c r="H533" s="68"/>
      <c r="I533" s="68"/>
      <c r="J533" s="68"/>
      <c r="K533" s="68"/>
      <c r="L533" s="58" t="s">
        <v>1084</v>
      </c>
      <c r="M533" s="91"/>
      <c r="N533" s="91"/>
      <c r="O533" s="91" t="s">
        <v>197</v>
      </c>
      <c r="P533" s="91" t="s">
        <v>198</v>
      </c>
      <c r="Q533" s="91"/>
      <c r="R533" s="91" t="s">
        <v>198</v>
      </c>
      <c r="S533" s="91"/>
      <c r="T533" s="91" t="s">
        <v>376</v>
      </c>
      <c r="U533" s="91" t="s">
        <v>269</v>
      </c>
      <c r="V533" s="147" t="str">
        <f>IF(Sequencing!H28="Yes","1b0","1b1")</f>
        <v>1b1</v>
      </c>
      <c r="W533" s="132" t="s">
        <v>157</v>
      </c>
    </row>
    <row r="534" spans="1:23" ht="34.5" customHeight="1" thickBot="1">
      <c r="A534" s="32"/>
      <c r="B534" s="36"/>
      <c r="C534" s="94"/>
      <c r="D534" s="68"/>
      <c r="E534" s="68">
        <v>0</v>
      </c>
      <c r="F534" s="68"/>
      <c r="G534" s="68"/>
      <c r="H534" s="68"/>
      <c r="I534" s="68"/>
      <c r="J534" s="68"/>
      <c r="K534" s="68"/>
      <c r="L534" s="58" t="s">
        <v>1085</v>
      </c>
      <c r="M534" s="91"/>
      <c r="N534" s="91"/>
      <c r="O534" s="91" t="s">
        <v>197</v>
      </c>
      <c r="P534" s="91" t="s">
        <v>198</v>
      </c>
      <c r="Q534" s="91"/>
      <c r="R534" s="91" t="s">
        <v>198</v>
      </c>
      <c r="S534" s="91"/>
      <c r="T534" s="91" t="s">
        <v>376</v>
      </c>
      <c r="U534" s="91" t="s">
        <v>269</v>
      </c>
      <c r="V534" s="147" t="str">
        <f>IF(Sequencing!K28="Yes","1b0","1b1")</f>
        <v>1b1</v>
      </c>
      <c r="W534" s="132" t="s">
        <v>157</v>
      </c>
    </row>
    <row r="535" spans="1:23" ht="34.5" customHeight="1" thickBot="1">
      <c r="A535" s="32"/>
      <c r="B535" s="36"/>
      <c r="C535" s="94"/>
      <c r="D535" s="68">
        <v>0</v>
      </c>
      <c r="E535" s="68"/>
      <c r="F535" s="68"/>
      <c r="G535" s="68"/>
      <c r="H535" s="68"/>
      <c r="I535" s="68"/>
      <c r="J535" s="68"/>
      <c r="K535" s="68"/>
      <c r="L535" s="58" t="s">
        <v>1086</v>
      </c>
      <c r="M535" s="91"/>
      <c r="N535" s="91"/>
      <c r="O535" s="91" t="s">
        <v>197</v>
      </c>
      <c r="P535" s="91" t="s">
        <v>198</v>
      </c>
      <c r="Q535" s="91"/>
      <c r="R535" s="91" t="s">
        <v>198</v>
      </c>
      <c r="S535" s="91"/>
      <c r="T535" s="91" t="s">
        <v>376</v>
      </c>
      <c r="U535" s="91" t="s">
        <v>269</v>
      </c>
      <c r="V535" s="147" t="str">
        <f>IF(Sequencing!J28="Yes","1b0","1b1")</f>
        <v>1b1</v>
      </c>
      <c r="W535" s="132" t="s">
        <v>157</v>
      </c>
    </row>
    <row r="536" spans="1:23" ht="13.5" customHeight="1" thickBot="1">
      <c r="A536" s="101" t="s">
        <v>374</v>
      </c>
      <c r="B536" s="36" t="s">
        <v>427</v>
      </c>
      <c r="C536" s="99" t="s">
        <v>428</v>
      </c>
      <c r="D536" s="290"/>
      <c r="E536" s="290"/>
      <c r="F536" s="290"/>
      <c r="G536" s="290"/>
      <c r="H536" s="290"/>
      <c r="I536" s="290"/>
      <c r="J536" s="290"/>
      <c r="K536" s="290"/>
      <c r="L536" s="40" t="str">
        <f>CONCATENATE("LDOA",RIGHT(C536,10))</f>
        <v>LDOA2_CTRL_EN2</v>
      </c>
      <c r="M536" s="33"/>
      <c r="N536" s="33"/>
      <c r="O536" s="33" t="s">
        <v>197</v>
      </c>
      <c r="P536" s="33" t="s">
        <v>198</v>
      </c>
      <c r="Q536" s="33">
        <v>26</v>
      </c>
      <c r="R536" s="33" t="s">
        <v>198</v>
      </c>
      <c r="S536" s="33"/>
      <c r="T536" s="33" t="s">
        <v>376</v>
      </c>
      <c r="U536" s="33" t="s">
        <v>269</v>
      </c>
      <c r="V536" s="146"/>
      <c r="W536" s="205"/>
    </row>
    <row r="537" spans="1:23" ht="33.75" customHeight="1">
      <c r="A537" s="69"/>
      <c r="B537" s="36"/>
      <c r="C537" s="94"/>
      <c r="D537" s="68"/>
      <c r="E537" s="68"/>
      <c r="F537" s="68"/>
      <c r="G537" s="68"/>
      <c r="H537" s="68"/>
      <c r="I537" s="68"/>
      <c r="J537" s="68"/>
      <c r="K537" s="68">
        <v>0</v>
      </c>
      <c r="L537" s="58" t="s">
        <v>1087</v>
      </c>
      <c r="M537" s="91"/>
      <c r="N537" s="91"/>
      <c r="O537" s="91" t="s">
        <v>197</v>
      </c>
      <c r="P537" s="91" t="s">
        <v>198</v>
      </c>
      <c r="Q537" s="91"/>
      <c r="R537" s="91" t="s">
        <v>198</v>
      </c>
      <c r="S537" s="91"/>
      <c r="T537" s="91" t="s">
        <v>376</v>
      </c>
      <c r="U537" s="91" t="s">
        <v>269</v>
      </c>
      <c r="V537" s="147" t="str">
        <f>IF(Sequencing!L28="Yes","1b0","1b1")</f>
        <v>1b1</v>
      </c>
      <c r="W537" s="132" t="s">
        <v>157</v>
      </c>
    </row>
    <row r="538" spans="1:23" ht="33.75" customHeight="1">
      <c r="A538" s="54"/>
      <c r="B538" s="36"/>
      <c r="C538" s="94"/>
      <c r="D538" s="68"/>
      <c r="E538" s="68"/>
      <c r="F538" s="68"/>
      <c r="G538" s="68"/>
      <c r="H538" s="68"/>
      <c r="I538" s="68"/>
      <c r="J538" s="68">
        <v>0</v>
      </c>
      <c r="K538" s="68"/>
      <c r="L538" s="58" t="s">
        <v>1088</v>
      </c>
      <c r="M538" s="91"/>
      <c r="N538" s="91"/>
      <c r="O538" s="91" t="s">
        <v>197</v>
      </c>
      <c r="P538" s="91" t="s">
        <v>198</v>
      </c>
      <c r="Q538" s="91"/>
      <c r="R538" s="91" t="s">
        <v>198</v>
      </c>
      <c r="S538" s="91"/>
      <c r="T538" s="91" t="s">
        <v>376</v>
      </c>
      <c r="U538" s="91" t="s">
        <v>269</v>
      </c>
      <c r="V538" s="147" t="str">
        <f>IF(Sequencing!M28="Yes","1b0","1b1")</f>
        <v>1b1</v>
      </c>
      <c r="W538" s="132" t="s">
        <v>157</v>
      </c>
    </row>
    <row r="539" spans="1:23" ht="13" thickBot="1">
      <c r="A539" s="32"/>
      <c r="B539" s="36"/>
      <c r="C539" s="94"/>
      <c r="D539" s="68"/>
      <c r="E539" s="68"/>
      <c r="F539" s="68"/>
      <c r="G539" s="68">
        <v>2</v>
      </c>
      <c r="H539" s="68">
        <v>1</v>
      </c>
      <c r="I539" s="68">
        <v>0</v>
      </c>
      <c r="J539" s="68"/>
      <c r="K539" s="68"/>
      <c r="L539" s="58" t="s">
        <v>1089</v>
      </c>
      <c r="M539" s="91"/>
      <c r="N539" s="91"/>
      <c r="O539" s="91" t="s">
        <v>197</v>
      </c>
      <c r="P539" s="91" t="s">
        <v>198</v>
      </c>
      <c r="Q539" s="91"/>
      <c r="R539" s="91" t="s">
        <v>198</v>
      </c>
      <c r="S539" s="91"/>
      <c r="T539" s="91" t="s">
        <v>376</v>
      </c>
      <c r="U539" s="91" t="s">
        <v>269</v>
      </c>
      <c r="V539" s="147" t="str">
        <f>INDEX(Sequencing!Z4:Z11,MATCH(Sequencing!C11,Sequencing!Y4:Y11,0))</f>
        <v>3b000</v>
      </c>
      <c r="W539" s="132" t="s">
        <v>158</v>
      </c>
    </row>
    <row r="540" spans="1:23" ht="33.75" customHeight="1">
      <c r="A540" s="54"/>
      <c r="B540" s="36"/>
      <c r="C540" s="94"/>
      <c r="D540" s="68"/>
      <c r="E540" s="68"/>
      <c r="F540" s="68">
        <v>0</v>
      </c>
      <c r="G540" s="68"/>
      <c r="H540" s="68"/>
      <c r="I540" s="68"/>
      <c r="J540" s="68"/>
      <c r="K540" s="68"/>
      <c r="L540" s="58" t="s">
        <v>1090</v>
      </c>
      <c r="M540" s="91"/>
      <c r="N540" s="91"/>
      <c r="O540" s="91" t="s">
        <v>197</v>
      </c>
      <c r="P540" s="91" t="s">
        <v>198</v>
      </c>
      <c r="Q540" s="91"/>
      <c r="R540" s="91" t="s">
        <v>198</v>
      </c>
      <c r="S540" s="91"/>
      <c r="T540" s="91" t="s">
        <v>376</v>
      </c>
      <c r="U540" s="91" t="s">
        <v>269</v>
      </c>
      <c r="V540" s="132" t="s">
        <v>157</v>
      </c>
      <c r="W540" s="132" t="s">
        <v>157</v>
      </c>
    </row>
    <row r="541" spans="1:23" ht="33.75" customHeight="1">
      <c r="A541" s="54"/>
      <c r="B541" s="36"/>
      <c r="C541" s="94"/>
      <c r="D541" s="68"/>
      <c r="E541" s="68">
        <v>0</v>
      </c>
      <c r="F541" s="68"/>
      <c r="G541" s="68"/>
      <c r="H541" s="68"/>
      <c r="I541" s="68"/>
      <c r="J541" s="68"/>
      <c r="K541" s="68"/>
      <c r="L541" s="58" t="s">
        <v>1091</v>
      </c>
      <c r="M541" s="91"/>
      <c r="N541" s="91"/>
      <c r="O541" s="91" t="s">
        <v>197</v>
      </c>
      <c r="P541" s="91" t="s">
        <v>198</v>
      </c>
      <c r="Q541" s="91"/>
      <c r="R541" s="91" t="s">
        <v>198</v>
      </c>
      <c r="S541" s="91"/>
      <c r="T541" s="91" t="s">
        <v>376</v>
      </c>
      <c r="U541" s="91" t="s">
        <v>269</v>
      </c>
      <c r="V541" s="132" t="s">
        <v>159</v>
      </c>
      <c r="W541" s="148" t="s">
        <v>159</v>
      </c>
    </row>
    <row r="542" spans="1:23" ht="34.5" customHeight="1" thickBot="1">
      <c r="A542" s="32"/>
      <c r="B542" s="36"/>
      <c r="C542" s="94"/>
      <c r="D542" s="68">
        <v>0</v>
      </c>
      <c r="E542" s="68"/>
      <c r="F542" s="68"/>
      <c r="G542" s="68"/>
      <c r="H542" s="68"/>
      <c r="I542" s="68"/>
      <c r="J542" s="68"/>
      <c r="K542" s="68"/>
      <c r="L542" s="58" t="s">
        <v>1092</v>
      </c>
      <c r="M542" s="91"/>
      <c r="N542" s="91"/>
      <c r="O542" s="91" t="s">
        <v>197</v>
      </c>
      <c r="P542" s="91" t="s">
        <v>198</v>
      </c>
      <c r="Q542" s="91"/>
      <c r="R542" s="91" t="s">
        <v>198</v>
      </c>
      <c r="S542" s="91"/>
      <c r="T542" s="91" t="s">
        <v>376</v>
      </c>
      <c r="U542" s="91" t="s">
        <v>269</v>
      </c>
      <c r="V542" s="132" t="s">
        <v>157</v>
      </c>
      <c r="W542" s="132" t="s">
        <v>157</v>
      </c>
    </row>
    <row r="543" spans="1:23" ht="13.5" customHeight="1" thickBot="1">
      <c r="A543" s="101" t="s">
        <v>374</v>
      </c>
      <c r="B543" s="36" t="s">
        <v>429</v>
      </c>
      <c r="C543" s="99" t="s">
        <v>430</v>
      </c>
      <c r="D543" s="290"/>
      <c r="E543" s="290"/>
      <c r="F543" s="290"/>
      <c r="G543" s="290"/>
      <c r="H543" s="290"/>
      <c r="I543" s="290"/>
      <c r="J543" s="290"/>
      <c r="K543" s="290"/>
      <c r="L543" s="40" t="str">
        <f>CONCATENATE("LDOA",RIGHT(C543,10))</f>
        <v>LDOA2_CTRL_EN3</v>
      </c>
      <c r="M543" s="33"/>
      <c r="N543" s="33"/>
      <c r="O543" s="33" t="s">
        <v>197</v>
      </c>
      <c r="P543" s="33" t="s">
        <v>198</v>
      </c>
      <c r="Q543" s="33">
        <v>27</v>
      </c>
      <c r="R543" s="33" t="s">
        <v>198</v>
      </c>
      <c r="S543" s="33"/>
      <c r="T543" s="33" t="s">
        <v>376</v>
      </c>
      <c r="U543" s="33" t="s">
        <v>269</v>
      </c>
      <c r="V543" s="146"/>
      <c r="W543" s="205"/>
    </row>
    <row r="544" spans="1:23" ht="112.5" customHeight="1">
      <c r="A544" s="69"/>
      <c r="B544" s="36"/>
      <c r="C544" s="94"/>
      <c r="D544" s="68"/>
      <c r="E544" s="68"/>
      <c r="F544" s="68"/>
      <c r="G544" s="68"/>
      <c r="H544" s="68"/>
      <c r="I544" s="68">
        <v>2</v>
      </c>
      <c r="J544" s="68">
        <v>1</v>
      </c>
      <c r="K544" s="68">
        <v>0</v>
      </c>
      <c r="L544" s="58" t="s">
        <v>1093</v>
      </c>
      <c r="M544" s="91"/>
      <c r="N544" s="91"/>
      <c r="O544" s="91" t="s">
        <v>197</v>
      </c>
      <c r="P544" s="91" t="s">
        <v>198</v>
      </c>
      <c r="Q544" s="91"/>
      <c r="R544" s="91" t="s">
        <v>198</v>
      </c>
      <c r="S544" s="91"/>
      <c r="T544" s="91" t="s">
        <v>376</v>
      </c>
      <c r="U544" s="91" t="s">
        <v>269</v>
      </c>
      <c r="V544" s="147" t="str">
        <f>INDEX(Sequencing!AI4:AI12,MATCH(Sequencing!U28,Sequencing!AH4:AH12,0))</f>
        <v>3b010</v>
      </c>
      <c r="W544" s="132" t="s">
        <v>158</v>
      </c>
    </row>
    <row r="545" spans="1:23" ht="112.5" customHeight="1">
      <c r="A545" s="54"/>
      <c r="B545" s="36"/>
      <c r="C545" s="94"/>
      <c r="D545" s="68"/>
      <c r="E545" s="68"/>
      <c r="F545" s="68">
        <v>2</v>
      </c>
      <c r="G545" s="68">
        <v>1</v>
      </c>
      <c r="H545" s="68">
        <v>0</v>
      </c>
      <c r="I545" s="68"/>
      <c r="J545" s="68"/>
      <c r="K545" s="68"/>
      <c r="L545" s="58" t="s">
        <v>1094</v>
      </c>
      <c r="M545" s="91"/>
      <c r="N545" s="91"/>
      <c r="O545" s="91" t="s">
        <v>197</v>
      </c>
      <c r="P545" s="91" t="s">
        <v>198</v>
      </c>
      <c r="Q545" s="91"/>
      <c r="R545" s="91" t="s">
        <v>198</v>
      </c>
      <c r="S545" s="91"/>
      <c r="T545" s="91" t="s">
        <v>376</v>
      </c>
      <c r="U545" s="91" t="s">
        <v>269</v>
      </c>
      <c r="V545" s="147" t="str">
        <f>INDEX(Sequencing!AI4:AI12,MATCH(Sequencing!V28,Sequencing!AH4:AH12,0))</f>
        <v>3b010</v>
      </c>
      <c r="W545" s="132" t="s">
        <v>158</v>
      </c>
    </row>
    <row r="546" spans="1:23" ht="56.25" customHeight="1" thickBot="1">
      <c r="A546" s="54"/>
      <c r="B546" s="36"/>
      <c r="C546" s="94"/>
      <c r="D546" s="68">
        <v>1</v>
      </c>
      <c r="E546" s="68">
        <v>0</v>
      </c>
      <c r="F546" s="68"/>
      <c r="G546" s="68"/>
      <c r="H546" s="68"/>
      <c r="I546" s="68"/>
      <c r="J546" s="68"/>
      <c r="K546" s="68"/>
      <c r="L546" s="58" t="s">
        <v>1095</v>
      </c>
      <c r="M546" s="91"/>
      <c r="N546" s="91"/>
      <c r="O546" s="91" t="s">
        <v>197</v>
      </c>
      <c r="P546" s="91" t="s">
        <v>198</v>
      </c>
      <c r="Q546" s="91"/>
      <c r="R546" s="91" t="s">
        <v>198</v>
      </c>
      <c r="S546" s="91"/>
      <c r="T546" s="91" t="s">
        <v>376</v>
      </c>
      <c r="U546" s="91" t="s">
        <v>269</v>
      </c>
      <c r="V546" s="132" t="str">
        <f>INDEX(Overview!AJ13:AJ17,MATCH(Overview!C38,Overview!AI13:AI17,0))</f>
        <v>2b00</v>
      </c>
      <c r="W546" s="201" t="s">
        <v>156</v>
      </c>
    </row>
    <row r="547" spans="1:23" ht="13.5" customHeight="1" thickBot="1">
      <c r="A547" s="101" t="s">
        <v>374</v>
      </c>
      <c r="B547" s="36" t="s">
        <v>431</v>
      </c>
      <c r="C547" s="99" t="s">
        <v>432</v>
      </c>
      <c r="D547" s="290"/>
      <c r="E547" s="290"/>
      <c r="F547" s="290"/>
      <c r="G547" s="290"/>
      <c r="H547" s="290"/>
      <c r="I547" s="290"/>
      <c r="J547" s="290"/>
      <c r="K547" s="290"/>
      <c r="L547" s="40" t="str">
        <f>CONCATENATE("LDOA",RIGHT(C547,10))</f>
        <v>LDOA3_CTRL_EN1</v>
      </c>
      <c r="M547" s="33"/>
      <c r="N547" s="33"/>
      <c r="O547" s="33" t="s">
        <v>197</v>
      </c>
      <c r="P547" s="33" t="s">
        <v>198</v>
      </c>
      <c r="Q547" s="33">
        <v>28</v>
      </c>
      <c r="R547" s="33" t="s">
        <v>198</v>
      </c>
      <c r="S547" s="33"/>
      <c r="T547" s="33" t="s">
        <v>376</v>
      </c>
      <c r="U547" s="33" t="s">
        <v>269</v>
      </c>
      <c r="V547" s="146"/>
      <c r="W547" s="205"/>
    </row>
    <row r="548" spans="1:23" ht="33.75" customHeight="1">
      <c r="A548" s="69"/>
      <c r="B548" s="36"/>
      <c r="C548" s="94"/>
      <c r="D548" s="68"/>
      <c r="E548" s="68"/>
      <c r="F548" s="68"/>
      <c r="G548" s="68"/>
      <c r="H548" s="68"/>
      <c r="I548" s="68"/>
      <c r="J548" s="68"/>
      <c r="K548" s="68">
        <v>0</v>
      </c>
      <c r="L548" s="58" t="s">
        <v>1096</v>
      </c>
      <c r="M548" s="91"/>
      <c r="N548" s="91"/>
      <c r="O548" s="91" t="s">
        <v>197</v>
      </c>
      <c r="P548" s="91" t="s">
        <v>198</v>
      </c>
      <c r="Q548" s="91"/>
      <c r="R548" s="91" t="s">
        <v>198</v>
      </c>
      <c r="S548" s="91"/>
      <c r="T548" s="91" t="s">
        <v>376</v>
      </c>
      <c r="U548" s="91" t="s">
        <v>269</v>
      </c>
      <c r="V548" s="147" t="str">
        <f>IF(Sequencing!C29="Yes","1b0","1b1")</f>
        <v>1b0</v>
      </c>
      <c r="W548" s="132" t="s">
        <v>157</v>
      </c>
    </row>
    <row r="549" spans="1:23" ht="33.75" customHeight="1">
      <c r="A549" s="54"/>
      <c r="B549" s="36"/>
      <c r="C549" s="94"/>
      <c r="D549" s="68"/>
      <c r="E549" s="68"/>
      <c r="F549" s="68"/>
      <c r="G549" s="68"/>
      <c r="H549" s="68"/>
      <c r="I549" s="68"/>
      <c r="J549" s="68">
        <v>0</v>
      </c>
      <c r="K549" s="68"/>
      <c r="L549" s="58" t="s">
        <v>1097</v>
      </c>
      <c r="M549" s="91"/>
      <c r="N549" s="91"/>
      <c r="O549" s="91" t="s">
        <v>197</v>
      </c>
      <c r="P549" s="91" t="s">
        <v>198</v>
      </c>
      <c r="Q549" s="91"/>
      <c r="R549" s="91" t="s">
        <v>198</v>
      </c>
      <c r="S549" s="91"/>
      <c r="T549" s="91" t="s">
        <v>376</v>
      </c>
      <c r="U549" s="91" t="s">
        <v>269</v>
      </c>
      <c r="V549" s="147" t="str">
        <f>IF(Sequencing!D29="Yes","1b0","1b1")</f>
        <v>1b1</v>
      </c>
      <c r="W549" s="132" t="s">
        <v>157</v>
      </c>
    </row>
    <row r="550" spans="1:23" ht="34.5" customHeight="1" thickBot="1">
      <c r="A550" s="32"/>
      <c r="B550" s="36"/>
      <c r="C550" s="94"/>
      <c r="D550" s="68"/>
      <c r="E550" s="68"/>
      <c r="F550" s="68"/>
      <c r="G550" s="68"/>
      <c r="H550" s="68"/>
      <c r="I550" s="68">
        <v>0</v>
      </c>
      <c r="J550" s="68"/>
      <c r="K550" s="68"/>
      <c r="L550" s="58" t="s">
        <v>1098</v>
      </c>
      <c r="M550" s="91"/>
      <c r="N550" s="91"/>
      <c r="O550" s="91" t="s">
        <v>197</v>
      </c>
      <c r="P550" s="91" t="s">
        <v>198</v>
      </c>
      <c r="Q550" s="91"/>
      <c r="R550" s="91" t="s">
        <v>198</v>
      </c>
      <c r="S550" s="91"/>
      <c r="T550" s="91" t="s">
        <v>376</v>
      </c>
      <c r="U550" s="91" t="s">
        <v>269</v>
      </c>
      <c r="V550" s="147" t="str">
        <f>IF(Sequencing!E29="Yes","1b0","1b1")</f>
        <v>1b1</v>
      </c>
      <c r="W550" s="132" t="s">
        <v>157</v>
      </c>
    </row>
    <row r="551" spans="1:23" ht="34.5" customHeight="1" thickBot="1">
      <c r="A551" s="32"/>
      <c r="B551" s="36"/>
      <c r="C551" s="94"/>
      <c r="D551" s="68"/>
      <c r="E551" s="68"/>
      <c r="F551" s="68"/>
      <c r="G551" s="68"/>
      <c r="H551" s="68">
        <v>0</v>
      </c>
      <c r="I551" s="68"/>
      <c r="J551" s="68"/>
      <c r="K551" s="68"/>
      <c r="L551" s="58" t="s">
        <v>1099</v>
      </c>
      <c r="M551" s="91"/>
      <c r="N551" s="91"/>
      <c r="O551" s="91" t="s">
        <v>197</v>
      </c>
      <c r="P551" s="91" t="s">
        <v>198</v>
      </c>
      <c r="Q551" s="91"/>
      <c r="R551" s="91" t="s">
        <v>198</v>
      </c>
      <c r="S551" s="91"/>
      <c r="T551" s="91" t="s">
        <v>376</v>
      </c>
      <c r="U551" s="91" t="s">
        <v>269</v>
      </c>
      <c r="V551" s="147" t="str">
        <f>IF(Sequencing!F29="Yes","1b0","1b1")</f>
        <v>1b1</v>
      </c>
      <c r="W551" s="132" t="s">
        <v>157</v>
      </c>
    </row>
    <row r="552" spans="1:23" ht="33.75" customHeight="1">
      <c r="A552" s="69"/>
      <c r="B552" s="36"/>
      <c r="C552" s="94"/>
      <c r="D552" s="68"/>
      <c r="E552" s="68"/>
      <c r="F552" s="68"/>
      <c r="G552" s="68">
        <v>0</v>
      </c>
      <c r="H552" s="68"/>
      <c r="I552" s="68"/>
      <c r="J552" s="68"/>
      <c r="K552" s="68"/>
      <c r="L552" s="58" t="s">
        <v>1100</v>
      </c>
      <c r="M552" s="91"/>
      <c r="N552" s="91"/>
      <c r="O552" s="91" t="s">
        <v>197</v>
      </c>
      <c r="P552" s="91" t="s">
        <v>198</v>
      </c>
      <c r="Q552" s="91"/>
      <c r="R552" s="91" t="s">
        <v>198</v>
      </c>
      <c r="S552" s="91"/>
      <c r="T552" s="91" t="s">
        <v>376</v>
      </c>
      <c r="U552" s="91" t="s">
        <v>269</v>
      </c>
      <c r="V552" s="147" t="str">
        <f>IF(Sequencing!G29="Yes","1b0","1b1")</f>
        <v>1b1</v>
      </c>
      <c r="W552" s="132" t="s">
        <v>157</v>
      </c>
    </row>
    <row r="553" spans="1:23" ht="33.75" customHeight="1">
      <c r="A553" s="54"/>
      <c r="B553" s="36"/>
      <c r="C553" s="94"/>
      <c r="D553" s="68"/>
      <c r="E553" s="68"/>
      <c r="F553" s="68">
        <v>0</v>
      </c>
      <c r="G553" s="68"/>
      <c r="H553" s="68"/>
      <c r="I553" s="68"/>
      <c r="J553" s="68"/>
      <c r="K553" s="68"/>
      <c r="L553" s="58" t="s">
        <v>1101</v>
      </c>
      <c r="M553" s="91"/>
      <c r="N553" s="91"/>
      <c r="O553" s="91" t="s">
        <v>197</v>
      </c>
      <c r="P553" s="91" t="s">
        <v>198</v>
      </c>
      <c r="Q553" s="91"/>
      <c r="R553" s="91" t="s">
        <v>198</v>
      </c>
      <c r="S553" s="91"/>
      <c r="T553" s="91" t="s">
        <v>376</v>
      </c>
      <c r="U553" s="91" t="s">
        <v>269</v>
      </c>
      <c r="V553" s="147" t="str">
        <f>IF(Sequencing!H29="Yes","1b0","1b1")</f>
        <v>1b1</v>
      </c>
      <c r="W553" s="132" t="s">
        <v>157</v>
      </c>
    </row>
    <row r="554" spans="1:23" ht="34.5" customHeight="1" thickBot="1">
      <c r="A554" s="32"/>
      <c r="B554" s="36"/>
      <c r="C554" s="94"/>
      <c r="D554" s="68"/>
      <c r="E554" s="68">
        <v>0</v>
      </c>
      <c r="F554" s="68"/>
      <c r="G554" s="68"/>
      <c r="H554" s="68"/>
      <c r="I554" s="68"/>
      <c r="J554" s="68"/>
      <c r="K554" s="68"/>
      <c r="L554" s="58" t="s">
        <v>1102</v>
      </c>
      <c r="M554" s="91"/>
      <c r="N554" s="91"/>
      <c r="O554" s="91" t="s">
        <v>197</v>
      </c>
      <c r="P554" s="91" t="s">
        <v>198</v>
      </c>
      <c r="Q554" s="91"/>
      <c r="R554" s="91" t="s">
        <v>198</v>
      </c>
      <c r="S554" s="91"/>
      <c r="T554" s="91" t="s">
        <v>376</v>
      </c>
      <c r="U554" s="91" t="s">
        <v>269</v>
      </c>
      <c r="V554" s="147" t="str">
        <f>IF(Sequencing!K29="Yes","1b0","1b1")</f>
        <v>1b1</v>
      </c>
      <c r="W554" s="132" t="s">
        <v>157</v>
      </c>
    </row>
    <row r="555" spans="1:23" ht="34.5" customHeight="1" thickBot="1">
      <c r="A555" s="32"/>
      <c r="B555" s="36"/>
      <c r="C555" s="94"/>
      <c r="D555" s="68">
        <v>0</v>
      </c>
      <c r="E555" s="68"/>
      <c r="F555" s="68"/>
      <c r="G555" s="68"/>
      <c r="H555" s="68"/>
      <c r="I555" s="68"/>
      <c r="J555" s="68"/>
      <c r="K555" s="68"/>
      <c r="L555" s="58" t="s">
        <v>1103</v>
      </c>
      <c r="M555" s="91"/>
      <c r="N555" s="91"/>
      <c r="O555" s="91" t="s">
        <v>197</v>
      </c>
      <c r="P555" s="91" t="s">
        <v>198</v>
      </c>
      <c r="Q555" s="91"/>
      <c r="R555" s="91" t="s">
        <v>198</v>
      </c>
      <c r="S555" s="91"/>
      <c r="T555" s="91" t="s">
        <v>376</v>
      </c>
      <c r="U555" s="91" t="s">
        <v>269</v>
      </c>
      <c r="V555" s="147" t="str">
        <f>IF(Sequencing!I29="Yes","1b0","1b1")</f>
        <v>1b1</v>
      </c>
      <c r="W555" s="132" t="s">
        <v>157</v>
      </c>
    </row>
    <row r="556" spans="1:23" ht="13.5" customHeight="1" thickBot="1">
      <c r="A556" s="101" t="s">
        <v>374</v>
      </c>
      <c r="B556" s="36" t="s">
        <v>220</v>
      </c>
      <c r="C556" s="99" t="s">
        <v>433</v>
      </c>
      <c r="D556" s="290"/>
      <c r="E556" s="290"/>
      <c r="F556" s="290"/>
      <c r="G556" s="290"/>
      <c r="H556" s="290"/>
      <c r="I556" s="290"/>
      <c r="J556" s="290"/>
      <c r="K556" s="290"/>
      <c r="L556" s="40" t="str">
        <f>CONCATENATE("LDOA",RIGHT(C556,10))</f>
        <v>LDOA3_CTRL_EN2</v>
      </c>
      <c r="M556" s="33"/>
      <c r="N556" s="33"/>
      <c r="O556" s="33" t="s">
        <v>197</v>
      </c>
      <c r="P556" s="33" t="s">
        <v>198</v>
      </c>
      <c r="Q556" s="33">
        <v>29</v>
      </c>
      <c r="R556" s="33" t="s">
        <v>198</v>
      </c>
      <c r="S556" s="33"/>
      <c r="T556" s="33" t="s">
        <v>376</v>
      </c>
      <c r="U556" s="33" t="s">
        <v>269</v>
      </c>
      <c r="V556" s="146"/>
      <c r="W556" s="205"/>
    </row>
    <row r="557" spans="1:23" ht="33.75" customHeight="1">
      <c r="A557" s="69"/>
      <c r="B557" s="36"/>
      <c r="C557" s="94"/>
      <c r="D557" s="68"/>
      <c r="E557" s="68"/>
      <c r="F557" s="68"/>
      <c r="G557" s="68"/>
      <c r="H557" s="68"/>
      <c r="I557" s="68"/>
      <c r="J557" s="68"/>
      <c r="K557" s="68">
        <v>0</v>
      </c>
      <c r="L557" s="58" t="s">
        <v>1104</v>
      </c>
      <c r="M557" s="91"/>
      <c r="N557" s="91"/>
      <c r="O557" s="91" t="s">
        <v>197</v>
      </c>
      <c r="P557" s="91" t="s">
        <v>198</v>
      </c>
      <c r="Q557" s="91"/>
      <c r="R557" s="91" t="s">
        <v>198</v>
      </c>
      <c r="S557" s="91"/>
      <c r="T557" s="91" t="s">
        <v>376</v>
      </c>
      <c r="U557" s="91" t="s">
        <v>269</v>
      </c>
      <c r="V557" s="147" t="str">
        <f>IF(Sequencing!L29="Yes","1b0","1b1")</f>
        <v>1b1</v>
      </c>
      <c r="W557" s="132" t="s">
        <v>157</v>
      </c>
    </row>
    <row r="558" spans="1:23" ht="33.75" customHeight="1">
      <c r="A558" s="54"/>
      <c r="B558" s="36"/>
      <c r="C558" s="94"/>
      <c r="D558" s="68"/>
      <c r="E558" s="68"/>
      <c r="F558" s="68"/>
      <c r="G558" s="68"/>
      <c r="H558" s="68"/>
      <c r="I558" s="68"/>
      <c r="J558" s="68">
        <v>0</v>
      </c>
      <c r="K558" s="68"/>
      <c r="L558" s="58" t="s">
        <v>1105</v>
      </c>
      <c r="M558" s="91"/>
      <c r="N558" s="91"/>
      <c r="O558" s="91" t="s">
        <v>197</v>
      </c>
      <c r="P558" s="91" t="s">
        <v>198</v>
      </c>
      <c r="Q558" s="91"/>
      <c r="R558" s="91" t="s">
        <v>198</v>
      </c>
      <c r="S558" s="91"/>
      <c r="T558" s="91" t="s">
        <v>376</v>
      </c>
      <c r="U558" s="91" t="s">
        <v>269</v>
      </c>
      <c r="V558" s="147" t="str">
        <f>IF(Sequencing!M29="Yes","1b0","1b1")</f>
        <v>1b1</v>
      </c>
      <c r="W558" s="132" t="s">
        <v>157</v>
      </c>
    </row>
    <row r="559" spans="1:23" ht="102" customHeight="1" thickBot="1">
      <c r="A559" s="32"/>
      <c r="B559" s="36"/>
      <c r="C559" s="94"/>
      <c r="D559" s="68"/>
      <c r="E559" s="68"/>
      <c r="F559" s="68"/>
      <c r="G559" s="68">
        <v>2</v>
      </c>
      <c r="H559" s="68">
        <v>1</v>
      </c>
      <c r="I559" s="68">
        <v>0</v>
      </c>
      <c r="J559" s="68"/>
      <c r="K559" s="68"/>
      <c r="L559" s="58" t="s">
        <v>1106</v>
      </c>
      <c r="M559" s="91"/>
      <c r="N559" s="91"/>
      <c r="O559" s="91" t="s">
        <v>197</v>
      </c>
      <c r="P559" s="91" t="s">
        <v>198</v>
      </c>
      <c r="Q559" s="91"/>
      <c r="R559" s="91" t="s">
        <v>198</v>
      </c>
      <c r="S559" s="91"/>
      <c r="T559" s="91" t="s">
        <v>376</v>
      </c>
      <c r="U559" s="91" t="s">
        <v>269</v>
      </c>
      <c r="V559" s="147" t="str">
        <f>INDEX(Sequencing!Z4:Z11,MATCH(Sequencing!C12,Sequencing!Y4:Y11,0))</f>
        <v>3b000</v>
      </c>
      <c r="W559" s="132" t="s">
        <v>158</v>
      </c>
    </row>
    <row r="560" spans="1:23" ht="34.5" customHeight="1" thickBot="1">
      <c r="A560" s="32"/>
      <c r="B560" s="36"/>
      <c r="C560" s="94"/>
      <c r="D560" s="68"/>
      <c r="E560" s="68"/>
      <c r="F560" s="68">
        <v>0</v>
      </c>
      <c r="G560" s="68"/>
      <c r="H560" s="68"/>
      <c r="I560" s="68"/>
      <c r="J560" s="68"/>
      <c r="K560" s="68"/>
      <c r="L560" s="58" t="s">
        <v>1107</v>
      </c>
      <c r="M560" s="91"/>
      <c r="N560" s="91"/>
      <c r="O560" s="91" t="s">
        <v>197</v>
      </c>
      <c r="P560" s="91" t="s">
        <v>198</v>
      </c>
      <c r="Q560" s="91"/>
      <c r="R560" s="91" t="s">
        <v>198</v>
      </c>
      <c r="S560" s="91"/>
      <c r="T560" s="91" t="s">
        <v>376</v>
      </c>
      <c r="U560" s="91" t="s">
        <v>269</v>
      </c>
      <c r="V560" s="132" t="s">
        <v>157</v>
      </c>
      <c r="W560" s="132" t="s">
        <v>157</v>
      </c>
    </row>
    <row r="561" spans="1:23" ht="34.5" customHeight="1" thickBot="1">
      <c r="A561" s="32"/>
      <c r="B561" s="36"/>
      <c r="C561" s="94"/>
      <c r="D561" s="68"/>
      <c r="E561" s="68">
        <v>0</v>
      </c>
      <c r="F561" s="68"/>
      <c r="G561" s="68"/>
      <c r="H561" s="68"/>
      <c r="I561" s="68"/>
      <c r="J561" s="68"/>
      <c r="K561" s="68"/>
      <c r="L561" s="58" t="s">
        <v>1108</v>
      </c>
      <c r="M561" s="91"/>
      <c r="N561" s="91"/>
      <c r="O561" s="91" t="s">
        <v>197</v>
      </c>
      <c r="P561" s="91" t="s">
        <v>198</v>
      </c>
      <c r="Q561" s="91"/>
      <c r="R561" s="91" t="s">
        <v>198</v>
      </c>
      <c r="S561" s="91"/>
      <c r="T561" s="91" t="s">
        <v>376</v>
      </c>
      <c r="U561" s="91" t="s">
        <v>269</v>
      </c>
      <c r="V561" s="132" t="s">
        <v>157</v>
      </c>
      <c r="W561" s="132" t="s">
        <v>157</v>
      </c>
    </row>
    <row r="562" spans="1:23" ht="13" thickBot="1">
      <c r="A562" s="32"/>
      <c r="B562" s="36"/>
      <c r="C562" s="94"/>
      <c r="D562" s="68">
        <v>0</v>
      </c>
      <c r="E562" s="68"/>
      <c r="F562" s="68"/>
      <c r="G562" s="68"/>
      <c r="H562" s="68"/>
      <c r="I562" s="68"/>
      <c r="J562" s="68"/>
      <c r="K562" s="68"/>
      <c r="L562" s="58" t="s">
        <v>1109</v>
      </c>
      <c r="M562" s="91"/>
      <c r="N562" s="91"/>
      <c r="O562" s="91" t="s">
        <v>197</v>
      </c>
      <c r="P562" s="91" t="s">
        <v>198</v>
      </c>
      <c r="Q562" s="91"/>
      <c r="R562" s="91" t="s">
        <v>198</v>
      </c>
      <c r="S562" s="91"/>
      <c r="T562" s="91" t="s">
        <v>376</v>
      </c>
      <c r="U562" s="91" t="s">
        <v>269</v>
      </c>
      <c r="V562" s="132" t="str">
        <f>IF(LEFT(Sequencing!F10,4)="CTL2","1b1","1b0")</f>
        <v>1b0</v>
      </c>
      <c r="W562" s="132" t="s">
        <v>157</v>
      </c>
    </row>
    <row r="563" spans="1:23" ht="13.5" customHeight="1" thickBot="1">
      <c r="A563" s="101" t="s">
        <v>374</v>
      </c>
      <c r="B563" s="36" t="s">
        <v>224</v>
      </c>
      <c r="C563" s="99" t="s">
        <v>434</v>
      </c>
      <c r="D563" s="290"/>
      <c r="E563" s="290"/>
      <c r="F563" s="290"/>
      <c r="G563" s="290"/>
      <c r="H563" s="290"/>
      <c r="I563" s="290"/>
      <c r="J563" s="290"/>
      <c r="K563" s="290"/>
      <c r="L563" s="40" t="str">
        <f>CONCATENATE("LDOA",RIGHT(C563,10))</f>
        <v>LDOA3_CTRL_EN3</v>
      </c>
      <c r="M563" s="33"/>
      <c r="N563" s="33"/>
      <c r="O563" s="33" t="s">
        <v>197</v>
      </c>
      <c r="P563" s="33" t="s">
        <v>198</v>
      </c>
      <c r="Q563" s="33">
        <v>30</v>
      </c>
      <c r="R563" s="33" t="s">
        <v>198</v>
      </c>
      <c r="S563" s="33"/>
      <c r="T563" s="33" t="s">
        <v>376</v>
      </c>
      <c r="U563" s="33" t="s">
        <v>269</v>
      </c>
      <c r="V563" s="146"/>
      <c r="W563" s="205"/>
    </row>
    <row r="564" spans="1:23" ht="112.5" customHeight="1">
      <c r="A564" s="69"/>
      <c r="B564" s="36"/>
      <c r="C564" s="94"/>
      <c r="D564" s="68"/>
      <c r="E564" s="68"/>
      <c r="F564" s="68"/>
      <c r="G564" s="68"/>
      <c r="H564" s="68"/>
      <c r="I564" s="68">
        <v>2</v>
      </c>
      <c r="J564" s="68">
        <v>1</v>
      </c>
      <c r="K564" s="68">
        <v>0</v>
      </c>
      <c r="L564" s="58" t="s">
        <v>1110</v>
      </c>
      <c r="M564" s="91"/>
      <c r="N564" s="91"/>
      <c r="O564" s="91" t="s">
        <v>197</v>
      </c>
      <c r="P564" s="91" t="s">
        <v>198</v>
      </c>
      <c r="Q564" s="91"/>
      <c r="R564" s="91" t="s">
        <v>198</v>
      </c>
      <c r="S564" s="91"/>
      <c r="T564" s="91" t="s">
        <v>376</v>
      </c>
      <c r="U564" s="91" t="s">
        <v>269</v>
      </c>
      <c r="V564" s="147" t="str">
        <f>INDEX(Sequencing!AI4:AI12,MATCH(Sequencing!U29,Sequencing!AH4:AH12,0))</f>
        <v>3b100</v>
      </c>
      <c r="W564" s="132" t="s">
        <v>158</v>
      </c>
    </row>
    <row r="565" spans="1:23" ht="112.5" customHeight="1">
      <c r="A565" s="54"/>
      <c r="B565" s="36"/>
      <c r="C565" s="94"/>
      <c r="D565" s="68"/>
      <c r="E565" s="68"/>
      <c r="F565" s="68">
        <v>2</v>
      </c>
      <c r="G565" s="68">
        <v>1</v>
      </c>
      <c r="H565" s="68">
        <v>0</v>
      </c>
      <c r="I565" s="68"/>
      <c r="J565" s="68"/>
      <c r="K565" s="68"/>
      <c r="L565" s="58" t="s">
        <v>1111</v>
      </c>
      <c r="M565" s="91"/>
      <c r="N565" s="91"/>
      <c r="O565" s="91" t="s">
        <v>197</v>
      </c>
      <c r="P565" s="91" t="s">
        <v>198</v>
      </c>
      <c r="Q565" s="91"/>
      <c r="R565" s="91" t="s">
        <v>198</v>
      </c>
      <c r="S565" s="91"/>
      <c r="T565" s="91" t="s">
        <v>376</v>
      </c>
      <c r="U565" s="91" t="s">
        <v>269</v>
      </c>
      <c r="V565" s="147" t="str">
        <f>INDEX(Sequencing!AI4:AI12,MATCH(Sequencing!V29,Sequencing!AH4:AH12,0))</f>
        <v>3b100</v>
      </c>
      <c r="W565" s="132" t="s">
        <v>158</v>
      </c>
    </row>
    <row r="566" spans="1:23" ht="45" customHeight="1">
      <c r="A566" s="54"/>
      <c r="B566" s="36"/>
      <c r="C566" s="94"/>
      <c r="D566" s="68"/>
      <c r="E566" s="68">
        <v>0</v>
      </c>
      <c r="F566" s="68"/>
      <c r="G566" s="68"/>
      <c r="H566" s="68"/>
      <c r="I566" s="68"/>
      <c r="J566" s="68"/>
      <c r="K566" s="68"/>
      <c r="L566" s="58" t="s">
        <v>1112</v>
      </c>
      <c r="M566" s="91"/>
      <c r="N566" s="91"/>
      <c r="O566" s="91" t="s">
        <v>197</v>
      </c>
      <c r="P566" s="91" t="s">
        <v>198</v>
      </c>
      <c r="Q566" s="91"/>
      <c r="R566" s="91" t="s">
        <v>198</v>
      </c>
      <c r="S566" s="91"/>
      <c r="T566" s="91" t="s">
        <v>376</v>
      </c>
      <c r="U566" s="91" t="s">
        <v>269</v>
      </c>
      <c r="V566" s="132" t="str">
        <f>IF(Overview!C33="Yes","1b1","1b0")</f>
        <v>1b1</v>
      </c>
      <c r="W566" s="132" t="s">
        <v>157</v>
      </c>
    </row>
    <row r="567" spans="1:23" ht="13" thickBot="1">
      <c r="A567" s="54"/>
      <c r="B567" s="36"/>
      <c r="C567" s="94"/>
      <c r="D567" s="68">
        <v>0</v>
      </c>
      <c r="E567" s="68"/>
      <c r="F567" s="68"/>
      <c r="G567" s="68"/>
      <c r="H567" s="68"/>
      <c r="I567" s="68"/>
      <c r="J567" s="68"/>
      <c r="K567" s="68"/>
      <c r="L567" s="58" t="s">
        <v>1113</v>
      </c>
      <c r="M567" s="91"/>
      <c r="N567" s="91"/>
      <c r="O567" s="91" t="s">
        <v>197</v>
      </c>
      <c r="P567" s="91" t="s">
        <v>198</v>
      </c>
      <c r="Q567" s="91"/>
      <c r="R567" s="91" t="s">
        <v>198</v>
      </c>
      <c r="S567" s="91"/>
      <c r="T567" s="91" t="s">
        <v>376</v>
      </c>
      <c r="U567" s="91" t="s">
        <v>269</v>
      </c>
      <c r="V567" s="132" t="str">
        <f>IF(Overview!C35="Yes","1b1","1b0")</f>
        <v>1b0</v>
      </c>
      <c r="W567" s="132" t="s">
        <v>157</v>
      </c>
    </row>
    <row r="568" spans="1:23" ht="13.5" customHeight="1" thickBot="1">
      <c r="A568" s="101" t="s">
        <v>374</v>
      </c>
      <c r="B568" s="36" t="s">
        <v>228</v>
      </c>
      <c r="C568" s="99" t="s">
        <v>435</v>
      </c>
      <c r="D568" s="290"/>
      <c r="E568" s="290"/>
      <c r="F568" s="290"/>
      <c r="G568" s="290"/>
      <c r="H568" s="290"/>
      <c r="I568" s="290"/>
      <c r="J568" s="290"/>
      <c r="K568" s="290"/>
      <c r="L568" s="40" t="str">
        <f>CONCATENATE("SWB",RIGHT(C568,10))</f>
        <v>SWB1_CTRL_EN1</v>
      </c>
      <c r="M568" s="33"/>
      <c r="N568" s="33"/>
      <c r="O568" s="33" t="s">
        <v>197</v>
      </c>
      <c r="P568" s="33" t="s">
        <v>198</v>
      </c>
      <c r="Q568" s="33">
        <v>31</v>
      </c>
      <c r="R568" s="33" t="s">
        <v>198</v>
      </c>
      <c r="S568" s="33"/>
      <c r="T568" s="33" t="s">
        <v>376</v>
      </c>
      <c r="U568" s="33" t="s">
        <v>269</v>
      </c>
      <c r="V568" s="146"/>
      <c r="W568" s="205"/>
    </row>
    <row r="569" spans="1:23" ht="34.5" customHeight="1">
      <c r="A569" s="69"/>
      <c r="B569" s="36"/>
      <c r="C569" s="94"/>
      <c r="D569" s="68"/>
      <c r="E569" s="68"/>
      <c r="F569" s="68"/>
      <c r="G569" s="68"/>
      <c r="H569" s="68"/>
      <c r="I569" s="68"/>
      <c r="J569" s="68"/>
      <c r="K569" s="68">
        <v>0</v>
      </c>
      <c r="L569" s="58" t="s">
        <v>1114</v>
      </c>
      <c r="M569" s="91"/>
      <c r="N569" s="91"/>
      <c r="O569" s="91" t="s">
        <v>197</v>
      </c>
      <c r="P569" s="91" t="s">
        <v>198</v>
      </c>
      <c r="Q569" s="91"/>
      <c r="R569" s="91" t="s">
        <v>198</v>
      </c>
      <c r="S569" s="91"/>
      <c r="T569" s="91" t="s">
        <v>376</v>
      </c>
      <c r="U569" s="91" t="s">
        <v>269</v>
      </c>
      <c r="V569" s="147" t="str">
        <f>IF(Sequencing!C31="Yes","1b0","1b1")</f>
        <v>1b1</v>
      </c>
      <c r="W569" s="132" t="s">
        <v>157</v>
      </c>
    </row>
    <row r="570" spans="1:23" ht="34.5" customHeight="1">
      <c r="A570" s="54"/>
      <c r="B570" s="36"/>
      <c r="C570" s="94"/>
      <c r="D570" s="68"/>
      <c r="E570" s="68"/>
      <c r="F570" s="68"/>
      <c r="G570" s="68"/>
      <c r="H570" s="68"/>
      <c r="I570" s="68"/>
      <c r="J570" s="68">
        <v>0</v>
      </c>
      <c r="K570" s="68"/>
      <c r="L570" s="58" t="s">
        <v>1115</v>
      </c>
      <c r="M570" s="91"/>
      <c r="N570" s="91"/>
      <c r="O570" s="91" t="s">
        <v>197</v>
      </c>
      <c r="P570" s="91" t="s">
        <v>198</v>
      </c>
      <c r="Q570" s="91"/>
      <c r="R570" s="91" t="s">
        <v>198</v>
      </c>
      <c r="S570" s="91"/>
      <c r="T570" s="91" t="s">
        <v>376</v>
      </c>
      <c r="U570" s="91" t="s">
        <v>269</v>
      </c>
      <c r="V570" s="147" t="str">
        <f>IF(Sequencing!D31="Yes","1b0","1b1")</f>
        <v>1b1</v>
      </c>
      <c r="W570" s="132" t="s">
        <v>157</v>
      </c>
    </row>
    <row r="571" spans="1:23" ht="34.5" customHeight="1" thickBot="1">
      <c r="A571" s="32"/>
      <c r="B571" s="36"/>
      <c r="C571" s="94"/>
      <c r="D571" s="68"/>
      <c r="E571" s="68"/>
      <c r="F571" s="68"/>
      <c r="G571" s="68"/>
      <c r="H571" s="68"/>
      <c r="I571" s="68">
        <v>0</v>
      </c>
      <c r="J571" s="68"/>
      <c r="K571" s="68"/>
      <c r="L571" s="58" t="s">
        <v>1116</v>
      </c>
      <c r="M571" s="91"/>
      <c r="N571" s="91"/>
      <c r="O571" s="91" t="s">
        <v>197</v>
      </c>
      <c r="P571" s="91" t="s">
        <v>198</v>
      </c>
      <c r="Q571" s="91"/>
      <c r="R571" s="91" t="s">
        <v>198</v>
      </c>
      <c r="S571" s="91"/>
      <c r="T571" s="91" t="s">
        <v>376</v>
      </c>
      <c r="U571" s="91" t="s">
        <v>269</v>
      </c>
      <c r="V571" s="147" t="str">
        <f>IF(Sequencing!E31="Yes","1b0","1b1")</f>
        <v>1b1</v>
      </c>
      <c r="W571" s="132" t="s">
        <v>157</v>
      </c>
    </row>
    <row r="572" spans="1:23" ht="34.5" customHeight="1" thickBot="1">
      <c r="A572" s="32"/>
      <c r="B572" s="36"/>
      <c r="C572" s="94"/>
      <c r="D572" s="68"/>
      <c r="E572" s="68"/>
      <c r="F572" s="68"/>
      <c r="G572" s="68"/>
      <c r="H572" s="68">
        <v>0</v>
      </c>
      <c r="I572" s="68"/>
      <c r="J572" s="68"/>
      <c r="K572" s="68"/>
      <c r="L572" s="58" t="s">
        <v>1117</v>
      </c>
      <c r="M572" s="91"/>
      <c r="N572" s="91"/>
      <c r="O572" s="91" t="s">
        <v>197</v>
      </c>
      <c r="P572" s="91" t="s">
        <v>198</v>
      </c>
      <c r="Q572" s="91"/>
      <c r="R572" s="91" t="s">
        <v>198</v>
      </c>
      <c r="S572" s="91"/>
      <c r="T572" s="91" t="s">
        <v>376</v>
      </c>
      <c r="U572" s="91" t="s">
        <v>269</v>
      </c>
      <c r="V572" s="147" t="str">
        <f>IF(Sequencing!F31="Yes","1b0","1b1")</f>
        <v>1b1</v>
      </c>
      <c r="W572" s="132" t="s">
        <v>157</v>
      </c>
    </row>
    <row r="573" spans="1:23" ht="34.5" customHeight="1">
      <c r="A573" s="69"/>
      <c r="B573" s="36"/>
      <c r="C573" s="94"/>
      <c r="D573" s="68"/>
      <c r="E573" s="68"/>
      <c r="F573" s="68"/>
      <c r="G573" s="68">
        <v>0</v>
      </c>
      <c r="H573" s="68"/>
      <c r="I573" s="68"/>
      <c r="J573" s="68"/>
      <c r="K573" s="68"/>
      <c r="L573" s="58" t="s">
        <v>1118</v>
      </c>
      <c r="M573" s="91"/>
      <c r="N573" s="91"/>
      <c r="O573" s="91" t="s">
        <v>197</v>
      </c>
      <c r="P573" s="91" t="s">
        <v>198</v>
      </c>
      <c r="Q573" s="91"/>
      <c r="R573" s="91" t="s">
        <v>198</v>
      </c>
      <c r="S573" s="91"/>
      <c r="T573" s="91" t="s">
        <v>376</v>
      </c>
      <c r="U573" s="91" t="s">
        <v>269</v>
      </c>
      <c r="V573" s="147" t="str">
        <f>IF(Sequencing!G31="Yes","1b0","1b1")</f>
        <v>1b1</v>
      </c>
      <c r="W573" s="132" t="s">
        <v>157</v>
      </c>
    </row>
    <row r="574" spans="1:23" ht="34.5" customHeight="1">
      <c r="A574" s="54"/>
      <c r="B574" s="36"/>
      <c r="C574" s="94"/>
      <c r="D574" s="68"/>
      <c r="E574" s="68"/>
      <c r="F574" s="68">
        <v>0</v>
      </c>
      <c r="G574" s="68"/>
      <c r="H574" s="68"/>
      <c r="I574" s="68"/>
      <c r="J574" s="68"/>
      <c r="K574" s="68"/>
      <c r="L574" s="58" t="s">
        <v>1119</v>
      </c>
      <c r="M574" s="91"/>
      <c r="N574" s="91"/>
      <c r="O574" s="91" t="s">
        <v>197</v>
      </c>
      <c r="P574" s="91" t="s">
        <v>198</v>
      </c>
      <c r="Q574" s="91"/>
      <c r="R574" s="91" t="s">
        <v>198</v>
      </c>
      <c r="S574" s="91"/>
      <c r="T574" s="91" t="s">
        <v>376</v>
      </c>
      <c r="U574" s="91" t="s">
        <v>269</v>
      </c>
      <c r="V574" s="147" t="str">
        <f>IF(Sequencing!H31="Yes","1b0","1b1")</f>
        <v>1b1</v>
      </c>
      <c r="W574" s="132" t="s">
        <v>157</v>
      </c>
    </row>
    <row r="575" spans="1:23" ht="34.5" customHeight="1" thickBot="1">
      <c r="A575" s="32"/>
      <c r="B575" s="36"/>
      <c r="C575" s="94"/>
      <c r="D575" s="68"/>
      <c r="E575" s="68">
        <v>0</v>
      </c>
      <c r="F575" s="68"/>
      <c r="G575" s="68"/>
      <c r="H575" s="68"/>
      <c r="I575" s="68"/>
      <c r="J575" s="68"/>
      <c r="K575" s="68"/>
      <c r="L575" s="58" t="s">
        <v>1120</v>
      </c>
      <c r="M575" s="91"/>
      <c r="N575" s="91"/>
      <c r="O575" s="91" t="s">
        <v>197</v>
      </c>
      <c r="P575" s="91" t="s">
        <v>198</v>
      </c>
      <c r="Q575" s="91"/>
      <c r="R575" s="91" t="s">
        <v>198</v>
      </c>
      <c r="S575" s="91"/>
      <c r="T575" s="91" t="s">
        <v>376</v>
      </c>
      <c r="U575" s="91" t="s">
        <v>269</v>
      </c>
      <c r="V575" s="147" t="str">
        <f>IF(Sequencing!K31="Yes","1b0","1b1")</f>
        <v>1b1</v>
      </c>
      <c r="W575" s="132" t="s">
        <v>157</v>
      </c>
    </row>
    <row r="576" spans="1:23" ht="34.5" customHeight="1" thickBot="1">
      <c r="A576" s="32"/>
      <c r="B576" s="36"/>
      <c r="C576" s="94"/>
      <c r="D576" s="68">
        <v>0</v>
      </c>
      <c r="E576" s="68"/>
      <c r="F576" s="68"/>
      <c r="G576" s="68"/>
      <c r="H576" s="68"/>
      <c r="I576" s="68"/>
      <c r="J576" s="68"/>
      <c r="K576" s="68"/>
      <c r="L576" s="58" t="s">
        <v>1121</v>
      </c>
      <c r="M576" s="91"/>
      <c r="N576" s="91"/>
      <c r="O576" s="91" t="s">
        <v>197</v>
      </c>
      <c r="P576" s="91" t="s">
        <v>198</v>
      </c>
      <c r="Q576" s="91"/>
      <c r="R576" s="91" t="s">
        <v>198</v>
      </c>
      <c r="S576" s="91"/>
      <c r="T576" s="91" t="s">
        <v>376</v>
      </c>
      <c r="U576" s="91" t="s">
        <v>269</v>
      </c>
      <c r="V576" s="147" t="str">
        <f>IF(Sequencing!I31="Yes","1b0","1b1")</f>
        <v>1b1</v>
      </c>
      <c r="W576" s="132" t="s">
        <v>157</v>
      </c>
    </row>
    <row r="577" spans="1:24" ht="13.5" customHeight="1" thickBot="1">
      <c r="A577" s="101" t="s">
        <v>374</v>
      </c>
      <c r="B577" s="36" t="s">
        <v>232</v>
      </c>
      <c r="C577" s="99" t="s">
        <v>436</v>
      </c>
      <c r="D577" s="290"/>
      <c r="E577" s="290"/>
      <c r="F577" s="290"/>
      <c r="G577" s="290"/>
      <c r="H577" s="290"/>
      <c r="I577" s="290"/>
      <c r="J577" s="290"/>
      <c r="K577" s="290"/>
      <c r="L577" s="40" t="str">
        <f>CONCATENATE("SWB",RIGHT(C577,10))</f>
        <v>SWB1_CTRL_EN2</v>
      </c>
      <c r="M577" s="33"/>
      <c r="N577" s="33"/>
      <c r="O577" s="33" t="s">
        <v>197</v>
      </c>
      <c r="P577" s="33" t="s">
        <v>198</v>
      </c>
      <c r="Q577" s="33">
        <v>32</v>
      </c>
      <c r="R577" s="33" t="s">
        <v>198</v>
      </c>
      <c r="S577" s="33"/>
      <c r="T577" s="33" t="s">
        <v>376</v>
      </c>
      <c r="U577" s="33" t="s">
        <v>269</v>
      </c>
      <c r="V577" s="146"/>
      <c r="W577" s="205"/>
    </row>
    <row r="578" spans="1:24" ht="34.5" customHeight="1">
      <c r="A578" s="69"/>
      <c r="B578" s="36"/>
      <c r="C578" s="94"/>
      <c r="D578" s="68"/>
      <c r="E578" s="68"/>
      <c r="F578" s="68"/>
      <c r="G578" s="68"/>
      <c r="H578" s="68"/>
      <c r="I578" s="68"/>
      <c r="J578" s="68"/>
      <c r="K578" s="68">
        <v>0</v>
      </c>
      <c r="L578" s="58" t="s">
        <v>1122</v>
      </c>
      <c r="M578" s="91"/>
      <c r="N578" s="91"/>
      <c r="O578" s="91" t="s">
        <v>197</v>
      </c>
      <c r="P578" s="91" t="s">
        <v>198</v>
      </c>
      <c r="Q578" s="91"/>
      <c r="R578" s="91" t="s">
        <v>198</v>
      </c>
      <c r="S578" s="91"/>
      <c r="T578" s="91" t="s">
        <v>376</v>
      </c>
      <c r="U578" s="91" t="s">
        <v>269</v>
      </c>
      <c r="V578" s="147" t="str">
        <f>IF(Sequencing!J31="Yes","1b0","1b1")</f>
        <v>1b1</v>
      </c>
      <c r="W578" s="132" t="s">
        <v>157</v>
      </c>
    </row>
    <row r="579" spans="1:24" ht="34.5" customHeight="1">
      <c r="A579" s="54"/>
      <c r="B579" s="36"/>
      <c r="C579" s="94"/>
      <c r="D579" s="68"/>
      <c r="E579" s="68"/>
      <c r="F579" s="68"/>
      <c r="G579" s="68"/>
      <c r="H579" s="68"/>
      <c r="I579" s="68"/>
      <c r="J579" s="68">
        <v>0</v>
      </c>
      <c r="K579" s="68"/>
      <c r="L579" s="58" t="s">
        <v>1123</v>
      </c>
      <c r="M579" s="91"/>
      <c r="N579" s="91"/>
      <c r="O579" s="91" t="s">
        <v>197</v>
      </c>
      <c r="P579" s="91" t="s">
        <v>198</v>
      </c>
      <c r="Q579" s="91"/>
      <c r="R579" s="91" t="s">
        <v>198</v>
      </c>
      <c r="S579" s="91"/>
      <c r="T579" s="91" t="s">
        <v>376</v>
      </c>
      <c r="U579" s="91" t="s">
        <v>269</v>
      </c>
      <c r="V579" s="147" t="str">
        <f>IF(Sequencing!M31="Yes","1b0","1b1")</f>
        <v>1b1</v>
      </c>
      <c r="W579" s="132" t="s">
        <v>157</v>
      </c>
    </row>
    <row r="580" spans="1:24" ht="102" customHeight="1" thickBot="1">
      <c r="A580" s="32"/>
      <c r="B580" s="36"/>
      <c r="C580" s="94"/>
      <c r="D580" s="68"/>
      <c r="E580" s="68"/>
      <c r="F580" s="68"/>
      <c r="G580" s="68">
        <v>2</v>
      </c>
      <c r="H580" s="68">
        <v>1</v>
      </c>
      <c r="I580" s="68">
        <v>0</v>
      </c>
      <c r="J580" s="68"/>
      <c r="K580" s="68"/>
      <c r="L580" s="58" t="s">
        <v>1124</v>
      </c>
      <c r="M580" s="91"/>
      <c r="N580" s="91"/>
      <c r="O580" s="91" t="s">
        <v>197</v>
      </c>
      <c r="P580" s="91" t="s">
        <v>198</v>
      </c>
      <c r="Q580" s="91"/>
      <c r="R580" s="91" t="s">
        <v>198</v>
      </c>
      <c r="S580" s="91"/>
      <c r="T580" s="91" t="s">
        <v>376</v>
      </c>
      <c r="U580" s="91" t="s">
        <v>269</v>
      </c>
      <c r="V580" s="147" t="str">
        <f>INDEX(Sequencing!Z4:Z11,MATCH(Sequencing!C14,Sequencing!Y4:Y11,0))</f>
        <v>3b000</v>
      </c>
      <c r="W580" s="132" t="s">
        <v>158</v>
      </c>
    </row>
    <row r="581" spans="1:24" ht="57" customHeight="1">
      <c r="A581" s="54"/>
      <c r="B581" s="36"/>
      <c r="C581" s="94"/>
      <c r="D581" s="68"/>
      <c r="E581" s="68">
        <v>1</v>
      </c>
      <c r="F581" s="68">
        <v>0</v>
      </c>
      <c r="G581" s="68"/>
      <c r="H581" s="68"/>
      <c r="I581" s="68"/>
      <c r="J581" s="68"/>
      <c r="K581" s="68"/>
      <c r="L581" s="58" t="s">
        <v>1125</v>
      </c>
      <c r="M581" s="91"/>
      <c r="N581" s="91"/>
      <c r="O581" s="91" t="s">
        <v>197</v>
      </c>
      <c r="P581" s="91" t="s">
        <v>198</v>
      </c>
      <c r="Q581" s="91"/>
      <c r="R581" s="91" t="s">
        <v>198</v>
      </c>
      <c r="S581" s="91"/>
      <c r="T581" s="91" t="s">
        <v>376</v>
      </c>
      <c r="U581" s="91" t="s">
        <v>269</v>
      </c>
      <c r="V581" s="132" t="str">
        <f>INDEX(Overview!Y13:Y17,MATCH(Overview!C42,Overview!X13:X17,0))</f>
        <v>2b01</v>
      </c>
      <c r="W581" s="132" t="s">
        <v>156</v>
      </c>
    </row>
    <row r="582" spans="1:24" ht="34.5" customHeight="1" thickBot="1">
      <c r="A582" s="32"/>
      <c r="B582" s="36"/>
      <c r="C582" s="94"/>
      <c r="D582" s="68">
        <v>0</v>
      </c>
      <c r="E582" s="68"/>
      <c r="F582" s="68"/>
      <c r="G582" s="68"/>
      <c r="H582" s="68"/>
      <c r="I582" s="68"/>
      <c r="J582" s="68"/>
      <c r="K582" s="68"/>
      <c r="L582" s="58" t="s">
        <v>1126</v>
      </c>
      <c r="M582" s="91"/>
      <c r="N582" s="91"/>
      <c r="O582" s="91" t="s">
        <v>197</v>
      </c>
      <c r="P582" s="91" t="s">
        <v>198</v>
      </c>
      <c r="Q582" s="91"/>
      <c r="R582" s="91" t="s">
        <v>198</v>
      </c>
      <c r="S582" s="91"/>
      <c r="T582" s="91" t="s">
        <v>376</v>
      </c>
      <c r="U582" s="91" t="s">
        <v>269</v>
      </c>
      <c r="V582" s="132" t="s">
        <v>159</v>
      </c>
      <c r="W582" s="132" t="s">
        <v>159</v>
      </c>
      <c r="X582" s="113" t="s">
        <v>1435</v>
      </c>
    </row>
    <row r="583" spans="1:24" ht="13.5" customHeight="1" thickBot="1">
      <c r="A583" s="101" t="s">
        <v>374</v>
      </c>
      <c r="B583" s="36" t="s">
        <v>234</v>
      </c>
      <c r="C583" s="99" t="s">
        <v>437</v>
      </c>
      <c r="D583" s="290"/>
      <c r="E583" s="290"/>
      <c r="F583" s="290"/>
      <c r="G583" s="290"/>
      <c r="H583" s="290"/>
      <c r="I583" s="290"/>
      <c r="J583" s="290"/>
      <c r="K583" s="290"/>
      <c r="L583" s="40" t="str">
        <f>CONCATENATE("SWB",RIGHT(C583,10))</f>
        <v>SWB1_CTRL_EN3</v>
      </c>
      <c r="M583" s="33"/>
      <c r="N583" s="33"/>
      <c r="O583" s="33" t="s">
        <v>197</v>
      </c>
      <c r="P583" s="33" t="s">
        <v>198</v>
      </c>
      <c r="Q583" s="33">
        <v>33</v>
      </c>
      <c r="R583" s="33" t="s">
        <v>198</v>
      </c>
      <c r="S583" s="33"/>
      <c r="T583" s="33" t="s">
        <v>376</v>
      </c>
      <c r="U583" s="33" t="s">
        <v>269</v>
      </c>
      <c r="V583" s="146"/>
      <c r="W583" s="205"/>
    </row>
    <row r="584" spans="1:24" ht="113.25" customHeight="1">
      <c r="A584" s="69"/>
      <c r="B584" s="36"/>
      <c r="C584" s="94"/>
      <c r="D584" s="68"/>
      <c r="E584" s="68"/>
      <c r="F584" s="68"/>
      <c r="G584" s="68"/>
      <c r="H584" s="68"/>
      <c r="I584" s="68">
        <v>2</v>
      </c>
      <c r="J584" s="68">
        <v>1</v>
      </c>
      <c r="K584" s="68">
        <v>0</v>
      </c>
      <c r="L584" s="58" t="s">
        <v>1128</v>
      </c>
      <c r="M584" s="91"/>
      <c r="N584" s="91"/>
      <c r="O584" s="91" t="s">
        <v>197</v>
      </c>
      <c r="P584" s="91" t="s">
        <v>198</v>
      </c>
      <c r="Q584" s="91"/>
      <c r="R584" s="91" t="s">
        <v>198</v>
      </c>
      <c r="S584" s="91"/>
      <c r="T584" s="91" t="s">
        <v>376</v>
      </c>
      <c r="U584" s="91" t="s">
        <v>269</v>
      </c>
      <c r="V584" s="147" t="str">
        <f>INDEX(Sequencing!AI4:AI12,MATCH(Sequencing!U31,Sequencing!AH4:AH12,0))</f>
        <v>3b000</v>
      </c>
      <c r="W584" s="132" t="s">
        <v>158</v>
      </c>
    </row>
    <row r="585" spans="1:24" ht="113.25" customHeight="1">
      <c r="A585" s="54"/>
      <c r="B585" s="36"/>
      <c r="C585" s="94"/>
      <c r="D585" s="68"/>
      <c r="E585" s="68"/>
      <c r="F585" s="68">
        <v>2</v>
      </c>
      <c r="G585" s="68">
        <v>1</v>
      </c>
      <c r="H585" s="68">
        <v>0</v>
      </c>
      <c r="I585" s="68"/>
      <c r="J585" s="68"/>
      <c r="K585" s="68"/>
      <c r="L585" s="58" t="s">
        <v>1127</v>
      </c>
      <c r="M585" s="91"/>
      <c r="N585" s="91"/>
      <c r="O585" s="91" t="s">
        <v>197</v>
      </c>
      <c r="P585" s="91" t="s">
        <v>198</v>
      </c>
      <c r="Q585" s="91"/>
      <c r="R585" s="91" t="s">
        <v>198</v>
      </c>
      <c r="S585" s="91"/>
      <c r="T585" s="91" t="s">
        <v>376</v>
      </c>
      <c r="U585" s="91" t="s">
        <v>269</v>
      </c>
      <c r="V585" s="147" t="str">
        <f>INDEX(Sequencing!AI4:AI12,MATCH(Sequencing!V31,Sequencing!AH4:AH12,0))</f>
        <v>3b000</v>
      </c>
      <c r="W585" s="132" t="s">
        <v>158</v>
      </c>
    </row>
    <row r="586" spans="1:24" ht="68.25" customHeight="1" thickBot="1">
      <c r="A586" s="54"/>
      <c r="B586" s="36"/>
      <c r="C586" s="94"/>
      <c r="D586" s="68">
        <v>1</v>
      </c>
      <c r="E586" s="68">
        <v>0</v>
      </c>
      <c r="F586" s="68"/>
      <c r="G586" s="68"/>
      <c r="H586" s="68"/>
      <c r="I586" s="68"/>
      <c r="J586" s="68"/>
      <c r="K586" s="68"/>
      <c r="L586" s="58" t="s">
        <v>1129</v>
      </c>
      <c r="M586" s="91"/>
      <c r="N586" s="91"/>
      <c r="O586" s="91" t="s">
        <v>197</v>
      </c>
      <c r="P586" s="91" t="s">
        <v>198</v>
      </c>
      <c r="Q586" s="91"/>
      <c r="R586" s="91" t="s">
        <v>198</v>
      </c>
      <c r="S586" s="91"/>
      <c r="T586" s="91" t="s">
        <v>376</v>
      </c>
      <c r="U586" s="91" t="s">
        <v>269</v>
      </c>
      <c r="V586" s="132" t="s">
        <v>156</v>
      </c>
      <c r="W586" s="132" t="s">
        <v>156</v>
      </c>
    </row>
    <row r="587" spans="1:24" ht="23.25" customHeight="1" thickBot="1">
      <c r="A587" s="101" t="s">
        <v>374</v>
      </c>
      <c r="B587" s="36" t="s">
        <v>237</v>
      </c>
      <c r="C587" s="99" t="s">
        <v>438</v>
      </c>
      <c r="D587" s="290"/>
      <c r="E587" s="290"/>
      <c r="F587" s="290"/>
      <c r="G587" s="290"/>
      <c r="H587" s="290"/>
      <c r="I587" s="290"/>
      <c r="J587" s="290"/>
      <c r="K587" s="290"/>
      <c r="L587" s="40" t="str">
        <f>CONCATENATE("SWB2_LDOA1",RIGHT(C587,9))</f>
        <v>SWB2_LDOA1_CTRL_EN1</v>
      </c>
      <c r="M587" s="33"/>
      <c r="N587" s="33"/>
      <c r="O587" s="33" t="s">
        <v>197</v>
      </c>
      <c r="P587" s="33" t="s">
        <v>198</v>
      </c>
      <c r="Q587" s="33">
        <v>34</v>
      </c>
      <c r="R587" s="33" t="s">
        <v>198</v>
      </c>
      <c r="S587" s="33"/>
      <c r="T587" s="33" t="s">
        <v>376</v>
      </c>
      <c r="U587" s="33" t="s">
        <v>269</v>
      </c>
      <c r="V587" s="146"/>
      <c r="W587" s="205"/>
    </row>
    <row r="588" spans="1:24" ht="34.5" customHeight="1">
      <c r="A588" s="69"/>
      <c r="B588" s="36"/>
      <c r="C588" s="94"/>
      <c r="D588" s="68"/>
      <c r="E588" s="68"/>
      <c r="F588" s="68"/>
      <c r="G588" s="68"/>
      <c r="H588" s="68"/>
      <c r="I588" s="68"/>
      <c r="J588" s="68"/>
      <c r="K588" s="68">
        <v>0</v>
      </c>
      <c r="L588" s="58" t="s">
        <v>1130</v>
      </c>
      <c r="M588" s="91"/>
      <c r="N588" s="91"/>
      <c r="O588" s="91" t="s">
        <v>197</v>
      </c>
      <c r="P588" s="91" t="s">
        <v>198</v>
      </c>
      <c r="Q588" s="91"/>
      <c r="R588" s="91" t="s">
        <v>198</v>
      </c>
      <c r="S588" s="91"/>
      <c r="T588" s="91" t="s">
        <v>376</v>
      </c>
      <c r="U588" s="91" t="s">
        <v>269</v>
      </c>
      <c r="V588" s="147" t="str">
        <f>IF(Sequencing!C32="Yes","1b0","1b1")</f>
        <v>1b1</v>
      </c>
      <c r="W588" s="132" t="s">
        <v>157</v>
      </c>
    </row>
    <row r="589" spans="1:24" ht="34.5" customHeight="1">
      <c r="A589" s="54"/>
      <c r="B589" s="36"/>
      <c r="C589" s="94"/>
      <c r="D589" s="68"/>
      <c r="E589" s="68"/>
      <c r="F589" s="68"/>
      <c r="G589" s="68"/>
      <c r="H589" s="68"/>
      <c r="I589" s="68"/>
      <c r="J589" s="68">
        <v>0</v>
      </c>
      <c r="K589" s="68"/>
      <c r="L589" s="58" t="s">
        <v>1131</v>
      </c>
      <c r="M589" s="91"/>
      <c r="N589" s="91"/>
      <c r="O589" s="91" t="s">
        <v>197</v>
      </c>
      <c r="P589" s="91" t="s">
        <v>198</v>
      </c>
      <c r="Q589" s="91"/>
      <c r="R589" s="91" t="s">
        <v>198</v>
      </c>
      <c r="S589" s="91"/>
      <c r="T589" s="91" t="s">
        <v>376</v>
      </c>
      <c r="U589" s="91" t="s">
        <v>269</v>
      </c>
      <c r="V589" s="147" t="str">
        <f>IF(Sequencing!D32="Yes","1b0","1b1")</f>
        <v>1b1</v>
      </c>
      <c r="W589" s="132" t="s">
        <v>157</v>
      </c>
    </row>
    <row r="590" spans="1:24" ht="34.5" customHeight="1" thickBot="1">
      <c r="A590" s="32"/>
      <c r="B590" s="36"/>
      <c r="C590" s="94"/>
      <c r="D590" s="68"/>
      <c r="E590" s="68"/>
      <c r="F590" s="68"/>
      <c r="G590" s="68"/>
      <c r="H590" s="68"/>
      <c r="I590" s="68">
        <v>0</v>
      </c>
      <c r="J590" s="68"/>
      <c r="K590" s="68"/>
      <c r="L590" s="58" t="s">
        <v>1132</v>
      </c>
      <c r="M590" s="91"/>
      <c r="N590" s="91"/>
      <c r="O590" s="91" t="s">
        <v>197</v>
      </c>
      <c r="P590" s="91" t="s">
        <v>198</v>
      </c>
      <c r="Q590" s="91"/>
      <c r="R590" s="91" t="s">
        <v>198</v>
      </c>
      <c r="S590" s="91"/>
      <c r="T590" s="91" t="s">
        <v>376</v>
      </c>
      <c r="U590" s="91" t="s">
        <v>269</v>
      </c>
      <c r="V590" s="147" t="str">
        <f>IF(Sequencing!E32="Yes","1b0","1b1")</f>
        <v>1b1</v>
      </c>
      <c r="W590" s="132" t="s">
        <v>157</v>
      </c>
    </row>
    <row r="591" spans="1:24" ht="34.5" customHeight="1" thickBot="1">
      <c r="A591" s="32"/>
      <c r="B591" s="36"/>
      <c r="C591" s="94"/>
      <c r="D591" s="68"/>
      <c r="E591" s="68"/>
      <c r="F591" s="68"/>
      <c r="G591" s="68"/>
      <c r="H591" s="68">
        <v>0</v>
      </c>
      <c r="I591" s="68"/>
      <c r="J591" s="68"/>
      <c r="K591" s="68"/>
      <c r="L591" s="58" t="s">
        <v>1133</v>
      </c>
      <c r="M591" s="91"/>
      <c r="N591" s="91"/>
      <c r="O591" s="91" t="s">
        <v>197</v>
      </c>
      <c r="P591" s="91" t="s">
        <v>198</v>
      </c>
      <c r="Q591" s="91"/>
      <c r="R591" s="91" t="s">
        <v>198</v>
      </c>
      <c r="S591" s="91"/>
      <c r="T591" s="91" t="s">
        <v>376</v>
      </c>
      <c r="U591" s="91" t="s">
        <v>269</v>
      </c>
      <c r="V591" s="147" t="str">
        <f>IF(Sequencing!F32="Yes","1b0","1b1")</f>
        <v>1b1</v>
      </c>
      <c r="W591" s="132" t="s">
        <v>157</v>
      </c>
    </row>
    <row r="592" spans="1:24" ht="34.5" customHeight="1">
      <c r="A592" s="69"/>
      <c r="B592" s="36"/>
      <c r="C592" s="94"/>
      <c r="D592" s="68"/>
      <c r="E592" s="68"/>
      <c r="F592" s="68"/>
      <c r="G592" s="68">
        <v>0</v>
      </c>
      <c r="H592" s="68"/>
      <c r="I592" s="68"/>
      <c r="J592" s="68"/>
      <c r="K592" s="68"/>
      <c r="L592" s="58" t="s">
        <v>1134</v>
      </c>
      <c r="M592" s="91"/>
      <c r="N592" s="91"/>
      <c r="O592" s="91" t="s">
        <v>197</v>
      </c>
      <c r="P592" s="91" t="s">
        <v>198</v>
      </c>
      <c r="Q592" s="91"/>
      <c r="R592" s="91" t="s">
        <v>198</v>
      </c>
      <c r="S592" s="91"/>
      <c r="T592" s="91" t="s">
        <v>376</v>
      </c>
      <c r="U592" s="91" t="s">
        <v>269</v>
      </c>
      <c r="V592" s="147" t="str">
        <f>IF(Sequencing!G32="Yes","1b0","1b1")</f>
        <v>1b1</v>
      </c>
      <c r="W592" s="132" t="s">
        <v>157</v>
      </c>
    </row>
    <row r="593" spans="1:23" ht="34.5" customHeight="1">
      <c r="A593" s="54"/>
      <c r="B593" s="36"/>
      <c r="C593" s="94"/>
      <c r="D593" s="68"/>
      <c r="E593" s="68"/>
      <c r="F593" s="68">
        <v>0</v>
      </c>
      <c r="G593" s="68"/>
      <c r="H593" s="68"/>
      <c r="I593" s="68"/>
      <c r="J593" s="68"/>
      <c r="K593" s="68"/>
      <c r="L593" s="58" t="s">
        <v>1135</v>
      </c>
      <c r="M593" s="91"/>
      <c r="N593" s="91"/>
      <c r="O593" s="91" t="s">
        <v>197</v>
      </c>
      <c r="P593" s="91" t="s">
        <v>198</v>
      </c>
      <c r="Q593" s="91"/>
      <c r="R593" s="91" t="s">
        <v>198</v>
      </c>
      <c r="S593" s="91"/>
      <c r="T593" s="91" t="s">
        <v>376</v>
      </c>
      <c r="U593" s="91" t="s">
        <v>269</v>
      </c>
      <c r="V593" s="147" t="str">
        <f>IF(Sequencing!H32="Yes","1b0","1b1")</f>
        <v>1b1</v>
      </c>
      <c r="W593" s="132" t="s">
        <v>157</v>
      </c>
    </row>
    <row r="594" spans="1:23" ht="34.5" customHeight="1" thickBot="1">
      <c r="A594" s="32"/>
      <c r="B594" s="36"/>
      <c r="C594" s="94"/>
      <c r="D594" s="68"/>
      <c r="E594" s="68">
        <v>0</v>
      </c>
      <c r="F594" s="68"/>
      <c r="G594" s="68"/>
      <c r="H594" s="68"/>
      <c r="I594" s="68"/>
      <c r="J594" s="68"/>
      <c r="K594" s="68"/>
      <c r="L594" s="58" t="s">
        <v>1136</v>
      </c>
      <c r="M594" s="91"/>
      <c r="N594" s="91"/>
      <c r="O594" s="91" t="s">
        <v>197</v>
      </c>
      <c r="P594" s="91" t="s">
        <v>198</v>
      </c>
      <c r="Q594" s="91"/>
      <c r="R594" s="91" t="s">
        <v>198</v>
      </c>
      <c r="S594" s="91"/>
      <c r="T594" s="91" t="s">
        <v>376</v>
      </c>
      <c r="U594" s="91" t="s">
        <v>269</v>
      </c>
      <c r="V594" s="147" t="str">
        <f>IF(Sequencing!K32="Yes","1b0","1b1")</f>
        <v>1b1</v>
      </c>
      <c r="W594" s="132" t="s">
        <v>157</v>
      </c>
    </row>
    <row r="595" spans="1:23" ht="34.5" customHeight="1" thickBot="1">
      <c r="A595" s="32"/>
      <c r="B595" s="36"/>
      <c r="C595" s="94"/>
      <c r="D595" s="68">
        <v>0</v>
      </c>
      <c r="E595" s="68"/>
      <c r="F595" s="68"/>
      <c r="G595" s="68"/>
      <c r="H595" s="68"/>
      <c r="I595" s="68"/>
      <c r="J595" s="68"/>
      <c r="K595" s="68"/>
      <c r="L595" s="58" t="s">
        <v>1137</v>
      </c>
      <c r="M595" s="91"/>
      <c r="N595" s="91"/>
      <c r="O595" s="91" t="s">
        <v>197</v>
      </c>
      <c r="P595" s="91" t="s">
        <v>198</v>
      </c>
      <c r="Q595" s="91"/>
      <c r="R595" s="91" t="s">
        <v>198</v>
      </c>
      <c r="S595" s="91"/>
      <c r="T595" s="91" t="s">
        <v>376</v>
      </c>
      <c r="U595" s="91" t="s">
        <v>269</v>
      </c>
      <c r="V595" s="147" t="str">
        <f>IF(Sequencing!I32="Yes","1b0","1b1")</f>
        <v>1b1</v>
      </c>
      <c r="W595" s="132" t="s">
        <v>157</v>
      </c>
    </row>
    <row r="596" spans="1:23" ht="13.5" customHeight="1" thickBot="1">
      <c r="A596" s="101" t="s">
        <v>374</v>
      </c>
      <c r="B596" s="36" t="s">
        <v>241</v>
      </c>
      <c r="C596" s="99" t="s">
        <v>439</v>
      </c>
      <c r="D596" s="290"/>
      <c r="E596" s="290"/>
      <c r="F596" s="290"/>
      <c r="G596" s="290"/>
      <c r="H596" s="290"/>
      <c r="I596" s="290"/>
      <c r="J596" s="290"/>
      <c r="K596" s="290"/>
      <c r="L596" s="40" t="str">
        <f>CONCATENATE("SWB2_LDOA1",RIGHT(C596,9))</f>
        <v>SWB2_LDOA1_CTRL_EN2</v>
      </c>
      <c r="M596" s="33"/>
      <c r="N596" s="33"/>
      <c r="O596" s="33" t="s">
        <v>197</v>
      </c>
      <c r="P596" s="33" t="s">
        <v>198</v>
      </c>
      <c r="Q596" s="33">
        <v>35</v>
      </c>
      <c r="R596" s="33" t="s">
        <v>198</v>
      </c>
      <c r="S596" s="33"/>
      <c r="T596" s="33" t="s">
        <v>376</v>
      </c>
      <c r="U596" s="33" t="s">
        <v>269</v>
      </c>
      <c r="V596" s="146"/>
      <c r="W596" s="205"/>
    </row>
    <row r="597" spans="1:23" ht="34.5" customHeight="1">
      <c r="A597" s="69"/>
      <c r="B597" s="36"/>
      <c r="C597" s="94"/>
      <c r="D597" s="68"/>
      <c r="E597" s="68"/>
      <c r="F597" s="68"/>
      <c r="G597" s="68"/>
      <c r="H597" s="68"/>
      <c r="I597" s="68"/>
      <c r="J597" s="68"/>
      <c r="K597" s="68">
        <v>0</v>
      </c>
      <c r="L597" s="58" t="s">
        <v>1138</v>
      </c>
      <c r="M597" s="91"/>
      <c r="N597" s="91"/>
      <c r="O597" s="91" t="s">
        <v>197</v>
      </c>
      <c r="P597" s="91" t="s">
        <v>198</v>
      </c>
      <c r="Q597" s="91"/>
      <c r="R597" s="91" t="s">
        <v>198</v>
      </c>
      <c r="S597" s="91"/>
      <c r="T597" s="91" t="s">
        <v>376</v>
      </c>
      <c r="U597" s="91" t="s">
        <v>269</v>
      </c>
      <c r="V597" s="147" t="str">
        <f>IF(Sequencing!J32="Yes","1b0","1b1")</f>
        <v>1b1</v>
      </c>
      <c r="W597" s="132" t="s">
        <v>157</v>
      </c>
    </row>
    <row r="598" spans="1:23" ht="34.5" customHeight="1">
      <c r="A598" s="54"/>
      <c r="B598" s="36"/>
      <c r="C598" s="94"/>
      <c r="D598" s="68"/>
      <c r="E598" s="68"/>
      <c r="F598" s="68"/>
      <c r="G598" s="68"/>
      <c r="H598" s="68"/>
      <c r="I598" s="68"/>
      <c r="J598" s="68">
        <v>0</v>
      </c>
      <c r="K598" s="68"/>
      <c r="L598" s="58" t="s">
        <v>1139</v>
      </c>
      <c r="M598" s="91"/>
      <c r="N598" s="91"/>
      <c r="O598" s="91" t="s">
        <v>197</v>
      </c>
      <c r="P598" s="91" t="s">
        <v>198</v>
      </c>
      <c r="Q598" s="91"/>
      <c r="R598" s="91" t="s">
        <v>198</v>
      </c>
      <c r="S598" s="91"/>
      <c r="T598" s="91" t="s">
        <v>376</v>
      </c>
      <c r="U598" s="91" t="s">
        <v>269</v>
      </c>
      <c r="V598" s="147" t="str">
        <f>IF(Sequencing!L32="Yes","1b0","1b1")</f>
        <v>1b1</v>
      </c>
      <c r="W598" s="132" t="s">
        <v>157</v>
      </c>
    </row>
    <row r="599" spans="1:23" ht="102" customHeight="1" thickBot="1">
      <c r="A599" s="32"/>
      <c r="B599" s="36"/>
      <c r="C599" s="94"/>
      <c r="D599" s="68"/>
      <c r="E599" s="68"/>
      <c r="F599" s="68"/>
      <c r="G599" s="68">
        <v>2</v>
      </c>
      <c r="H599" s="68">
        <v>1</v>
      </c>
      <c r="I599" s="68">
        <v>0</v>
      </c>
      <c r="J599" s="68"/>
      <c r="K599" s="68"/>
      <c r="L599" s="58" t="s">
        <v>1140</v>
      </c>
      <c r="M599" s="91"/>
      <c r="N599" s="91"/>
      <c r="O599" s="91" t="s">
        <v>197</v>
      </c>
      <c r="P599" s="91" t="s">
        <v>198</v>
      </c>
      <c r="Q599" s="91"/>
      <c r="R599" s="91" t="s">
        <v>198</v>
      </c>
      <c r="S599" s="91"/>
      <c r="T599" s="91" t="s">
        <v>376</v>
      </c>
      <c r="U599" s="91" t="s">
        <v>269</v>
      </c>
      <c r="V599" s="147" t="str">
        <f>INDEX(Sequencing!Z4:Z11,MATCH(Sequencing!C15,Sequencing!Y4:Y11,0))</f>
        <v>3b000</v>
      </c>
      <c r="W599" s="132" t="s">
        <v>158</v>
      </c>
    </row>
    <row r="600" spans="1:23" ht="57" customHeight="1">
      <c r="A600" s="54"/>
      <c r="B600" s="36"/>
      <c r="C600" s="94"/>
      <c r="D600" s="68"/>
      <c r="E600" s="68">
        <v>1</v>
      </c>
      <c r="F600" s="68">
        <v>0</v>
      </c>
      <c r="G600" s="68"/>
      <c r="H600" s="68"/>
      <c r="I600" s="68"/>
      <c r="J600" s="68"/>
      <c r="K600" s="68"/>
      <c r="L600" s="58" t="s">
        <v>1141</v>
      </c>
      <c r="M600" s="91"/>
      <c r="N600" s="91"/>
      <c r="O600" s="91" t="s">
        <v>197</v>
      </c>
      <c r="P600" s="91" t="s">
        <v>198</v>
      </c>
      <c r="Q600" s="91"/>
      <c r="R600" s="91" t="s">
        <v>198</v>
      </c>
      <c r="S600" s="91"/>
      <c r="T600" s="91" t="s">
        <v>376</v>
      </c>
      <c r="U600" s="91" t="s">
        <v>269</v>
      </c>
      <c r="V600" s="132" t="str">
        <f>IF(Overview!C35="Yes",'register map'!V581,INDEX(Overview!Y13:Y17,MATCH(Overview!C43,Overview!X13:X17,0)))</f>
        <v>2b01</v>
      </c>
      <c r="W600" s="132" t="s">
        <v>156</v>
      </c>
    </row>
    <row r="601" spans="1:23" ht="34.5" customHeight="1" thickBot="1">
      <c r="A601" s="32"/>
      <c r="B601" s="36"/>
      <c r="C601" s="94"/>
      <c r="D601" s="68">
        <v>0</v>
      </c>
      <c r="E601" s="68"/>
      <c r="F601" s="68"/>
      <c r="G601" s="68"/>
      <c r="H601" s="68"/>
      <c r="I601" s="68"/>
      <c r="J601" s="68"/>
      <c r="K601" s="68"/>
      <c r="L601" s="58" t="s">
        <v>1142</v>
      </c>
      <c r="M601" s="91"/>
      <c r="N601" s="91"/>
      <c r="O601" s="91" t="s">
        <v>197</v>
      </c>
      <c r="P601" s="91" t="s">
        <v>198</v>
      </c>
      <c r="Q601" s="91"/>
      <c r="R601" s="91" t="s">
        <v>198</v>
      </c>
      <c r="S601" s="91"/>
      <c r="T601" s="91" t="s">
        <v>376</v>
      </c>
      <c r="U601" s="91" t="s">
        <v>269</v>
      </c>
      <c r="V601" s="132" t="str">
        <f>INDEX(Sequencing!AD4:AD11,MATCH(Sequencing!C16,Sequencing!AB4:AB11,0))</f>
        <v>1b1</v>
      </c>
      <c r="W601" s="133" t="s">
        <v>157</v>
      </c>
    </row>
    <row r="602" spans="1:23" ht="13.5" customHeight="1" thickBot="1">
      <c r="A602" s="101" t="s">
        <v>374</v>
      </c>
      <c r="B602" s="36" t="s">
        <v>245</v>
      </c>
      <c r="C602" s="99" t="s">
        <v>440</v>
      </c>
      <c r="D602" s="290"/>
      <c r="E602" s="290"/>
      <c r="F602" s="290"/>
      <c r="G602" s="290"/>
      <c r="H602" s="290"/>
      <c r="I602" s="290"/>
      <c r="J602" s="290"/>
      <c r="K602" s="290"/>
      <c r="L602" s="40" t="str">
        <f>CONCATENATE("SWB2_LDOA1",RIGHT(C602,9))</f>
        <v>SWB2_LDOA1_CTRL_EN3</v>
      </c>
      <c r="M602" s="33"/>
      <c r="N602" s="33"/>
      <c r="O602" s="33" t="s">
        <v>197</v>
      </c>
      <c r="P602" s="33" t="s">
        <v>198</v>
      </c>
      <c r="Q602" s="33">
        <v>36</v>
      </c>
      <c r="R602" s="33" t="s">
        <v>198</v>
      </c>
      <c r="S602" s="33"/>
      <c r="T602" s="33" t="s">
        <v>376</v>
      </c>
      <c r="U602" s="33" t="s">
        <v>269</v>
      </c>
      <c r="V602" s="146"/>
      <c r="W602" s="205"/>
    </row>
    <row r="603" spans="1:23" ht="113.25" customHeight="1">
      <c r="A603" s="69"/>
      <c r="B603" s="36"/>
      <c r="C603" s="94"/>
      <c r="D603" s="68"/>
      <c r="E603" s="68"/>
      <c r="F603" s="68"/>
      <c r="G603" s="68"/>
      <c r="H603" s="68"/>
      <c r="I603" s="68">
        <v>2</v>
      </c>
      <c r="J603" s="68">
        <v>1</v>
      </c>
      <c r="K603" s="68">
        <v>0</v>
      </c>
      <c r="L603" s="58" t="s">
        <v>1143</v>
      </c>
      <c r="M603" s="91"/>
      <c r="N603" s="91"/>
      <c r="O603" s="91" t="s">
        <v>197</v>
      </c>
      <c r="P603" s="91" t="s">
        <v>198</v>
      </c>
      <c r="Q603" s="91"/>
      <c r="R603" s="91" t="s">
        <v>198</v>
      </c>
      <c r="S603" s="91"/>
      <c r="T603" s="91" t="s">
        <v>376</v>
      </c>
      <c r="U603" s="91" t="s">
        <v>269</v>
      </c>
      <c r="V603" s="147" t="str">
        <f>INDEX(Sequencing!AI4:AI12,MATCH(Sequencing!U32,Sequencing!AH4:AH12,0))</f>
        <v>3b000</v>
      </c>
      <c r="W603" s="132" t="s">
        <v>158</v>
      </c>
    </row>
    <row r="604" spans="1:23" ht="113.25" customHeight="1">
      <c r="A604" s="54"/>
      <c r="B604" s="36"/>
      <c r="C604" s="94"/>
      <c r="D604" s="68"/>
      <c r="E604" s="68"/>
      <c r="F604" s="68">
        <v>2</v>
      </c>
      <c r="G604" s="68">
        <v>1</v>
      </c>
      <c r="H604" s="68">
        <v>0</v>
      </c>
      <c r="I604" s="68"/>
      <c r="J604" s="68"/>
      <c r="K604" s="68"/>
      <c r="L604" s="58" t="s">
        <v>1144</v>
      </c>
      <c r="M604" s="91"/>
      <c r="N604" s="91"/>
      <c r="O604" s="91" t="s">
        <v>197</v>
      </c>
      <c r="P604" s="91" t="s">
        <v>198</v>
      </c>
      <c r="Q604" s="91"/>
      <c r="R604" s="91" t="s">
        <v>198</v>
      </c>
      <c r="S604" s="91"/>
      <c r="T604" s="91" t="s">
        <v>376</v>
      </c>
      <c r="U604" s="91" t="s">
        <v>269</v>
      </c>
      <c r="V604" s="147" t="str">
        <f>INDEX(Sequencing!AI4:AI12,MATCH(Sequencing!V32,Sequencing!AH4:AH12,0))</f>
        <v>3b000</v>
      </c>
      <c r="W604" s="132" t="s">
        <v>158</v>
      </c>
    </row>
    <row r="605" spans="1:23" ht="68.25" customHeight="1" thickBot="1">
      <c r="A605" s="54"/>
      <c r="B605" s="36"/>
      <c r="C605" s="94"/>
      <c r="D605" s="68">
        <v>1</v>
      </c>
      <c r="E605" s="68">
        <v>0</v>
      </c>
      <c r="F605" s="68"/>
      <c r="G605" s="68"/>
      <c r="H605" s="68"/>
      <c r="I605" s="68"/>
      <c r="J605" s="68"/>
      <c r="K605" s="68"/>
      <c r="L605" s="58" t="s">
        <v>1145</v>
      </c>
      <c r="M605" s="91"/>
      <c r="N605" s="91"/>
      <c r="O605" s="91" t="s">
        <v>197</v>
      </c>
      <c r="P605" s="91" t="s">
        <v>198</v>
      </c>
      <c r="Q605" s="91"/>
      <c r="R605" s="91" t="s">
        <v>198</v>
      </c>
      <c r="S605" s="91"/>
      <c r="T605" s="91" t="s">
        <v>376</v>
      </c>
      <c r="U605" s="91" t="s">
        <v>269</v>
      </c>
      <c r="V605" s="132" t="s">
        <v>156</v>
      </c>
      <c r="W605" s="132" t="s">
        <v>156</v>
      </c>
    </row>
    <row r="606" spans="1:23" ht="13.5" customHeight="1" thickBot="1">
      <c r="A606" s="101" t="s">
        <v>374</v>
      </c>
      <c r="B606" s="36" t="s">
        <v>249</v>
      </c>
      <c r="C606" s="99" t="s">
        <v>441</v>
      </c>
      <c r="D606" s="290"/>
      <c r="E606" s="290"/>
      <c r="F606" s="290"/>
      <c r="G606" s="290"/>
      <c r="H606" s="290"/>
      <c r="I606" s="290"/>
      <c r="J606" s="290"/>
      <c r="K606" s="290"/>
      <c r="L606" s="34" t="s">
        <v>1146</v>
      </c>
      <c r="M606" s="33"/>
      <c r="N606" s="33"/>
      <c r="O606" s="33" t="s">
        <v>197</v>
      </c>
      <c r="P606" s="33" t="s">
        <v>198</v>
      </c>
      <c r="Q606" s="33">
        <v>37</v>
      </c>
      <c r="R606" s="33" t="s">
        <v>198</v>
      </c>
      <c r="S606" s="33"/>
      <c r="T606" s="33" t="s">
        <v>376</v>
      </c>
      <c r="U606" s="33" t="s">
        <v>269</v>
      </c>
      <c r="V606" s="146"/>
      <c r="W606" s="205"/>
    </row>
    <row r="607" spans="1:23" ht="45.75" customHeight="1" thickBot="1">
      <c r="A607" s="69"/>
      <c r="B607" s="36"/>
      <c r="C607" s="94"/>
      <c r="D607" s="68"/>
      <c r="E607" s="68"/>
      <c r="F607" s="68"/>
      <c r="G607" s="68"/>
      <c r="H607" s="68"/>
      <c r="I607" s="68"/>
      <c r="J607" s="68"/>
      <c r="K607" s="68">
        <v>0</v>
      </c>
      <c r="L607" s="55" t="s">
        <v>1147</v>
      </c>
      <c r="M607" s="91"/>
      <c r="N607" s="91"/>
      <c r="O607" s="91" t="s">
        <v>197</v>
      </c>
      <c r="P607" s="91" t="s">
        <v>198</v>
      </c>
      <c r="Q607" s="91"/>
      <c r="R607" s="91" t="s">
        <v>198</v>
      </c>
      <c r="S607" s="91"/>
      <c r="T607" s="91" t="s">
        <v>376</v>
      </c>
      <c r="U607" s="91" t="s">
        <v>269</v>
      </c>
      <c r="V607" s="132" t="s">
        <v>157</v>
      </c>
      <c r="W607" s="132" t="s">
        <v>157</v>
      </c>
    </row>
    <row r="608" spans="1:23" ht="34.5" customHeight="1" thickBot="1">
      <c r="A608" s="69"/>
      <c r="B608" s="36"/>
      <c r="C608" s="94"/>
      <c r="D608" s="68"/>
      <c r="E608" s="68"/>
      <c r="F608" s="68"/>
      <c r="G608" s="68"/>
      <c r="H608" s="68"/>
      <c r="I608" s="68"/>
      <c r="J608" s="68">
        <v>0</v>
      </c>
      <c r="K608" s="68"/>
      <c r="L608" s="55" t="s">
        <v>1148</v>
      </c>
      <c r="M608" s="91"/>
      <c r="N608" s="91"/>
      <c r="O608" s="91" t="s">
        <v>197</v>
      </c>
      <c r="P608" s="91" t="s">
        <v>198</v>
      </c>
      <c r="Q608" s="91"/>
      <c r="R608" s="91" t="s">
        <v>198</v>
      </c>
      <c r="S608" s="91"/>
      <c r="T608" s="91" t="s">
        <v>376</v>
      </c>
      <c r="U608" s="91" t="s">
        <v>269</v>
      </c>
      <c r="V608" s="132" t="s">
        <v>157</v>
      </c>
      <c r="W608" s="133" t="s">
        <v>157</v>
      </c>
    </row>
    <row r="609" spans="1:23" ht="57" customHeight="1" thickBot="1">
      <c r="A609" s="69"/>
      <c r="B609" s="36"/>
      <c r="C609" s="94"/>
      <c r="D609" s="68"/>
      <c r="E609" s="68"/>
      <c r="F609" s="68"/>
      <c r="G609" s="68"/>
      <c r="H609" s="68"/>
      <c r="I609" s="68">
        <v>0</v>
      </c>
      <c r="J609" s="68"/>
      <c r="K609" s="68"/>
      <c r="L609" s="55" t="s">
        <v>1149</v>
      </c>
      <c r="M609" s="91"/>
      <c r="N609" s="91"/>
      <c r="O609" s="91" t="s">
        <v>197</v>
      </c>
      <c r="P609" s="91" t="s">
        <v>198</v>
      </c>
      <c r="Q609" s="91"/>
      <c r="R609" s="91" t="s">
        <v>198</v>
      </c>
      <c r="S609" s="91"/>
      <c r="T609" s="91" t="s">
        <v>376</v>
      </c>
      <c r="U609" s="91" t="s">
        <v>269</v>
      </c>
      <c r="V609" s="132" t="s">
        <v>157</v>
      </c>
      <c r="W609" s="132" t="s">
        <v>157</v>
      </c>
    </row>
    <row r="610" spans="1:23" ht="13" thickBot="1">
      <c r="A610" s="69"/>
      <c r="B610" s="36"/>
      <c r="C610" s="94"/>
      <c r="D610" s="68"/>
      <c r="E610" s="68"/>
      <c r="F610" s="68"/>
      <c r="G610" s="68"/>
      <c r="H610" s="68">
        <v>0</v>
      </c>
      <c r="I610" s="68"/>
      <c r="J610" s="68"/>
      <c r="K610" s="68"/>
      <c r="L610" s="55" t="s">
        <v>1150</v>
      </c>
      <c r="M610" s="91"/>
      <c r="N610" s="91"/>
      <c r="O610" s="91" t="s">
        <v>197</v>
      </c>
      <c r="P610" s="91" t="s">
        <v>198</v>
      </c>
      <c r="Q610" s="91"/>
      <c r="R610" s="91" t="s">
        <v>198</v>
      </c>
      <c r="S610" s="91"/>
      <c r="T610" s="91" t="s">
        <v>376</v>
      </c>
      <c r="U610" s="91" t="s">
        <v>269</v>
      </c>
      <c r="V610" s="132" t="s">
        <v>159</v>
      </c>
      <c r="W610" s="132" t="s">
        <v>157</v>
      </c>
    </row>
    <row r="611" spans="1:23" ht="13" thickBot="1">
      <c r="A611" s="69"/>
      <c r="B611" s="36"/>
      <c r="C611" s="94"/>
      <c r="D611" s="68"/>
      <c r="E611" s="68"/>
      <c r="F611" s="68"/>
      <c r="G611" s="68">
        <v>0</v>
      </c>
      <c r="H611" s="68"/>
      <c r="I611" s="68"/>
      <c r="J611" s="68"/>
      <c r="K611" s="68"/>
      <c r="L611" s="55" t="s">
        <v>1151</v>
      </c>
      <c r="M611" s="91"/>
      <c r="N611" s="91"/>
      <c r="O611" s="91" t="s">
        <v>197</v>
      </c>
      <c r="P611" s="91" t="s">
        <v>198</v>
      </c>
      <c r="Q611" s="91"/>
      <c r="R611" s="91" t="s">
        <v>198</v>
      </c>
      <c r="S611" s="91"/>
      <c r="T611" s="91" t="s">
        <v>376</v>
      </c>
      <c r="U611" s="91" t="s">
        <v>269</v>
      </c>
      <c r="V611" s="132" t="s">
        <v>159</v>
      </c>
      <c r="W611" s="132" t="s">
        <v>157</v>
      </c>
    </row>
    <row r="612" spans="1:23" ht="12.75" customHeight="1" thickBot="1">
      <c r="A612" s="69"/>
      <c r="B612" s="36"/>
      <c r="C612" s="94"/>
      <c r="D612" s="68">
        <v>2</v>
      </c>
      <c r="E612" s="68">
        <v>1</v>
      </c>
      <c r="F612" s="68">
        <v>0</v>
      </c>
      <c r="G612" s="70"/>
      <c r="H612" s="68"/>
      <c r="I612" s="68"/>
      <c r="J612" s="68"/>
      <c r="K612" s="68"/>
      <c r="L612" s="55" t="s">
        <v>1152</v>
      </c>
      <c r="M612" s="91"/>
      <c r="N612" s="91"/>
      <c r="O612" s="91" t="s">
        <v>197</v>
      </c>
      <c r="P612" s="91" t="s">
        <v>198</v>
      </c>
      <c r="Q612" s="91"/>
      <c r="R612" s="91" t="s">
        <v>198</v>
      </c>
      <c r="S612" s="91"/>
      <c r="T612" s="91" t="s">
        <v>376</v>
      </c>
      <c r="U612" s="91" t="s">
        <v>269</v>
      </c>
      <c r="V612" s="132" t="s">
        <v>158</v>
      </c>
      <c r="W612" s="132" t="s">
        <v>158</v>
      </c>
    </row>
    <row r="613" spans="1:23" ht="13.5" customHeight="1" thickBot="1">
      <c r="A613" s="101" t="s">
        <v>374</v>
      </c>
      <c r="B613" s="36" t="s">
        <v>251</v>
      </c>
      <c r="C613" s="99" t="s">
        <v>442</v>
      </c>
      <c r="D613" s="290"/>
      <c r="E613" s="290"/>
      <c r="F613" s="290"/>
      <c r="G613" s="290"/>
      <c r="H613" s="290"/>
      <c r="I613" s="290"/>
      <c r="J613" s="290"/>
      <c r="K613" s="290"/>
      <c r="L613" s="34" t="s">
        <v>1546</v>
      </c>
      <c r="M613" s="33"/>
      <c r="N613" s="33"/>
      <c r="O613" s="33" t="s">
        <v>197</v>
      </c>
      <c r="P613" s="33" t="s">
        <v>198</v>
      </c>
      <c r="Q613" s="33">
        <v>38</v>
      </c>
      <c r="R613" s="33" t="s">
        <v>198</v>
      </c>
      <c r="S613" s="33"/>
      <c r="T613" s="33" t="s">
        <v>376</v>
      </c>
      <c r="U613" s="33" t="s">
        <v>269</v>
      </c>
      <c r="V613" s="146"/>
      <c r="W613" s="205"/>
    </row>
    <row r="614" spans="1:23" ht="33.75" customHeight="1" thickBot="1">
      <c r="A614" s="69"/>
      <c r="B614" s="36"/>
      <c r="C614" s="94"/>
      <c r="D614" s="68"/>
      <c r="E614" s="68"/>
      <c r="F614" s="68"/>
      <c r="G614" s="68"/>
      <c r="H614" s="68"/>
      <c r="I614" s="68"/>
      <c r="J614" s="68"/>
      <c r="K614" s="68">
        <v>0</v>
      </c>
      <c r="L614" s="55" t="s">
        <v>1153</v>
      </c>
      <c r="M614" s="91"/>
      <c r="N614" s="91"/>
      <c r="O614" s="91" t="s">
        <v>197</v>
      </c>
      <c r="P614" s="91" t="s">
        <v>198</v>
      </c>
      <c r="Q614" s="91"/>
      <c r="R614" s="91" t="s">
        <v>198</v>
      </c>
      <c r="S614" s="91"/>
      <c r="T614" s="91" t="s">
        <v>376</v>
      </c>
      <c r="U614" s="91" t="s">
        <v>269</v>
      </c>
      <c r="V614" s="132" t="str">
        <f>IF(Sequencing!F5="CTL3","1b0","1b1")</f>
        <v>1b0</v>
      </c>
      <c r="W614" s="132" t="s">
        <v>157</v>
      </c>
    </row>
    <row r="615" spans="1:23" ht="33.75" customHeight="1" thickBot="1">
      <c r="A615" s="69"/>
      <c r="B615" s="36"/>
      <c r="C615" s="94"/>
      <c r="D615" s="68"/>
      <c r="E615" s="68"/>
      <c r="F615" s="68"/>
      <c r="G615" s="68"/>
      <c r="H615" s="68"/>
      <c r="I615" s="68"/>
      <c r="J615" s="68">
        <v>0</v>
      </c>
      <c r="K615" s="68"/>
      <c r="L615" s="55" t="s">
        <v>1154</v>
      </c>
      <c r="M615" s="91"/>
      <c r="N615" s="91"/>
      <c r="O615" s="91" t="s">
        <v>197</v>
      </c>
      <c r="P615" s="91" t="s">
        <v>198</v>
      </c>
      <c r="Q615" s="91"/>
      <c r="R615" s="91" t="s">
        <v>198</v>
      </c>
      <c r="S615" s="91"/>
      <c r="T615" s="91" t="s">
        <v>376</v>
      </c>
      <c r="U615" s="91" t="s">
        <v>269</v>
      </c>
      <c r="V615" s="132" t="str">
        <f>IF(Sequencing!F6="CTL3","1b0","1b1")</f>
        <v>1b0</v>
      </c>
      <c r="W615" s="132" t="s">
        <v>157</v>
      </c>
    </row>
    <row r="616" spans="1:23" ht="33.75" customHeight="1" thickBot="1">
      <c r="A616" s="69"/>
      <c r="B616" s="36"/>
      <c r="C616" s="94"/>
      <c r="D616" s="68"/>
      <c r="E616" s="68"/>
      <c r="F616" s="68"/>
      <c r="G616" s="68"/>
      <c r="H616" s="68"/>
      <c r="I616" s="68">
        <v>0</v>
      </c>
      <c r="J616" s="68"/>
      <c r="K616" s="68"/>
      <c r="L616" s="55" t="s">
        <v>1155</v>
      </c>
      <c r="M616" s="91"/>
      <c r="N616" s="91"/>
      <c r="O616" s="91" t="s">
        <v>197</v>
      </c>
      <c r="P616" s="91" t="s">
        <v>198</v>
      </c>
      <c r="Q616" s="91"/>
      <c r="R616" s="91" t="s">
        <v>198</v>
      </c>
      <c r="S616" s="91"/>
      <c r="T616" s="91" t="s">
        <v>376</v>
      </c>
      <c r="U616" s="91" t="s">
        <v>269</v>
      </c>
      <c r="V616" s="132" t="str">
        <f>IF(Sequencing!F7="CTL3","1b0","1b1")</f>
        <v>1b0</v>
      </c>
      <c r="W616" s="132" t="s">
        <v>157</v>
      </c>
    </row>
    <row r="617" spans="1:23" ht="33.75" customHeight="1" thickBot="1">
      <c r="A617" s="69"/>
      <c r="B617" s="36"/>
      <c r="C617" s="94"/>
      <c r="D617" s="68"/>
      <c r="E617" s="68"/>
      <c r="F617" s="68"/>
      <c r="G617" s="68"/>
      <c r="H617" s="68">
        <v>0</v>
      </c>
      <c r="I617" s="68"/>
      <c r="J617" s="68"/>
      <c r="K617" s="68"/>
      <c r="L617" s="55" t="s">
        <v>1156</v>
      </c>
      <c r="M617" s="91"/>
      <c r="N617" s="91"/>
      <c r="O617" s="91" t="s">
        <v>197</v>
      </c>
      <c r="P617" s="91" t="s">
        <v>198</v>
      </c>
      <c r="Q617" s="91"/>
      <c r="R617" s="91" t="s">
        <v>198</v>
      </c>
      <c r="S617" s="91"/>
      <c r="T617" s="91" t="s">
        <v>376</v>
      </c>
      <c r="U617" s="91" t="s">
        <v>269</v>
      </c>
      <c r="V617" s="132" t="str">
        <f>IF(Sequencing!F8="CTL3","1b0","1b1")</f>
        <v>1b0</v>
      </c>
      <c r="W617" s="132" t="s">
        <v>157</v>
      </c>
    </row>
    <row r="618" spans="1:23" ht="33.75" customHeight="1" thickBot="1">
      <c r="A618" s="69"/>
      <c r="B618" s="36"/>
      <c r="C618" s="94"/>
      <c r="D618" s="68"/>
      <c r="E618" s="68"/>
      <c r="F618" s="68"/>
      <c r="G618" s="68">
        <v>0</v>
      </c>
      <c r="H618" s="68"/>
      <c r="I618" s="68"/>
      <c r="J618" s="68"/>
      <c r="K618" s="68"/>
      <c r="L618" s="55" t="s">
        <v>1157</v>
      </c>
      <c r="M618" s="91"/>
      <c r="N618" s="91"/>
      <c r="O618" s="91" t="s">
        <v>197</v>
      </c>
      <c r="P618" s="91" t="s">
        <v>198</v>
      </c>
      <c r="Q618" s="91"/>
      <c r="R618" s="91" t="s">
        <v>198</v>
      </c>
      <c r="S618" s="91"/>
      <c r="T618" s="91" t="s">
        <v>376</v>
      </c>
      <c r="U618" s="91" t="s">
        <v>269</v>
      </c>
      <c r="V618" s="132" t="str">
        <f>IF(Sequencing!F9="CTL3","1b0","1b1")</f>
        <v>1b0</v>
      </c>
      <c r="W618" s="132" t="s">
        <v>157</v>
      </c>
    </row>
    <row r="619" spans="1:23" ht="33.75" customHeight="1" thickBot="1">
      <c r="A619" s="69"/>
      <c r="B619" s="36"/>
      <c r="C619" s="94"/>
      <c r="D619" s="68"/>
      <c r="E619" s="68"/>
      <c r="F619" s="68">
        <v>0</v>
      </c>
      <c r="G619" s="68"/>
      <c r="H619" s="68"/>
      <c r="I619" s="68"/>
      <c r="J619" s="68"/>
      <c r="K619" s="68"/>
      <c r="L619" s="55" t="s">
        <v>1158</v>
      </c>
      <c r="M619" s="91"/>
      <c r="N619" s="91"/>
      <c r="O619" s="91" t="s">
        <v>197</v>
      </c>
      <c r="P619" s="91" t="s">
        <v>198</v>
      </c>
      <c r="Q619" s="91"/>
      <c r="R619" s="91" t="s">
        <v>198</v>
      </c>
      <c r="S619" s="91"/>
      <c r="T619" s="91" t="s">
        <v>376</v>
      </c>
      <c r="U619" s="91" t="s">
        <v>269</v>
      </c>
      <c r="V619" s="132" t="str">
        <f>IF(RIGHT(Sequencing!F10,4)="CTL3","1b0","1b1")</f>
        <v>1b0</v>
      </c>
      <c r="W619" s="132" t="s">
        <v>157</v>
      </c>
    </row>
    <row r="620" spans="1:23" ht="33.75" customHeight="1">
      <c r="A620" s="69"/>
      <c r="B620" s="36"/>
      <c r="C620" s="94"/>
      <c r="D620" s="68"/>
      <c r="E620" s="68">
        <v>0</v>
      </c>
      <c r="F620" s="68"/>
      <c r="G620" s="68"/>
      <c r="H620" s="68"/>
      <c r="I620" s="68"/>
      <c r="J620" s="68"/>
      <c r="K620" s="68"/>
      <c r="L620" s="55" t="s">
        <v>1159</v>
      </c>
      <c r="M620" s="91"/>
      <c r="N620" s="91"/>
      <c r="O620" s="91" t="s">
        <v>197</v>
      </c>
      <c r="P620" s="91" t="s">
        <v>198</v>
      </c>
      <c r="Q620" s="91"/>
      <c r="R620" s="91" t="s">
        <v>198</v>
      </c>
      <c r="S620" s="91"/>
      <c r="T620" s="91" t="s">
        <v>376</v>
      </c>
      <c r="U620" s="91" t="s">
        <v>269</v>
      </c>
      <c r="V620" s="132" t="str">
        <f>IF(Sequencing!F11="CTL3","1b0","1b1")</f>
        <v>1b0</v>
      </c>
      <c r="W620" s="132" t="s">
        <v>157</v>
      </c>
    </row>
    <row r="621" spans="1:23" ht="34.5" customHeight="1" thickBot="1">
      <c r="A621" s="32"/>
      <c r="B621" s="36"/>
      <c r="C621" s="94"/>
      <c r="D621" s="68">
        <v>0</v>
      </c>
      <c r="E621" s="68"/>
      <c r="F621" s="68"/>
      <c r="G621" s="68"/>
      <c r="H621" s="68"/>
      <c r="I621" s="68"/>
      <c r="J621" s="68"/>
      <c r="K621" s="68"/>
      <c r="L621" s="55" t="s">
        <v>1160</v>
      </c>
      <c r="M621" s="91"/>
      <c r="N621" s="91"/>
      <c r="O621" s="91" t="s">
        <v>197</v>
      </c>
      <c r="P621" s="91" t="s">
        <v>198</v>
      </c>
      <c r="Q621" s="91"/>
      <c r="R621" s="91" t="s">
        <v>198</v>
      </c>
      <c r="S621" s="91"/>
      <c r="T621" s="91" t="s">
        <v>376</v>
      </c>
      <c r="U621" s="91" t="s">
        <v>269</v>
      </c>
      <c r="V621" s="132" t="str">
        <f>IF(Sequencing!F12="CTL3","1b0","1b1")</f>
        <v>1b0</v>
      </c>
      <c r="W621" s="132" t="s">
        <v>157</v>
      </c>
    </row>
    <row r="622" spans="1:23" ht="13.5" customHeight="1" thickBot="1">
      <c r="A622" s="101" t="s">
        <v>374</v>
      </c>
      <c r="B622" s="36" t="s">
        <v>443</v>
      </c>
      <c r="C622" s="99" t="s">
        <v>444</v>
      </c>
      <c r="D622" s="290"/>
      <c r="E622" s="290"/>
      <c r="F622" s="290"/>
      <c r="G622" s="290"/>
      <c r="H622" s="290"/>
      <c r="I622" s="290"/>
      <c r="J622" s="290"/>
      <c r="K622" s="290"/>
      <c r="L622" s="34" t="s">
        <v>444</v>
      </c>
      <c r="M622" s="33"/>
      <c r="N622" s="33"/>
      <c r="O622" s="33" t="s">
        <v>197</v>
      </c>
      <c r="P622" s="33" t="s">
        <v>198</v>
      </c>
      <c r="Q622" s="33">
        <v>39</v>
      </c>
      <c r="R622" s="33" t="s">
        <v>198</v>
      </c>
      <c r="S622" s="33"/>
      <c r="T622" s="33" t="s">
        <v>376</v>
      </c>
      <c r="U622" s="33" t="s">
        <v>269</v>
      </c>
      <c r="V622" s="146"/>
      <c r="W622" s="205"/>
    </row>
    <row r="623" spans="1:23" ht="33.75" customHeight="1" thickBot="1">
      <c r="A623" s="69"/>
      <c r="B623" s="36"/>
      <c r="C623" s="94"/>
      <c r="D623" s="68"/>
      <c r="E623" s="68"/>
      <c r="F623" s="68"/>
      <c r="G623" s="68"/>
      <c r="H623" s="68"/>
      <c r="I623" s="68"/>
      <c r="J623" s="68"/>
      <c r="K623" s="68">
        <v>0</v>
      </c>
      <c r="L623" s="55" t="s">
        <v>1166</v>
      </c>
      <c r="M623" s="91"/>
      <c r="N623" s="91"/>
      <c r="O623" s="91" t="s">
        <v>197</v>
      </c>
      <c r="P623" s="91" t="s">
        <v>198</v>
      </c>
      <c r="Q623" s="91"/>
      <c r="R623" s="91" t="s">
        <v>198</v>
      </c>
      <c r="S623" s="91"/>
      <c r="T623" s="91" t="s">
        <v>376</v>
      </c>
      <c r="U623" s="91" t="s">
        <v>269</v>
      </c>
      <c r="V623" s="132" t="str">
        <f>IF(Overview!D46="Open Drain","1b1","1b0")</f>
        <v>1b1</v>
      </c>
      <c r="W623" s="132" t="s">
        <v>157</v>
      </c>
    </row>
    <row r="624" spans="1:23" ht="33.75" customHeight="1" thickBot="1">
      <c r="A624" s="69"/>
      <c r="B624" s="36"/>
      <c r="C624" s="94"/>
      <c r="D624" s="68"/>
      <c r="E624" s="68"/>
      <c r="F624" s="68"/>
      <c r="G624" s="68"/>
      <c r="H624" s="68"/>
      <c r="I624" s="68"/>
      <c r="J624" s="68">
        <v>0</v>
      </c>
      <c r="K624" s="68"/>
      <c r="L624" s="55" t="s">
        <v>1167</v>
      </c>
      <c r="M624" s="91"/>
      <c r="N624" s="91"/>
      <c r="O624" s="91" t="s">
        <v>197</v>
      </c>
      <c r="P624" s="91" t="s">
        <v>198</v>
      </c>
      <c r="Q624" s="91"/>
      <c r="R624" s="91" t="s">
        <v>198</v>
      </c>
      <c r="S624" s="91"/>
      <c r="T624" s="91" t="s">
        <v>376</v>
      </c>
      <c r="U624" s="91" t="s">
        <v>269</v>
      </c>
      <c r="V624" s="132" t="str">
        <f>IF(Overview!D47="Open Drain","1b1","1b0")</f>
        <v>1b1</v>
      </c>
      <c r="W624" s="132" t="s">
        <v>157</v>
      </c>
    </row>
    <row r="625" spans="1:23" ht="33.75" customHeight="1" thickBot="1">
      <c r="A625" s="69"/>
      <c r="B625" s="36"/>
      <c r="C625" s="94"/>
      <c r="D625" s="68"/>
      <c r="E625" s="68"/>
      <c r="F625" s="68"/>
      <c r="G625" s="68"/>
      <c r="H625" s="68"/>
      <c r="I625" s="68">
        <v>0</v>
      </c>
      <c r="J625" s="68"/>
      <c r="K625" s="68"/>
      <c r="L625" s="55" t="s">
        <v>1168</v>
      </c>
      <c r="M625" s="91"/>
      <c r="N625" s="91"/>
      <c r="O625" s="91" t="s">
        <v>197</v>
      </c>
      <c r="P625" s="91" t="s">
        <v>198</v>
      </c>
      <c r="Q625" s="91"/>
      <c r="R625" s="91" t="s">
        <v>198</v>
      </c>
      <c r="S625" s="91"/>
      <c r="T625" s="91" t="s">
        <v>376</v>
      </c>
      <c r="U625" s="91" t="s">
        <v>269</v>
      </c>
      <c r="V625" s="132" t="str">
        <f>IF(Overview!D48="Open Drain","1b1","1b0")</f>
        <v>1b1</v>
      </c>
      <c r="W625" s="132" t="s">
        <v>157</v>
      </c>
    </row>
    <row r="626" spans="1:23" ht="33.75" customHeight="1" thickBot="1">
      <c r="A626" s="69"/>
      <c r="B626" s="36"/>
      <c r="C626" s="94"/>
      <c r="D626" s="68"/>
      <c r="E626" s="68"/>
      <c r="F626" s="68"/>
      <c r="G626" s="68"/>
      <c r="H626" s="68">
        <v>0</v>
      </c>
      <c r="I626" s="68"/>
      <c r="J626" s="68"/>
      <c r="K626" s="68"/>
      <c r="L626" s="55" t="s">
        <v>1169</v>
      </c>
      <c r="M626" s="91"/>
      <c r="N626" s="91"/>
      <c r="O626" s="91" t="s">
        <v>197</v>
      </c>
      <c r="P626" s="91" t="s">
        <v>198</v>
      </c>
      <c r="Q626" s="91"/>
      <c r="R626" s="91" t="s">
        <v>198</v>
      </c>
      <c r="S626" s="91"/>
      <c r="T626" s="91" t="s">
        <v>376</v>
      </c>
      <c r="U626" s="91" t="s">
        <v>269</v>
      </c>
      <c r="V626" s="132" t="s">
        <v>157</v>
      </c>
      <c r="W626" s="132" t="s">
        <v>157</v>
      </c>
    </row>
    <row r="627" spans="1:23" ht="33.75" customHeight="1" thickBot="1">
      <c r="A627" s="69"/>
      <c r="B627" s="36"/>
      <c r="C627" s="94"/>
      <c r="D627" s="68"/>
      <c r="E627" s="68"/>
      <c r="F627" s="68"/>
      <c r="G627" s="68">
        <v>0</v>
      </c>
      <c r="H627" s="68"/>
      <c r="I627" s="68"/>
      <c r="J627" s="68"/>
      <c r="K627" s="68"/>
      <c r="L627" s="55" t="s">
        <v>1170</v>
      </c>
      <c r="M627" s="91"/>
      <c r="N627" s="91"/>
      <c r="O627" s="91" t="s">
        <v>197</v>
      </c>
      <c r="P627" s="91" t="s">
        <v>198</v>
      </c>
      <c r="Q627" s="91"/>
      <c r="R627" s="91" t="s">
        <v>198</v>
      </c>
      <c r="S627" s="91"/>
      <c r="T627" s="91" t="s">
        <v>376</v>
      </c>
      <c r="U627" s="91" t="s">
        <v>269</v>
      </c>
      <c r="V627" s="132" t="str">
        <f>IF(Overview!C46="I2C","1b1","1b0")</f>
        <v>1b0</v>
      </c>
      <c r="W627" s="132" t="s">
        <v>157</v>
      </c>
    </row>
    <row r="628" spans="1:23" ht="33.75" customHeight="1" thickBot="1">
      <c r="A628" s="69"/>
      <c r="B628" s="36"/>
      <c r="C628" s="94"/>
      <c r="D628" s="68"/>
      <c r="E628" s="68"/>
      <c r="F628" s="68">
        <v>0</v>
      </c>
      <c r="G628" s="68"/>
      <c r="H628" s="68"/>
      <c r="I628" s="68"/>
      <c r="J628" s="68"/>
      <c r="K628" s="68"/>
      <c r="L628" s="55" t="s">
        <v>1171</v>
      </c>
      <c r="M628" s="91"/>
      <c r="N628" s="91"/>
      <c r="O628" s="91" t="s">
        <v>197</v>
      </c>
      <c r="P628" s="91" t="s">
        <v>198</v>
      </c>
      <c r="Q628" s="91"/>
      <c r="R628" s="91" t="s">
        <v>198</v>
      </c>
      <c r="S628" s="91"/>
      <c r="T628" s="91" t="s">
        <v>376</v>
      </c>
      <c r="U628" s="91" t="s">
        <v>269</v>
      </c>
      <c r="V628" s="132" t="str">
        <f>IF(Overview!C47="I2C","1b1","1b0")</f>
        <v>1b0</v>
      </c>
      <c r="W628" s="132" t="s">
        <v>157</v>
      </c>
    </row>
    <row r="629" spans="1:23" ht="33.75" customHeight="1" thickBot="1">
      <c r="A629" s="69"/>
      <c r="B629" s="36"/>
      <c r="C629" s="94"/>
      <c r="D629" s="68"/>
      <c r="E629" s="68">
        <v>0</v>
      </c>
      <c r="F629" s="68"/>
      <c r="G629" s="68"/>
      <c r="H629" s="68"/>
      <c r="I629" s="68"/>
      <c r="J629" s="68"/>
      <c r="K629" s="68"/>
      <c r="L629" s="55" t="s">
        <v>1172</v>
      </c>
      <c r="M629" s="91"/>
      <c r="N629" s="91"/>
      <c r="O629" s="91" t="s">
        <v>197</v>
      </c>
      <c r="P629" s="91" t="s">
        <v>198</v>
      </c>
      <c r="Q629" s="91"/>
      <c r="R629" s="91" t="s">
        <v>198</v>
      </c>
      <c r="S629" s="91"/>
      <c r="T629" s="91" t="s">
        <v>376</v>
      </c>
      <c r="U629" s="91" t="s">
        <v>269</v>
      </c>
      <c r="V629" s="132" t="str">
        <f>IF(Overview!C48="I2C","1b1","1b0")</f>
        <v>1b0</v>
      </c>
      <c r="W629" s="132" t="s">
        <v>157</v>
      </c>
    </row>
    <row r="630" spans="1:23" ht="33.75" customHeight="1" thickBot="1">
      <c r="A630" s="69"/>
      <c r="B630" s="36"/>
      <c r="C630" s="94"/>
      <c r="D630" s="68">
        <v>0</v>
      </c>
      <c r="E630" s="68"/>
      <c r="F630" s="68"/>
      <c r="G630" s="68"/>
      <c r="H630" s="68"/>
      <c r="I630" s="68"/>
      <c r="J630" s="68"/>
      <c r="K630" s="68"/>
      <c r="L630" s="55" t="s">
        <v>1173</v>
      </c>
      <c r="M630" s="91"/>
      <c r="N630" s="91"/>
      <c r="O630" s="91" t="s">
        <v>197</v>
      </c>
      <c r="P630" s="91" t="s">
        <v>198</v>
      </c>
      <c r="Q630" s="91"/>
      <c r="R630" s="91" t="s">
        <v>198</v>
      </c>
      <c r="S630" s="91"/>
      <c r="T630" s="91" t="s">
        <v>376</v>
      </c>
      <c r="U630" s="91" t="s">
        <v>269</v>
      </c>
      <c r="V630" s="132" t="str">
        <f>IF(Overview!C49="I2C","1b1","1b0")</f>
        <v>1b0</v>
      </c>
      <c r="W630" s="132" t="s">
        <v>157</v>
      </c>
    </row>
    <row r="631" spans="1:23" ht="13.5" customHeight="1" thickBot="1">
      <c r="A631" s="101" t="s">
        <v>374</v>
      </c>
      <c r="B631" s="36" t="s">
        <v>445</v>
      </c>
      <c r="C631" s="99" t="s">
        <v>446</v>
      </c>
      <c r="D631" s="290"/>
      <c r="E631" s="290"/>
      <c r="F631" s="290"/>
      <c r="G631" s="290"/>
      <c r="H631" s="290"/>
      <c r="I631" s="290"/>
      <c r="J631" s="290"/>
      <c r="K631" s="290"/>
      <c r="L631" s="34" t="s">
        <v>1163</v>
      </c>
      <c r="M631" s="33"/>
      <c r="N631" s="33"/>
      <c r="O631" s="33" t="s">
        <v>197</v>
      </c>
      <c r="P631" s="33" t="s">
        <v>198</v>
      </c>
      <c r="Q631" s="33">
        <v>40</v>
      </c>
      <c r="R631" s="33" t="s">
        <v>198</v>
      </c>
      <c r="S631" s="33"/>
      <c r="T631" s="33" t="s">
        <v>376</v>
      </c>
      <c r="U631" s="33" t="s">
        <v>269</v>
      </c>
      <c r="V631" s="146"/>
      <c r="W631" s="205"/>
    </row>
    <row r="632" spans="1:23" ht="12.75" customHeight="1" thickBot="1">
      <c r="A632" s="69"/>
      <c r="B632" s="36"/>
      <c r="C632" s="94"/>
      <c r="D632" s="68"/>
      <c r="E632" s="68"/>
      <c r="F632" s="68"/>
      <c r="G632" s="68"/>
      <c r="H632" s="68">
        <v>3</v>
      </c>
      <c r="I632" s="68">
        <v>2</v>
      </c>
      <c r="J632" s="68">
        <v>1</v>
      </c>
      <c r="K632" s="68">
        <v>0</v>
      </c>
      <c r="L632" s="31" t="s">
        <v>1164</v>
      </c>
      <c r="M632" s="91" t="s">
        <v>198</v>
      </c>
      <c r="N632" s="91"/>
      <c r="O632" s="91" t="s">
        <v>197</v>
      </c>
      <c r="P632" s="91" t="s">
        <v>198</v>
      </c>
      <c r="Q632" s="91"/>
      <c r="R632" s="91" t="s">
        <v>198</v>
      </c>
      <c r="S632" s="91"/>
      <c r="T632" s="91" t="s">
        <v>376</v>
      </c>
      <c r="U632" s="91" t="s">
        <v>269</v>
      </c>
      <c r="V632" s="132" t="str">
        <f>IF(Overview!D13="10 mV","4b0101","4b1110")</f>
        <v>4b1110</v>
      </c>
      <c r="W632" s="206" t="s">
        <v>155</v>
      </c>
    </row>
    <row r="633" spans="1:23" ht="12.75" customHeight="1" thickBot="1">
      <c r="A633" s="30"/>
      <c r="B633" s="36"/>
      <c r="C633" s="94"/>
      <c r="D633" s="68">
        <v>3</v>
      </c>
      <c r="E633" s="68">
        <v>2</v>
      </c>
      <c r="F633" s="68">
        <v>1</v>
      </c>
      <c r="G633" s="68">
        <v>0</v>
      </c>
      <c r="H633" s="68"/>
      <c r="I633" s="68"/>
      <c r="J633" s="68"/>
      <c r="K633" s="68"/>
      <c r="L633" s="31" t="s">
        <v>1165</v>
      </c>
      <c r="M633" s="91" t="s">
        <v>198</v>
      </c>
      <c r="N633" s="91"/>
      <c r="O633" s="91" t="s">
        <v>197</v>
      </c>
      <c r="P633" s="91" t="s">
        <v>198</v>
      </c>
      <c r="Q633" s="91"/>
      <c r="R633" s="91" t="s">
        <v>198</v>
      </c>
      <c r="S633" s="91"/>
      <c r="T633" s="91" t="s">
        <v>376</v>
      </c>
      <c r="U633" s="91" t="s">
        <v>269</v>
      </c>
      <c r="V633" s="132" t="s">
        <v>178</v>
      </c>
      <c r="W633" s="132" t="s">
        <v>178</v>
      </c>
    </row>
    <row r="634" spans="1:23" ht="13.5" customHeight="1" thickBot="1">
      <c r="A634" s="101" t="s">
        <v>374</v>
      </c>
      <c r="B634" s="36" t="s">
        <v>449</v>
      </c>
      <c r="C634" s="99" t="s">
        <v>450</v>
      </c>
      <c r="D634" s="291"/>
      <c r="E634" s="292"/>
      <c r="F634" s="292"/>
      <c r="G634" s="292"/>
      <c r="H634" s="292"/>
      <c r="I634" s="292"/>
      <c r="J634" s="292"/>
      <c r="K634" s="293"/>
      <c r="L634" s="34" t="s">
        <v>1174</v>
      </c>
      <c r="M634" s="33"/>
      <c r="N634" s="33"/>
      <c r="O634" s="33" t="s">
        <v>197</v>
      </c>
      <c r="P634" s="33" t="s">
        <v>198</v>
      </c>
      <c r="Q634" s="33">
        <v>41</v>
      </c>
      <c r="R634" s="33" t="s">
        <v>198</v>
      </c>
      <c r="S634" s="33"/>
      <c r="T634" s="33" t="s">
        <v>376</v>
      </c>
      <c r="U634" s="33" t="s">
        <v>269</v>
      </c>
      <c r="V634" s="146"/>
      <c r="W634" s="205"/>
    </row>
    <row r="635" spans="1:23" ht="12.75" customHeight="1" thickBot="1">
      <c r="A635" s="29"/>
      <c r="B635" s="28"/>
      <c r="C635" s="27"/>
      <c r="D635" s="26"/>
      <c r="E635" s="26"/>
      <c r="F635" s="26"/>
      <c r="G635" s="26"/>
      <c r="H635" s="26"/>
      <c r="I635" s="26"/>
      <c r="J635" s="26">
        <v>1</v>
      </c>
      <c r="K635" s="26">
        <v>0</v>
      </c>
      <c r="L635" s="31" t="s">
        <v>1179</v>
      </c>
      <c r="M635" s="25"/>
      <c r="N635" s="25"/>
      <c r="O635" s="25" t="s">
        <v>197</v>
      </c>
      <c r="P635" s="25" t="s">
        <v>198</v>
      </c>
      <c r="Q635" s="25"/>
      <c r="R635" s="25" t="s">
        <v>198</v>
      </c>
      <c r="S635" s="25"/>
      <c r="T635" s="25" t="s">
        <v>376</v>
      </c>
      <c r="U635" s="25" t="s">
        <v>269</v>
      </c>
      <c r="V635" s="149" t="s">
        <v>164</v>
      </c>
      <c r="W635" s="149" t="s">
        <v>164</v>
      </c>
    </row>
    <row r="636" spans="1:23" ht="12.75" customHeight="1" thickBot="1">
      <c r="A636" s="29"/>
      <c r="B636" s="28"/>
      <c r="C636" s="27"/>
      <c r="D636" s="26"/>
      <c r="E636" s="26"/>
      <c r="F636" s="26"/>
      <c r="G636" s="26"/>
      <c r="H636" s="26"/>
      <c r="I636" s="26">
        <v>0</v>
      </c>
      <c r="J636" s="26"/>
      <c r="K636" s="26"/>
      <c r="L636" s="31" t="s">
        <v>1175</v>
      </c>
      <c r="M636" s="25"/>
      <c r="N636" s="25"/>
      <c r="O636" s="25" t="s">
        <v>197</v>
      </c>
      <c r="P636" s="25" t="s">
        <v>198</v>
      </c>
      <c r="Q636" s="25"/>
      <c r="R636" s="25" t="s">
        <v>198</v>
      </c>
      <c r="S636" s="25"/>
      <c r="T636" s="25" t="s">
        <v>376</v>
      </c>
      <c r="U636" s="25" t="s">
        <v>269</v>
      </c>
      <c r="V636" s="149" t="s">
        <v>157</v>
      </c>
      <c r="W636" s="149" t="s">
        <v>157</v>
      </c>
    </row>
    <row r="637" spans="1:23" ht="12.75" customHeight="1" thickBot="1">
      <c r="A637" s="29"/>
      <c r="B637" s="28"/>
      <c r="C637" s="27"/>
      <c r="D637" s="26"/>
      <c r="E637" s="26"/>
      <c r="F637" s="26"/>
      <c r="G637" s="26"/>
      <c r="H637" s="26">
        <v>0</v>
      </c>
      <c r="I637" s="26"/>
      <c r="J637" s="26"/>
      <c r="K637" s="26"/>
      <c r="L637" s="31" t="s">
        <v>1176</v>
      </c>
      <c r="M637" s="25"/>
      <c r="N637" s="25"/>
      <c r="O637" s="25" t="s">
        <v>197</v>
      </c>
      <c r="P637" s="25" t="s">
        <v>198</v>
      </c>
      <c r="Q637" s="25"/>
      <c r="R637" s="25" t="s">
        <v>198</v>
      </c>
      <c r="S637" s="25"/>
      <c r="T637" s="25" t="s">
        <v>376</v>
      </c>
      <c r="U637" s="25" t="s">
        <v>269</v>
      </c>
      <c r="V637" s="149" t="s">
        <v>157</v>
      </c>
      <c r="W637" s="149" t="s">
        <v>157</v>
      </c>
    </row>
    <row r="638" spans="1:23" ht="12.75" customHeight="1" thickBot="1">
      <c r="A638" s="29"/>
      <c r="B638" s="28"/>
      <c r="C638" s="27"/>
      <c r="D638" s="26"/>
      <c r="E638" s="26"/>
      <c r="F638" s="26"/>
      <c r="G638" s="26">
        <v>0</v>
      </c>
      <c r="H638" s="26"/>
      <c r="I638" s="26"/>
      <c r="J638" s="26"/>
      <c r="K638" s="26"/>
      <c r="L638" s="31" t="s">
        <v>1177</v>
      </c>
      <c r="M638" s="25"/>
      <c r="N638" s="25"/>
      <c r="O638" s="25" t="s">
        <v>197</v>
      </c>
      <c r="P638" s="25" t="s">
        <v>198</v>
      </c>
      <c r="Q638" s="25"/>
      <c r="R638" s="25" t="s">
        <v>198</v>
      </c>
      <c r="S638" s="25"/>
      <c r="T638" s="25" t="s">
        <v>376</v>
      </c>
      <c r="U638" s="25" t="s">
        <v>269</v>
      </c>
      <c r="V638" s="149" t="s">
        <v>157</v>
      </c>
      <c r="W638" s="149" t="s">
        <v>157</v>
      </c>
    </row>
    <row r="639" spans="1:23" ht="12.75" customHeight="1" thickBot="1">
      <c r="A639" s="29"/>
      <c r="B639" s="28"/>
      <c r="C639" s="27"/>
      <c r="D639" s="26"/>
      <c r="E639" s="26"/>
      <c r="F639" s="26">
        <v>0</v>
      </c>
      <c r="G639" s="26"/>
      <c r="H639" s="26"/>
      <c r="I639" s="26"/>
      <c r="J639" s="26"/>
      <c r="K639" s="26"/>
      <c r="L639" s="31" t="s">
        <v>1178</v>
      </c>
      <c r="M639" s="25"/>
      <c r="N639" s="25"/>
      <c r="O639" s="25" t="s">
        <v>197</v>
      </c>
      <c r="P639" s="25" t="s">
        <v>198</v>
      </c>
      <c r="Q639" s="25"/>
      <c r="R639" s="25" t="s">
        <v>198</v>
      </c>
      <c r="S639" s="25"/>
      <c r="T639" s="25" t="s">
        <v>376</v>
      </c>
      <c r="U639" s="25" t="s">
        <v>269</v>
      </c>
      <c r="V639" s="149" t="str">
        <f>IF(Overview!C13="Ext FB","1b0","1b1")</f>
        <v>1b1</v>
      </c>
      <c r="W639" s="149" t="s">
        <v>157</v>
      </c>
    </row>
    <row r="640" spans="1:23" ht="22.5" customHeight="1" thickBot="1">
      <c r="A640" s="29"/>
      <c r="B640" s="28"/>
      <c r="C640" s="27"/>
      <c r="D640" s="26">
        <v>1</v>
      </c>
      <c r="E640" s="26">
        <v>0</v>
      </c>
      <c r="F640" s="26"/>
      <c r="G640" s="26"/>
      <c r="H640" s="26"/>
      <c r="I640" s="26"/>
      <c r="J640" s="26"/>
      <c r="K640" s="26"/>
      <c r="L640" s="31" t="s">
        <v>1180</v>
      </c>
      <c r="M640" s="25"/>
      <c r="N640" s="25"/>
      <c r="O640" s="25" t="s">
        <v>197</v>
      </c>
      <c r="P640" s="25" t="s">
        <v>198</v>
      </c>
      <c r="Q640" s="25"/>
      <c r="R640" s="25" t="s">
        <v>198</v>
      </c>
      <c r="S640" s="25"/>
      <c r="T640" s="25" t="s">
        <v>376</v>
      </c>
      <c r="U640" s="25" t="s">
        <v>269</v>
      </c>
      <c r="V640" s="149" t="str">
        <f>IF(Overview!D13="10 mV","2b01","2b10")</f>
        <v>2b10</v>
      </c>
      <c r="W640" s="207" t="s">
        <v>156</v>
      </c>
    </row>
    <row r="641" spans="1:23" ht="13.5" customHeight="1" thickBot="1">
      <c r="A641" s="101" t="s">
        <v>374</v>
      </c>
      <c r="B641" s="36" t="s">
        <v>451</v>
      </c>
      <c r="C641" s="99" t="s">
        <v>452</v>
      </c>
      <c r="D641" s="291"/>
      <c r="E641" s="292"/>
      <c r="F641" s="292"/>
      <c r="G641" s="292"/>
      <c r="H641" s="292"/>
      <c r="I641" s="292"/>
      <c r="J641" s="292"/>
      <c r="K641" s="293"/>
      <c r="L641" s="34" t="s">
        <v>1181</v>
      </c>
      <c r="M641" s="23"/>
      <c r="N641" s="23"/>
      <c r="O641" s="23" t="s">
        <v>197</v>
      </c>
      <c r="P641" s="23" t="s">
        <v>198</v>
      </c>
      <c r="Q641" s="23">
        <v>42</v>
      </c>
      <c r="R641" s="23" t="s">
        <v>198</v>
      </c>
      <c r="S641" s="33"/>
      <c r="T641" s="33" t="s">
        <v>376</v>
      </c>
      <c r="U641" s="33" t="s">
        <v>269</v>
      </c>
      <c r="V641" s="146"/>
      <c r="W641" s="205"/>
    </row>
    <row r="642" spans="1:23" ht="12.75" customHeight="1">
      <c r="A642" s="22"/>
      <c r="B642" s="36"/>
      <c r="C642" s="27"/>
      <c r="D642" s="26"/>
      <c r="E642" s="26"/>
      <c r="F642" s="26"/>
      <c r="G642" s="26"/>
      <c r="H642" s="26"/>
      <c r="I642" s="26">
        <v>2</v>
      </c>
      <c r="J642" s="26">
        <v>1</v>
      </c>
      <c r="K642" s="26">
        <v>0</v>
      </c>
      <c r="L642" s="31" t="s">
        <v>1183</v>
      </c>
      <c r="M642" s="25" t="s">
        <v>198</v>
      </c>
      <c r="N642" s="25"/>
      <c r="O642" s="25" t="s">
        <v>197</v>
      </c>
      <c r="P642" s="25" t="s">
        <v>198</v>
      </c>
      <c r="Q642" s="25"/>
      <c r="R642" s="25" t="s">
        <v>198</v>
      </c>
      <c r="S642" s="25"/>
      <c r="T642" s="25" t="s">
        <v>376</v>
      </c>
      <c r="U642" s="25" t="s">
        <v>269</v>
      </c>
      <c r="V642" s="149" t="s">
        <v>175</v>
      </c>
      <c r="W642" s="149" t="s">
        <v>175</v>
      </c>
    </row>
    <row r="643" spans="1:23" ht="12.75" customHeight="1">
      <c r="A643" s="22"/>
      <c r="B643" s="36"/>
      <c r="C643" s="27"/>
      <c r="D643" s="26"/>
      <c r="E643" s="26"/>
      <c r="F643" s="26"/>
      <c r="G643" s="26"/>
      <c r="H643" s="26">
        <v>0</v>
      </c>
      <c r="I643" s="26"/>
      <c r="J643" s="26"/>
      <c r="K643" s="26"/>
      <c r="L643" s="31" t="s">
        <v>1182</v>
      </c>
      <c r="M643" s="25"/>
      <c r="N643" s="25" t="s">
        <v>198</v>
      </c>
      <c r="O643" s="25" t="s">
        <v>197</v>
      </c>
      <c r="P643" s="25" t="s">
        <v>198</v>
      </c>
      <c r="Q643" s="25"/>
      <c r="R643" s="25" t="s">
        <v>198</v>
      </c>
      <c r="S643" s="25"/>
      <c r="T643" s="25" t="s">
        <v>376</v>
      </c>
      <c r="U643" s="25" t="s">
        <v>269</v>
      </c>
      <c r="V643" s="149" t="s">
        <v>159</v>
      </c>
      <c r="W643" s="149" t="s">
        <v>159</v>
      </c>
    </row>
    <row r="644" spans="1:23" ht="12.75" customHeight="1" thickBot="1">
      <c r="A644" s="22"/>
      <c r="B644" s="36"/>
      <c r="C644" s="27"/>
      <c r="D644" s="26">
        <v>3</v>
      </c>
      <c r="E644" s="26">
        <v>2</v>
      </c>
      <c r="F644" s="26">
        <v>1</v>
      </c>
      <c r="G644" s="26">
        <v>0</v>
      </c>
      <c r="H644" s="26"/>
      <c r="I644" s="26"/>
      <c r="J644" s="26"/>
      <c r="K644" s="26"/>
      <c r="L644" s="31" t="s">
        <v>1184</v>
      </c>
      <c r="M644" s="25" t="s">
        <v>198</v>
      </c>
      <c r="N644" s="25"/>
      <c r="O644" s="25" t="s">
        <v>197</v>
      </c>
      <c r="P644" s="25" t="s">
        <v>198</v>
      </c>
      <c r="Q644" s="25"/>
      <c r="R644" s="25" t="s">
        <v>198</v>
      </c>
      <c r="S644" s="25"/>
      <c r="T644" s="25" t="s">
        <v>376</v>
      </c>
      <c r="U644" s="25" t="s">
        <v>269</v>
      </c>
      <c r="V644" s="149" t="s">
        <v>178</v>
      </c>
      <c r="W644" s="149" t="s">
        <v>178</v>
      </c>
    </row>
    <row r="645" spans="1:23" ht="13.5" customHeight="1" thickBot="1">
      <c r="A645" s="101" t="s">
        <v>374</v>
      </c>
      <c r="B645" s="36" t="s">
        <v>455</v>
      </c>
      <c r="C645" s="99" t="s">
        <v>456</v>
      </c>
      <c r="D645" s="291"/>
      <c r="E645" s="292"/>
      <c r="F645" s="292"/>
      <c r="G645" s="292"/>
      <c r="H645" s="292"/>
      <c r="I645" s="292"/>
      <c r="J645" s="292"/>
      <c r="K645" s="293"/>
      <c r="L645" s="34" t="s">
        <v>1185</v>
      </c>
      <c r="M645" s="33"/>
      <c r="N645" s="33"/>
      <c r="O645" s="33" t="s">
        <v>197</v>
      </c>
      <c r="P645" s="33" t="s">
        <v>198</v>
      </c>
      <c r="Q645" s="33">
        <v>43</v>
      </c>
      <c r="R645" s="33" t="s">
        <v>198</v>
      </c>
      <c r="S645" s="33"/>
      <c r="T645" s="33" t="s">
        <v>376</v>
      </c>
      <c r="U645" s="33" t="s">
        <v>269</v>
      </c>
      <c r="V645" s="146"/>
      <c r="W645" s="205"/>
    </row>
    <row r="646" spans="1:23" ht="12.75" customHeight="1">
      <c r="A646" s="53"/>
      <c r="B646" s="36"/>
      <c r="C646" s="27"/>
      <c r="D646" s="26"/>
      <c r="E646" s="26"/>
      <c r="F646" s="26"/>
      <c r="G646" s="26"/>
      <c r="H646" s="26"/>
      <c r="I646" s="26"/>
      <c r="J646" s="26"/>
      <c r="K646" s="26">
        <v>0</v>
      </c>
      <c r="L646" s="55" t="s">
        <v>1186</v>
      </c>
      <c r="M646" s="25"/>
      <c r="N646" s="25"/>
      <c r="O646" s="25" t="s">
        <v>197</v>
      </c>
      <c r="P646" s="25" t="s">
        <v>198</v>
      </c>
      <c r="Q646" s="25"/>
      <c r="R646" s="25" t="s">
        <v>198</v>
      </c>
      <c r="S646" s="25"/>
      <c r="T646" s="25" t="s">
        <v>376</v>
      </c>
      <c r="U646" s="25" t="s">
        <v>269</v>
      </c>
      <c r="V646" s="149" t="str">
        <f>IF(Overview!C13="Ext FB","1b1","1b0")</f>
        <v>1b0</v>
      </c>
      <c r="W646" s="208" t="s">
        <v>157</v>
      </c>
    </row>
    <row r="647" spans="1:23" ht="12.75" customHeight="1">
      <c r="A647" s="53"/>
      <c r="B647" s="36"/>
      <c r="C647" s="27"/>
      <c r="D647" s="26"/>
      <c r="E647" s="26"/>
      <c r="F647" s="26"/>
      <c r="G647" s="26"/>
      <c r="H647" s="26"/>
      <c r="I647" s="26"/>
      <c r="J647" s="26">
        <v>0</v>
      </c>
      <c r="K647" s="26"/>
      <c r="L647" s="55" t="s">
        <v>1187</v>
      </c>
      <c r="M647" s="25"/>
      <c r="N647" s="25"/>
      <c r="O647" s="25" t="s">
        <v>197</v>
      </c>
      <c r="P647" s="25" t="s">
        <v>198</v>
      </c>
      <c r="Q647" s="25"/>
      <c r="R647" s="25" t="s">
        <v>198</v>
      </c>
      <c r="S647" s="25"/>
      <c r="T647" s="25" t="s">
        <v>376</v>
      </c>
      <c r="U647" s="25" t="s">
        <v>269</v>
      </c>
      <c r="V647" s="149" t="s">
        <v>159</v>
      </c>
      <c r="W647" s="149" t="s">
        <v>159</v>
      </c>
    </row>
    <row r="648" spans="1:23" ht="12.75" customHeight="1">
      <c r="A648" s="53"/>
      <c r="B648" s="36"/>
      <c r="C648" s="27"/>
      <c r="D648" s="26"/>
      <c r="E648" s="26"/>
      <c r="F648" s="26"/>
      <c r="G648" s="26"/>
      <c r="H648" s="26"/>
      <c r="I648" s="26">
        <v>0</v>
      </c>
      <c r="J648" s="26"/>
      <c r="K648" s="26"/>
      <c r="L648" s="55" t="s">
        <v>1188</v>
      </c>
      <c r="M648" s="25"/>
      <c r="N648" s="25"/>
      <c r="O648" s="25" t="s">
        <v>197</v>
      </c>
      <c r="P648" s="25" t="s">
        <v>198</v>
      </c>
      <c r="Q648" s="25"/>
      <c r="R648" s="25" t="s">
        <v>198</v>
      </c>
      <c r="S648" s="25"/>
      <c r="T648" s="25" t="s">
        <v>376</v>
      </c>
      <c r="U648" s="25" t="s">
        <v>269</v>
      </c>
      <c r="V648" s="149" t="s">
        <v>157</v>
      </c>
      <c r="W648" s="149" t="s">
        <v>157</v>
      </c>
    </row>
    <row r="649" spans="1:23" ht="12.75" customHeight="1">
      <c r="A649" s="53"/>
      <c r="B649" s="36"/>
      <c r="C649" s="27"/>
      <c r="D649" s="26"/>
      <c r="E649" s="26"/>
      <c r="F649" s="26"/>
      <c r="G649" s="26"/>
      <c r="H649" s="26">
        <v>0</v>
      </c>
      <c r="I649" s="26"/>
      <c r="J649" s="26"/>
      <c r="K649" s="26"/>
      <c r="L649" s="55" t="s">
        <v>1189</v>
      </c>
      <c r="M649" s="25"/>
      <c r="N649" s="25"/>
      <c r="O649" s="25" t="s">
        <v>197</v>
      </c>
      <c r="P649" s="25" t="s">
        <v>198</v>
      </c>
      <c r="Q649" s="25"/>
      <c r="R649" s="25" t="s">
        <v>198</v>
      </c>
      <c r="S649" s="25"/>
      <c r="T649" s="25" t="s">
        <v>376</v>
      </c>
      <c r="U649" s="25" t="s">
        <v>269</v>
      </c>
      <c r="V649" s="149" t="s">
        <v>159</v>
      </c>
      <c r="W649" s="149" t="s">
        <v>159</v>
      </c>
    </row>
    <row r="650" spans="1:23" ht="12.75" customHeight="1">
      <c r="A650" s="53"/>
      <c r="B650" s="36"/>
      <c r="C650" s="27"/>
      <c r="D650" s="26"/>
      <c r="E650" s="26"/>
      <c r="F650" s="26">
        <v>1</v>
      </c>
      <c r="G650" s="26">
        <v>0</v>
      </c>
      <c r="H650" s="26"/>
      <c r="I650" s="26"/>
      <c r="J650" s="26"/>
      <c r="K650" s="26"/>
      <c r="L650" s="55" t="s">
        <v>1191</v>
      </c>
      <c r="M650" s="25"/>
      <c r="N650" s="25"/>
      <c r="O650" s="25" t="s">
        <v>197</v>
      </c>
      <c r="P650" s="25" t="s">
        <v>198</v>
      </c>
      <c r="Q650" s="25"/>
      <c r="R650" s="25" t="s">
        <v>198</v>
      </c>
      <c r="S650" s="25"/>
      <c r="T650" s="25" t="s">
        <v>376</v>
      </c>
      <c r="U650" s="25" t="s">
        <v>269</v>
      </c>
      <c r="V650" s="149" t="str">
        <f>IF(Overview!C13="Ext FB","2b11","2b10")</f>
        <v>2b10</v>
      </c>
      <c r="W650" s="149" t="s">
        <v>156</v>
      </c>
    </row>
    <row r="651" spans="1:23" ht="12.75" customHeight="1">
      <c r="A651" s="53"/>
      <c r="B651" s="36"/>
      <c r="C651" s="27"/>
      <c r="D651" s="26"/>
      <c r="E651" s="26">
        <v>0</v>
      </c>
      <c r="F651" s="26"/>
      <c r="G651" s="26"/>
      <c r="H651" s="26"/>
      <c r="I651" s="26"/>
      <c r="J651" s="26"/>
      <c r="K651" s="26"/>
      <c r="L651" s="55" t="s">
        <v>1190</v>
      </c>
      <c r="M651" s="25"/>
      <c r="N651" s="25"/>
      <c r="O651" s="25" t="s">
        <v>197</v>
      </c>
      <c r="P651" s="25" t="s">
        <v>198</v>
      </c>
      <c r="Q651" s="25"/>
      <c r="R651" s="25" t="s">
        <v>198</v>
      </c>
      <c r="S651" s="25"/>
      <c r="T651" s="25" t="s">
        <v>376</v>
      </c>
      <c r="U651" s="25" t="s">
        <v>269</v>
      </c>
      <c r="V651" s="149" t="s">
        <v>157</v>
      </c>
      <c r="W651" s="149" t="s">
        <v>157</v>
      </c>
    </row>
    <row r="652" spans="1:23" ht="12.75" customHeight="1" thickBot="1">
      <c r="A652" s="54"/>
      <c r="B652" s="36"/>
      <c r="C652" s="27"/>
      <c r="D652" s="26">
        <v>0</v>
      </c>
      <c r="E652" s="26"/>
      <c r="F652" s="26"/>
      <c r="G652" s="26"/>
      <c r="H652" s="26"/>
      <c r="I652" s="26"/>
      <c r="J652" s="26"/>
      <c r="K652" s="26"/>
      <c r="L652" s="55" t="s">
        <v>1192</v>
      </c>
      <c r="M652" s="25"/>
      <c r="N652" s="25"/>
      <c r="O652" s="25" t="s">
        <v>197</v>
      </c>
      <c r="P652" s="25" t="s">
        <v>198</v>
      </c>
      <c r="Q652" s="25"/>
      <c r="R652" s="25" t="s">
        <v>198</v>
      </c>
      <c r="S652" s="25"/>
      <c r="T652" s="25" t="s">
        <v>376</v>
      </c>
      <c r="U652" s="25" t="s">
        <v>269</v>
      </c>
      <c r="V652" s="149" t="s">
        <v>159</v>
      </c>
      <c r="W652" s="149" t="s">
        <v>159</v>
      </c>
    </row>
    <row r="653" spans="1:23" ht="13.5" customHeight="1" thickBot="1">
      <c r="A653" s="101" t="s">
        <v>374</v>
      </c>
      <c r="B653" s="36" t="s">
        <v>457</v>
      </c>
      <c r="C653" s="99" t="s">
        <v>458</v>
      </c>
      <c r="D653" s="291"/>
      <c r="E653" s="292"/>
      <c r="F653" s="292"/>
      <c r="G653" s="292"/>
      <c r="H653" s="292"/>
      <c r="I653" s="292"/>
      <c r="J653" s="292"/>
      <c r="K653" s="293"/>
      <c r="L653" s="34" t="s">
        <v>1193</v>
      </c>
      <c r="M653" s="33"/>
      <c r="N653" s="33"/>
      <c r="O653" s="33" t="s">
        <v>197</v>
      </c>
      <c r="P653" s="33" t="s">
        <v>198</v>
      </c>
      <c r="Q653" s="33">
        <v>44</v>
      </c>
      <c r="R653" s="33" t="s">
        <v>198</v>
      </c>
      <c r="S653" s="33"/>
      <c r="T653" s="33" t="s">
        <v>376</v>
      </c>
      <c r="U653" s="33" t="s">
        <v>269</v>
      </c>
      <c r="V653" s="146"/>
      <c r="W653" s="205"/>
    </row>
    <row r="654" spans="1:23" ht="12.75" customHeight="1">
      <c r="A654" s="53"/>
      <c r="B654" s="36"/>
      <c r="C654" s="27"/>
      <c r="D654" s="26"/>
      <c r="E654" s="26"/>
      <c r="F654" s="26"/>
      <c r="G654" s="26"/>
      <c r="H654" s="26"/>
      <c r="I654" s="26"/>
      <c r="J654" s="26"/>
      <c r="K654" s="26">
        <v>0</v>
      </c>
      <c r="L654" s="55" t="s">
        <v>1194</v>
      </c>
      <c r="M654" s="25"/>
      <c r="N654" s="25" t="s">
        <v>198</v>
      </c>
      <c r="O654" s="25" t="s">
        <v>197</v>
      </c>
      <c r="P654" s="25" t="s">
        <v>198</v>
      </c>
      <c r="Q654" s="25"/>
      <c r="R654" s="25" t="s">
        <v>198</v>
      </c>
      <c r="S654" s="25"/>
      <c r="T654" s="25" t="s">
        <v>376</v>
      </c>
      <c r="U654" s="25" t="s">
        <v>269</v>
      </c>
      <c r="V654" s="149" t="s">
        <v>157</v>
      </c>
      <c r="W654" s="149" t="s">
        <v>157</v>
      </c>
    </row>
    <row r="655" spans="1:23" ht="12.75" customHeight="1">
      <c r="A655" s="53"/>
      <c r="B655" s="36"/>
      <c r="C655" s="27"/>
      <c r="D655" s="26"/>
      <c r="E655" s="26"/>
      <c r="F655" s="26"/>
      <c r="G655" s="26"/>
      <c r="H655" s="26"/>
      <c r="I655" s="26"/>
      <c r="J655" s="26">
        <v>0</v>
      </c>
      <c r="K655" s="26"/>
      <c r="L655" s="55" t="s">
        <v>1195</v>
      </c>
      <c r="M655" s="25"/>
      <c r="N655" s="25" t="s">
        <v>198</v>
      </c>
      <c r="O655" s="25" t="s">
        <v>197</v>
      </c>
      <c r="P655" s="25" t="s">
        <v>198</v>
      </c>
      <c r="Q655" s="25"/>
      <c r="R655" s="25" t="s">
        <v>198</v>
      </c>
      <c r="S655" s="25"/>
      <c r="T655" s="25" t="s">
        <v>376</v>
      </c>
      <c r="U655" s="25" t="s">
        <v>269</v>
      </c>
      <c r="V655" s="149" t="s">
        <v>159</v>
      </c>
      <c r="W655" s="149" t="s">
        <v>159</v>
      </c>
    </row>
    <row r="656" spans="1:23" ht="12.75" customHeight="1">
      <c r="A656" s="53"/>
      <c r="B656" s="36"/>
      <c r="C656" s="27"/>
      <c r="D656" s="26"/>
      <c r="E656" s="26"/>
      <c r="F656" s="26"/>
      <c r="G656" s="26"/>
      <c r="H656" s="26">
        <v>1</v>
      </c>
      <c r="I656" s="26">
        <v>0</v>
      </c>
      <c r="J656" s="26"/>
      <c r="K656" s="26"/>
      <c r="L656" s="55" t="s">
        <v>1196</v>
      </c>
      <c r="M656" s="25" t="s">
        <v>198</v>
      </c>
      <c r="N656" s="25"/>
      <c r="O656" s="25" t="s">
        <v>197</v>
      </c>
      <c r="P656" s="25" t="s">
        <v>198</v>
      </c>
      <c r="Q656" s="25"/>
      <c r="R656" s="25" t="s">
        <v>198</v>
      </c>
      <c r="S656" s="25"/>
      <c r="T656" s="25" t="s">
        <v>376</v>
      </c>
      <c r="U656" s="25" t="s">
        <v>269</v>
      </c>
      <c r="V656" s="149" t="s">
        <v>168</v>
      </c>
      <c r="W656" s="149" t="s">
        <v>168</v>
      </c>
    </row>
    <row r="657" spans="1:23" ht="12.75" customHeight="1">
      <c r="A657" s="53"/>
      <c r="B657" s="36"/>
      <c r="C657" s="27"/>
      <c r="D657" s="26"/>
      <c r="E657" s="26"/>
      <c r="F657" s="26"/>
      <c r="G657" s="26">
        <v>0</v>
      </c>
      <c r="H657" s="21"/>
      <c r="I657" s="21"/>
      <c r="J657" s="26"/>
      <c r="K657" s="26"/>
      <c r="L657" s="55" t="s">
        <v>1419</v>
      </c>
      <c r="M657" s="25"/>
      <c r="N657" s="25" t="s">
        <v>198</v>
      </c>
      <c r="O657" s="25" t="s">
        <v>197</v>
      </c>
      <c r="P657" s="25" t="s">
        <v>198</v>
      </c>
      <c r="Q657" s="25"/>
      <c r="R657" s="25" t="s">
        <v>198</v>
      </c>
      <c r="S657" s="25"/>
      <c r="T657" s="25" t="s">
        <v>376</v>
      </c>
      <c r="U657" s="25" t="s">
        <v>269</v>
      </c>
      <c r="V657" s="149" t="s">
        <v>159</v>
      </c>
      <c r="W657" s="149" t="s">
        <v>159</v>
      </c>
    </row>
    <row r="658" spans="1:23" ht="12.75" customHeight="1">
      <c r="A658" s="53"/>
      <c r="B658" s="36"/>
      <c r="C658" s="27"/>
      <c r="D658" s="26"/>
      <c r="E658" s="26">
        <v>1</v>
      </c>
      <c r="F658" s="26">
        <v>0</v>
      </c>
      <c r="G658" s="26"/>
      <c r="H658" s="26"/>
      <c r="I658" s="26"/>
      <c r="J658" s="26"/>
      <c r="K658" s="26"/>
      <c r="L658" s="55" t="s">
        <v>1197</v>
      </c>
      <c r="M658" s="25"/>
      <c r="N658" s="25" t="s">
        <v>198</v>
      </c>
      <c r="O658" s="25" t="s">
        <v>197</v>
      </c>
      <c r="P658" s="25" t="s">
        <v>198</v>
      </c>
      <c r="Q658" s="25"/>
      <c r="R658" s="25" t="s">
        <v>198</v>
      </c>
      <c r="S658" s="25"/>
      <c r="T658" s="25" t="s">
        <v>376</v>
      </c>
      <c r="U658" s="25" t="s">
        <v>269</v>
      </c>
      <c r="V658" s="149" t="s">
        <v>156</v>
      </c>
      <c r="W658" s="149" t="s">
        <v>156</v>
      </c>
    </row>
    <row r="659" spans="1:23" ht="33.75" customHeight="1" thickBot="1">
      <c r="A659" s="54"/>
      <c r="B659" s="36"/>
      <c r="C659" s="27"/>
      <c r="D659" s="26">
        <v>0</v>
      </c>
      <c r="E659" s="26"/>
      <c r="F659" s="26"/>
      <c r="G659" s="26"/>
      <c r="H659" s="26"/>
      <c r="I659" s="26"/>
      <c r="J659" s="26"/>
      <c r="K659" s="26"/>
      <c r="L659" s="55" t="s">
        <v>1198</v>
      </c>
      <c r="M659" s="25"/>
      <c r="N659" s="25" t="s">
        <v>198</v>
      </c>
      <c r="O659" s="25" t="s">
        <v>197</v>
      </c>
      <c r="P659" s="25" t="s">
        <v>198</v>
      </c>
      <c r="Q659" s="25"/>
      <c r="R659" s="25" t="s">
        <v>198</v>
      </c>
      <c r="S659" s="25"/>
      <c r="T659" s="25" t="s">
        <v>376</v>
      </c>
      <c r="U659" s="25" t="s">
        <v>269</v>
      </c>
      <c r="V659" s="149" t="s">
        <v>159</v>
      </c>
      <c r="W659" s="149" t="s">
        <v>159</v>
      </c>
    </row>
    <row r="660" spans="1:23" ht="13.5" customHeight="1" thickBot="1">
      <c r="A660" s="101" t="s">
        <v>374</v>
      </c>
      <c r="B660" s="48" t="s">
        <v>460</v>
      </c>
      <c r="C660" s="90" t="s">
        <v>461</v>
      </c>
      <c r="D660" s="294"/>
      <c r="E660" s="294"/>
      <c r="F660" s="294"/>
      <c r="G660" s="294"/>
      <c r="H660" s="294"/>
      <c r="I660" s="294"/>
      <c r="J660" s="294"/>
      <c r="K660" s="294"/>
      <c r="L660" s="34" t="s">
        <v>1161</v>
      </c>
      <c r="M660" s="97"/>
      <c r="N660" s="97"/>
      <c r="O660" s="97" t="s">
        <v>197</v>
      </c>
      <c r="P660" s="97" t="s">
        <v>198</v>
      </c>
      <c r="Q660" s="97">
        <v>45</v>
      </c>
      <c r="R660" s="97" t="s">
        <v>198</v>
      </c>
      <c r="S660" s="97"/>
      <c r="T660" s="97" t="s">
        <v>376</v>
      </c>
      <c r="U660" s="97" t="s">
        <v>269</v>
      </c>
      <c r="V660" s="140"/>
      <c r="W660" s="140"/>
    </row>
    <row r="661" spans="1:23" ht="13.5" customHeight="1" thickBot="1">
      <c r="A661" s="96"/>
      <c r="B661" s="20"/>
      <c r="C661" s="27"/>
      <c r="D661" s="26"/>
      <c r="E661" s="26">
        <v>6</v>
      </c>
      <c r="F661" s="26">
        <v>5</v>
      </c>
      <c r="G661" s="26">
        <v>4</v>
      </c>
      <c r="H661" s="26">
        <v>3</v>
      </c>
      <c r="I661" s="26">
        <v>2</v>
      </c>
      <c r="J661" s="26">
        <v>1</v>
      </c>
      <c r="K661" s="26">
        <v>0</v>
      </c>
      <c r="L661" s="55" t="s">
        <v>1199</v>
      </c>
      <c r="M661" s="25"/>
      <c r="N661" s="25"/>
      <c r="O661" s="25" t="s">
        <v>197</v>
      </c>
      <c r="P661" s="25" t="s">
        <v>198</v>
      </c>
      <c r="Q661" s="25"/>
      <c r="R661" s="25" t="s">
        <v>198</v>
      </c>
      <c r="S661" s="25"/>
      <c r="T661" s="25" t="s">
        <v>376</v>
      </c>
      <c r="U661" s="25" t="s">
        <v>269</v>
      </c>
      <c r="V661" s="149" t="str">
        <f>IF('Additional Details'!C73="Yes","7b1110100","7b"&amp;'Additional Details'!AQ73)</f>
        <v>7b</v>
      </c>
      <c r="W661" s="149"/>
    </row>
    <row r="662" spans="1:23" ht="13.5" customHeight="1" thickBot="1">
      <c r="A662" s="19"/>
      <c r="B662" s="20"/>
      <c r="C662" s="27"/>
      <c r="D662" s="26">
        <v>0</v>
      </c>
      <c r="E662" s="26"/>
      <c r="F662" s="26"/>
      <c r="G662" s="26"/>
      <c r="H662" s="26"/>
      <c r="I662" s="26"/>
      <c r="J662" s="26"/>
      <c r="K662" s="26"/>
      <c r="L662" s="55" t="s">
        <v>1162</v>
      </c>
      <c r="M662" s="25"/>
      <c r="N662" s="25" t="s">
        <v>198</v>
      </c>
      <c r="O662" s="25" t="s">
        <v>197</v>
      </c>
      <c r="P662" s="25" t="s">
        <v>198</v>
      </c>
      <c r="Q662" s="25"/>
      <c r="R662" s="25" t="s">
        <v>198</v>
      </c>
      <c r="S662" s="25"/>
      <c r="T662" s="25" t="s">
        <v>376</v>
      </c>
      <c r="U662" s="25" t="s">
        <v>269</v>
      </c>
      <c r="V662" s="149" t="s">
        <v>159</v>
      </c>
      <c r="W662" s="149" t="s">
        <v>159</v>
      </c>
    </row>
    <row r="663" spans="1:23" ht="13.5" customHeight="1" thickBot="1">
      <c r="A663" s="101" t="s">
        <v>374</v>
      </c>
      <c r="B663" s="36" t="s">
        <v>463</v>
      </c>
      <c r="C663" s="99" t="s">
        <v>464</v>
      </c>
      <c r="D663" s="290"/>
      <c r="E663" s="290"/>
      <c r="F663" s="290"/>
      <c r="G663" s="290"/>
      <c r="H663" s="290"/>
      <c r="I663" s="290"/>
      <c r="J663" s="290"/>
      <c r="K663" s="290"/>
      <c r="L663" s="34" t="s">
        <v>1200</v>
      </c>
      <c r="M663" s="33"/>
      <c r="N663" s="33"/>
      <c r="O663" s="33" t="s">
        <v>197</v>
      </c>
      <c r="P663" s="33" t="s">
        <v>198</v>
      </c>
      <c r="Q663" s="33">
        <v>46</v>
      </c>
      <c r="R663" s="33" t="s">
        <v>198</v>
      </c>
      <c r="S663" s="33"/>
      <c r="T663" s="33" t="s">
        <v>376</v>
      </c>
      <c r="U663" s="33" t="s">
        <v>269</v>
      </c>
      <c r="V663" s="146"/>
      <c r="W663" s="205"/>
    </row>
    <row r="664" spans="1:23" ht="12.75" customHeight="1" thickBot="1">
      <c r="A664" s="69"/>
      <c r="B664" s="36"/>
      <c r="C664" s="94"/>
      <c r="D664" s="68"/>
      <c r="E664" s="68"/>
      <c r="F664" s="68"/>
      <c r="G664" s="68"/>
      <c r="H664" s="68">
        <v>3</v>
      </c>
      <c r="I664" s="68">
        <v>2</v>
      </c>
      <c r="J664" s="68">
        <v>1</v>
      </c>
      <c r="K664" s="68">
        <v>0</v>
      </c>
      <c r="L664" s="31" t="s">
        <v>1201</v>
      </c>
      <c r="M664" s="91" t="s">
        <v>198</v>
      </c>
      <c r="N664" s="91"/>
      <c r="O664" s="91" t="s">
        <v>197</v>
      </c>
      <c r="P664" s="91" t="s">
        <v>198</v>
      </c>
      <c r="Q664" s="91"/>
      <c r="R664" s="91" t="s">
        <v>198</v>
      </c>
      <c r="S664" s="91"/>
      <c r="T664" s="91" t="s">
        <v>376</v>
      </c>
      <c r="U664" s="91" t="s">
        <v>269</v>
      </c>
      <c r="V664" s="132" t="str">
        <f>IF(Overview!D15="10 mV","4b0101","4b1110")</f>
        <v>4b0101</v>
      </c>
      <c r="W664" s="206" t="s">
        <v>155</v>
      </c>
    </row>
    <row r="665" spans="1:23" ht="12.75" customHeight="1" thickBot="1">
      <c r="A665" s="30"/>
      <c r="B665" s="36"/>
      <c r="C665" s="94"/>
      <c r="D665" s="68">
        <v>3</v>
      </c>
      <c r="E665" s="68">
        <v>2</v>
      </c>
      <c r="F665" s="68">
        <v>1</v>
      </c>
      <c r="G665" s="68">
        <v>0</v>
      </c>
      <c r="H665" s="68"/>
      <c r="I665" s="68"/>
      <c r="J665" s="68"/>
      <c r="K665" s="68"/>
      <c r="L665" s="31" t="s">
        <v>1202</v>
      </c>
      <c r="M665" s="91" t="s">
        <v>198</v>
      </c>
      <c r="N665" s="91"/>
      <c r="O665" s="91" t="s">
        <v>197</v>
      </c>
      <c r="P665" s="91" t="s">
        <v>198</v>
      </c>
      <c r="Q665" s="91"/>
      <c r="R665" s="91" t="s">
        <v>198</v>
      </c>
      <c r="S665" s="91"/>
      <c r="T665" s="91" t="s">
        <v>376</v>
      </c>
      <c r="U665" s="91" t="s">
        <v>269</v>
      </c>
      <c r="V665" s="132" t="s">
        <v>178</v>
      </c>
      <c r="W665" s="132" t="s">
        <v>178</v>
      </c>
    </row>
    <row r="666" spans="1:23" ht="13.5" customHeight="1" thickBot="1">
      <c r="A666" s="101" t="s">
        <v>374</v>
      </c>
      <c r="B666" s="36" t="s">
        <v>467</v>
      </c>
      <c r="C666" s="99" t="s">
        <v>468</v>
      </c>
      <c r="D666" s="291"/>
      <c r="E666" s="292"/>
      <c r="F666" s="292"/>
      <c r="G666" s="292"/>
      <c r="H666" s="292"/>
      <c r="I666" s="292"/>
      <c r="J666" s="292"/>
      <c r="K666" s="293"/>
      <c r="L666" s="34" t="s">
        <v>1203</v>
      </c>
      <c r="M666" s="33"/>
      <c r="N666" s="33"/>
      <c r="O666" s="33" t="s">
        <v>197</v>
      </c>
      <c r="P666" s="33" t="s">
        <v>198</v>
      </c>
      <c r="Q666" s="33">
        <v>47</v>
      </c>
      <c r="R666" s="33" t="s">
        <v>198</v>
      </c>
      <c r="S666" s="33"/>
      <c r="T666" s="33" t="s">
        <v>376</v>
      </c>
      <c r="U666" s="33" t="s">
        <v>269</v>
      </c>
      <c r="V666" s="146"/>
      <c r="W666" s="205"/>
    </row>
    <row r="667" spans="1:23" ht="12.75" customHeight="1" thickBot="1">
      <c r="A667" s="29"/>
      <c r="B667" s="28"/>
      <c r="C667" s="27"/>
      <c r="D667" s="26"/>
      <c r="E667" s="26"/>
      <c r="F667" s="26"/>
      <c r="G667" s="26"/>
      <c r="H667" s="26"/>
      <c r="I667" s="26"/>
      <c r="J667" s="26">
        <v>1</v>
      </c>
      <c r="K667" s="26">
        <v>0</v>
      </c>
      <c r="L667" s="31" t="s">
        <v>1204</v>
      </c>
      <c r="M667" s="25"/>
      <c r="N667" s="25"/>
      <c r="O667" s="25" t="s">
        <v>197</v>
      </c>
      <c r="P667" s="25" t="s">
        <v>198</v>
      </c>
      <c r="Q667" s="25"/>
      <c r="R667" s="25" t="s">
        <v>198</v>
      </c>
      <c r="S667" s="25"/>
      <c r="T667" s="25" t="s">
        <v>376</v>
      </c>
      <c r="U667" s="25" t="s">
        <v>269</v>
      </c>
      <c r="V667" s="149" t="s">
        <v>164</v>
      </c>
      <c r="W667" s="149" t="s">
        <v>164</v>
      </c>
    </row>
    <row r="668" spans="1:23" ht="12.75" customHeight="1" thickBot="1">
      <c r="A668" s="29"/>
      <c r="B668" s="28"/>
      <c r="C668" s="27"/>
      <c r="D668" s="26"/>
      <c r="E668" s="26"/>
      <c r="F668" s="26"/>
      <c r="G668" s="26"/>
      <c r="H668" s="26"/>
      <c r="I668" s="26">
        <v>0</v>
      </c>
      <c r="J668" s="26"/>
      <c r="K668" s="26"/>
      <c r="L668" s="31" t="s">
        <v>1205</v>
      </c>
      <c r="M668" s="25"/>
      <c r="N668" s="25"/>
      <c r="O668" s="25" t="s">
        <v>197</v>
      </c>
      <c r="P668" s="25" t="s">
        <v>198</v>
      </c>
      <c r="Q668" s="25"/>
      <c r="R668" s="25" t="s">
        <v>198</v>
      </c>
      <c r="S668" s="25"/>
      <c r="T668" s="25" t="s">
        <v>376</v>
      </c>
      <c r="U668" s="25" t="s">
        <v>269</v>
      </c>
      <c r="V668" s="149" t="s">
        <v>157</v>
      </c>
      <c r="W668" s="149" t="s">
        <v>157</v>
      </c>
    </row>
    <row r="669" spans="1:23" ht="12.75" customHeight="1" thickBot="1">
      <c r="A669" s="29"/>
      <c r="B669" s="28"/>
      <c r="C669" s="27"/>
      <c r="D669" s="26"/>
      <c r="E669" s="26"/>
      <c r="F669" s="26"/>
      <c r="G669" s="26"/>
      <c r="H669" s="26">
        <v>0</v>
      </c>
      <c r="I669" s="26"/>
      <c r="J669" s="26"/>
      <c r="K669" s="26"/>
      <c r="L669" s="31" t="s">
        <v>1206</v>
      </c>
      <c r="M669" s="25"/>
      <c r="N669" s="25"/>
      <c r="O669" s="25" t="s">
        <v>197</v>
      </c>
      <c r="P669" s="25" t="s">
        <v>198</v>
      </c>
      <c r="Q669" s="25"/>
      <c r="R669" s="25" t="s">
        <v>198</v>
      </c>
      <c r="S669" s="25"/>
      <c r="T669" s="25" t="s">
        <v>376</v>
      </c>
      <c r="U669" s="25" t="s">
        <v>269</v>
      </c>
      <c r="V669" s="149" t="s">
        <v>157</v>
      </c>
      <c r="W669" s="149" t="s">
        <v>157</v>
      </c>
    </row>
    <row r="670" spans="1:23" ht="12.75" customHeight="1" thickBot="1">
      <c r="A670" s="29"/>
      <c r="B670" s="28"/>
      <c r="C670" s="27"/>
      <c r="D670" s="26"/>
      <c r="E670" s="26"/>
      <c r="F670" s="26"/>
      <c r="G670" s="26">
        <v>0</v>
      </c>
      <c r="H670" s="26"/>
      <c r="I670" s="26"/>
      <c r="J670" s="26"/>
      <c r="K670" s="26"/>
      <c r="L670" s="31" t="s">
        <v>1207</v>
      </c>
      <c r="M670" s="25"/>
      <c r="N670" s="25"/>
      <c r="O670" s="25" t="s">
        <v>197</v>
      </c>
      <c r="P670" s="25" t="s">
        <v>198</v>
      </c>
      <c r="Q670" s="25"/>
      <c r="R670" s="25" t="s">
        <v>198</v>
      </c>
      <c r="S670" s="25"/>
      <c r="T670" s="25" t="s">
        <v>376</v>
      </c>
      <c r="U670" s="25" t="s">
        <v>269</v>
      </c>
      <c r="V670" s="149" t="s">
        <v>157</v>
      </c>
      <c r="W670" s="149" t="s">
        <v>157</v>
      </c>
    </row>
    <row r="671" spans="1:23" ht="12.75" customHeight="1" thickBot="1">
      <c r="A671" s="29"/>
      <c r="B671" s="28"/>
      <c r="C671" s="27"/>
      <c r="D671" s="26"/>
      <c r="E671" s="26"/>
      <c r="F671" s="26">
        <v>0</v>
      </c>
      <c r="G671" s="26"/>
      <c r="H671" s="26"/>
      <c r="I671" s="26"/>
      <c r="J671" s="26"/>
      <c r="K671" s="26"/>
      <c r="L671" s="31" t="s">
        <v>1208</v>
      </c>
      <c r="M671" s="25"/>
      <c r="N671" s="25"/>
      <c r="O671" s="25" t="s">
        <v>197</v>
      </c>
      <c r="P671" s="25" t="s">
        <v>198</v>
      </c>
      <c r="Q671" s="25"/>
      <c r="R671" s="25" t="s">
        <v>198</v>
      </c>
      <c r="S671" s="25"/>
      <c r="T671" s="25" t="s">
        <v>376</v>
      </c>
      <c r="U671" s="25" t="s">
        <v>269</v>
      </c>
      <c r="V671" s="149" t="str">
        <f>IF(Overview!C15="Ext FB","1b0","1b1")</f>
        <v>1b1</v>
      </c>
      <c r="W671" s="149" t="s">
        <v>157</v>
      </c>
    </row>
    <row r="672" spans="1:23" ht="22.5" customHeight="1" thickBot="1">
      <c r="A672" s="29"/>
      <c r="B672" s="28"/>
      <c r="C672" s="27"/>
      <c r="D672" s="26">
        <v>1</v>
      </c>
      <c r="E672" s="26">
        <v>0</v>
      </c>
      <c r="F672" s="26"/>
      <c r="G672" s="26"/>
      <c r="H672" s="26"/>
      <c r="I672" s="26"/>
      <c r="J672" s="26"/>
      <c r="K672" s="26"/>
      <c r="L672" s="31" t="s">
        <v>1209</v>
      </c>
      <c r="M672" s="25"/>
      <c r="N672" s="25"/>
      <c r="O672" s="25" t="s">
        <v>197</v>
      </c>
      <c r="P672" s="25" t="s">
        <v>198</v>
      </c>
      <c r="Q672" s="25"/>
      <c r="R672" s="25" t="s">
        <v>198</v>
      </c>
      <c r="S672" s="25"/>
      <c r="T672" s="25" t="s">
        <v>376</v>
      </c>
      <c r="U672" s="25" t="s">
        <v>269</v>
      </c>
      <c r="V672" s="149" t="str">
        <f>IF(Overview!D15="10 mV","2b01","2b10")</f>
        <v>2b01</v>
      </c>
      <c r="W672" s="258" t="s">
        <v>156</v>
      </c>
    </row>
    <row r="673" spans="1:23" ht="13.5" customHeight="1" thickBot="1">
      <c r="A673" s="101" t="s">
        <v>374</v>
      </c>
      <c r="B673" s="36" t="s">
        <v>469</v>
      </c>
      <c r="C673" s="99" t="s">
        <v>470</v>
      </c>
      <c r="D673" s="291"/>
      <c r="E673" s="292"/>
      <c r="F673" s="292"/>
      <c r="G673" s="292"/>
      <c r="H673" s="292"/>
      <c r="I673" s="292"/>
      <c r="J673" s="292"/>
      <c r="K673" s="293"/>
      <c r="L673" s="34" t="s">
        <v>1210</v>
      </c>
      <c r="M673" s="23"/>
      <c r="N673" s="23"/>
      <c r="O673" s="23" t="s">
        <v>197</v>
      </c>
      <c r="P673" s="23" t="s">
        <v>198</v>
      </c>
      <c r="Q673" s="23">
        <v>48</v>
      </c>
      <c r="R673" s="23" t="s">
        <v>198</v>
      </c>
      <c r="S673" s="33"/>
      <c r="T673" s="33" t="s">
        <v>376</v>
      </c>
      <c r="U673" s="33" t="s">
        <v>269</v>
      </c>
      <c r="V673" s="146"/>
      <c r="W673" s="205"/>
    </row>
    <row r="674" spans="1:23" ht="12.75" customHeight="1">
      <c r="A674" s="22"/>
      <c r="B674" s="36"/>
      <c r="C674" s="27"/>
      <c r="D674" s="26"/>
      <c r="E674" s="26"/>
      <c r="F674" s="26"/>
      <c r="G674" s="26"/>
      <c r="H674" s="26"/>
      <c r="I674" s="26">
        <v>2</v>
      </c>
      <c r="J674" s="26">
        <v>1</v>
      </c>
      <c r="K674" s="26">
        <v>0</v>
      </c>
      <c r="L674" s="31" t="s">
        <v>1211</v>
      </c>
      <c r="M674" s="25" t="s">
        <v>198</v>
      </c>
      <c r="N674" s="25"/>
      <c r="O674" s="25" t="s">
        <v>197</v>
      </c>
      <c r="P674" s="25" t="s">
        <v>198</v>
      </c>
      <c r="Q674" s="25"/>
      <c r="R674" s="25" t="s">
        <v>198</v>
      </c>
      <c r="S674" s="25"/>
      <c r="T674" s="25" t="s">
        <v>376</v>
      </c>
      <c r="U674" s="25" t="s">
        <v>269</v>
      </c>
      <c r="V674" s="149" t="s">
        <v>175</v>
      </c>
      <c r="W674" s="149" t="s">
        <v>175</v>
      </c>
    </row>
    <row r="675" spans="1:23" ht="12.75" customHeight="1">
      <c r="A675" s="22"/>
      <c r="B675" s="36"/>
      <c r="C675" s="27"/>
      <c r="D675" s="26"/>
      <c r="E675" s="26"/>
      <c r="F675" s="26"/>
      <c r="G675" s="26"/>
      <c r="H675" s="26">
        <v>0</v>
      </c>
      <c r="I675" s="26"/>
      <c r="J675" s="26"/>
      <c r="K675" s="26"/>
      <c r="L675" s="31" t="s">
        <v>1212</v>
      </c>
      <c r="M675" s="25"/>
      <c r="N675" s="25" t="s">
        <v>198</v>
      </c>
      <c r="O675" s="25" t="s">
        <v>197</v>
      </c>
      <c r="P675" s="25" t="s">
        <v>198</v>
      </c>
      <c r="Q675" s="25"/>
      <c r="R675" s="25" t="s">
        <v>198</v>
      </c>
      <c r="S675" s="25"/>
      <c r="T675" s="25" t="s">
        <v>376</v>
      </c>
      <c r="U675" s="25" t="s">
        <v>269</v>
      </c>
      <c r="V675" s="149" t="s">
        <v>159</v>
      </c>
      <c r="W675" s="149" t="s">
        <v>159</v>
      </c>
    </row>
    <row r="676" spans="1:23" ht="12.75" customHeight="1" thickBot="1">
      <c r="A676" s="22"/>
      <c r="B676" s="36"/>
      <c r="C676" s="27"/>
      <c r="D676" s="26">
        <v>3</v>
      </c>
      <c r="E676" s="26">
        <v>2</v>
      </c>
      <c r="F676" s="26">
        <v>1</v>
      </c>
      <c r="G676" s="26">
        <v>0</v>
      </c>
      <c r="H676" s="26"/>
      <c r="I676" s="26"/>
      <c r="J676" s="26"/>
      <c r="K676" s="26"/>
      <c r="L676" s="31" t="s">
        <v>1213</v>
      </c>
      <c r="M676" s="25" t="s">
        <v>198</v>
      </c>
      <c r="N676" s="25"/>
      <c r="O676" s="25" t="s">
        <v>197</v>
      </c>
      <c r="P676" s="25" t="s">
        <v>198</v>
      </c>
      <c r="Q676" s="25"/>
      <c r="R676" s="25" t="s">
        <v>198</v>
      </c>
      <c r="S676" s="25"/>
      <c r="T676" s="25" t="s">
        <v>376</v>
      </c>
      <c r="U676" s="25" t="s">
        <v>269</v>
      </c>
      <c r="V676" s="149" t="s">
        <v>178</v>
      </c>
      <c r="W676" s="149" t="s">
        <v>178</v>
      </c>
    </row>
    <row r="677" spans="1:23" ht="13.5" customHeight="1" thickBot="1">
      <c r="A677" s="101" t="s">
        <v>374</v>
      </c>
      <c r="B677" s="36" t="s">
        <v>473</v>
      </c>
      <c r="C677" s="99" t="s">
        <v>474</v>
      </c>
      <c r="D677" s="291"/>
      <c r="E677" s="292"/>
      <c r="F677" s="292"/>
      <c r="G677" s="292"/>
      <c r="H677" s="292"/>
      <c r="I677" s="292"/>
      <c r="J677" s="292"/>
      <c r="K677" s="293"/>
      <c r="L677" s="34" t="s">
        <v>1214</v>
      </c>
      <c r="M677" s="33"/>
      <c r="N677" s="33"/>
      <c r="O677" s="33" t="s">
        <v>197</v>
      </c>
      <c r="P677" s="33" t="s">
        <v>198</v>
      </c>
      <c r="Q677" s="33">
        <v>49</v>
      </c>
      <c r="R677" s="33" t="s">
        <v>198</v>
      </c>
      <c r="S677" s="33"/>
      <c r="T677" s="33" t="s">
        <v>376</v>
      </c>
      <c r="U677" s="33" t="s">
        <v>269</v>
      </c>
      <c r="V677" s="146"/>
      <c r="W677" s="205"/>
    </row>
    <row r="678" spans="1:23" ht="12.75" customHeight="1">
      <c r="A678" s="53"/>
      <c r="B678" s="36"/>
      <c r="C678" s="27"/>
      <c r="D678" s="26"/>
      <c r="E678" s="26"/>
      <c r="F678" s="26"/>
      <c r="G678" s="26"/>
      <c r="H678" s="26"/>
      <c r="I678" s="26"/>
      <c r="J678" s="26"/>
      <c r="K678" s="26">
        <v>0</v>
      </c>
      <c r="L678" s="55" t="s">
        <v>1215</v>
      </c>
      <c r="M678" s="25"/>
      <c r="N678" s="25"/>
      <c r="O678" s="25" t="s">
        <v>197</v>
      </c>
      <c r="P678" s="25" t="s">
        <v>198</v>
      </c>
      <c r="Q678" s="25"/>
      <c r="R678" s="25" t="s">
        <v>198</v>
      </c>
      <c r="S678" s="25"/>
      <c r="T678" s="25" t="s">
        <v>376</v>
      </c>
      <c r="U678" s="25" t="s">
        <v>269</v>
      </c>
      <c r="V678" s="149" t="str">
        <f>IF(Overview!C15="Ext FB","1b1","1b0")</f>
        <v>1b0</v>
      </c>
      <c r="W678" s="149" t="s">
        <v>157</v>
      </c>
    </row>
    <row r="679" spans="1:23" ht="12.75" customHeight="1">
      <c r="A679" s="53"/>
      <c r="B679" s="36"/>
      <c r="C679" s="27"/>
      <c r="D679" s="26"/>
      <c r="E679" s="26"/>
      <c r="F679" s="26"/>
      <c r="G679" s="26"/>
      <c r="H679" s="26"/>
      <c r="I679" s="26"/>
      <c r="J679" s="26">
        <v>0</v>
      </c>
      <c r="K679" s="26"/>
      <c r="L679" s="55" t="s">
        <v>1216</v>
      </c>
      <c r="M679" s="25"/>
      <c r="N679" s="25"/>
      <c r="O679" s="25" t="s">
        <v>197</v>
      </c>
      <c r="P679" s="25" t="s">
        <v>198</v>
      </c>
      <c r="Q679" s="25"/>
      <c r="R679" s="25" t="s">
        <v>198</v>
      </c>
      <c r="S679" s="25"/>
      <c r="T679" s="25" t="s">
        <v>376</v>
      </c>
      <c r="U679" s="25" t="s">
        <v>269</v>
      </c>
      <c r="V679" s="149" t="s">
        <v>159</v>
      </c>
      <c r="W679" s="149" t="s">
        <v>159</v>
      </c>
    </row>
    <row r="680" spans="1:23" ht="12.75" customHeight="1">
      <c r="A680" s="53"/>
      <c r="B680" s="36"/>
      <c r="C680" s="27"/>
      <c r="D680" s="26"/>
      <c r="E680" s="26"/>
      <c r="F680" s="26"/>
      <c r="G680" s="26"/>
      <c r="H680" s="26"/>
      <c r="I680" s="26">
        <v>0</v>
      </c>
      <c r="J680" s="26"/>
      <c r="K680" s="26"/>
      <c r="L680" s="55" t="s">
        <v>1217</v>
      </c>
      <c r="M680" s="25"/>
      <c r="N680" s="25"/>
      <c r="O680" s="25" t="s">
        <v>197</v>
      </c>
      <c r="P680" s="25" t="s">
        <v>198</v>
      </c>
      <c r="Q680" s="25"/>
      <c r="R680" s="25" t="s">
        <v>198</v>
      </c>
      <c r="S680" s="25"/>
      <c r="T680" s="25" t="s">
        <v>376</v>
      </c>
      <c r="U680" s="25" t="s">
        <v>269</v>
      </c>
      <c r="V680" s="149" t="s">
        <v>157</v>
      </c>
      <c r="W680" s="149" t="s">
        <v>157</v>
      </c>
    </row>
    <row r="681" spans="1:23" ht="12.75" customHeight="1">
      <c r="A681" s="53"/>
      <c r="B681" s="36"/>
      <c r="C681" s="27"/>
      <c r="D681" s="26"/>
      <c r="E681" s="26"/>
      <c r="F681" s="26"/>
      <c r="G681" s="26"/>
      <c r="H681" s="26">
        <v>0</v>
      </c>
      <c r="I681" s="26"/>
      <c r="J681" s="26"/>
      <c r="K681" s="26"/>
      <c r="L681" s="55" t="s">
        <v>1218</v>
      </c>
      <c r="M681" s="25"/>
      <c r="N681" s="25"/>
      <c r="O681" s="25" t="s">
        <v>197</v>
      </c>
      <c r="P681" s="25" t="s">
        <v>198</v>
      </c>
      <c r="Q681" s="25"/>
      <c r="R681" s="25" t="s">
        <v>198</v>
      </c>
      <c r="S681" s="25"/>
      <c r="T681" s="25" t="s">
        <v>376</v>
      </c>
      <c r="U681" s="25" t="s">
        <v>269</v>
      </c>
      <c r="V681" s="149" t="s">
        <v>159</v>
      </c>
      <c r="W681" s="149" t="s">
        <v>159</v>
      </c>
    </row>
    <row r="682" spans="1:23" ht="12.75" customHeight="1">
      <c r="A682" s="53"/>
      <c r="B682" s="36"/>
      <c r="C682" s="27"/>
      <c r="D682" s="26"/>
      <c r="E682" s="26"/>
      <c r="F682" s="26">
        <v>1</v>
      </c>
      <c r="G682" s="26">
        <v>0</v>
      </c>
      <c r="H682" s="26"/>
      <c r="I682" s="26"/>
      <c r="J682" s="26"/>
      <c r="K682" s="26"/>
      <c r="L682" s="55" t="s">
        <v>1219</v>
      </c>
      <c r="M682" s="25"/>
      <c r="N682" s="25"/>
      <c r="O682" s="25" t="s">
        <v>197</v>
      </c>
      <c r="P682" s="25" t="s">
        <v>198</v>
      </c>
      <c r="Q682" s="25"/>
      <c r="R682" s="25" t="s">
        <v>198</v>
      </c>
      <c r="S682" s="25"/>
      <c r="T682" s="25" t="s">
        <v>376</v>
      </c>
      <c r="U682" s="25" t="s">
        <v>269</v>
      </c>
      <c r="V682" s="149" t="str">
        <f>IF(Overview!C15="Ext FB","2b11","2b10")</f>
        <v>2b10</v>
      </c>
      <c r="W682" s="149" t="s">
        <v>156</v>
      </c>
    </row>
    <row r="683" spans="1:23" ht="12.75" customHeight="1">
      <c r="A683" s="53"/>
      <c r="B683" s="36"/>
      <c r="C683" s="27"/>
      <c r="D683" s="26"/>
      <c r="E683" s="26">
        <v>0</v>
      </c>
      <c r="F683" s="26"/>
      <c r="G683" s="26"/>
      <c r="H683" s="26"/>
      <c r="I683" s="26"/>
      <c r="J683" s="26"/>
      <c r="K683" s="26"/>
      <c r="L683" s="55" t="s">
        <v>1220</v>
      </c>
      <c r="M683" s="25"/>
      <c r="N683" s="25"/>
      <c r="O683" s="25" t="s">
        <v>197</v>
      </c>
      <c r="P683" s="25" t="s">
        <v>198</v>
      </c>
      <c r="Q683" s="25"/>
      <c r="R683" s="25" t="s">
        <v>198</v>
      </c>
      <c r="S683" s="25"/>
      <c r="T683" s="25" t="s">
        <v>376</v>
      </c>
      <c r="U683" s="25" t="s">
        <v>269</v>
      </c>
      <c r="V683" s="149" t="s">
        <v>157</v>
      </c>
      <c r="W683" s="149" t="s">
        <v>157</v>
      </c>
    </row>
    <row r="684" spans="1:23" ht="12.75" customHeight="1" thickBot="1">
      <c r="A684" s="54"/>
      <c r="B684" s="36"/>
      <c r="C684" s="27"/>
      <c r="D684" s="26">
        <v>0</v>
      </c>
      <c r="E684" s="26"/>
      <c r="F684" s="26"/>
      <c r="G684" s="26"/>
      <c r="H684" s="26"/>
      <c r="I684" s="26"/>
      <c r="J684" s="26"/>
      <c r="K684" s="26"/>
      <c r="L684" s="55" t="s">
        <v>1221</v>
      </c>
      <c r="M684" s="25"/>
      <c r="N684" s="25"/>
      <c r="O684" s="25" t="s">
        <v>197</v>
      </c>
      <c r="P684" s="25" t="s">
        <v>198</v>
      </c>
      <c r="Q684" s="25"/>
      <c r="R684" s="25" t="s">
        <v>198</v>
      </c>
      <c r="S684" s="25"/>
      <c r="T684" s="25" t="s">
        <v>376</v>
      </c>
      <c r="U684" s="25" t="s">
        <v>269</v>
      </c>
      <c r="V684" s="149" t="s">
        <v>159</v>
      </c>
      <c r="W684" s="149" t="s">
        <v>159</v>
      </c>
    </row>
    <row r="685" spans="1:23" ht="13.5" customHeight="1" thickBot="1">
      <c r="A685" s="101" t="s">
        <v>374</v>
      </c>
      <c r="B685" s="36" t="s">
        <v>475</v>
      </c>
      <c r="C685" s="99" t="s">
        <v>476</v>
      </c>
      <c r="D685" s="291"/>
      <c r="E685" s="292"/>
      <c r="F685" s="292"/>
      <c r="G685" s="292"/>
      <c r="H685" s="292"/>
      <c r="I685" s="292"/>
      <c r="J685" s="292"/>
      <c r="K685" s="293"/>
      <c r="L685" s="34" t="s">
        <v>1222</v>
      </c>
      <c r="M685" s="33"/>
      <c r="N685" s="33"/>
      <c r="O685" s="33" t="s">
        <v>197</v>
      </c>
      <c r="P685" s="33" t="s">
        <v>198</v>
      </c>
      <c r="Q685" s="33">
        <v>50</v>
      </c>
      <c r="R685" s="33" t="s">
        <v>198</v>
      </c>
      <c r="S685" s="33"/>
      <c r="T685" s="33" t="s">
        <v>376</v>
      </c>
      <c r="U685" s="33" t="s">
        <v>269</v>
      </c>
      <c r="V685" s="146"/>
      <c r="W685" s="205"/>
    </row>
    <row r="686" spans="1:23" ht="12.75" customHeight="1">
      <c r="A686" s="53"/>
      <c r="B686" s="36"/>
      <c r="C686" s="27"/>
      <c r="D686" s="26"/>
      <c r="E686" s="26"/>
      <c r="F686" s="26"/>
      <c r="G686" s="26"/>
      <c r="H686" s="26"/>
      <c r="I686" s="26"/>
      <c r="J686" s="26"/>
      <c r="K686" s="26">
        <v>0</v>
      </c>
      <c r="L686" s="55" t="s">
        <v>1223</v>
      </c>
      <c r="M686" s="25"/>
      <c r="N686" s="25" t="s">
        <v>198</v>
      </c>
      <c r="O686" s="25" t="s">
        <v>197</v>
      </c>
      <c r="P686" s="25" t="s">
        <v>198</v>
      </c>
      <c r="Q686" s="25"/>
      <c r="R686" s="25" t="s">
        <v>198</v>
      </c>
      <c r="S686" s="25"/>
      <c r="T686" s="25" t="s">
        <v>376</v>
      </c>
      <c r="U686" s="25" t="s">
        <v>269</v>
      </c>
      <c r="V686" s="149" t="s">
        <v>157</v>
      </c>
      <c r="W686" s="149" t="s">
        <v>157</v>
      </c>
    </row>
    <row r="687" spans="1:23" ht="12.75" customHeight="1">
      <c r="A687" s="53"/>
      <c r="B687" s="36"/>
      <c r="C687" s="27"/>
      <c r="D687" s="26"/>
      <c r="E687" s="26"/>
      <c r="F687" s="26"/>
      <c r="G687" s="26"/>
      <c r="H687" s="26"/>
      <c r="I687" s="26"/>
      <c r="J687" s="26">
        <v>0</v>
      </c>
      <c r="K687" s="26"/>
      <c r="L687" s="55" t="s">
        <v>1224</v>
      </c>
      <c r="M687" s="25"/>
      <c r="N687" s="25" t="s">
        <v>198</v>
      </c>
      <c r="O687" s="25" t="s">
        <v>197</v>
      </c>
      <c r="P687" s="25" t="s">
        <v>198</v>
      </c>
      <c r="Q687" s="25"/>
      <c r="R687" s="25" t="s">
        <v>198</v>
      </c>
      <c r="S687" s="25"/>
      <c r="T687" s="25" t="s">
        <v>376</v>
      </c>
      <c r="U687" s="25" t="s">
        <v>269</v>
      </c>
      <c r="V687" s="149" t="s">
        <v>159</v>
      </c>
      <c r="W687" s="149" t="s">
        <v>159</v>
      </c>
    </row>
    <row r="688" spans="1:23" ht="12.75" customHeight="1">
      <c r="A688" s="53"/>
      <c r="B688" s="36"/>
      <c r="C688" s="27"/>
      <c r="D688" s="26"/>
      <c r="E688" s="26"/>
      <c r="F688" s="26"/>
      <c r="G688" s="26"/>
      <c r="H688" s="26">
        <v>1</v>
      </c>
      <c r="I688" s="26">
        <v>0</v>
      </c>
      <c r="J688" s="26"/>
      <c r="K688" s="26"/>
      <c r="L688" s="55" t="s">
        <v>1225</v>
      </c>
      <c r="M688" s="25" t="s">
        <v>198</v>
      </c>
      <c r="N688" s="25"/>
      <c r="O688" s="25" t="s">
        <v>197</v>
      </c>
      <c r="P688" s="25" t="s">
        <v>198</v>
      </c>
      <c r="Q688" s="25"/>
      <c r="R688" s="25" t="s">
        <v>198</v>
      </c>
      <c r="S688" s="25"/>
      <c r="T688" s="25" t="s">
        <v>376</v>
      </c>
      <c r="U688" s="25" t="s">
        <v>269</v>
      </c>
      <c r="V688" s="149" t="s">
        <v>168</v>
      </c>
      <c r="W688" s="149" t="s">
        <v>168</v>
      </c>
    </row>
    <row r="689" spans="1:23" ht="12.75" customHeight="1">
      <c r="A689" s="53"/>
      <c r="B689" s="36"/>
      <c r="C689" s="27"/>
      <c r="D689" s="26"/>
      <c r="E689" s="26"/>
      <c r="F689" s="26"/>
      <c r="G689" s="26">
        <v>0</v>
      </c>
      <c r="H689" s="21"/>
      <c r="I689" s="21"/>
      <c r="J689" s="26"/>
      <c r="K689" s="26"/>
      <c r="L689" s="55" t="s">
        <v>1420</v>
      </c>
      <c r="M689" s="25"/>
      <c r="N689" s="25" t="s">
        <v>198</v>
      </c>
      <c r="O689" s="25" t="s">
        <v>197</v>
      </c>
      <c r="P689" s="25" t="s">
        <v>198</v>
      </c>
      <c r="Q689" s="25"/>
      <c r="R689" s="25" t="s">
        <v>198</v>
      </c>
      <c r="S689" s="25"/>
      <c r="T689" s="25" t="s">
        <v>376</v>
      </c>
      <c r="U689" s="25" t="s">
        <v>269</v>
      </c>
      <c r="V689" s="149" t="s">
        <v>159</v>
      </c>
      <c r="W689" s="149" t="s">
        <v>159</v>
      </c>
    </row>
    <row r="690" spans="1:23" ht="12.75" customHeight="1">
      <c r="A690" s="53"/>
      <c r="B690" s="36"/>
      <c r="C690" s="27"/>
      <c r="D690" s="26"/>
      <c r="E690" s="26">
        <v>1</v>
      </c>
      <c r="F690" s="26">
        <v>0</v>
      </c>
      <c r="G690" s="26"/>
      <c r="H690" s="26"/>
      <c r="I690" s="26"/>
      <c r="J690" s="26"/>
      <c r="K690" s="26"/>
      <c r="L690" s="55" t="s">
        <v>1226</v>
      </c>
      <c r="M690" s="25"/>
      <c r="N690" s="25" t="s">
        <v>198</v>
      </c>
      <c r="O690" s="25" t="s">
        <v>197</v>
      </c>
      <c r="P690" s="25" t="s">
        <v>198</v>
      </c>
      <c r="Q690" s="25"/>
      <c r="R690" s="25" t="s">
        <v>198</v>
      </c>
      <c r="S690" s="25"/>
      <c r="T690" s="25" t="s">
        <v>376</v>
      </c>
      <c r="U690" s="25" t="s">
        <v>269</v>
      </c>
      <c r="V690" s="149" t="s">
        <v>156</v>
      </c>
      <c r="W690" s="149" t="s">
        <v>156</v>
      </c>
    </row>
    <row r="691" spans="1:23" ht="33.75" customHeight="1" thickBot="1">
      <c r="A691" s="54"/>
      <c r="B691" s="36"/>
      <c r="C691" s="27"/>
      <c r="D691" s="26">
        <v>0</v>
      </c>
      <c r="E691" s="26"/>
      <c r="F691" s="26"/>
      <c r="G691" s="26"/>
      <c r="H691" s="26"/>
      <c r="I691" s="26"/>
      <c r="J691" s="26"/>
      <c r="K691" s="26"/>
      <c r="L691" s="55" t="s">
        <v>1227</v>
      </c>
      <c r="M691" s="25"/>
      <c r="N691" s="25" t="s">
        <v>198</v>
      </c>
      <c r="O691" s="25" t="s">
        <v>197</v>
      </c>
      <c r="P691" s="25" t="s">
        <v>198</v>
      </c>
      <c r="Q691" s="25"/>
      <c r="R691" s="25" t="s">
        <v>198</v>
      </c>
      <c r="S691" s="25"/>
      <c r="T691" s="25" t="s">
        <v>376</v>
      </c>
      <c r="U691" s="25" t="s">
        <v>269</v>
      </c>
      <c r="V691" s="149" t="s">
        <v>159</v>
      </c>
      <c r="W691" s="149" t="s">
        <v>159</v>
      </c>
    </row>
    <row r="692" spans="1:23" ht="13.5" customHeight="1" thickBot="1">
      <c r="A692" s="101" t="s">
        <v>374</v>
      </c>
      <c r="B692" s="48" t="s">
        <v>478</v>
      </c>
      <c r="C692" s="90" t="s">
        <v>479</v>
      </c>
      <c r="D692" s="294"/>
      <c r="E692" s="294"/>
      <c r="F692" s="294"/>
      <c r="G692" s="294"/>
      <c r="H692" s="294"/>
      <c r="I692" s="294"/>
      <c r="J692" s="294"/>
      <c r="K692" s="294"/>
      <c r="L692" s="34" t="s">
        <v>1228</v>
      </c>
      <c r="M692" s="97"/>
      <c r="N692" s="97"/>
      <c r="O692" s="97" t="s">
        <v>197</v>
      </c>
      <c r="P692" s="97" t="s">
        <v>198</v>
      </c>
      <c r="Q692" s="97">
        <v>51</v>
      </c>
      <c r="R692" s="97" t="s">
        <v>198</v>
      </c>
      <c r="S692" s="97"/>
      <c r="T692" s="97" t="s">
        <v>376</v>
      </c>
      <c r="U692" s="97" t="s">
        <v>269</v>
      </c>
      <c r="V692" s="140"/>
      <c r="W692" s="140"/>
    </row>
    <row r="693" spans="1:23" ht="13.5" customHeight="1" thickBot="1">
      <c r="A693" s="96"/>
      <c r="B693" s="20"/>
      <c r="C693" s="27"/>
      <c r="D693" s="26"/>
      <c r="E693" s="26">
        <v>6</v>
      </c>
      <c r="F693" s="26">
        <v>5</v>
      </c>
      <c r="G693" s="26">
        <v>4</v>
      </c>
      <c r="H693" s="26">
        <v>3</v>
      </c>
      <c r="I693" s="26">
        <v>2</v>
      </c>
      <c r="J693" s="26">
        <v>1</v>
      </c>
      <c r="K693" s="26">
        <v>0</v>
      </c>
      <c r="L693" s="55" t="s">
        <v>1229</v>
      </c>
      <c r="M693" s="25"/>
      <c r="N693" s="25"/>
      <c r="O693" s="25" t="s">
        <v>197</v>
      </c>
      <c r="P693" s="25" t="s">
        <v>198</v>
      </c>
      <c r="Q693" s="25"/>
      <c r="R693" s="25" t="s">
        <v>198</v>
      </c>
      <c r="S693" s="25"/>
      <c r="T693" s="25" t="s">
        <v>376</v>
      </c>
      <c r="U693" s="25" t="s">
        <v>269</v>
      </c>
      <c r="V693" s="149" t="str">
        <f>IF('Additional Details'!C80="Yes","7b1110100","7b"&amp;'Additional Details'!AQ80)</f>
        <v>7b</v>
      </c>
      <c r="W693" s="149"/>
    </row>
    <row r="694" spans="1:23" ht="13.5" customHeight="1" thickBot="1">
      <c r="A694" s="19"/>
      <c r="B694" s="20"/>
      <c r="C694" s="27"/>
      <c r="D694" s="26">
        <v>0</v>
      </c>
      <c r="E694" s="26"/>
      <c r="F694" s="26"/>
      <c r="G694" s="26"/>
      <c r="H694" s="26"/>
      <c r="I694" s="26"/>
      <c r="J694" s="26"/>
      <c r="K694" s="26"/>
      <c r="L694" s="55" t="s">
        <v>1230</v>
      </c>
      <c r="M694" s="25"/>
      <c r="N694" s="25" t="s">
        <v>198</v>
      </c>
      <c r="O694" s="25" t="s">
        <v>197</v>
      </c>
      <c r="P694" s="25" t="s">
        <v>198</v>
      </c>
      <c r="Q694" s="25"/>
      <c r="R694" s="25" t="s">
        <v>198</v>
      </c>
      <c r="S694" s="25"/>
      <c r="T694" s="25" t="s">
        <v>376</v>
      </c>
      <c r="U694" s="25" t="s">
        <v>269</v>
      </c>
      <c r="V694" s="149" t="s">
        <v>159</v>
      </c>
      <c r="W694" s="149" t="s">
        <v>159</v>
      </c>
    </row>
    <row r="695" spans="1:23" ht="13.5" customHeight="1" thickBot="1">
      <c r="A695" s="101" t="s">
        <v>374</v>
      </c>
      <c r="B695" s="36" t="s">
        <v>481</v>
      </c>
      <c r="C695" s="99" t="s">
        <v>482</v>
      </c>
      <c r="D695" s="290"/>
      <c r="E695" s="290"/>
      <c r="F695" s="290"/>
      <c r="G695" s="290"/>
      <c r="H695" s="290"/>
      <c r="I695" s="290"/>
      <c r="J695" s="290"/>
      <c r="K695" s="290"/>
      <c r="L695" s="34" t="s">
        <v>1231</v>
      </c>
      <c r="M695" s="33"/>
      <c r="N695" s="33"/>
      <c r="O695" s="33" t="s">
        <v>197</v>
      </c>
      <c r="P695" s="33" t="s">
        <v>198</v>
      </c>
      <c r="Q695" s="33">
        <v>52</v>
      </c>
      <c r="R695" s="33" t="s">
        <v>198</v>
      </c>
      <c r="S695" s="33"/>
      <c r="T695" s="33" t="s">
        <v>376</v>
      </c>
      <c r="U695" s="33" t="s">
        <v>269</v>
      </c>
      <c r="V695" s="146"/>
      <c r="W695" s="205"/>
    </row>
    <row r="696" spans="1:23" ht="12.75" customHeight="1" thickBot="1">
      <c r="A696" s="69"/>
      <c r="B696" s="36"/>
      <c r="C696" s="94"/>
      <c r="D696" s="68"/>
      <c r="E696" s="68"/>
      <c r="F696" s="68"/>
      <c r="G696" s="68"/>
      <c r="H696" s="68">
        <v>3</v>
      </c>
      <c r="I696" s="68">
        <v>2</v>
      </c>
      <c r="J696" s="68">
        <v>1</v>
      </c>
      <c r="K696" s="68">
        <v>0</v>
      </c>
      <c r="L696" s="31" t="s">
        <v>1232</v>
      </c>
      <c r="M696" s="91" t="s">
        <v>198</v>
      </c>
      <c r="N696" s="91"/>
      <c r="O696" s="91" t="s">
        <v>197</v>
      </c>
      <c r="P696" s="91" t="s">
        <v>198</v>
      </c>
      <c r="Q696" s="91"/>
      <c r="R696" s="91" t="s">
        <v>198</v>
      </c>
      <c r="S696" s="91"/>
      <c r="T696" s="91" t="s">
        <v>376</v>
      </c>
      <c r="U696" s="91" t="s">
        <v>269</v>
      </c>
      <c r="V696" s="132" t="str">
        <f>IF(Overview!D23="10 mV","4b0101","4b1110")</f>
        <v>4b0101</v>
      </c>
      <c r="W696" s="206" t="s">
        <v>155</v>
      </c>
    </row>
    <row r="697" spans="1:23" ht="12.75" customHeight="1" thickBot="1">
      <c r="A697" s="30"/>
      <c r="B697" s="36"/>
      <c r="C697" s="94"/>
      <c r="D697" s="68">
        <v>3</v>
      </c>
      <c r="E697" s="68">
        <v>2</v>
      </c>
      <c r="F697" s="68">
        <v>1</v>
      </c>
      <c r="G697" s="68">
        <v>0</v>
      </c>
      <c r="H697" s="68"/>
      <c r="I697" s="68"/>
      <c r="J697" s="68"/>
      <c r="K697" s="68"/>
      <c r="L697" s="31" t="s">
        <v>1233</v>
      </c>
      <c r="M697" s="91" t="s">
        <v>198</v>
      </c>
      <c r="N697" s="91"/>
      <c r="O697" s="91" t="s">
        <v>197</v>
      </c>
      <c r="P697" s="91" t="s">
        <v>198</v>
      </c>
      <c r="Q697" s="91"/>
      <c r="R697" s="91" t="s">
        <v>198</v>
      </c>
      <c r="S697" s="91"/>
      <c r="T697" s="91" t="s">
        <v>376</v>
      </c>
      <c r="U697" s="91" t="s">
        <v>269</v>
      </c>
      <c r="V697" s="132" t="s">
        <v>178</v>
      </c>
      <c r="W697" s="132" t="s">
        <v>178</v>
      </c>
    </row>
    <row r="698" spans="1:23" ht="13.5" customHeight="1" thickBot="1">
      <c r="A698" s="101" t="s">
        <v>374</v>
      </c>
      <c r="B698" s="36" t="s">
        <v>374</v>
      </c>
      <c r="C698" s="99" t="s">
        <v>485</v>
      </c>
      <c r="D698" s="291"/>
      <c r="E698" s="292"/>
      <c r="F698" s="292"/>
      <c r="G698" s="292"/>
      <c r="H698" s="292"/>
      <c r="I698" s="292"/>
      <c r="J698" s="292"/>
      <c r="K698" s="293"/>
      <c r="L698" s="34" t="s">
        <v>1234</v>
      </c>
      <c r="M698" s="33"/>
      <c r="N698" s="33"/>
      <c r="O698" s="33" t="s">
        <v>197</v>
      </c>
      <c r="P698" s="33" t="s">
        <v>198</v>
      </c>
      <c r="Q698" s="33">
        <v>53</v>
      </c>
      <c r="R698" s="33" t="s">
        <v>198</v>
      </c>
      <c r="S698" s="33"/>
      <c r="T698" s="33" t="s">
        <v>376</v>
      </c>
      <c r="U698" s="33" t="s">
        <v>269</v>
      </c>
      <c r="V698" s="146"/>
      <c r="W698" s="205"/>
    </row>
    <row r="699" spans="1:23" ht="12.75" customHeight="1" thickBot="1">
      <c r="A699" s="29"/>
      <c r="B699" s="28"/>
      <c r="C699" s="27"/>
      <c r="D699" s="26"/>
      <c r="E699" s="26"/>
      <c r="F699" s="26"/>
      <c r="G699" s="26"/>
      <c r="H699" s="26"/>
      <c r="I699" s="26"/>
      <c r="J699" s="26">
        <v>1</v>
      </c>
      <c r="K699" s="26">
        <v>0</v>
      </c>
      <c r="L699" s="31" t="s">
        <v>1235</v>
      </c>
      <c r="M699" s="25"/>
      <c r="N699" s="25"/>
      <c r="O699" s="25" t="s">
        <v>197</v>
      </c>
      <c r="P699" s="25" t="s">
        <v>198</v>
      </c>
      <c r="Q699" s="25"/>
      <c r="R699" s="25" t="s">
        <v>198</v>
      </c>
      <c r="S699" s="25"/>
      <c r="T699" s="25" t="s">
        <v>376</v>
      </c>
      <c r="U699" s="25" t="s">
        <v>269</v>
      </c>
      <c r="V699" s="149" t="s">
        <v>164</v>
      </c>
      <c r="W699" s="149" t="s">
        <v>164</v>
      </c>
    </row>
    <row r="700" spans="1:23" ht="12.75" customHeight="1" thickBot="1">
      <c r="A700" s="29"/>
      <c r="B700" s="28"/>
      <c r="C700" s="27"/>
      <c r="D700" s="26"/>
      <c r="E700" s="26"/>
      <c r="F700" s="26"/>
      <c r="G700" s="26"/>
      <c r="H700" s="26"/>
      <c r="I700" s="26">
        <v>0</v>
      </c>
      <c r="J700" s="26"/>
      <c r="K700" s="26"/>
      <c r="L700" s="31" t="s">
        <v>1236</v>
      </c>
      <c r="M700" s="25"/>
      <c r="N700" s="25"/>
      <c r="O700" s="25" t="s">
        <v>197</v>
      </c>
      <c r="P700" s="25" t="s">
        <v>198</v>
      </c>
      <c r="Q700" s="25"/>
      <c r="R700" s="25" t="s">
        <v>198</v>
      </c>
      <c r="S700" s="25"/>
      <c r="T700" s="25" t="s">
        <v>376</v>
      </c>
      <c r="U700" s="25" t="s">
        <v>269</v>
      </c>
      <c r="V700" s="149" t="s">
        <v>157</v>
      </c>
      <c r="W700" s="149" t="s">
        <v>157</v>
      </c>
    </row>
    <row r="701" spans="1:23" ht="12.75" customHeight="1" thickBot="1">
      <c r="A701" s="29"/>
      <c r="B701" s="28"/>
      <c r="C701" s="27"/>
      <c r="D701" s="26"/>
      <c r="E701" s="26"/>
      <c r="F701" s="26"/>
      <c r="G701" s="26"/>
      <c r="H701" s="26">
        <v>0</v>
      </c>
      <c r="I701" s="26"/>
      <c r="J701" s="26"/>
      <c r="K701" s="26"/>
      <c r="L701" s="31" t="s">
        <v>1237</v>
      </c>
      <c r="M701" s="25"/>
      <c r="N701" s="25"/>
      <c r="O701" s="25" t="s">
        <v>197</v>
      </c>
      <c r="P701" s="25" t="s">
        <v>198</v>
      </c>
      <c r="Q701" s="25"/>
      <c r="R701" s="25" t="s">
        <v>198</v>
      </c>
      <c r="S701" s="25"/>
      <c r="T701" s="25" t="s">
        <v>376</v>
      </c>
      <c r="U701" s="25" t="s">
        <v>269</v>
      </c>
      <c r="V701" s="149" t="s">
        <v>157</v>
      </c>
      <c r="W701" s="149" t="s">
        <v>157</v>
      </c>
    </row>
    <row r="702" spans="1:23" ht="12.75" customHeight="1" thickBot="1">
      <c r="A702" s="29"/>
      <c r="B702" s="28"/>
      <c r="C702" s="27"/>
      <c r="D702" s="26"/>
      <c r="E702" s="26"/>
      <c r="F702" s="26"/>
      <c r="G702" s="26">
        <v>0</v>
      </c>
      <c r="H702" s="26"/>
      <c r="I702" s="26"/>
      <c r="J702" s="26"/>
      <c r="K702" s="26"/>
      <c r="L702" s="31" t="s">
        <v>1238</v>
      </c>
      <c r="M702" s="25"/>
      <c r="N702" s="25"/>
      <c r="O702" s="25" t="s">
        <v>197</v>
      </c>
      <c r="P702" s="25" t="s">
        <v>198</v>
      </c>
      <c r="Q702" s="25"/>
      <c r="R702" s="25" t="s">
        <v>198</v>
      </c>
      <c r="S702" s="25"/>
      <c r="T702" s="25" t="s">
        <v>376</v>
      </c>
      <c r="U702" s="25" t="s">
        <v>269</v>
      </c>
      <c r="V702" s="149" t="s">
        <v>157</v>
      </c>
      <c r="W702" s="149" t="s">
        <v>157</v>
      </c>
    </row>
    <row r="703" spans="1:23" ht="12.75" customHeight="1" thickBot="1">
      <c r="A703" s="29"/>
      <c r="B703" s="28"/>
      <c r="C703" s="27"/>
      <c r="D703" s="26"/>
      <c r="E703" s="26"/>
      <c r="F703" s="26">
        <v>0</v>
      </c>
      <c r="G703" s="26"/>
      <c r="H703" s="26"/>
      <c r="I703" s="26"/>
      <c r="J703" s="26"/>
      <c r="K703" s="26"/>
      <c r="L703" s="31" t="s">
        <v>1239</v>
      </c>
      <c r="M703" s="25"/>
      <c r="N703" s="25"/>
      <c r="O703" s="25" t="s">
        <v>197</v>
      </c>
      <c r="P703" s="25" t="s">
        <v>198</v>
      </c>
      <c r="Q703" s="25"/>
      <c r="R703" s="25" t="s">
        <v>198</v>
      </c>
      <c r="S703" s="25"/>
      <c r="T703" s="25" t="s">
        <v>376</v>
      </c>
      <c r="U703" s="25" t="s">
        <v>269</v>
      </c>
      <c r="V703" s="149" t="str">
        <f>IF(Overview!C23="Ext FB","1b0","1b1")</f>
        <v>1b1</v>
      </c>
      <c r="W703" s="149" t="s">
        <v>157</v>
      </c>
    </row>
    <row r="704" spans="1:23" ht="22.5" customHeight="1" thickBot="1">
      <c r="A704" s="29"/>
      <c r="B704" s="28"/>
      <c r="C704" s="27"/>
      <c r="D704" s="26">
        <v>1</v>
      </c>
      <c r="E704" s="26">
        <v>0</v>
      </c>
      <c r="F704" s="26"/>
      <c r="G704" s="26"/>
      <c r="H704" s="26"/>
      <c r="I704" s="26"/>
      <c r="J704" s="26"/>
      <c r="K704" s="26"/>
      <c r="L704" s="31" t="s">
        <v>1240</v>
      </c>
      <c r="M704" s="25"/>
      <c r="N704" s="25"/>
      <c r="O704" s="25" t="s">
        <v>197</v>
      </c>
      <c r="P704" s="25" t="s">
        <v>198</v>
      </c>
      <c r="Q704" s="25"/>
      <c r="R704" s="25" t="s">
        <v>198</v>
      </c>
      <c r="S704" s="25"/>
      <c r="T704" s="25" t="s">
        <v>376</v>
      </c>
      <c r="U704" s="25" t="s">
        <v>269</v>
      </c>
      <c r="V704" s="149" t="str">
        <f>IF(Overview!D23="10 mV","2b01","2b10")</f>
        <v>2b01</v>
      </c>
      <c r="W704" s="207" t="s">
        <v>156</v>
      </c>
    </row>
    <row r="705" spans="1:23" ht="13.5" customHeight="1" thickBot="1">
      <c r="A705" s="101" t="s">
        <v>374</v>
      </c>
      <c r="B705" s="36" t="s">
        <v>486</v>
      </c>
      <c r="C705" s="99" t="s">
        <v>487</v>
      </c>
      <c r="D705" s="291"/>
      <c r="E705" s="292"/>
      <c r="F705" s="292"/>
      <c r="G705" s="292"/>
      <c r="H705" s="292"/>
      <c r="I705" s="292"/>
      <c r="J705" s="292"/>
      <c r="K705" s="293"/>
      <c r="L705" s="24" t="s">
        <v>1241</v>
      </c>
      <c r="M705" s="23"/>
      <c r="N705" s="23"/>
      <c r="O705" s="23" t="s">
        <v>197</v>
      </c>
      <c r="P705" s="23" t="s">
        <v>198</v>
      </c>
      <c r="Q705" s="23">
        <v>54</v>
      </c>
      <c r="R705" s="23" t="s">
        <v>198</v>
      </c>
      <c r="S705" s="33"/>
      <c r="T705" s="33" t="s">
        <v>376</v>
      </c>
      <c r="U705" s="33" t="s">
        <v>269</v>
      </c>
      <c r="V705" s="146"/>
      <c r="W705" s="205"/>
    </row>
    <row r="706" spans="1:23" ht="12.75" customHeight="1">
      <c r="A706" s="22"/>
      <c r="B706" s="36"/>
      <c r="C706" s="27"/>
      <c r="D706" s="26"/>
      <c r="E706" s="26"/>
      <c r="F706" s="26"/>
      <c r="G706" s="26"/>
      <c r="H706" s="26"/>
      <c r="I706" s="26">
        <v>2</v>
      </c>
      <c r="J706" s="26">
        <v>1</v>
      </c>
      <c r="K706" s="26">
        <v>0</v>
      </c>
      <c r="L706" s="31" t="s">
        <v>1242</v>
      </c>
      <c r="M706" s="25" t="s">
        <v>198</v>
      </c>
      <c r="N706" s="25"/>
      <c r="O706" s="25" t="s">
        <v>197</v>
      </c>
      <c r="P706" s="25" t="s">
        <v>198</v>
      </c>
      <c r="Q706" s="25"/>
      <c r="R706" s="25" t="s">
        <v>198</v>
      </c>
      <c r="S706" s="25"/>
      <c r="T706" s="25" t="s">
        <v>376</v>
      </c>
      <c r="U706" s="25" t="s">
        <v>269</v>
      </c>
      <c r="V706" s="149" t="s">
        <v>175</v>
      </c>
      <c r="W706" s="149" t="s">
        <v>175</v>
      </c>
    </row>
    <row r="707" spans="1:23" ht="12.75" customHeight="1">
      <c r="A707" s="22"/>
      <c r="B707" s="36"/>
      <c r="C707" s="27"/>
      <c r="D707" s="26"/>
      <c r="E707" s="26"/>
      <c r="F707" s="26"/>
      <c r="G707" s="26"/>
      <c r="H707" s="26">
        <v>0</v>
      </c>
      <c r="I707" s="26"/>
      <c r="J707" s="26"/>
      <c r="K707" s="26"/>
      <c r="L707" s="31" t="s">
        <v>1243</v>
      </c>
      <c r="M707" s="25"/>
      <c r="N707" s="25" t="s">
        <v>198</v>
      </c>
      <c r="O707" s="25" t="s">
        <v>197</v>
      </c>
      <c r="P707" s="25" t="s">
        <v>198</v>
      </c>
      <c r="Q707" s="25"/>
      <c r="R707" s="25" t="s">
        <v>198</v>
      </c>
      <c r="S707" s="25"/>
      <c r="T707" s="25" t="s">
        <v>376</v>
      </c>
      <c r="U707" s="25" t="s">
        <v>269</v>
      </c>
      <c r="V707" s="149" t="s">
        <v>159</v>
      </c>
      <c r="W707" s="149" t="s">
        <v>159</v>
      </c>
    </row>
    <row r="708" spans="1:23" ht="12.75" customHeight="1" thickBot="1">
      <c r="A708" s="22"/>
      <c r="B708" s="36"/>
      <c r="C708" s="27"/>
      <c r="D708" s="26">
        <v>3</v>
      </c>
      <c r="E708" s="26">
        <v>2</v>
      </c>
      <c r="F708" s="26">
        <v>1</v>
      </c>
      <c r="G708" s="26">
        <v>0</v>
      </c>
      <c r="H708" s="26"/>
      <c r="I708" s="26"/>
      <c r="J708" s="26"/>
      <c r="K708" s="26"/>
      <c r="L708" s="31" t="s">
        <v>1244</v>
      </c>
      <c r="M708" s="25" t="s">
        <v>198</v>
      </c>
      <c r="N708" s="25"/>
      <c r="O708" s="25" t="s">
        <v>197</v>
      </c>
      <c r="P708" s="25" t="s">
        <v>198</v>
      </c>
      <c r="Q708" s="25"/>
      <c r="R708" s="25" t="s">
        <v>198</v>
      </c>
      <c r="S708" s="25"/>
      <c r="T708" s="25" t="s">
        <v>376</v>
      </c>
      <c r="U708" s="25" t="s">
        <v>269</v>
      </c>
      <c r="V708" s="149" t="s">
        <v>178</v>
      </c>
      <c r="W708" s="149" t="s">
        <v>178</v>
      </c>
    </row>
    <row r="709" spans="1:23" ht="13.5" customHeight="1" thickBot="1">
      <c r="A709" s="101" t="s">
        <v>374</v>
      </c>
      <c r="B709" s="36" t="s">
        <v>490</v>
      </c>
      <c r="C709" s="99" t="s">
        <v>491</v>
      </c>
      <c r="D709" s="291"/>
      <c r="E709" s="292"/>
      <c r="F709" s="292"/>
      <c r="G709" s="292"/>
      <c r="H709" s="292"/>
      <c r="I709" s="292"/>
      <c r="J709" s="292"/>
      <c r="K709" s="293"/>
      <c r="L709" s="34" t="s">
        <v>1246</v>
      </c>
      <c r="M709" s="33"/>
      <c r="N709" s="33"/>
      <c r="O709" s="33" t="s">
        <v>197</v>
      </c>
      <c r="P709" s="33" t="s">
        <v>198</v>
      </c>
      <c r="Q709" s="33">
        <v>55</v>
      </c>
      <c r="R709" s="33" t="s">
        <v>198</v>
      </c>
      <c r="S709" s="33"/>
      <c r="T709" s="33" t="s">
        <v>376</v>
      </c>
      <c r="U709" s="33" t="s">
        <v>269</v>
      </c>
      <c r="V709" s="146"/>
      <c r="W709" s="205"/>
    </row>
    <row r="710" spans="1:23" ht="12.75" customHeight="1">
      <c r="A710" s="53"/>
      <c r="B710" s="36"/>
      <c r="C710" s="27"/>
      <c r="D710" s="26"/>
      <c r="E710" s="26"/>
      <c r="F710" s="26"/>
      <c r="G710" s="26"/>
      <c r="H710" s="26"/>
      <c r="I710" s="26"/>
      <c r="J710" s="26"/>
      <c r="K710" s="26">
        <v>0</v>
      </c>
      <c r="L710" s="31" t="s">
        <v>1247</v>
      </c>
      <c r="M710" s="25"/>
      <c r="N710" s="25"/>
      <c r="O710" s="25" t="s">
        <v>197</v>
      </c>
      <c r="P710" s="25" t="s">
        <v>198</v>
      </c>
      <c r="Q710" s="25"/>
      <c r="R710" s="25" t="s">
        <v>198</v>
      </c>
      <c r="S710" s="25"/>
      <c r="T710" s="25" t="s">
        <v>376</v>
      </c>
      <c r="U710" s="25" t="s">
        <v>269</v>
      </c>
      <c r="V710" s="149" t="str">
        <f>IF(Overview!C23="Ext FB","1b1","1b0")</f>
        <v>1b0</v>
      </c>
      <c r="W710" s="149" t="s">
        <v>157</v>
      </c>
    </row>
    <row r="711" spans="1:23" ht="12.75" customHeight="1">
      <c r="A711" s="53"/>
      <c r="B711" s="36"/>
      <c r="C711" s="27"/>
      <c r="D711" s="26"/>
      <c r="E711" s="26"/>
      <c r="F711" s="26"/>
      <c r="G711" s="26"/>
      <c r="H711" s="26"/>
      <c r="I711" s="26"/>
      <c r="J711" s="26">
        <v>0</v>
      </c>
      <c r="K711" s="26"/>
      <c r="L711" s="31" t="s">
        <v>1248</v>
      </c>
      <c r="M711" s="25"/>
      <c r="N711" s="25"/>
      <c r="O711" s="25" t="s">
        <v>197</v>
      </c>
      <c r="P711" s="25" t="s">
        <v>198</v>
      </c>
      <c r="Q711" s="25"/>
      <c r="R711" s="25" t="s">
        <v>198</v>
      </c>
      <c r="S711" s="25"/>
      <c r="T711" s="25" t="s">
        <v>376</v>
      </c>
      <c r="U711" s="25" t="s">
        <v>269</v>
      </c>
      <c r="V711" s="149" t="s">
        <v>159</v>
      </c>
      <c r="W711" s="149" t="s">
        <v>159</v>
      </c>
    </row>
    <row r="712" spans="1:23" ht="12.75" customHeight="1">
      <c r="A712" s="53"/>
      <c r="B712" s="36"/>
      <c r="C712" s="27"/>
      <c r="D712" s="26"/>
      <c r="E712" s="26"/>
      <c r="F712" s="26"/>
      <c r="G712" s="26"/>
      <c r="H712" s="26"/>
      <c r="I712" s="26">
        <v>0</v>
      </c>
      <c r="J712" s="26"/>
      <c r="K712" s="26"/>
      <c r="L712" s="31" t="s">
        <v>1249</v>
      </c>
      <c r="M712" s="25"/>
      <c r="N712" s="25"/>
      <c r="O712" s="25" t="s">
        <v>197</v>
      </c>
      <c r="P712" s="25" t="s">
        <v>198</v>
      </c>
      <c r="Q712" s="25"/>
      <c r="R712" s="25" t="s">
        <v>198</v>
      </c>
      <c r="S712" s="25"/>
      <c r="T712" s="25" t="s">
        <v>376</v>
      </c>
      <c r="U712" s="25" t="s">
        <v>269</v>
      </c>
      <c r="V712" s="149" t="s">
        <v>157</v>
      </c>
      <c r="W712" s="149" t="s">
        <v>157</v>
      </c>
    </row>
    <row r="713" spans="1:23" ht="12.75" customHeight="1">
      <c r="A713" s="53"/>
      <c r="B713" s="36"/>
      <c r="C713" s="27"/>
      <c r="D713" s="26"/>
      <c r="E713" s="26"/>
      <c r="F713" s="26"/>
      <c r="G713" s="26"/>
      <c r="H713" s="26">
        <v>0</v>
      </c>
      <c r="I713" s="26"/>
      <c r="J713" s="26"/>
      <c r="K713" s="26"/>
      <c r="L713" s="31" t="s">
        <v>1250</v>
      </c>
      <c r="M713" s="25"/>
      <c r="N713" s="25"/>
      <c r="O713" s="25" t="s">
        <v>197</v>
      </c>
      <c r="P713" s="25" t="s">
        <v>198</v>
      </c>
      <c r="Q713" s="25"/>
      <c r="R713" s="25" t="s">
        <v>198</v>
      </c>
      <c r="S713" s="25"/>
      <c r="T713" s="25" t="s">
        <v>376</v>
      </c>
      <c r="U713" s="25" t="s">
        <v>269</v>
      </c>
      <c r="V713" s="149" t="s">
        <v>159</v>
      </c>
      <c r="W713" s="149" t="s">
        <v>159</v>
      </c>
    </row>
    <row r="714" spans="1:23" ht="12.75" customHeight="1">
      <c r="A714" s="53"/>
      <c r="B714" s="36"/>
      <c r="C714" s="27"/>
      <c r="D714" s="26"/>
      <c r="E714" s="26"/>
      <c r="F714" s="26">
        <v>1</v>
      </c>
      <c r="G714" s="26">
        <v>0</v>
      </c>
      <c r="H714" s="26"/>
      <c r="I714" s="26"/>
      <c r="J714" s="26"/>
      <c r="K714" s="26"/>
      <c r="L714" s="31" t="s">
        <v>1251</v>
      </c>
      <c r="M714" s="25"/>
      <c r="N714" s="25"/>
      <c r="O714" s="25" t="s">
        <v>197</v>
      </c>
      <c r="P714" s="25" t="s">
        <v>198</v>
      </c>
      <c r="Q714" s="25"/>
      <c r="R714" s="25" t="s">
        <v>198</v>
      </c>
      <c r="S714" s="25"/>
      <c r="T714" s="25" t="s">
        <v>376</v>
      </c>
      <c r="U714" s="25" t="s">
        <v>269</v>
      </c>
      <c r="V714" s="149" t="str">
        <f>IF(Overview!C23="Ext FB","2b11","2b10")</f>
        <v>2b10</v>
      </c>
      <c r="W714" s="149" t="s">
        <v>156</v>
      </c>
    </row>
    <row r="715" spans="1:23" ht="12.75" customHeight="1">
      <c r="A715" s="53"/>
      <c r="B715" s="36"/>
      <c r="C715" s="27"/>
      <c r="D715" s="26"/>
      <c r="E715" s="26">
        <v>0</v>
      </c>
      <c r="F715" s="26"/>
      <c r="G715" s="26"/>
      <c r="H715" s="26"/>
      <c r="I715" s="26"/>
      <c r="J715" s="26"/>
      <c r="K715" s="26"/>
      <c r="L715" s="31" t="s">
        <v>1252</v>
      </c>
      <c r="M715" s="25"/>
      <c r="N715" s="25"/>
      <c r="O715" s="25" t="s">
        <v>197</v>
      </c>
      <c r="P715" s="25" t="s">
        <v>198</v>
      </c>
      <c r="Q715" s="25"/>
      <c r="R715" s="25" t="s">
        <v>198</v>
      </c>
      <c r="S715" s="25"/>
      <c r="T715" s="25" t="s">
        <v>376</v>
      </c>
      <c r="U715" s="25" t="s">
        <v>269</v>
      </c>
      <c r="V715" s="149" t="s">
        <v>157</v>
      </c>
      <c r="W715" s="149" t="s">
        <v>157</v>
      </c>
    </row>
    <row r="716" spans="1:23" ht="12.75" customHeight="1" thickBot="1">
      <c r="A716" s="54"/>
      <c r="B716" s="36"/>
      <c r="C716" s="27"/>
      <c r="D716" s="26">
        <v>0</v>
      </c>
      <c r="E716" s="26"/>
      <c r="F716" s="26"/>
      <c r="G716" s="26"/>
      <c r="H716" s="26"/>
      <c r="I716" s="26"/>
      <c r="J716" s="26"/>
      <c r="K716" s="26"/>
      <c r="L716" s="31" t="s">
        <v>1253</v>
      </c>
      <c r="M716" s="25"/>
      <c r="N716" s="25"/>
      <c r="O716" s="25" t="s">
        <v>197</v>
      </c>
      <c r="P716" s="25" t="s">
        <v>198</v>
      </c>
      <c r="Q716" s="25"/>
      <c r="R716" s="25" t="s">
        <v>198</v>
      </c>
      <c r="S716" s="25"/>
      <c r="T716" s="25" t="s">
        <v>376</v>
      </c>
      <c r="U716" s="25" t="s">
        <v>269</v>
      </c>
      <c r="V716" s="149" t="s">
        <v>159</v>
      </c>
      <c r="W716" s="149" t="s">
        <v>159</v>
      </c>
    </row>
    <row r="717" spans="1:23" ht="13.5" customHeight="1" thickBot="1">
      <c r="A717" s="101" t="s">
        <v>374</v>
      </c>
      <c r="B717" s="36" t="s">
        <v>492</v>
      </c>
      <c r="C717" s="99" t="s">
        <v>493</v>
      </c>
      <c r="D717" s="291"/>
      <c r="E717" s="292"/>
      <c r="F717" s="292"/>
      <c r="G717" s="292"/>
      <c r="H717" s="292"/>
      <c r="I717" s="292"/>
      <c r="J717" s="292"/>
      <c r="K717" s="293"/>
      <c r="L717" s="34" t="s">
        <v>1254</v>
      </c>
      <c r="M717" s="33"/>
      <c r="N717" s="33"/>
      <c r="O717" s="33" t="s">
        <v>197</v>
      </c>
      <c r="P717" s="33" t="s">
        <v>198</v>
      </c>
      <c r="Q717" s="33">
        <v>56</v>
      </c>
      <c r="R717" s="33" t="s">
        <v>198</v>
      </c>
      <c r="S717" s="33"/>
      <c r="T717" s="33" t="s">
        <v>376</v>
      </c>
      <c r="U717" s="33" t="s">
        <v>269</v>
      </c>
      <c r="V717" s="146"/>
      <c r="W717" s="205"/>
    </row>
    <row r="718" spans="1:23" ht="12.75" customHeight="1">
      <c r="A718" s="53"/>
      <c r="B718" s="36"/>
      <c r="C718" s="27"/>
      <c r="D718" s="26"/>
      <c r="E718" s="26"/>
      <c r="F718" s="26"/>
      <c r="G718" s="26"/>
      <c r="H718" s="26"/>
      <c r="I718" s="26"/>
      <c r="J718" s="26"/>
      <c r="K718" s="26">
        <v>0</v>
      </c>
      <c r="L718" s="31" t="s">
        <v>1255</v>
      </c>
      <c r="M718" s="25"/>
      <c r="N718" s="25" t="s">
        <v>198</v>
      </c>
      <c r="O718" s="25" t="s">
        <v>197</v>
      </c>
      <c r="P718" s="25" t="s">
        <v>198</v>
      </c>
      <c r="Q718" s="25"/>
      <c r="R718" s="25" t="s">
        <v>198</v>
      </c>
      <c r="S718" s="25"/>
      <c r="T718" s="25" t="s">
        <v>376</v>
      </c>
      <c r="U718" s="25" t="s">
        <v>269</v>
      </c>
      <c r="V718" s="149" t="s">
        <v>157</v>
      </c>
      <c r="W718" s="149" t="s">
        <v>157</v>
      </c>
    </row>
    <row r="719" spans="1:23" ht="12.75" customHeight="1">
      <c r="A719" s="53"/>
      <c r="B719" s="36"/>
      <c r="C719" s="27"/>
      <c r="D719" s="26"/>
      <c r="E719" s="26"/>
      <c r="F719" s="26"/>
      <c r="G719" s="26"/>
      <c r="H719" s="26"/>
      <c r="I719" s="26"/>
      <c r="J719" s="26">
        <v>0</v>
      </c>
      <c r="K719" s="26"/>
      <c r="L719" s="31" t="s">
        <v>1256</v>
      </c>
      <c r="M719" s="25"/>
      <c r="N719" s="25" t="s">
        <v>198</v>
      </c>
      <c r="O719" s="25" t="s">
        <v>197</v>
      </c>
      <c r="P719" s="25" t="s">
        <v>198</v>
      </c>
      <c r="Q719" s="25"/>
      <c r="R719" s="25" t="s">
        <v>198</v>
      </c>
      <c r="S719" s="25"/>
      <c r="T719" s="25" t="s">
        <v>376</v>
      </c>
      <c r="U719" s="25" t="s">
        <v>269</v>
      </c>
      <c r="V719" s="149" t="s">
        <v>159</v>
      </c>
      <c r="W719" s="149" t="s">
        <v>159</v>
      </c>
    </row>
    <row r="720" spans="1:23" ht="12.75" customHeight="1">
      <c r="A720" s="53"/>
      <c r="B720" s="36"/>
      <c r="C720" s="27"/>
      <c r="D720" s="26"/>
      <c r="E720" s="26"/>
      <c r="F720" s="26"/>
      <c r="G720" s="26"/>
      <c r="H720" s="26">
        <v>1</v>
      </c>
      <c r="I720" s="26">
        <v>0</v>
      </c>
      <c r="J720" s="26"/>
      <c r="K720" s="26"/>
      <c r="L720" s="31" t="s">
        <v>1257</v>
      </c>
      <c r="M720" s="25" t="s">
        <v>198</v>
      </c>
      <c r="N720" s="25"/>
      <c r="O720" s="25" t="s">
        <v>197</v>
      </c>
      <c r="P720" s="25" t="s">
        <v>198</v>
      </c>
      <c r="Q720" s="25"/>
      <c r="R720" s="25" t="s">
        <v>198</v>
      </c>
      <c r="S720" s="25"/>
      <c r="T720" s="25" t="s">
        <v>376</v>
      </c>
      <c r="U720" s="25" t="s">
        <v>269</v>
      </c>
      <c r="V720" s="149" t="s">
        <v>168</v>
      </c>
      <c r="W720" s="149" t="s">
        <v>168</v>
      </c>
    </row>
    <row r="721" spans="1:23" ht="12.75" customHeight="1">
      <c r="A721" s="53"/>
      <c r="B721" s="36"/>
      <c r="C721" s="27"/>
      <c r="D721" s="26"/>
      <c r="E721" s="26"/>
      <c r="F721" s="26"/>
      <c r="G721" s="26">
        <v>0</v>
      </c>
      <c r="H721" s="21"/>
      <c r="I721" s="21"/>
      <c r="J721" s="26"/>
      <c r="K721" s="26"/>
      <c r="L721" s="156" t="s">
        <v>1421</v>
      </c>
      <c r="M721" s="25"/>
      <c r="N721" s="25" t="s">
        <v>198</v>
      </c>
      <c r="O721" s="25" t="s">
        <v>197</v>
      </c>
      <c r="P721" s="25" t="s">
        <v>198</v>
      </c>
      <c r="Q721" s="25"/>
      <c r="R721" s="25" t="s">
        <v>198</v>
      </c>
      <c r="S721" s="25"/>
      <c r="T721" s="25" t="s">
        <v>376</v>
      </c>
      <c r="U721" s="25" t="s">
        <v>269</v>
      </c>
      <c r="V721" s="149" t="s">
        <v>159</v>
      </c>
      <c r="W721" s="149" t="s">
        <v>159</v>
      </c>
    </row>
    <row r="722" spans="1:23" ht="12.75" customHeight="1">
      <c r="A722" s="53"/>
      <c r="B722" s="36"/>
      <c r="C722" s="27"/>
      <c r="D722" s="26"/>
      <c r="E722" s="26">
        <v>1</v>
      </c>
      <c r="F722" s="26">
        <v>0</v>
      </c>
      <c r="G722" s="26"/>
      <c r="H722" s="26"/>
      <c r="I722" s="26"/>
      <c r="J722" s="26"/>
      <c r="K722" s="26"/>
      <c r="L722" s="31" t="s">
        <v>1258</v>
      </c>
      <c r="M722" s="25"/>
      <c r="N722" s="25" t="s">
        <v>198</v>
      </c>
      <c r="O722" s="25" t="s">
        <v>197</v>
      </c>
      <c r="P722" s="25" t="s">
        <v>198</v>
      </c>
      <c r="Q722" s="25"/>
      <c r="R722" s="25" t="s">
        <v>198</v>
      </c>
      <c r="S722" s="25"/>
      <c r="T722" s="25" t="s">
        <v>376</v>
      </c>
      <c r="U722" s="25" t="s">
        <v>269</v>
      </c>
      <c r="V722" s="149" t="s">
        <v>156</v>
      </c>
      <c r="W722" s="149" t="s">
        <v>156</v>
      </c>
    </row>
    <row r="723" spans="1:23" ht="33.75" customHeight="1" thickBot="1">
      <c r="A723" s="54"/>
      <c r="B723" s="36"/>
      <c r="C723" s="27"/>
      <c r="D723" s="26">
        <v>0</v>
      </c>
      <c r="E723" s="26"/>
      <c r="F723" s="26"/>
      <c r="G723" s="26"/>
      <c r="H723" s="26"/>
      <c r="I723" s="26"/>
      <c r="J723" s="26"/>
      <c r="K723" s="26"/>
      <c r="L723" s="31" t="s">
        <v>1259</v>
      </c>
      <c r="M723" s="25"/>
      <c r="N723" s="25" t="s">
        <v>198</v>
      </c>
      <c r="O723" s="25" t="s">
        <v>197</v>
      </c>
      <c r="P723" s="25" t="s">
        <v>198</v>
      </c>
      <c r="Q723" s="25"/>
      <c r="R723" s="25" t="s">
        <v>198</v>
      </c>
      <c r="S723" s="25"/>
      <c r="T723" s="25" t="s">
        <v>376</v>
      </c>
      <c r="U723" s="25" t="s">
        <v>269</v>
      </c>
      <c r="V723" s="149" t="s">
        <v>159</v>
      </c>
      <c r="W723" s="149" t="s">
        <v>159</v>
      </c>
    </row>
    <row r="724" spans="1:23" ht="13.5" customHeight="1" thickBot="1">
      <c r="A724" s="101" t="s">
        <v>374</v>
      </c>
      <c r="B724" s="48" t="s">
        <v>495</v>
      </c>
      <c r="C724" s="90" t="s">
        <v>496</v>
      </c>
      <c r="D724" s="294"/>
      <c r="E724" s="294"/>
      <c r="F724" s="294"/>
      <c r="G724" s="294"/>
      <c r="H724" s="294"/>
      <c r="I724" s="294"/>
      <c r="J724" s="294"/>
      <c r="K724" s="294"/>
      <c r="L724" s="34" t="s">
        <v>1260</v>
      </c>
      <c r="M724" s="97"/>
      <c r="N724" s="97"/>
      <c r="O724" s="97" t="s">
        <v>197</v>
      </c>
      <c r="P724" s="97" t="s">
        <v>198</v>
      </c>
      <c r="Q724" s="97">
        <v>57</v>
      </c>
      <c r="R724" s="97" t="s">
        <v>198</v>
      </c>
      <c r="S724" s="97"/>
      <c r="T724" s="97" t="s">
        <v>376</v>
      </c>
      <c r="U724" s="97" t="s">
        <v>269</v>
      </c>
      <c r="V724" s="140"/>
      <c r="W724" s="140"/>
    </row>
    <row r="725" spans="1:23" ht="13.5" customHeight="1" thickBot="1">
      <c r="A725" s="96"/>
      <c r="B725" s="20"/>
      <c r="C725" s="27"/>
      <c r="D725" s="26"/>
      <c r="E725" s="26">
        <v>6</v>
      </c>
      <c r="F725" s="26">
        <v>5</v>
      </c>
      <c r="G725" s="26">
        <v>4</v>
      </c>
      <c r="H725" s="26">
        <v>3</v>
      </c>
      <c r="I725" s="26">
        <v>2</v>
      </c>
      <c r="J725" s="26">
        <v>1</v>
      </c>
      <c r="K725" s="26">
        <v>0</v>
      </c>
      <c r="L725" s="55" t="s">
        <v>1261</v>
      </c>
      <c r="M725" s="25"/>
      <c r="N725" s="25"/>
      <c r="O725" s="25" t="s">
        <v>197</v>
      </c>
      <c r="P725" s="25" t="s">
        <v>198</v>
      </c>
      <c r="Q725" s="25"/>
      <c r="R725" s="25" t="s">
        <v>198</v>
      </c>
      <c r="S725" s="25"/>
      <c r="T725" s="25" t="s">
        <v>376</v>
      </c>
      <c r="U725" s="25" t="s">
        <v>269</v>
      </c>
      <c r="V725" s="149" t="str">
        <f>IF('Additional Details'!C87="Yes","7b1110100","7b"&amp;'Additional Details'!AQ87)</f>
        <v>7b</v>
      </c>
      <c r="W725" s="149" t="e">
        <f>IF('Additional Details'!C87="Yes","7b1000000","7b"&amp;'Additional Details'!#REF!)</f>
        <v>#REF!</v>
      </c>
    </row>
    <row r="726" spans="1:23" ht="13.5" customHeight="1" thickBot="1">
      <c r="A726" s="19"/>
      <c r="B726" s="20"/>
      <c r="C726" s="27"/>
      <c r="D726" s="26">
        <v>0</v>
      </c>
      <c r="E726" s="26"/>
      <c r="F726" s="26"/>
      <c r="G726" s="26"/>
      <c r="H726" s="26"/>
      <c r="I726" s="26"/>
      <c r="J726" s="26"/>
      <c r="K726" s="26"/>
      <c r="L726" s="55" t="s">
        <v>1262</v>
      </c>
      <c r="M726" s="25"/>
      <c r="N726" s="25" t="s">
        <v>198</v>
      </c>
      <c r="O726" s="25" t="s">
        <v>197</v>
      </c>
      <c r="P726" s="25" t="s">
        <v>198</v>
      </c>
      <c r="Q726" s="25"/>
      <c r="R726" s="25" t="s">
        <v>198</v>
      </c>
      <c r="S726" s="25"/>
      <c r="T726" s="25" t="s">
        <v>376</v>
      </c>
      <c r="U726" s="25" t="s">
        <v>269</v>
      </c>
      <c r="V726" s="149" t="s">
        <v>159</v>
      </c>
      <c r="W726" s="149" t="s">
        <v>159</v>
      </c>
    </row>
    <row r="727" spans="1:23" ht="12" customHeight="1" thickBot="1">
      <c r="A727" s="101" t="s">
        <v>374</v>
      </c>
      <c r="B727" s="36" t="s">
        <v>498</v>
      </c>
      <c r="C727" s="99" t="s">
        <v>499</v>
      </c>
      <c r="D727" s="301"/>
      <c r="E727" s="301"/>
      <c r="F727" s="301"/>
      <c r="G727" s="301"/>
      <c r="H727" s="301"/>
      <c r="I727" s="301"/>
      <c r="J727" s="301"/>
      <c r="K727" s="301"/>
      <c r="L727" s="155"/>
      <c r="M727" s="18"/>
      <c r="N727" s="18"/>
      <c r="O727" s="18" t="s">
        <v>197</v>
      </c>
      <c r="P727" s="18" t="s">
        <v>204</v>
      </c>
      <c r="Q727" s="18" t="s">
        <v>209</v>
      </c>
      <c r="R727" s="18" t="s">
        <v>198</v>
      </c>
      <c r="S727" s="18"/>
      <c r="T727" s="18" t="s">
        <v>376</v>
      </c>
      <c r="U727" s="18" t="s">
        <v>269</v>
      </c>
      <c r="V727" s="150"/>
      <c r="W727" s="209"/>
    </row>
    <row r="728" spans="1:23" ht="12" customHeight="1">
      <c r="A728" s="54"/>
      <c r="B728" s="36"/>
      <c r="C728" s="94"/>
      <c r="D728" s="68"/>
      <c r="E728" s="68"/>
      <c r="F728" s="68"/>
      <c r="G728" s="68"/>
      <c r="H728" s="68"/>
      <c r="I728" s="68"/>
      <c r="J728" s="68"/>
      <c r="K728" s="68">
        <v>0</v>
      </c>
      <c r="L728" s="17"/>
      <c r="M728" s="91"/>
      <c r="N728" s="91"/>
      <c r="O728" s="91" t="s">
        <v>197</v>
      </c>
      <c r="P728" s="91" t="s">
        <v>204</v>
      </c>
      <c r="Q728" s="91"/>
      <c r="R728" s="91" t="s">
        <v>198</v>
      </c>
      <c r="S728" s="91"/>
      <c r="T728" s="91" t="s">
        <v>376</v>
      </c>
      <c r="U728" s="91" t="s">
        <v>269</v>
      </c>
      <c r="V728" s="132" t="s">
        <v>157</v>
      </c>
      <c r="W728" s="132" t="s">
        <v>157</v>
      </c>
    </row>
    <row r="729" spans="1:23" ht="68.25" customHeight="1">
      <c r="A729" s="54"/>
      <c r="B729" s="36"/>
      <c r="C729" s="94"/>
      <c r="D729" s="68"/>
      <c r="E729" s="68"/>
      <c r="F729" s="68"/>
      <c r="G729" s="68"/>
      <c r="H729" s="68"/>
      <c r="I729" s="68">
        <v>1</v>
      </c>
      <c r="J729" s="68">
        <v>0</v>
      </c>
      <c r="K729" s="68"/>
      <c r="L729" s="17"/>
      <c r="M729" s="91"/>
      <c r="N729" s="91"/>
      <c r="O729" s="91" t="s">
        <v>197</v>
      </c>
      <c r="P729" s="91" t="s">
        <v>204</v>
      </c>
      <c r="Q729" s="91"/>
      <c r="R729" s="91" t="s">
        <v>198</v>
      </c>
      <c r="S729" s="91"/>
      <c r="T729" s="91" t="s">
        <v>376</v>
      </c>
      <c r="U729" s="91" t="s">
        <v>269</v>
      </c>
      <c r="V729" s="132" t="s">
        <v>156</v>
      </c>
      <c r="W729" s="132" t="s">
        <v>156</v>
      </c>
    </row>
    <row r="730" spans="1:23" ht="12" customHeight="1">
      <c r="A730" s="54"/>
      <c r="B730" s="36"/>
      <c r="C730" s="94"/>
      <c r="D730" s="68"/>
      <c r="E730" s="68"/>
      <c r="F730" s="68"/>
      <c r="G730" s="68"/>
      <c r="H730" s="68">
        <v>0</v>
      </c>
      <c r="I730" s="68"/>
      <c r="J730" s="68"/>
      <c r="K730" s="68"/>
      <c r="L730" s="17"/>
      <c r="M730" s="91"/>
      <c r="N730" s="91"/>
      <c r="O730" s="91" t="s">
        <v>197</v>
      </c>
      <c r="P730" s="91" t="s">
        <v>204</v>
      </c>
      <c r="Q730" s="91"/>
      <c r="R730" s="91" t="s">
        <v>198</v>
      </c>
      <c r="S730" s="91"/>
      <c r="T730" s="91" t="s">
        <v>376</v>
      </c>
      <c r="U730" s="91" t="s">
        <v>269</v>
      </c>
      <c r="V730" s="132" t="s">
        <v>157</v>
      </c>
      <c r="W730" s="132" t="s">
        <v>157</v>
      </c>
    </row>
    <row r="731" spans="1:23" ht="12" customHeight="1">
      <c r="A731" s="54"/>
      <c r="B731" s="36"/>
      <c r="C731" s="94"/>
      <c r="D731" s="68"/>
      <c r="E731" s="68"/>
      <c r="F731" s="68"/>
      <c r="G731" s="68">
        <v>0</v>
      </c>
      <c r="H731" s="68"/>
      <c r="I731" s="68"/>
      <c r="J731" s="68"/>
      <c r="K731" s="68"/>
      <c r="L731" s="17"/>
      <c r="M731" s="91"/>
      <c r="N731" s="91"/>
      <c r="O731" s="91" t="s">
        <v>197</v>
      </c>
      <c r="P731" s="91" t="s">
        <v>204</v>
      </c>
      <c r="Q731" s="91"/>
      <c r="R731" s="91" t="s">
        <v>198</v>
      </c>
      <c r="S731" s="91"/>
      <c r="T731" s="91" t="s">
        <v>376</v>
      </c>
      <c r="U731" s="91" t="s">
        <v>269</v>
      </c>
      <c r="V731" s="132" t="s">
        <v>157</v>
      </c>
      <c r="W731" s="132" t="s">
        <v>157</v>
      </c>
    </row>
    <row r="732" spans="1:23" ht="12" customHeight="1">
      <c r="A732" s="54"/>
      <c r="B732" s="36"/>
      <c r="C732" s="94"/>
      <c r="D732" s="68"/>
      <c r="E732" s="68"/>
      <c r="F732" s="68">
        <v>0</v>
      </c>
      <c r="G732" s="68"/>
      <c r="H732" s="68"/>
      <c r="I732" s="68"/>
      <c r="J732" s="68"/>
      <c r="K732" s="68"/>
      <c r="L732" s="17"/>
      <c r="M732" s="91"/>
      <c r="N732" s="91"/>
      <c r="O732" s="91" t="s">
        <v>197</v>
      </c>
      <c r="P732" s="91" t="s">
        <v>204</v>
      </c>
      <c r="Q732" s="91"/>
      <c r="R732" s="91" t="s">
        <v>198</v>
      </c>
      <c r="S732" s="91"/>
      <c r="T732" s="91" t="s">
        <v>376</v>
      </c>
      <c r="U732" s="91" t="s">
        <v>269</v>
      </c>
      <c r="V732" s="132" t="s">
        <v>157</v>
      </c>
      <c r="W732" s="132" t="s">
        <v>157</v>
      </c>
    </row>
    <row r="733" spans="1:23" ht="12" customHeight="1">
      <c r="A733" s="54"/>
      <c r="B733" s="36"/>
      <c r="C733" s="94"/>
      <c r="D733" s="68"/>
      <c r="E733" s="68">
        <v>0</v>
      </c>
      <c r="F733" s="68"/>
      <c r="G733" s="68"/>
      <c r="H733" s="68"/>
      <c r="I733" s="68"/>
      <c r="J733" s="68"/>
      <c r="K733" s="68"/>
      <c r="L733" s="17"/>
      <c r="M733" s="91"/>
      <c r="N733" s="91"/>
      <c r="O733" s="91" t="s">
        <v>197</v>
      </c>
      <c r="P733" s="91" t="s">
        <v>204</v>
      </c>
      <c r="Q733" s="91"/>
      <c r="R733" s="91" t="s">
        <v>198</v>
      </c>
      <c r="S733" s="91"/>
      <c r="T733" s="91" t="s">
        <v>376</v>
      </c>
      <c r="U733" s="91" t="s">
        <v>269</v>
      </c>
      <c r="V733" s="132" t="s">
        <v>157</v>
      </c>
      <c r="W733" s="132" t="s">
        <v>157</v>
      </c>
    </row>
    <row r="734" spans="1:23" ht="12" customHeight="1">
      <c r="A734" s="54"/>
      <c r="B734" s="36"/>
      <c r="C734" s="94"/>
      <c r="D734" s="68">
        <v>0</v>
      </c>
      <c r="E734" s="68"/>
      <c r="F734" s="68"/>
      <c r="G734" s="68"/>
      <c r="H734" s="68"/>
      <c r="I734" s="68"/>
      <c r="J734" s="68"/>
      <c r="K734" s="68"/>
      <c r="L734" s="17"/>
      <c r="M734" s="91"/>
      <c r="N734" s="91"/>
      <c r="O734" s="91" t="s">
        <v>197</v>
      </c>
      <c r="P734" s="91" t="s">
        <v>204</v>
      </c>
      <c r="Q734" s="91"/>
      <c r="R734" s="91" t="s">
        <v>198</v>
      </c>
      <c r="S734" s="91"/>
      <c r="T734" s="91" t="s">
        <v>376</v>
      </c>
      <c r="U734" s="91" t="s">
        <v>269</v>
      </c>
      <c r="V734" s="132" t="s">
        <v>157</v>
      </c>
      <c r="W734" s="132" t="s">
        <v>157</v>
      </c>
    </row>
    <row r="735" spans="1:23" ht="12" customHeight="1">
      <c r="A735" s="49" t="s">
        <v>374</v>
      </c>
      <c r="B735" s="48" t="s">
        <v>500</v>
      </c>
      <c r="C735" s="99" t="s">
        <v>501</v>
      </c>
      <c r="D735" s="301"/>
      <c r="E735" s="301"/>
      <c r="F735" s="301"/>
      <c r="G735" s="301"/>
      <c r="H735" s="301"/>
      <c r="I735" s="301"/>
      <c r="J735" s="301"/>
      <c r="K735" s="301"/>
      <c r="L735" s="46"/>
      <c r="M735" s="45"/>
      <c r="N735" s="45"/>
      <c r="O735" s="45" t="s">
        <v>197</v>
      </c>
      <c r="P735" s="45" t="s">
        <v>204</v>
      </c>
      <c r="Q735" s="45"/>
      <c r="R735" s="45" t="s">
        <v>198</v>
      </c>
      <c r="S735" s="45"/>
      <c r="T735" s="45" t="s">
        <v>376</v>
      </c>
      <c r="U735" s="45" t="s">
        <v>269</v>
      </c>
      <c r="V735" s="144"/>
      <c r="W735" s="202"/>
    </row>
    <row r="736" spans="1:23" ht="12" customHeight="1">
      <c r="A736" s="54"/>
      <c r="B736" s="36"/>
      <c r="C736" s="94"/>
      <c r="D736" s="68"/>
      <c r="E736" s="68"/>
      <c r="F736" s="68"/>
      <c r="G736" s="68"/>
      <c r="H736" s="68"/>
      <c r="I736" s="68"/>
      <c r="J736" s="68"/>
      <c r="K736" s="68">
        <v>0</v>
      </c>
      <c r="L736" s="17"/>
      <c r="M736" s="91"/>
      <c r="N736" s="91"/>
      <c r="O736" s="91" t="s">
        <v>197</v>
      </c>
      <c r="P736" s="91" t="s">
        <v>204</v>
      </c>
      <c r="Q736" s="91"/>
      <c r="R736" s="91" t="s">
        <v>198</v>
      </c>
      <c r="S736" s="91"/>
      <c r="T736" s="91" t="s">
        <v>376</v>
      </c>
      <c r="U736" s="91" t="s">
        <v>269</v>
      </c>
      <c r="V736" s="132" t="s">
        <v>157</v>
      </c>
      <c r="W736" s="132" t="s">
        <v>157</v>
      </c>
    </row>
    <row r="737" spans="1:23" ht="12" customHeight="1">
      <c r="A737" s="54"/>
      <c r="B737" s="36"/>
      <c r="C737" s="94"/>
      <c r="D737" s="68"/>
      <c r="E737" s="68"/>
      <c r="F737" s="68"/>
      <c r="G737" s="68"/>
      <c r="H737" s="68"/>
      <c r="I737" s="68"/>
      <c r="J737" s="68">
        <v>0</v>
      </c>
      <c r="K737" s="68"/>
      <c r="L737" s="17"/>
      <c r="M737" s="91"/>
      <c r="N737" s="91"/>
      <c r="O737" s="91" t="s">
        <v>197</v>
      </c>
      <c r="P737" s="91" t="s">
        <v>204</v>
      </c>
      <c r="Q737" s="91"/>
      <c r="R737" s="91" t="s">
        <v>198</v>
      </c>
      <c r="S737" s="91"/>
      <c r="T737" s="91" t="s">
        <v>376</v>
      </c>
      <c r="U737" s="91" t="s">
        <v>269</v>
      </c>
      <c r="V737" s="132" t="s">
        <v>157</v>
      </c>
      <c r="W737" s="132" t="s">
        <v>157</v>
      </c>
    </row>
    <row r="738" spans="1:23" ht="12" customHeight="1">
      <c r="A738" s="54"/>
      <c r="B738" s="36"/>
      <c r="C738" s="94"/>
      <c r="D738" s="68"/>
      <c r="E738" s="68"/>
      <c r="F738" s="68"/>
      <c r="G738" s="68"/>
      <c r="H738" s="68"/>
      <c r="I738" s="68">
        <v>0</v>
      </c>
      <c r="J738" s="68"/>
      <c r="K738" s="68"/>
      <c r="L738" s="17"/>
      <c r="M738" s="91"/>
      <c r="N738" s="91"/>
      <c r="O738" s="91" t="s">
        <v>197</v>
      </c>
      <c r="P738" s="91" t="s">
        <v>204</v>
      </c>
      <c r="Q738" s="91"/>
      <c r="R738" s="91" t="s">
        <v>198</v>
      </c>
      <c r="S738" s="91"/>
      <c r="T738" s="91" t="s">
        <v>376</v>
      </c>
      <c r="U738" s="91" t="s">
        <v>269</v>
      </c>
      <c r="V738" s="132" t="s">
        <v>157</v>
      </c>
      <c r="W738" s="132" t="s">
        <v>157</v>
      </c>
    </row>
    <row r="739" spans="1:23" ht="12" customHeight="1">
      <c r="A739" s="54"/>
      <c r="B739" s="36"/>
      <c r="C739" s="94"/>
      <c r="D739" s="68"/>
      <c r="E739" s="68"/>
      <c r="F739" s="68"/>
      <c r="G739" s="68"/>
      <c r="H739" s="68">
        <v>0</v>
      </c>
      <c r="I739" s="68"/>
      <c r="J739" s="68"/>
      <c r="K739" s="68"/>
      <c r="L739" s="17"/>
      <c r="M739" s="91"/>
      <c r="N739" s="91"/>
      <c r="O739" s="91" t="s">
        <v>197</v>
      </c>
      <c r="P739" s="91" t="s">
        <v>204</v>
      </c>
      <c r="Q739" s="91"/>
      <c r="R739" s="91" t="s">
        <v>198</v>
      </c>
      <c r="S739" s="91"/>
      <c r="T739" s="91" t="s">
        <v>376</v>
      </c>
      <c r="U739" s="91" t="s">
        <v>269</v>
      </c>
      <c r="V739" s="132" t="s">
        <v>157</v>
      </c>
      <c r="W739" s="132" t="s">
        <v>157</v>
      </c>
    </row>
    <row r="740" spans="1:23" ht="12" customHeight="1">
      <c r="A740" s="54"/>
      <c r="B740" s="36"/>
      <c r="C740" s="94"/>
      <c r="D740" s="68"/>
      <c r="E740" s="68"/>
      <c r="F740" s="68"/>
      <c r="G740" s="68">
        <v>0</v>
      </c>
      <c r="H740" s="68"/>
      <c r="I740" s="68"/>
      <c r="J740" s="68"/>
      <c r="K740" s="68"/>
      <c r="L740" s="17"/>
      <c r="M740" s="91"/>
      <c r="N740" s="91"/>
      <c r="O740" s="91" t="s">
        <v>197</v>
      </c>
      <c r="P740" s="91" t="s">
        <v>204</v>
      </c>
      <c r="Q740" s="91"/>
      <c r="R740" s="91" t="s">
        <v>198</v>
      </c>
      <c r="S740" s="91"/>
      <c r="T740" s="91" t="s">
        <v>376</v>
      </c>
      <c r="U740" s="91" t="s">
        <v>269</v>
      </c>
      <c r="V740" s="132" t="s">
        <v>157</v>
      </c>
      <c r="W740" s="132" t="s">
        <v>157</v>
      </c>
    </row>
    <row r="741" spans="1:23" ht="12" customHeight="1">
      <c r="A741" s="54"/>
      <c r="B741" s="36"/>
      <c r="C741" s="94"/>
      <c r="D741" s="68"/>
      <c r="E741" s="68"/>
      <c r="F741" s="68">
        <v>0</v>
      </c>
      <c r="G741" s="68"/>
      <c r="H741" s="68"/>
      <c r="I741" s="68"/>
      <c r="J741" s="68"/>
      <c r="K741" s="68"/>
      <c r="L741" s="17"/>
      <c r="M741" s="91"/>
      <c r="N741" s="91"/>
      <c r="O741" s="91" t="s">
        <v>197</v>
      </c>
      <c r="P741" s="91" t="s">
        <v>204</v>
      </c>
      <c r="Q741" s="91"/>
      <c r="R741" s="91" t="s">
        <v>198</v>
      </c>
      <c r="S741" s="91"/>
      <c r="T741" s="91" t="s">
        <v>376</v>
      </c>
      <c r="U741" s="91" t="s">
        <v>269</v>
      </c>
      <c r="V741" s="132" t="s">
        <v>157</v>
      </c>
      <c r="W741" s="132" t="s">
        <v>157</v>
      </c>
    </row>
    <row r="742" spans="1:23" ht="12" customHeight="1">
      <c r="A742" s="54"/>
      <c r="B742" s="36"/>
      <c r="C742" s="94"/>
      <c r="D742" s="68"/>
      <c r="E742" s="68">
        <v>0</v>
      </c>
      <c r="F742" s="68"/>
      <c r="G742" s="68"/>
      <c r="H742" s="68"/>
      <c r="I742" s="68"/>
      <c r="J742" s="68"/>
      <c r="K742" s="68"/>
      <c r="L742" s="17"/>
      <c r="M742" s="91"/>
      <c r="N742" s="91"/>
      <c r="O742" s="91" t="s">
        <v>197</v>
      </c>
      <c r="P742" s="91" t="s">
        <v>204</v>
      </c>
      <c r="Q742" s="91"/>
      <c r="R742" s="91" t="s">
        <v>198</v>
      </c>
      <c r="S742" s="91"/>
      <c r="T742" s="91" t="s">
        <v>376</v>
      </c>
      <c r="U742" s="91" t="s">
        <v>269</v>
      </c>
      <c r="V742" s="132" t="s">
        <v>157</v>
      </c>
      <c r="W742" s="132" t="s">
        <v>157</v>
      </c>
    </row>
    <row r="743" spans="1:23" ht="12" customHeight="1">
      <c r="A743" s="54"/>
      <c r="B743" s="36"/>
      <c r="C743" s="94"/>
      <c r="D743" s="68">
        <v>0</v>
      </c>
      <c r="E743" s="68"/>
      <c r="F743" s="68"/>
      <c r="G743" s="68"/>
      <c r="H743" s="68"/>
      <c r="I743" s="68"/>
      <c r="J743" s="68"/>
      <c r="K743" s="68"/>
      <c r="L743" s="17"/>
      <c r="M743" s="91"/>
      <c r="N743" s="91"/>
      <c r="O743" s="91" t="s">
        <v>197</v>
      </c>
      <c r="P743" s="91" t="s">
        <v>204</v>
      </c>
      <c r="Q743" s="91"/>
      <c r="R743" s="91" t="s">
        <v>198</v>
      </c>
      <c r="S743" s="91"/>
      <c r="T743" s="91" t="s">
        <v>376</v>
      </c>
      <c r="U743" s="91" t="s">
        <v>269</v>
      </c>
      <c r="V743" s="132" t="s">
        <v>157</v>
      </c>
      <c r="W743" s="132" t="s">
        <v>157</v>
      </c>
    </row>
    <row r="744" spans="1:23" ht="12" customHeight="1">
      <c r="A744" s="49" t="s">
        <v>374</v>
      </c>
      <c r="B744" s="48" t="s">
        <v>502</v>
      </c>
      <c r="C744" s="99" t="s">
        <v>503</v>
      </c>
      <c r="D744" s="295"/>
      <c r="E744" s="296"/>
      <c r="F744" s="296"/>
      <c r="G744" s="296"/>
      <c r="H744" s="296"/>
      <c r="I744" s="296"/>
      <c r="J744" s="296"/>
      <c r="K744" s="297"/>
      <c r="L744" s="46"/>
      <c r="M744" s="45"/>
      <c r="N744" s="45"/>
      <c r="O744" s="45" t="s">
        <v>197</v>
      </c>
      <c r="P744" s="45" t="s">
        <v>204</v>
      </c>
      <c r="Q744" s="45"/>
      <c r="R744" s="45" t="s">
        <v>198</v>
      </c>
      <c r="S744" s="45"/>
      <c r="T744" s="45" t="s">
        <v>376</v>
      </c>
      <c r="U744" s="45" t="s">
        <v>269</v>
      </c>
      <c r="V744" s="144"/>
      <c r="W744" s="202"/>
    </row>
    <row r="745" spans="1:23" ht="12" customHeight="1">
      <c r="A745" s="54"/>
      <c r="B745" s="36"/>
      <c r="C745" s="94"/>
      <c r="D745" s="68"/>
      <c r="E745" s="68"/>
      <c r="F745" s="68"/>
      <c r="G745" s="68"/>
      <c r="H745" s="68"/>
      <c r="I745" s="68"/>
      <c r="J745" s="68"/>
      <c r="K745" s="68">
        <v>0</v>
      </c>
      <c r="L745" s="17"/>
      <c r="M745" s="91"/>
      <c r="N745" s="91"/>
      <c r="O745" s="91" t="s">
        <v>197</v>
      </c>
      <c r="P745" s="91" t="s">
        <v>204</v>
      </c>
      <c r="Q745" s="91"/>
      <c r="R745" s="91" t="s">
        <v>198</v>
      </c>
      <c r="S745" s="91"/>
      <c r="T745" s="91" t="s">
        <v>376</v>
      </c>
      <c r="U745" s="91" t="s">
        <v>269</v>
      </c>
      <c r="V745" s="132" t="s">
        <v>157</v>
      </c>
      <c r="W745" s="132" t="s">
        <v>157</v>
      </c>
    </row>
    <row r="746" spans="1:23" ht="12" customHeight="1">
      <c r="A746" s="54"/>
      <c r="B746" s="36"/>
      <c r="C746" s="94"/>
      <c r="D746" s="68"/>
      <c r="E746" s="68"/>
      <c r="F746" s="68"/>
      <c r="G746" s="68"/>
      <c r="H746" s="68"/>
      <c r="I746" s="68"/>
      <c r="J746" s="68">
        <v>0</v>
      </c>
      <c r="K746" s="68"/>
      <c r="L746" s="17"/>
      <c r="M746" s="91"/>
      <c r="N746" s="91"/>
      <c r="O746" s="91" t="s">
        <v>197</v>
      </c>
      <c r="P746" s="91" t="s">
        <v>204</v>
      </c>
      <c r="Q746" s="91"/>
      <c r="R746" s="91" t="s">
        <v>198</v>
      </c>
      <c r="S746" s="91"/>
      <c r="T746" s="91" t="s">
        <v>376</v>
      </c>
      <c r="U746" s="91" t="s">
        <v>269</v>
      </c>
      <c r="V746" s="132" t="s">
        <v>157</v>
      </c>
      <c r="W746" s="132" t="s">
        <v>157</v>
      </c>
    </row>
    <row r="747" spans="1:23" ht="57" customHeight="1">
      <c r="A747" s="54"/>
      <c r="B747" s="36"/>
      <c r="C747" s="94"/>
      <c r="D747" s="68"/>
      <c r="E747" s="68"/>
      <c r="F747" s="68"/>
      <c r="G747" s="68"/>
      <c r="H747" s="68">
        <v>1</v>
      </c>
      <c r="I747" s="68">
        <v>0</v>
      </c>
      <c r="J747" s="68"/>
      <c r="K747" s="68"/>
      <c r="L747" s="17"/>
      <c r="M747" s="91"/>
      <c r="N747" s="91"/>
      <c r="O747" s="91" t="s">
        <v>197</v>
      </c>
      <c r="P747" s="91" t="s">
        <v>204</v>
      </c>
      <c r="Q747" s="91"/>
      <c r="R747" s="91" t="s">
        <v>198</v>
      </c>
      <c r="S747" s="91"/>
      <c r="T747" s="91" t="s">
        <v>376</v>
      </c>
      <c r="U747" s="91" t="s">
        <v>269</v>
      </c>
      <c r="V747" s="132" t="s">
        <v>156</v>
      </c>
      <c r="W747" s="132" t="s">
        <v>156</v>
      </c>
    </row>
    <row r="748" spans="1:23" ht="12" customHeight="1">
      <c r="A748" s="54"/>
      <c r="B748" s="36"/>
      <c r="C748" s="94"/>
      <c r="D748" s="68"/>
      <c r="E748" s="68"/>
      <c r="F748" s="68"/>
      <c r="G748" s="68">
        <v>0</v>
      </c>
      <c r="H748" s="68"/>
      <c r="I748" s="68"/>
      <c r="J748" s="68"/>
      <c r="K748" s="68"/>
      <c r="L748" s="17"/>
      <c r="M748" s="91"/>
      <c r="N748" s="91"/>
      <c r="O748" s="91" t="s">
        <v>197</v>
      </c>
      <c r="P748" s="91" t="s">
        <v>204</v>
      </c>
      <c r="Q748" s="91"/>
      <c r="R748" s="91" t="s">
        <v>198</v>
      </c>
      <c r="S748" s="91"/>
      <c r="T748" s="91" t="s">
        <v>376</v>
      </c>
      <c r="U748" s="91" t="s">
        <v>269</v>
      </c>
      <c r="V748" s="132" t="s">
        <v>157</v>
      </c>
      <c r="W748" s="132" t="s">
        <v>157</v>
      </c>
    </row>
    <row r="749" spans="1:23" ht="57" customHeight="1">
      <c r="A749" s="54"/>
      <c r="B749" s="36"/>
      <c r="C749" s="94"/>
      <c r="D749" s="68"/>
      <c r="E749" s="68">
        <v>1</v>
      </c>
      <c r="F749" s="68">
        <v>0</v>
      </c>
      <c r="G749" s="68"/>
      <c r="H749" s="68"/>
      <c r="I749" s="68"/>
      <c r="J749" s="68"/>
      <c r="K749" s="68"/>
      <c r="L749" s="17"/>
      <c r="M749" s="91"/>
      <c r="N749" s="91"/>
      <c r="O749" s="91" t="s">
        <v>197</v>
      </c>
      <c r="P749" s="91" t="s">
        <v>204</v>
      </c>
      <c r="Q749" s="91"/>
      <c r="R749" s="91" t="s">
        <v>198</v>
      </c>
      <c r="S749" s="91"/>
      <c r="T749" s="91" t="s">
        <v>376</v>
      </c>
      <c r="U749" s="91" t="s">
        <v>269</v>
      </c>
      <c r="V749" s="132" t="s">
        <v>156</v>
      </c>
      <c r="W749" s="132" t="s">
        <v>156</v>
      </c>
    </row>
    <row r="750" spans="1:23" ht="12" customHeight="1">
      <c r="A750" s="54"/>
      <c r="B750" s="36"/>
      <c r="C750" s="94"/>
      <c r="D750" s="68">
        <v>0</v>
      </c>
      <c r="E750" s="68"/>
      <c r="F750" s="68"/>
      <c r="G750" s="68"/>
      <c r="H750" s="68"/>
      <c r="I750" s="68"/>
      <c r="J750" s="68"/>
      <c r="K750" s="68"/>
      <c r="L750" s="17"/>
      <c r="M750" s="91"/>
      <c r="N750" s="91"/>
      <c r="O750" s="91" t="s">
        <v>197</v>
      </c>
      <c r="P750" s="91" t="s">
        <v>204</v>
      </c>
      <c r="Q750" s="91"/>
      <c r="R750" s="91" t="s">
        <v>198</v>
      </c>
      <c r="S750" s="91"/>
      <c r="T750" s="91" t="s">
        <v>376</v>
      </c>
      <c r="U750" s="91" t="s">
        <v>269</v>
      </c>
      <c r="V750" s="132" t="s">
        <v>157</v>
      </c>
      <c r="W750" s="132" t="s">
        <v>157</v>
      </c>
    </row>
    <row r="751" spans="1:23" ht="12" customHeight="1">
      <c r="A751" s="49" t="s">
        <v>374</v>
      </c>
      <c r="B751" s="48" t="s">
        <v>253</v>
      </c>
      <c r="C751" s="47" t="s">
        <v>504</v>
      </c>
      <c r="D751" s="295"/>
      <c r="E751" s="296"/>
      <c r="F751" s="296"/>
      <c r="G751" s="296"/>
      <c r="H751" s="296"/>
      <c r="I751" s="296"/>
      <c r="J751" s="296"/>
      <c r="K751" s="297"/>
      <c r="L751" s="46"/>
      <c r="M751" s="45"/>
      <c r="N751" s="45"/>
      <c r="O751" s="45" t="s">
        <v>197</v>
      </c>
      <c r="P751" s="45" t="s">
        <v>204</v>
      </c>
      <c r="Q751" s="45"/>
      <c r="R751" s="45" t="s">
        <v>198</v>
      </c>
      <c r="S751" s="45"/>
      <c r="T751" s="45" t="s">
        <v>376</v>
      </c>
      <c r="U751" s="45" t="s">
        <v>269</v>
      </c>
      <c r="V751" s="144"/>
      <c r="W751" s="202"/>
    </row>
    <row r="752" spans="1:23" ht="180.75" customHeight="1">
      <c r="A752" s="54"/>
      <c r="B752" s="36"/>
      <c r="C752" s="94"/>
      <c r="D752" s="68"/>
      <c r="E752" s="68"/>
      <c r="F752" s="68"/>
      <c r="G752" s="68"/>
      <c r="H752" s="68">
        <v>3</v>
      </c>
      <c r="I752" s="68">
        <v>2</v>
      </c>
      <c r="J752" s="68">
        <v>1</v>
      </c>
      <c r="K752" s="68">
        <v>0</v>
      </c>
      <c r="L752" s="58"/>
      <c r="M752" s="91"/>
      <c r="N752" s="91"/>
      <c r="O752" s="91" t="s">
        <v>197</v>
      </c>
      <c r="P752" s="91" t="s">
        <v>204</v>
      </c>
      <c r="Q752" s="91"/>
      <c r="R752" s="91" t="s">
        <v>198</v>
      </c>
      <c r="S752" s="91"/>
      <c r="T752" s="91" t="s">
        <v>376</v>
      </c>
      <c r="U752" s="91" t="s">
        <v>269</v>
      </c>
      <c r="V752" s="132" t="s">
        <v>163</v>
      </c>
      <c r="W752" s="132" t="s">
        <v>163</v>
      </c>
    </row>
    <row r="753" spans="1:23" ht="12" customHeight="1" thickBot="1">
      <c r="A753" s="16"/>
      <c r="B753" s="48"/>
      <c r="C753" s="75"/>
      <c r="D753" s="68">
        <v>3</v>
      </c>
      <c r="E753" s="68">
        <v>2</v>
      </c>
      <c r="F753" s="68">
        <v>1</v>
      </c>
      <c r="G753" s="68">
        <v>0</v>
      </c>
      <c r="H753" s="44"/>
      <c r="I753" s="44"/>
      <c r="J753" s="44"/>
      <c r="K753" s="44"/>
      <c r="L753" s="85"/>
      <c r="M753" s="79"/>
      <c r="N753" s="79"/>
      <c r="O753" s="79" t="s">
        <v>206</v>
      </c>
      <c r="P753" s="79" t="s">
        <v>204</v>
      </c>
      <c r="Q753" s="79"/>
      <c r="R753" s="79" t="s">
        <v>198</v>
      </c>
      <c r="S753" s="79"/>
      <c r="T753" s="79" t="s">
        <v>376</v>
      </c>
      <c r="U753" s="79" t="s">
        <v>269</v>
      </c>
      <c r="V753" s="134" t="s">
        <v>163</v>
      </c>
      <c r="W753" s="134" t="s">
        <v>163</v>
      </c>
    </row>
    <row r="754" spans="1:23" ht="13.5" customHeight="1" thickBot="1">
      <c r="A754" s="101" t="s">
        <v>374</v>
      </c>
      <c r="B754" s="36" t="s">
        <v>259</v>
      </c>
      <c r="C754" s="99" t="s">
        <v>505</v>
      </c>
      <c r="D754" s="290"/>
      <c r="E754" s="290"/>
      <c r="F754" s="290"/>
      <c r="G754" s="290"/>
      <c r="H754" s="290"/>
      <c r="I754" s="290"/>
      <c r="J754" s="290"/>
      <c r="K754" s="290"/>
      <c r="L754" s="34" t="s">
        <v>1245</v>
      </c>
      <c r="M754" s="33"/>
      <c r="N754" s="33"/>
      <c r="O754" s="33" t="s">
        <v>197</v>
      </c>
      <c r="P754" s="33" t="s">
        <v>198</v>
      </c>
      <c r="Q754" s="33">
        <v>58</v>
      </c>
      <c r="R754" s="33" t="s">
        <v>198</v>
      </c>
      <c r="S754" s="33"/>
      <c r="T754" s="33" t="s">
        <v>376</v>
      </c>
      <c r="U754" s="33" t="s">
        <v>269</v>
      </c>
      <c r="V754" s="146"/>
      <c r="W754" s="205"/>
    </row>
    <row r="755" spans="1:23" ht="12.75" customHeight="1" thickBot="1">
      <c r="A755" s="69"/>
      <c r="B755" s="36"/>
      <c r="C755" s="94"/>
      <c r="D755" s="68"/>
      <c r="E755" s="68"/>
      <c r="F755" s="68"/>
      <c r="G755" s="68"/>
      <c r="H755" s="68">
        <v>3</v>
      </c>
      <c r="I755" s="68">
        <v>2</v>
      </c>
      <c r="J755" s="68">
        <v>1</v>
      </c>
      <c r="K755" s="68">
        <v>0</v>
      </c>
      <c r="L755" s="17" t="s">
        <v>1263</v>
      </c>
      <c r="M755" s="91" t="s">
        <v>198</v>
      </c>
      <c r="N755" s="91"/>
      <c r="O755" s="91" t="s">
        <v>197</v>
      </c>
      <c r="P755" s="91" t="s">
        <v>198</v>
      </c>
      <c r="Q755" s="91"/>
      <c r="R755" s="91" t="s">
        <v>198</v>
      </c>
      <c r="S755" s="91"/>
      <c r="T755" s="91" t="s">
        <v>376</v>
      </c>
      <c r="U755" s="91" t="s">
        <v>269</v>
      </c>
      <c r="V755" s="132" t="s">
        <v>178</v>
      </c>
      <c r="W755" s="132" t="s">
        <v>178</v>
      </c>
    </row>
    <row r="756" spans="1:23" ht="12.75" customHeight="1" thickBot="1">
      <c r="A756" s="30"/>
      <c r="B756" s="36"/>
      <c r="C756" s="94"/>
      <c r="D756" s="68">
        <v>3</v>
      </c>
      <c r="E756" s="68">
        <v>2</v>
      </c>
      <c r="F756" s="68">
        <v>1</v>
      </c>
      <c r="G756" s="68">
        <v>0</v>
      </c>
      <c r="H756" s="68"/>
      <c r="I756" s="68"/>
      <c r="J756" s="68"/>
      <c r="K756" s="68"/>
      <c r="L756" s="17" t="s">
        <v>1264</v>
      </c>
      <c r="M756" s="91" t="s">
        <v>198</v>
      </c>
      <c r="N756" s="91"/>
      <c r="O756" s="91" t="s">
        <v>197</v>
      </c>
      <c r="P756" s="91" t="s">
        <v>198</v>
      </c>
      <c r="Q756" s="91"/>
      <c r="R756" s="91" t="s">
        <v>198</v>
      </c>
      <c r="S756" s="91"/>
      <c r="T756" s="91" t="s">
        <v>376</v>
      </c>
      <c r="U756" s="91" t="s">
        <v>269</v>
      </c>
      <c r="V756" s="132" t="s">
        <v>178</v>
      </c>
      <c r="W756" s="132" t="s">
        <v>178</v>
      </c>
    </row>
    <row r="757" spans="1:23" ht="13.5" customHeight="1" thickBot="1">
      <c r="A757" s="101" t="s">
        <v>374</v>
      </c>
      <c r="B757" s="36" t="s">
        <v>263</v>
      </c>
      <c r="C757" s="99" t="s">
        <v>508</v>
      </c>
      <c r="D757" s="290"/>
      <c r="E757" s="290"/>
      <c r="F757" s="290"/>
      <c r="G757" s="290"/>
      <c r="H757" s="290"/>
      <c r="I757" s="290"/>
      <c r="J757" s="290"/>
      <c r="K757" s="290"/>
      <c r="L757" s="34" t="s">
        <v>1265</v>
      </c>
      <c r="M757" s="33"/>
      <c r="N757" s="33"/>
      <c r="O757" s="33" t="s">
        <v>197</v>
      </c>
      <c r="P757" s="33" t="s">
        <v>198</v>
      </c>
      <c r="Q757" s="33">
        <v>59</v>
      </c>
      <c r="R757" s="33" t="s">
        <v>198</v>
      </c>
      <c r="S757" s="33"/>
      <c r="T757" s="33" t="s">
        <v>376</v>
      </c>
      <c r="U757" s="33" t="s">
        <v>269</v>
      </c>
      <c r="V757" s="146"/>
      <c r="W757" s="205"/>
    </row>
    <row r="758" spans="1:23" ht="12.75" customHeight="1" thickBot="1">
      <c r="A758" s="69"/>
      <c r="B758" s="36"/>
      <c r="C758" s="94"/>
      <c r="D758" s="68"/>
      <c r="E758" s="68"/>
      <c r="F758" s="68"/>
      <c r="G758" s="68"/>
      <c r="H758" s="68">
        <v>3</v>
      </c>
      <c r="I758" s="68">
        <v>2</v>
      </c>
      <c r="J758" s="68">
        <v>1</v>
      </c>
      <c r="K758" s="68">
        <v>0</v>
      </c>
      <c r="L758" s="17" t="s">
        <v>1266</v>
      </c>
      <c r="M758" s="91" t="s">
        <v>198</v>
      </c>
      <c r="N758" s="91"/>
      <c r="O758" s="91" t="s">
        <v>197</v>
      </c>
      <c r="P758" s="91" t="s">
        <v>198</v>
      </c>
      <c r="Q758" s="91"/>
      <c r="R758" s="91" t="s">
        <v>198</v>
      </c>
      <c r="S758" s="91"/>
      <c r="T758" s="91" t="s">
        <v>376</v>
      </c>
      <c r="U758" s="91" t="s">
        <v>269</v>
      </c>
      <c r="V758" s="132" t="s">
        <v>178</v>
      </c>
      <c r="W758" s="132" t="s">
        <v>178</v>
      </c>
    </row>
    <row r="759" spans="1:23" ht="12.75" customHeight="1" thickBot="1">
      <c r="A759" s="30"/>
      <c r="B759" s="36"/>
      <c r="C759" s="94"/>
      <c r="D759" s="68">
        <v>3</v>
      </c>
      <c r="E759" s="68">
        <v>2</v>
      </c>
      <c r="F759" s="68">
        <v>1</v>
      </c>
      <c r="G759" s="68">
        <v>0</v>
      </c>
      <c r="H759" s="68"/>
      <c r="I759" s="68"/>
      <c r="J759" s="68"/>
      <c r="K759" s="68"/>
      <c r="L759" s="17" t="s">
        <v>1267</v>
      </c>
      <c r="M759" s="91" t="s">
        <v>198</v>
      </c>
      <c r="N759" s="91"/>
      <c r="O759" s="91" t="s">
        <v>197</v>
      </c>
      <c r="P759" s="91" t="s">
        <v>198</v>
      </c>
      <c r="Q759" s="91"/>
      <c r="R759" s="91" t="s">
        <v>198</v>
      </c>
      <c r="S759" s="91"/>
      <c r="T759" s="91" t="s">
        <v>376</v>
      </c>
      <c r="U759" s="91" t="s">
        <v>269</v>
      </c>
      <c r="V759" s="132" t="s">
        <v>178</v>
      </c>
      <c r="W759" s="132" t="s">
        <v>178</v>
      </c>
    </row>
    <row r="760" spans="1:23" ht="13.5" customHeight="1" thickBot="1">
      <c r="A760" s="101" t="s">
        <v>374</v>
      </c>
      <c r="B760" s="36" t="s">
        <v>265</v>
      </c>
      <c r="C760" s="99" t="s">
        <v>511</v>
      </c>
      <c r="D760" s="290"/>
      <c r="E760" s="290"/>
      <c r="F760" s="290"/>
      <c r="G760" s="290"/>
      <c r="H760" s="290"/>
      <c r="I760" s="290"/>
      <c r="J760" s="290"/>
      <c r="K760" s="290"/>
      <c r="L760" s="34" t="s">
        <v>1268</v>
      </c>
      <c r="M760" s="23"/>
      <c r="N760" s="23"/>
      <c r="O760" s="23" t="s">
        <v>197</v>
      </c>
      <c r="P760" s="23" t="s">
        <v>198</v>
      </c>
      <c r="Q760" s="23">
        <v>60</v>
      </c>
      <c r="R760" s="23" t="s">
        <v>198</v>
      </c>
      <c r="S760" s="33"/>
      <c r="T760" s="33" t="s">
        <v>376</v>
      </c>
      <c r="U760" s="33" t="s">
        <v>269</v>
      </c>
      <c r="V760" s="146"/>
      <c r="W760" s="205"/>
    </row>
    <row r="761" spans="1:23" ht="12.75" customHeight="1" thickBot="1">
      <c r="A761" s="69"/>
      <c r="B761" s="36"/>
      <c r="C761" s="94"/>
      <c r="D761" s="68"/>
      <c r="E761" s="68"/>
      <c r="F761" s="68"/>
      <c r="G761" s="68"/>
      <c r="H761" s="68"/>
      <c r="I761" s="68"/>
      <c r="J761" s="68">
        <v>1</v>
      </c>
      <c r="K761" s="68">
        <v>0</v>
      </c>
      <c r="L761" s="17" t="s">
        <v>1269</v>
      </c>
      <c r="M761" s="91"/>
      <c r="N761" s="91" t="s">
        <v>198</v>
      </c>
      <c r="O761" s="91" t="s">
        <v>197</v>
      </c>
      <c r="P761" s="91" t="s">
        <v>198</v>
      </c>
      <c r="Q761" s="91"/>
      <c r="R761" s="91" t="s">
        <v>198</v>
      </c>
      <c r="S761" s="91"/>
      <c r="T761" s="91" t="s">
        <v>376</v>
      </c>
      <c r="U761" s="91" t="s">
        <v>269</v>
      </c>
      <c r="V761" s="132" t="s">
        <v>156</v>
      </c>
      <c r="W761" s="132" t="s">
        <v>156</v>
      </c>
    </row>
    <row r="762" spans="1:23" ht="12.75" customHeight="1" thickBot="1">
      <c r="A762" s="30"/>
      <c r="B762" s="36"/>
      <c r="C762" s="94"/>
      <c r="D762" s="68"/>
      <c r="E762" s="68"/>
      <c r="F762" s="68"/>
      <c r="G762" s="68"/>
      <c r="H762" s="68">
        <v>1</v>
      </c>
      <c r="I762" s="68">
        <v>0</v>
      </c>
      <c r="J762" s="68"/>
      <c r="K762" s="68"/>
      <c r="L762" s="17" t="s">
        <v>1272</v>
      </c>
      <c r="M762" s="91" t="s">
        <v>198</v>
      </c>
      <c r="N762" s="91"/>
      <c r="O762" s="91" t="s">
        <v>197</v>
      </c>
      <c r="P762" s="91" t="s">
        <v>198</v>
      </c>
      <c r="Q762" s="91"/>
      <c r="R762" s="91" t="s">
        <v>198</v>
      </c>
      <c r="S762" s="91"/>
      <c r="T762" s="91" t="s">
        <v>376</v>
      </c>
      <c r="U762" s="91" t="s">
        <v>269</v>
      </c>
      <c r="V762" s="132" t="s">
        <v>168</v>
      </c>
      <c r="W762" s="132" t="s">
        <v>168</v>
      </c>
    </row>
    <row r="763" spans="1:23" ht="12.75" customHeight="1" thickBot="1">
      <c r="A763" s="30"/>
      <c r="B763" s="36"/>
      <c r="C763" s="94"/>
      <c r="D763" s="68"/>
      <c r="E763" s="68"/>
      <c r="F763" s="68">
        <v>1</v>
      </c>
      <c r="G763" s="68">
        <v>0</v>
      </c>
      <c r="H763" s="68"/>
      <c r="I763" s="68"/>
      <c r="J763" s="68"/>
      <c r="K763" s="68"/>
      <c r="L763" s="17" t="s">
        <v>1270</v>
      </c>
      <c r="M763" s="91" t="s">
        <v>198</v>
      </c>
      <c r="N763" s="91"/>
      <c r="O763" s="91" t="s">
        <v>197</v>
      </c>
      <c r="P763" s="91" t="s">
        <v>198</v>
      </c>
      <c r="Q763" s="91"/>
      <c r="R763" s="91" t="s">
        <v>198</v>
      </c>
      <c r="S763" s="91"/>
      <c r="T763" s="91" t="s">
        <v>376</v>
      </c>
      <c r="U763" s="91" t="s">
        <v>269</v>
      </c>
      <c r="V763" s="132" t="s">
        <v>168</v>
      </c>
      <c r="W763" s="132" t="s">
        <v>168</v>
      </c>
    </row>
    <row r="764" spans="1:23" ht="12.75" customHeight="1" thickBot="1">
      <c r="A764" s="30"/>
      <c r="B764" s="36"/>
      <c r="C764" s="94"/>
      <c r="D764" s="68">
        <v>1</v>
      </c>
      <c r="E764" s="68">
        <v>0</v>
      </c>
      <c r="F764" s="68"/>
      <c r="G764" s="68"/>
      <c r="H764" s="68"/>
      <c r="I764" s="68"/>
      <c r="J764" s="68"/>
      <c r="K764" s="68"/>
      <c r="L764" s="17" t="s">
        <v>1271</v>
      </c>
      <c r="M764" s="91"/>
      <c r="N764" s="91" t="s">
        <v>198</v>
      </c>
      <c r="O764" s="91" t="s">
        <v>197</v>
      </c>
      <c r="P764" s="91" t="s">
        <v>198</v>
      </c>
      <c r="Q764" s="91"/>
      <c r="R764" s="91" t="s">
        <v>198</v>
      </c>
      <c r="S764" s="91"/>
      <c r="T764" s="91" t="s">
        <v>376</v>
      </c>
      <c r="U764" s="91" t="s">
        <v>269</v>
      </c>
      <c r="V764" s="132" t="s">
        <v>168</v>
      </c>
      <c r="W764" s="132" t="s">
        <v>168</v>
      </c>
    </row>
    <row r="765" spans="1:23" ht="13.5" customHeight="1" thickBot="1">
      <c r="A765" s="101" t="s">
        <v>374</v>
      </c>
      <c r="B765" s="36" t="s">
        <v>514</v>
      </c>
      <c r="C765" s="99" t="s">
        <v>515</v>
      </c>
      <c r="D765" s="290"/>
      <c r="E765" s="290"/>
      <c r="F765" s="290"/>
      <c r="G765" s="290"/>
      <c r="H765" s="290"/>
      <c r="I765" s="290"/>
      <c r="J765" s="290"/>
      <c r="K765" s="290"/>
      <c r="L765" s="34" t="s">
        <v>1369</v>
      </c>
      <c r="M765" s="23"/>
      <c r="N765" s="23"/>
      <c r="O765" s="23" t="s">
        <v>197</v>
      </c>
      <c r="P765" s="23" t="s">
        <v>198</v>
      </c>
      <c r="Q765" s="23">
        <v>61</v>
      </c>
      <c r="R765" s="23" t="s">
        <v>198</v>
      </c>
      <c r="S765" s="33"/>
      <c r="T765" s="33" t="s">
        <v>376</v>
      </c>
      <c r="U765" s="33" t="s">
        <v>269</v>
      </c>
      <c r="V765" s="146"/>
      <c r="W765" s="205"/>
    </row>
    <row r="766" spans="1:23" ht="22.5" customHeight="1" thickBot="1">
      <c r="A766" s="30"/>
      <c r="B766" s="36"/>
      <c r="C766" s="94"/>
      <c r="D766" s="68"/>
      <c r="E766" s="68"/>
      <c r="F766" s="68"/>
      <c r="G766" s="68"/>
      <c r="H766" s="68"/>
      <c r="I766" s="68"/>
      <c r="J766" s="68">
        <v>1</v>
      </c>
      <c r="K766" s="68">
        <v>0</v>
      </c>
      <c r="L766" s="31" t="s">
        <v>1370</v>
      </c>
      <c r="M766" s="91" t="s">
        <v>198</v>
      </c>
      <c r="N766" s="91"/>
      <c r="O766" s="91" t="s">
        <v>197</v>
      </c>
      <c r="P766" s="91" t="s">
        <v>198</v>
      </c>
      <c r="Q766" s="91"/>
      <c r="R766" s="91" t="s">
        <v>198</v>
      </c>
      <c r="S766" s="91"/>
      <c r="T766" s="91" t="s">
        <v>376</v>
      </c>
      <c r="U766" s="91" t="s">
        <v>269</v>
      </c>
      <c r="V766" s="132" t="s">
        <v>164</v>
      </c>
      <c r="W766" s="132" t="s">
        <v>164</v>
      </c>
    </row>
    <row r="767" spans="1:23" ht="22.5" customHeight="1" thickBot="1">
      <c r="A767" s="30"/>
      <c r="B767" s="36"/>
      <c r="C767" s="94"/>
      <c r="D767" s="68"/>
      <c r="E767" s="68"/>
      <c r="F767" s="68"/>
      <c r="G767" s="68"/>
      <c r="H767" s="68"/>
      <c r="I767" s="68">
        <v>0</v>
      </c>
      <c r="J767" s="68"/>
      <c r="K767" s="68"/>
      <c r="L767" s="31" t="s">
        <v>1371</v>
      </c>
      <c r="M767" s="91"/>
      <c r="N767" s="230"/>
      <c r="O767" s="91" t="s">
        <v>197</v>
      </c>
      <c r="P767" s="91" t="s">
        <v>198</v>
      </c>
      <c r="Q767" s="91"/>
      <c r="R767" s="91" t="s">
        <v>198</v>
      </c>
      <c r="S767" s="91"/>
      <c r="T767" s="91" t="s">
        <v>376</v>
      </c>
      <c r="U767" s="91" t="s">
        <v>269</v>
      </c>
      <c r="V767" s="132" t="s">
        <v>159</v>
      </c>
      <c r="W767" s="210" t="s">
        <v>157</v>
      </c>
    </row>
    <row r="768" spans="1:23" ht="12.75" customHeight="1" thickBot="1">
      <c r="A768" s="30"/>
      <c r="B768" s="36"/>
      <c r="C768" s="94"/>
      <c r="D768" s="68"/>
      <c r="E768" s="68"/>
      <c r="F768" s="68"/>
      <c r="G768" s="68"/>
      <c r="H768" s="68">
        <v>0</v>
      </c>
      <c r="I768" s="68"/>
      <c r="J768" s="68"/>
      <c r="K768" s="68"/>
      <c r="L768" s="31" t="s">
        <v>1372</v>
      </c>
      <c r="M768" s="91"/>
      <c r="N768" s="91" t="s">
        <v>198</v>
      </c>
      <c r="O768" s="91" t="s">
        <v>197</v>
      </c>
      <c r="P768" s="91" t="s">
        <v>198</v>
      </c>
      <c r="Q768" s="91"/>
      <c r="R768" s="91" t="s">
        <v>198</v>
      </c>
      <c r="S768" s="91"/>
      <c r="T768" s="91" t="s">
        <v>376</v>
      </c>
      <c r="U768" s="91" t="s">
        <v>269</v>
      </c>
      <c r="V768" s="132" t="s">
        <v>157</v>
      </c>
      <c r="W768" s="132" t="s">
        <v>157</v>
      </c>
    </row>
    <row r="769" spans="1:23" ht="12.75" customHeight="1" thickBot="1">
      <c r="A769" s="30"/>
      <c r="B769" s="36"/>
      <c r="C769" s="94"/>
      <c r="D769" s="68"/>
      <c r="E769" s="68"/>
      <c r="F769" s="68"/>
      <c r="G769" s="68">
        <v>0</v>
      </c>
      <c r="H769" s="68"/>
      <c r="I769" s="68"/>
      <c r="J769" s="68"/>
      <c r="K769" s="68"/>
      <c r="L769" s="31" t="s">
        <v>1373</v>
      </c>
      <c r="M769" s="91"/>
      <c r="N769" s="91" t="s">
        <v>198</v>
      </c>
      <c r="O769" s="91" t="s">
        <v>197</v>
      </c>
      <c r="P769" s="91" t="s">
        <v>198</v>
      </c>
      <c r="Q769" s="91"/>
      <c r="R769" s="91" t="s">
        <v>198</v>
      </c>
      <c r="S769" s="91"/>
      <c r="T769" s="91" t="s">
        <v>376</v>
      </c>
      <c r="U769" s="91" t="s">
        <v>269</v>
      </c>
      <c r="V769" s="132" t="s">
        <v>157</v>
      </c>
      <c r="W769" s="132" t="s">
        <v>157</v>
      </c>
    </row>
    <row r="770" spans="1:23" ht="12.75" customHeight="1" thickBot="1">
      <c r="A770" s="30"/>
      <c r="B770" s="36"/>
      <c r="C770" s="94"/>
      <c r="D770" s="68"/>
      <c r="E770" s="68"/>
      <c r="F770" s="68">
        <v>0</v>
      </c>
      <c r="G770" s="68"/>
      <c r="H770" s="68"/>
      <c r="I770" s="68"/>
      <c r="J770" s="68"/>
      <c r="K770" s="68"/>
      <c r="L770" s="31" t="s">
        <v>1374</v>
      </c>
      <c r="M770" s="91"/>
      <c r="N770" s="91" t="s">
        <v>198</v>
      </c>
      <c r="O770" s="91" t="s">
        <v>197</v>
      </c>
      <c r="P770" s="91" t="s">
        <v>198</v>
      </c>
      <c r="Q770" s="91"/>
      <c r="R770" s="91" t="s">
        <v>198</v>
      </c>
      <c r="S770" s="91"/>
      <c r="T770" s="91" t="s">
        <v>376</v>
      </c>
      <c r="U770" s="91" t="s">
        <v>269</v>
      </c>
      <c r="V770" s="132" t="s">
        <v>157</v>
      </c>
      <c r="W770" s="132" t="s">
        <v>157</v>
      </c>
    </row>
    <row r="771" spans="1:23" ht="12.75" customHeight="1" thickBot="1">
      <c r="A771" s="30"/>
      <c r="B771" s="36"/>
      <c r="C771" s="94"/>
      <c r="D771" s="68"/>
      <c r="E771" s="68">
        <v>0</v>
      </c>
      <c r="F771" s="68"/>
      <c r="G771" s="68"/>
      <c r="H771" s="68"/>
      <c r="I771" s="68"/>
      <c r="J771" s="68"/>
      <c r="K771" s="68"/>
      <c r="L771" s="31" t="s">
        <v>1375</v>
      </c>
      <c r="M771" s="91"/>
      <c r="N771" s="91" t="s">
        <v>198</v>
      </c>
      <c r="O771" s="91" t="s">
        <v>197</v>
      </c>
      <c r="P771" s="91" t="s">
        <v>198</v>
      </c>
      <c r="Q771" s="91"/>
      <c r="R771" s="91" t="s">
        <v>198</v>
      </c>
      <c r="S771" s="91"/>
      <c r="T771" s="91" t="s">
        <v>376</v>
      </c>
      <c r="U771" s="91" t="s">
        <v>269</v>
      </c>
      <c r="V771" s="132" t="s">
        <v>157</v>
      </c>
      <c r="W771" s="132" t="s">
        <v>157</v>
      </c>
    </row>
    <row r="772" spans="1:23" ht="33.75" customHeight="1" thickBot="1">
      <c r="A772" s="30"/>
      <c r="B772" s="36"/>
      <c r="C772" s="94"/>
      <c r="D772" s="68">
        <v>0</v>
      </c>
      <c r="E772" s="68"/>
      <c r="F772" s="68"/>
      <c r="G772" s="68"/>
      <c r="H772" s="68"/>
      <c r="I772" s="68"/>
      <c r="J772" s="68"/>
      <c r="K772" s="68"/>
      <c r="L772" s="31" t="s">
        <v>1376</v>
      </c>
      <c r="M772" s="91"/>
      <c r="N772" s="91" t="s">
        <v>198</v>
      </c>
      <c r="O772" s="91" t="s">
        <v>197</v>
      </c>
      <c r="P772" s="91" t="s">
        <v>198</v>
      </c>
      <c r="Q772" s="91"/>
      <c r="R772" s="91" t="s">
        <v>198</v>
      </c>
      <c r="S772" s="91"/>
      <c r="T772" s="91" t="s">
        <v>376</v>
      </c>
      <c r="U772" s="91" t="s">
        <v>269</v>
      </c>
      <c r="V772" s="132" t="s">
        <v>157</v>
      </c>
      <c r="W772" s="132" t="s">
        <v>157</v>
      </c>
    </row>
    <row r="773" spans="1:23" ht="13.5" customHeight="1" thickBot="1">
      <c r="A773" s="101" t="s">
        <v>374</v>
      </c>
      <c r="B773" s="36" t="s">
        <v>517</v>
      </c>
      <c r="C773" s="99" t="s">
        <v>518</v>
      </c>
      <c r="D773" s="290"/>
      <c r="E773" s="290"/>
      <c r="F773" s="290"/>
      <c r="G773" s="290"/>
      <c r="H773" s="290"/>
      <c r="I773" s="290"/>
      <c r="J773" s="290"/>
      <c r="K773" s="290"/>
      <c r="L773" s="34" t="s">
        <v>1273</v>
      </c>
      <c r="M773" s="33"/>
      <c r="N773" s="33"/>
      <c r="O773" s="33" t="s">
        <v>197</v>
      </c>
      <c r="P773" s="33" t="s">
        <v>198</v>
      </c>
      <c r="Q773" s="33">
        <v>62</v>
      </c>
      <c r="R773" s="33" t="s">
        <v>198</v>
      </c>
      <c r="S773" s="33"/>
      <c r="T773" s="33" t="s">
        <v>376</v>
      </c>
      <c r="U773" s="33" t="s">
        <v>269</v>
      </c>
      <c r="V773" s="146"/>
      <c r="W773" s="205"/>
    </row>
    <row r="774" spans="1:23" ht="12.75" customHeight="1" thickBot="1">
      <c r="A774" s="69"/>
      <c r="B774" s="36"/>
      <c r="C774" s="94"/>
      <c r="D774" s="68"/>
      <c r="E774" s="68"/>
      <c r="F774" s="68"/>
      <c r="G774" s="68"/>
      <c r="H774" s="68">
        <v>3</v>
      </c>
      <c r="I774" s="68">
        <v>2</v>
      </c>
      <c r="J774" s="68">
        <v>1</v>
      </c>
      <c r="K774" s="68">
        <v>0</v>
      </c>
      <c r="L774" s="17" t="s">
        <v>1274</v>
      </c>
      <c r="M774" s="91" t="s">
        <v>198</v>
      </c>
      <c r="N774" s="91"/>
      <c r="O774" s="91" t="s">
        <v>197</v>
      </c>
      <c r="P774" s="91" t="s">
        <v>198</v>
      </c>
      <c r="Q774" s="91"/>
      <c r="R774" s="91" t="s">
        <v>198</v>
      </c>
      <c r="S774" s="91"/>
      <c r="T774" s="91" t="s">
        <v>376</v>
      </c>
      <c r="U774" s="91" t="s">
        <v>269</v>
      </c>
      <c r="V774" s="132" t="s">
        <v>178</v>
      </c>
      <c r="W774" s="132" t="s">
        <v>178</v>
      </c>
    </row>
    <row r="775" spans="1:23" ht="12.75" customHeight="1" thickBot="1">
      <c r="A775" s="30"/>
      <c r="B775" s="36"/>
      <c r="C775" s="94"/>
      <c r="D775" s="68">
        <v>3</v>
      </c>
      <c r="E775" s="68">
        <v>2</v>
      </c>
      <c r="F775" s="68">
        <v>1</v>
      </c>
      <c r="G775" s="68">
        <v>0</v>
      </c>
      <c r="H775" s="68"/>
      <c r="I775" s="68"/>
      <c r="J775" s="68"/>
      <c r="K775" s="68"/>
      <c r="L775" s="17" t="s">
        <v>1275</v>
      </c>
      <c r="M775" s="91" t="s">
        <v>198</v>
      </c>
      <c r="N775" s="91"/>
      <c r="O775" s="91" t="s">
        <v>197</v>
      </c>
      <c r="P775" s="91" t="s">
        <v>198</v>
      </c>
      <c r="Q775" s="91"/>
      <c r="R775" s="91" t="s">
        <v>198</v>
      </c>
      <c r="S775" s="91"/>
      <c r="T775" s="91" t="s">
        <v>376</v>
      </c>
      <c r="U775" s="91" t="s">
        <v>269</v>
      </c>
      <c r="V775" s="132" t="s">
        <v>178</v>
      </c>
      <c r="W775" s="132" t="s">
        <v>178</v>
      </c>
    </row>
    <row r="776" spans="1:23" ht="13.5" customHeight="1" thickBot="1">
      <c r="A776" s="101" t="s">
        <v>374</v>
      </c>
      <c r="B776" s="36" t="s">
        <v>521</v>
      </c>
      <c r="C776" s="99" t="s">
        <v>522</v>
      </c>
      <c r="D776" s="290"/>
      <c r="E776" s="290"/>
      <c r="F776" s="290"/>
      <c r="G776" s="290"/>
      <c r="H776" s="290"/>
      <c r="I776" s="290"/>
      <c r="J776" s="290"/>
      <c r="K776" s="290"/>
      <c r="L776" s="34" t="s">
        <v>1276</v>
      </c>
      <c r="M776" s="33"/>
      <c r="N776" s="33"/>
      <c r="O776" s="33" t="s">
        <v>197</v>
      </c>
      <c r="P776" s="33" t="s">
        <v>198</v>
      </c>
      <c r="Q776" s="33">
        <v>63</v>
      </c>
      <c r="R776" s="33" t="s">
        <v>198</v>
      </c>
      <c r="S776" s="33"/>
      <c r="T776" s="33" t="s">
        <v>376</v>
      </c>
      <c r="U776" s="33" t="s">
        <v>269</v>
      </c>
      <c r="V776" s="146"/>
      <c r="W776" s="205"/>
    </row>
    <row r="777" spans="1:23" ht="12.75" customHeight="1" thickBot="1">
      <c r="A777" s="69"/>
      <c r="B777" s="36"/>
      <c r="C777" s="94"/>
      <c r="D777" s="68"/>
      <c r="E777" s="68"/>
      <c r="F777" s="68"/>
      <c r="G777" s="68"/>
      <c r="H777" s="68">
        <v>3</v>
      </c>
      <c r="I777" s="68">
        <v>2</v>
      </c>
      <c r="J777" s="68">
        <v>1</v>
      </c>
      <c r="K777" s="68">
        <v>0</v>
      </c>
      <c r="L777" s="17" t="s">
        <v>1277</v>
      </c>
      <c r="M777" s="91" t="s">
        <v>198</v>
      </c>
      <c r="N777" s="91"/>
      <c r="O777" s="91" t="s">
        <v>197</v>
      </c>
      <c r="P777" s="91" t="s">
        <v>198</v>
      </c>
      <c r="Q777" s="91"/>
      <c r="R777" s="91" t="s">
        <v>198</v>
      </c>
      <c r="S777" s="91"/>
      <c r="T777" s="91" t="s">
        <v>376</v>
      </c>
      <c r="U777" s="91" t="s">
        <v>269</v>
      </c>
      <c r="V777" s="132" t="s">
        <v>178</v>
      </c>
      <c r="W777" s="132" t="s">
        <v>178</v>
      </c>
    </row>
    <row r="778" spans="1:23" ht="12.75" customHeight="1" thickBot="1">
      <c r="A778" s="30"/>
      <c r="B778" s="36"/>
      <c r="C778" s="94"/>
      <c r="D778" s="68">
        <v>3</v>
      </c>
      <c r="E778" s="68">
        <v>2</v>
      </c>
      <c r="F778" s="68">
        <v>1</v>
      </c>
      <c r="G778" s="68">
        <v>0</v>
      </c>
      <c r="H778" s="68"/>
      <c r="I778" s="68"/>
      <c r="J778" s="68"/>
      <c r="K778" s="68"/>
      <c r="L778" s="17" t="s">
        <v>1278</v>
      </c>
      <c r="M778" s="91" t="s">
        <v>198</v>
      </c>
      <c r="N778" s="91"/>
      <c r="O778" s="91" t="s">
        <v>197</v>
      </c>
      <c r="P778" s="91" t="s">
        <v>198</v>
      </c>
      <c r="Q778" s="91"/>
      <c r="R778" s="91" t="s">
        <v>198</v>
      </c>
      <c r="S778" s="91"/>
      <c r="T778" s="91" t="s">
        <v>376</v>
      </c>
      <c r="U778" s="91" t="s">
        <v>269</v>
      </c>
      <c r="V778" s="132" t="s">
        <v>178</v>
      </c>
      <c r="W778" s="132" t="s">
        <v>178</v>
      </c>
    </row>
    <row r="779" spans="1:23" ht="13.5" customHeight="1" thickBot="1">
      <c r="A779" s="101" t="s">
        <v>374</v>
      </c>
      <c r="B779" s="36" t="s">
        <v>525</v>
      </c>
      <c r="C779" s="99" t="s">
        <v>526</v>
      </c>
      <c r="D779" s="290"/>
      <c r="E779" s="290"/>
      <c r="F779" s="290"/>
      <c r="G779" s="290"/>
      <c r="H779" s="290"/>
      <c r="I779" s="290"/>
      <c r="J779" s="290"/>
      <c r="K779" s="290"/>
      <c r="L779" s="34" t="s">
        <v>1279</v>
      </c>
      <c r="M779" s="23"/>
      <c r="N779" s="23"/>
      <c r="O779" s="23" t="s">
        <v>197</v>
      </c>
      <c r="P779" s="23" t="s">
        <v>198</v>
      </c>
      <c r="Q779" s="23">
        <v>64</v>
      </c>
      <c r="R779" s="23" t="s">
        <v>198</v>
      </c>
      <c r="S779" s="33"/>
      <c r="T779" s="33" t="s">
        <v>376</v>
      </c>
      <c r="U779" s="33" t="s">
        <v>269</v>
      </c>
      <c r="V779" s="146"/>
      <c r="W779" s="205"/>
    </row>
    <row r="780" spans="1:23" ht="12.75" customHeight="1" thickBot="1">
      <c r="A780" s="69"/>
      <c r="B780" s="36"/>
      <c r="C780" s="94"/>
      <c r="D780" s="68"/>
      <c r="E780" s="68"/>
      <c r="F780" s="68"/>
      <c r="G780" s="68"/>
      <c r="H780" s="68"/>
      <c r="I780" s="68"/>
      <c r="J780" s="68">
        <v>1</v>
      </c>
      <c r="K780" s="68">
        <v>0</v>
      </c>
      <c r="L780" s="17" t="s">
        <v>1280</v>
      </c>
      <c r="M780" s="91"/>
      <c r="N780" s="91" t="s">
        <v>198</v>
      </c>
      <c r="O780" s="91" t="s">
        <v>197</v>
      </c>
      <c r="P780" s="91" t="s">
        <v>198</v>
      </c>
      <c r="Q780" s="91"/>
      <c r="R780" s="91" t="s">
        <v>198</v>
      </c>
      <c r="S780" s="91"/>
      <c r="T780" s="91" t="s">
        <v>376</v>
      </c>
      <c r="U780" s="91" t="s">
        <v>269</v>
      </c>
      <c r="V780" s="132" t="s">
        <v>156</v>
      </c>
      <c r="W780" s="132" t="s">
        <v>156</v>
      </c>
    </row>
    <row r="781" spans="1:23" ht="12.75" customHeight="1" thickBot="1">
      <c r="A781" s="30"/>
      <c r="B781" s="36"/>
      <c r="C781" s="94"/>
      <c r="D781" s="68"/>
      <c r="E781" s="68"/>
      <c r="F781" s="68"/>
      <c r="G781" s="68"/>
      <c r="H781" s="68">
        <v>1</v>
      </c>
      <c r="I781" s="68">
        <v>0</v>
      </c>
      <c r="J781" s="68"/>
      <c r="K781" s="68"/>
      <c r="L781" s="17" t="s">
        <v>1281</v>
      </c>
      <c r="M781" s="91" t="s">
        <v>198</v>
      </c>
      <c r="N781" s="91"/>
      <c r="O781" s="91" t="s">
        <v>197</v>
      </c>
      <c r="P781" s="91" t="s">
        <v>198</v>
      </c>
      <c r="Q781" s="91"/>
      <c r="R781" s="91" t="s">
        <v>198</v>
      </c>
      <c r="S781" s="91"/>
      <c r="T781" s="91" t="s">
        <v>376</v>
      </c>
      <c r="U781" s="91" t="s">
        <v>269</v>
      </c>
      <c r="V781" s="132" t="s">
        <v>168</v>
      </c>
      <c r="W781" s="132" t="s">
        <v>168</v>
      </c>
    </row>
    <row r="782" spans="1:23" ht="12.75" customHeight="1" thickBot="1">
      <c r="A782" s="30"/>
      <c r="B782" s="36"/>
      <c r="C782" s="94"/>
      <c r="D782" s="68"/>
      <c r="E782" s="68"/>
      <c r="F782" s="68">
        <v>1</v>
      </c>
      <c r="G782" s="68">
        <v>0</v>
      </c>
      <c r="H782" s="68"/>
      <c r="I782" s="68"/>
      <c r="J782" s="68"/>
      <c r="K782" s="68"/>
      <c r="L782" s="17" t="s">
        <v>1282</v>
      </c>
      <c r="M782" s="91" t="s">
        <v>198</v>
      </c>
      <c r="N782" s="91"/>
      <c r="O782" s="91" t="s">
        <v>197</v>
      </c>
      <c r="P782" s="91" t="s">
        <v>198</v>
      </c>
      <c r="Q782" s="91"/>
      <c r="R782" s="91" t="s">
        <v>198</v>
      </c>
      <c r="S782" s="91"/>
      <c r="T782" s="91" t="s">
        <v>376</v>
      </c>
      <c r="U782" s="91" t="s">
        <v>269</v>
      </c>
      <c r="V782" s="132" t="s">
        <v>168</v>
      </c>
      <c r="W782" s="132" t="s">
        <v>168</v>
      </c>
    </row>
    <row r="783" spans="1:23" ht="12.75" customHeight="1" thickBot="1">
      <c r="A783" s="30"/>
      <c r="B783" s="36"/>
      <c r="C783" s="94"/>
      <c r="D783" s="68">
        <v>1</v>
      </c>
      <c r="E783" s="68">
        <v>0</v>
      </c>
      <c r="F783" s="68"/>
      <c r="G783" s="68"/>
      <c r="H783" s="68"/>
      <c r="I783" s="68"/>
      <c r="J783" s="68"/>
      <c r="K783" s="68"/>
      <c r="L783" s="17" t="s">
        <v>1283</v>
      </c>
      <c r="M783" s="91"/>
      <c r="N783" s="91" t="s">
        <v>198</v>
      </c>
      <c r="O783" s="91" t="s">
        <v>197</v>
      </c>
      <c r="P783" s="91" t="s">
        <v>198</v>
      </c>
      <c r="Q783" s="91"/>
      <c r="R783" s="91" t="s">
        <v>198</v>
      </c>
      <c r="S783" s="91"/>
      <c r="T783" s="91" t="s">
        <v>376</v>
      </c>
      <c r="U783" s="91" t="s">
        <v>269</v>
      </c>
      <c r="V783" s="132" t="s">
        <v>168</v>
      </c>
      <c r="W783" s="132" t="s">
        <v>168</v>
      </c>
    </row>
    <row r="784" spans="1:23" ht="13.5" customHeight="1" thickBot="1">
      <c r="A784" s="101" t="s">
        <v>374</v>
      </c>
      <c r="B784" s="36" t="s">
        <v>529</v>
      </c>
      <c r="C784" s="99" t="s">
        <v>530</v>
      </c>
      <c r="D784" s="290"/>
      <c r="E784" s="290"/>
      <c r="F784" s="290"/>
      <c r="G784" s="290"/>
      <c r="H784" s="290"/>
      <c r="I784" s="290"/>
      <c r="J784" s="290"/>
      <c r="K784" s="290"/>
      <c r="L784" s="24" t="s">
        <v>1353</v>
      </c>
      <c r="M784" s="23"/>
      <c r="N784" s="23"/>
      <c r="O784" s="23" t="s">
        <v>197</v>
      </c>
      <c r="P784" s="23" t="s">
        <v>198</v>
      </c>
      <c r="Q784" s="23">
        <v>65</v>
      </c>
      <c r="R784" s="23" t="s">
        <v>198</v>
      </c>
      <c r="S784" s="33"/>
      <c r="T784" s="33" t="s">
        <v>376</v>
      </c>
      <c r="U784" s="33" t="s">
        <v>269</v>
      </c>
      <c r="V784" s="146"/>
      <c r="W784" s="205"/>
    </row>
    <row r="785" spans="1:23" ht="22.5" customHeight="1" thickBot="1">
      <c r="A785" s="30"/>
      <c r="B785" s="36"/>
      <c r="C785" s="94"/>
      <c r="D785" s="68"/>
      <c r="E785" s="68"/>
      <c r="F785" s="68"/>
      <c r="G785" s="68"/>
      <c r="H785" s="68"/>
      <c r="I785" s="68"/>
      <c r="J785" s="68">
        <v>1</v>
      </c>
      <c r="K785" s="68">
        <v>0</v>
      </c>
      <c r="L785" s="15" t="s">
        <v>1354</v>
      </c>
      <c r="M785" s="91" t="s">
        <v>198</v>
      </c>
      <c r="N785" s="91"/>
      <c r="O785" s="91" t="s">
        <v>197</v>
      </c>
      <c r="P785" s="91" t="s">
        <v>198</v>
      </c>
      <c r="Q785" s="91"/>
      <c r="R785" s="91" t="s">
        <v>198</v>
      </c>
      <c r="S785" s="91"/>
      <c r="T785" s="91" t="s">
        <v>376</v>
      </c>
      <c r="U785" s="91" t="s">
        <v>269</v>
      </c>
      <c r="V785" s="132" t="s">
        <v>164</v>
      </c>
      <c r="W785" s="132" t="s">
        <v>164</v>
      </c>
    </row>
    <row r="786" spans="1:23" ht="22.5" customHeight="1" thickBot="1">
      <c r="A786" s="30"/>
      <c r="B786" s="36"/>
      <c r="C786" s="94"/>
      <c r="D786" s="68"/>
      <c r="E786" s="68"/>
      <c r="F786" s="68"/>
      <c r="G786" s="68"/>
      <c r="H786" s="68"/>
      <c r="I786" s="68">
        <v>0</v>
      </c>
      <c r="J786" s="68"/>
      <c r="K786" s="68"/>
      <c r="L786" s="14" t="s">
        <v>1355</v>
      </c>
      <c r="M786" s="91"/>
      <c r="N786" s="230"/>
      <c r="O786" s="91" t="s">
        <v>197</v>
      </c>
      <c r="P786" s="91" t="s">
        <v>198</v>
      </c>
      <c r="Q786" s="91"/>
      <c r="R786" s="91" t="s">
        <v>198</v>
      </c>
      <c r="S786" s="91"/>
      <c r="T786" s="91" t="s">
        <v>376</v>
      </c>
      <c r="U786" s="91" t="s">
        <v>269</v>
      </c>
      <c r="V786" s="132" t="s">
        <v>159</v>
      </c>
      <c r="W786" s="210" t="s">
        <v>157</v>
      </c>
    </row>
    <row r="787" spans="1:23" ht="12.75" customHeight="1" thickBot="1">
      <c r="A787" s="30"/>
      <c r="B787" s="36"/>
      <c r="C787" s="94"/>
      <c r="D787" s="68"/>
      <c r="E787" s="68"/>
      <c r="F787" s="68"/>
      <c r="G787" s="68"/>
      <c r="H787" s="68">
        <v>0</v>
      </c>
      <c r="I787" s="68"/>
      <c r="J787" s="68"/>
      <c r="K787" s="68"/>
      <c r="L787" s="14" t="s">
        <v>1356</v>
      </c>
      <c r="M787" s="91"/>
      <c r="N787" s="91" t="s">
        <v>198</v>
      </c>
      <c r="O787" s="91" t="s">
        <v>197</v>
      </c>
      <c r="P787" s="91" t="s">
        <v>198</v>
      </c>
      <c r="Q787" s="91"/>
      <c r="R787" s="91" t="s">
        <v>198</v>
      </c>
      <c r="S787" s="91"/>
      <c r="T787" s="91" t="s">
        <v>376</v>
      </c>
      <c r="U787" s="91" t="s">
        <v>269</v>
      </c>
      <c r="V787" s="132" t="s">
        <v>157</v>
      </c>
      <c r="W787" s="132" t="s">
        <v>157</v>
      </c>
    </row>
    <row r="788" spans="1:23" ht="12.75" customHeight="1" thickBot="1">
      <c r="A788" s="30"/>
      <c r="B788" s="36"/>
      <c r="C788" s="94"/>
      <c r="D788" s="68"/>
      <c r="E788" s="68"/>
      <c r="F788" s="68"/>
      <c r="G788" s="68">
        <v>0</v>
      </c>
      <c r="H788" s="68"/>
      <c r="I788" s="68"/>
      <c r="J788" s="68"/>
      <c r="K788" s="68"/>
      <c r="L788" s="14" t="s">
        <v>1357</v>
      </c>
      <c r="M788" s="91"/>
      <c r="N788" s="91" t="s">
        <v>198</v>
      </c>
      <c r="O788" s="91" t="s">
        <v>197</v>
      </c>
      <c r="P788" s="91" t="s">
        <v>198</v>
      </c>
      <c r="Q788" s="91"/>
      <c r="R788" s="91" t="s">
        <v>198</v>
      </c>
      <c r="S788" s="91"/>
      <c r="T788" s="91" t="s">
        <v>376</v>
      </c>
      <c r="U788" s="91" t="s">
        <v>269</v>
      </c>
      <c r="V788" s="132" t="s">
        <v>157</v>
      </c>
      <c r="W788" s="132" t="s">
        <v>157</v>
      </c>
    </row>
    <row r="789" spans="1:23" ht="12.75" customHeight="1" thickBot="1">
      <c r="A789" s="30"/>
      <c r="B789" s="36"/>
      <c r="C789" s="94"/>
      <c r="D789" s="68"/>
      <c r="E789" s="68"/>
      <c r="F789" s="68">
        <v>0</v>
      </c>
      <c r="G789" s="68"/>
      <c r="H789" s="68"/>
      <c r="I789" s="68"/>
      <c r="J789" s="68"/>
      <c r="K789" s="68"/>
      <c r="L789" s="14" t="s">
        <v>1358</v>
      </c>
      <c r="M789" s="91"/>
      <c r="N789" s="91" t="s">
        <v>198</v>
      </c>
      <c r="O789" s="91" t="s">
        <v>197</v>
      </c>
      <c r="P789" s="91" t="s">
        <v>198</v>
      </c>
      <c r="Q789" s="91"/>
      <c r="R789" s="91" t="s">
        <v>198</v>
      </c>
      <c r="S789" s="91"/>
      <c r="T789" s="91" t="s">
        <v>376</v>
      </c>
      <c r="U789" s="91" t="s">
        <v>269</v>
      </c>
      <c r="V789" s="132" t="s">
        <v>159</v>
      </c>
      <c r="W789" s="132" t="s">
        <v>159</v>
      </c>
    </row>
    <row r="790" spans="1:23" ht="12.75" customHeight="1" thickBot="1">
      <c r="A790" s="30"/>
      <c r="B790" s="36"/>
      <c r="C790" s="94"/>
      <c r="D790" s="68"/>
      <c r="E790" s="68">
        <v>0</v>
      </c>
      <c r="F790" s="68"/>
      <c r="G790" s="68"/>
      <c r="H790" s="68"/>
      <c r="I790" s="68"/>
      <c r="J790" s="68"/>
      <c r="K790" s="68"/>
      <c r="L790" s="14" t="s">
        <v>1359</v>
      </c>
      <c r="M790" s="91"/>
      <c r="N790" s="91" t="s">
        <v>198</v>
      </c>
      <c r="O790" s="91" t="s">
        <v>197</v>
      </c>
      <c r="P790" s="91" t="s">
        <v>198</v>
      </c>
      <c r="Q790" s="91"/>
      <c r="R790" s="91" t="s">
        <v>198</v>
      </c>
      <c r="S790" s="91"/>
      <c r="T790" s="91" t="s">
        <v>376</v>
      </c>
      <c r="U790" s="91" t="s">
        <v>269</v>
      </c>
      <c r="V790" s="132" t="s">
        <v>157</v>
      </c>
      <c r="W790" s="132" t="s">
        <v>157</v>
      </c>
    </row>
    <row r="791" spans="1:23" ht="33.75" customHeight="1" thickBot="1">
      <c r="A791" s="30"/>
      <c r="B791" s="36"/>
      <c r="C791" s="94"/>
      <c r="D791" s="68">
        <v>0</v>
      </c>
      <c r="E791" s="68"/>
      <c r="F791" s="68"/>
      <c r="G791" s="68"/>
      <c r="H791" s="68"/>
      <c r="I791" s="68"/>
      <c r="J791" s="68"/>
      <c r="K791" s="68"/>
      <c r="L791" s="14" t="s">
        <v>1360</v>
      </c>
      <c r="M791" s="91"/>
      <c r="N791" s="91" t="s">
        <v>198</v>
      </c>
      <c r="O791" s="91" t="s">
        <v>197</v>
      </c>
      <c r="P791" s="91" t="s">
        <v>198</v>
      </c>
      <c r="Q791" s="91"/>
      <c r="R791" s="91" t="s">
        <v>198</v>
      </c>
      <c r="S791" s="91"/>
      <c r="T791" s="91" t="s">
        <v>376</v>
      </c>
      <c r="U791" s="91" t="s">
        <v>269</v>
      </c>
      <c r="V791" s="132" t="s">
        <v>157</v>
      </c>
      <c r="W791" s="132" t="s">
        <v>157</v>
      </c>
    </row>
    <row r="792" spans="1:23" ht="13.5" customHeight="1" thickBot="1">
      <c r="A792" s="101" t="s">
        <v>374</v>
      </c>
      <c r="B792" s="36" t="s">
        <v>532</v>
      </c>
      <c r="C792" s="99" t="s">
        <v>533</v>
      </c>
      <c r="D792" s="290"/>
      <c r="E792" s="290"/>
      <c r="F792" s="290"/>
      <c r="G792" s="290"/>
      <c r="H792" s="290"/>
      <c r="I792" s="290"/>
      <c r="J792" s="290"/>
      <c r="K792" s="290"/>
      <c r="L792" s="34" t="s">
        <v>1284</v>
      </c>
      <c r="M792" s="33"/>
      <c r="N792" s="33"/>
      <c r="O792" s="33" t="s">
        <v>197</v>
      </c>
      <c r="P792" s="33" t="s">
        <v>198</v>
      </c>
      <c r="Q792" s="33">
        <v>66</v>
      </c>
      <c r="R792" s="33" t="s">
        <v>198</v>
      </c>
      <c r="S792" s="33"/>
      <c r="T792" s="33" t="s">
        <v>376</v>
      </c>
      <c r="U792" s="33" t="s">
        <v>269</v>
      </c>
      <c r="V792" s="146"/>
      <c r="W792" s="205"/>
    </row>
    <row r="793" spans="1:23" ht="12.75" customHeight="1" thickBot="1">
      <c r="A793" s="69"/>
      <c r="B793" s="36"/>
      <c r="C793" s="94"/>
      <c r="D793" s="68"/>
      <c r="E793" s="68"/>
      <c r="F793" s="68"/>
      <c r="G793" s="68"/>
      <c r="H793" s="68">
        <v>3</v>
      </c>
      <c r="I793" s="68">
        <v>2</v>
      </c>
      <c r="J793" s="68">
        <v>1</v>
      </c>
      <c r="K793" s="68">
        <v>0</v>
      </c>
      <c r="L793" s="17" t="s">
        <v>1285</v>
      </c>
      <c r="M793" s="91" t="s">
        <v>198</v>
      </c>
      <c r="N793" s="91"/>
      <c r="O793" s="91" t="s">
        <v>197</v>
      </c>
      <c r="P793" s="91" t="s">
        <v>198</v>
      </c>
      <c r="Q793" s="91"/>
      <c r="R793" s="91" t="s">
        <v>198</v>
      </c>
      <c r="S793" s="91"/>
      <c r="T793" s="91" t="s">
        <v>376</v>
      </c>
      <c r="U793" s="91" t="s">
        <v>269</v>
      </c>
      <c r="V793" s="132" t="s">
        <v>178</v>
      </c>
      <c r="W793" s="132" t="s">
        <v>178</v>
      </c>
    </row>
    <row r="794" spans="1:23" ht="12.75" customHeight="1" thickBot="1">
      <c r="A794" s="30"/>
      <c r="B794" s="36"/>
      <c r="C794" s="94"/>
      <c r="D794" s="68">
        <v>3</v>
      </c>
      <c r="E794" s="68">
        <v>2</v>
      </c>
      <c r="F794" s="68">
        <v>1</v>
      </c>
      <c r="G794" s="68">
        <v>0</v>
      </c>
      <c r="H794" s="68"/>
      <c r="I794" s="68"/>
      <c r="J794" s="68"/>
      <c r="K794" s="68"/>
      <c r="L794" s="17" t="s">
        <v>1286</v>
      </c>
      <c r="M794" s="91" t="s">
        <v>198</v>
      </c>
      <c r="N794" s="91"/>
      <c r="O794" s="91" t="s">
        <v>197</v>
      </c>
      <c r="P794" s="91" t="s">
        <v>198</v>
      </c>
      <c r="Q794" s="91"/>
      <c r="R794" s="91" t="s">
        <v>198</v>
      </c>
      <c r="S794" s="91"/>
      <c r="T794" s="91" t="s">
        <v>376</v>
      </c>
      <c r="U794" s="91" t="s">
        <v>269</v>
      </c>
      <c r="V794" s="132" t="s">
        <v>178</v>
      </c>
      <c r="W794" s="132" t="s">
        <v>178</v>
      </c>
    </row>
    <row r="795" spans="1:23" ht="13.5" customHeight="1" thickBot="1">
      <c r="A795" s="101" t="s">
        <v>374</v>
      </c>
      <c r="B795" s="36" t="s">
        <v>536</v>
      </c>
      <c r="C795" s="99" t="s">
        <v>537</v>
      </c>
      <c r="D795" s="290"/>
      <c r="E795" s="290"/>
      <c r="F795" s="290"/>
      <c r="G795" s="290"/>
      <c r="H795" s="290"/>
      <c r="I795" s="290"/>
      <c r="J795" s="290"/>
      <c r="K795" s="290"/>
      <c r="L795" s="34" t="s">
        <v>1293</v>
      </c>
      <c r="M795" s="33"/>
      <c r="N795" s="33"/>
      <c r="O795" s="33" t="s">
        <v>197</v>
      </c>
      <c r="P795" s="33" t="s">
        <v>198</v>
      </c>
      <c r="Q795" s="33">
        <v>67</v>
      </c>
      <c r="R795" s="33" t="s">
        <v>198</v>
      </c>
      <c r="S795" s="33"/>
      <c r="T795" s="33" t="s">
        <v>376</v>
      </c>
      <c r="U795" s="33" t="s">
        <v>269</v>
      </c>
      <c r="V795" s="146"/>
      <c r="W795" s="205"/>
    </row>
    <row r="796" spans="1:23" ht="12.75" customHeight="1" thickBot="1">
      <c r="A796" s="69"/>
      <c r="B796" s="36"/>
      <c r="C796" s="94"/>
      <c r="D796" s="68"/>
      <c r="E796" s="68"/>
      <c r="F796" s="68"/>
      <c r="G796" s="68"/>
      <c r="H796" s="68">
        <v>3</v>
      </c>
      <c r="I796" s="68">
        <v>2</v>
      </c>
      <c r="J796" s="68">
        <v>1</v>
      </c>
      <c r="K796" s="68">
        <v>0</v>
      </c>
      <c r="L796" s="17" t="s">
        <v>1294</v>
      </c>
      <c r="M796" s="91" t="s">
        <v>198</v>
      </c>
      <c r="N796" s="91"/>
      <c r="O796" s="91" t="s">
        <v>197</v>
      </c>
      <c r="P796" s="91" t="s">
        <v>198</v>
      </c>
      <c r="Q796" s="91"/>
      <c r="R796" s="91" t="s">
        <v>198</v>
      </c>
      <c r="S796" s="91"/>
      <c r="T796" s="91" t="s">
        <v>376</v>
      </c>
      <c r="U796" s="91" t="s">
        <v>269</v>
      </c>
      <c r="V796" s="132" t="s">
        <v>178</v>
      </c>
      <c r="W796" s="132" t="s">
        <v>178</v>
      </c>
    </row>
    <row r="797" spans="1:23" ht="12.75" customHeight="1" thickBot="1">
      <c r="A797" s="30"/>
      <c r="B797" s="36"/>
      <c r="C797" s="94"/>
      <c r="D797" s="68">
        <v>3</v>
      </c>
      <c r="E797" s="68">
        <v>2</v>
      </c>
      <c r="F797" s="68">
        <v>1</v>
      </c>
      <c r="G797" s="68">
        <v>0</v>
      </c>
      <c r="H797" s="68"/>
      <c r="I797" s="68"/>
      <c r="J797" s="68"/>
      <c r="K797" s="68"/>
      <c r="L797" s="17" t="s">
        <v>1295</v>
      </c>
      <c r="M797" s="91" t="s">
        <v>198</v>
      </c>
      <c r="N797" s="91"/>
      <c r="O797" s="91" t="s">
        <v>197</v>
      </c>
      <c r="P797" s="91" t="s">
        <v>198</v>
      </c>
      <c r="Q797" s="91"/>
      <c r="R797" s="91" t="s">
        <v>198</v>
      </c>
      <c r="S797" s="91"/>
      <c r="T797" s="91" t="s">
        <v>376</v>
      </c>
      <c r="U797" s="91" t="s">
        <v>269</v>
      </c>
      <c r="V797" s="132" t="s">
        <v>178</v>
      </c>
      <c r="W797" s="132" t="s">
        <v>178</v>
      </c>
    </row>
    <row r="798" spans="1:23" ht="13.5" customHeight="1" thickBot="1">
      <c r="A798" s="101" t="s">
        <v>374</v>
      </c>
      <c r="B798" s="36" t="s">
        <v>540</v>
      </c>
      <c r="C798" s="99" t="s">
        <v>541</v>
      </c>
      <c r="D798" s="290"/>
      <c r="E798" s="290"/>
      <c r="F798" s="290"/>
      <c r="G798" s="290"/>
      <c r="H798" s="290"/>
      <c r="I798" s="290"/>
      <c r="J798" s="290"/>
      <c r="K798" s="290"/>
      <c r="L798" s="34" t="s">
        <v>1296</v>
      </c>
      <c r="M798" s="23"/>
      <c r="N798" s="23"/>
      <c r="O798" s="23" t="s">
        <v>197</v>
      </c>
      <c r="P798" s="23" t="s">
        <v>198</v>
      </c>
      <c r="Q798" s="23">
        <v>68</v>
      </c>
      <c r="R798" s="23" t="s">
        <v>198</v>
      </c>
      <c r="S798" s="33"/>
      <c r="T798" s="33" t="s">
        <v>376</v>
      </c>
      <c r="U798" s="33" t="s">
        <v>269</v>
      </c>
      <c r="V798" s="146"/>
      <c r="W798" s="205"/>
    </row>
    <row r="799" spans="1:23" ht="12.75" customHeight="1" thickBot="1">
      <c r="A799" s="69"/>
      <c r="B799" s="36"/>
      <c r="C799" s="94"/>
      <c r="D799" s="68"/>
      <c r="E799" s="68"/>
      <c r="F799" s="68"/>
      <c r="G799" s="68"/>
      <c r="H799" s="68"/>
      <c r="I799" s="68"/>
      <c r="J799" s="68">
        <v>1</v>
      </c>
      <c r="K799" s="68">
        <v>0</v>
      </c>
      <c r="L799" s="17" t="s">
        <v>1297</v>
      </c>
      <c r="M799" s="91"/>
      <c r="N799" s="91" t="s">
        <v>198</v>
      </c>
      <c r="O799" s="91" t="s">
        <v>197</v>
      </c>
      <c r="P799" s="91" t="s">
        <v>198</v>
      </c>
      <c r="Q799" s="91"/>
      <c r="R799" s="91" t="s">
        <v>198</v>
      </c>
      <c r="S799" s="91"/>
      <c r="T799" s="91" t="s">
        <v>376</v>
      </c>
      <c r="U799" s="91" t="s">
        <v>269</v>
      </c>
      <c r="V799" s="132" t="s">
        <v>156</v>
      </c>
      <c r="W799" s="132" t="s">
        <v>156</v>
      </c>
    </row>
    <row r="800" spans="1:23" ht="12.75" customHeight="1" thickBot="1">
      <c r="A800" s="30"/>
      <c r="B800" s="36"/>
      <c r="C800" s="94"/>
      <c r="D800" s="68"/>
      <c r="E800" s="68"/>
      <c r="F800" s="68"/>
      <c r="G800" s="68"/>
      <c r="H800" s="68">
        <v>1</v>
      </c>
      <c r="I800" s="68">
        <v>0</v>
      </c>
      <c r="J800" s="68"/>
      <c r="K800" s="68"/>
      <c r="L800" s="17" t="s">
        <v>1298</v>
      </c>
      <c r="M800" s="91" t="s">
        <v>198</v>
      </c>
      <c r="N800" s="91"/>
      <c r="O800" s="91" t="s">
        <v>197</v>
      </c>
      <c r="P800" s="91" t="s">
        <v>198</v>
      </c>
      <c r="Q800" s="91"/>
      <c r="R800" s="91" t="s">
        <v>198</v>
      </c>
      <c r="S800" s="91"/>
      <c r="T800" s="91" t="s">
        <v>376</v>
      </c>
      <c r="U800" s="91" t="s">
        <v>269</v>
      </c>
      <c r="V800" s="132" t="s">
        <v>168</v>
      </c>
      <c r="W800" s="132" t="s">
        <v>168</v>
      </c>
    </row>
    <row r="801" spans="1:23" ht="12.75" customHeight="1" thickBot="1">
      <c r="A801" s="30"/>
      <c r="B801" s="36"/>
      <c r="C801" s="94"/>
      <c r="D801" s="68"/>
      <c r="E801" s="68"/>
      <c r="F801" s="68">
        <v>1</v>
      </c>
      <c r="G801" s="68">
        <v>0</v>
      </c>
      <c r="H801" s="68"/>
      <c r="I801" s="68"/>
      <c r="J801" s="68"/>
      <c r="K801" s="68"/>
      <c r="L801" s="17" t="s">
        <v>1299</v>
      </c>
      <c r="M801" s="91" t="s">
        <v>198</v>
      </c>
      <c r="N801" s="91"/>
      <c r="O801" s="91" t="s">
        <v>197</v>
      </c>
      <c r="P801" s="91" t="s">
        <v>198</v>
      </c>
      <c r="Q801" s="91"/>
      <c r="R801" s="91" t="s">
        <v>198</v>
      </c>
      <c r="S801" s="91"/>
      <c r="T801" s="91" t="s">
        <v>376</v>
      </c>
      <c r="U801" s="91" t="s">
        <v>269</v>
      </c>
      <c r="V801" s="132" t="s">
        <v>168</v>
      </c>
      <c r="W801" s="132" t="s">
        <v>168</v>
      </c>
    </row>
    <row r="802" spans="1:23" ht="12.75" customHeight="1" thickBot="1">
      <c r="A802" s="30"/>
      <c r="B802" s="36"/>
      <c r="C802" s="94"/>
      <c r="D802" s="68">
        <v>1</v>
      </c>
      <c r="E802" s="68">
        <v>0</v>
      </c>
      <c r="F802" s="68"/>
      <c r="G802" s="68"/>
      <c r="H802" s="68"/>
      <c r="I802" s="68"/>
      <c r="J802" s="68"/>
      <c r="K802" s="68"/>
      <c r="L802" s="17" t="s">
        <v>1300</v>
      </c>
      <c r="M802" s="91"/>
      <c r="N802" s="91" t="s">
        <v>198</v>
      </c>
      <c r="O802" s="91" t="s">
        <v>197</v>
      </c>
      <c r="P802" s="91" t="s">
        <v>198</v>
      </c>
      <c r="Q802" s="91"/>
      <c r="R802" s="91" t="s">
        <v>198</v>
      </c>
      <c r="S802" s="91"/>
      <c r="T802" s="91" t="s">
        <v>376</v>
      </c>
      <c r="U802" s="91" t="s">
        <v>269</v>
      </c>
      <c r="V802" s="132" t="s">
        <v>168</v>
      </c>
      <c r="W802" s="132" t="s">
        <v>168</v>
      </c>
    </row>
    <row r="803" spans="1:23" ht="13.5" customHeight="1" thickBot="1">
      <c r="A803" s="101" t="s">
        <v>374</v>
      </c>
      <c r="B803" s="36" t="s">
        <v>544</v>
      </c>
      <c r="C803" s="99" t="s">
        <v>545</v>
      </c>
      <c r="D803" s="290"/>
      <c r="E803" s="290"/>
      <c r="F803" s="290"/>
      <c r="G803" s="290"/>
      <c r="H803" s="290"/>
      <c r="I803" s="290"/>
      <c r="J803" s="290"/>
      <c r="K803" s="290"/>
      <c r="L803" s="24" t="s">
        <v>1361</v>
      </c>
      <c r="M803" s="23"/>
      <c r="N803" s="23"/>
      <c r="O803" s="23" t="s">
        <v>197</v>
      </c>
      <c r="P803" s="23" t="s">
        <v>198</v>
      </c>
      <c r="Q803" s="23">
        <v>69</v>
      </c>
      <c r="R803" s="23" t="s">
        <v>198</v>
      </c>
      <c r="S803" s="33"/>
      <c r="T803" s="33" t="s">
        <v>376</v>
      </c>
      <c r="U803" s="33" t="s">
        <v>269</v>
      </c>
      <c r="V803" s="146"/>
      <c r="W803" s="205"/>
    </row>
    <row r="804" spans="1:23" ht="22.5" customHeight="1" thickBot="1">
      <c r="A804" s="30"/>
      <c r="B804" s="36"/>
      <c r="C804" s="94"/>
      <c r="D804" s="68"/>
      <c r="E804" s="68"/>
      <c r="F804" s="68"/>
      <c r="G804" s="68"/>
      <c r="H804" s="68"/>
      <c r="I804" s="68"/>
      <c r="J804" s="68">
        <v>1</v>
      </c>
      <c r="K804" s="68">
        <v>0</v>
      </c>
      <c r="L804" s="15" t="s">
        <v>1362</v>
      </c>
      <c r="M804" s="91" t="s">
        <v>198</v>
      </c>
      <c r="N804" s="91"/>
      <c r="O804" s="91" t="s">
        <v>197</v>
      </c>
      <c r="P804" s="91" t="s">
        <v>198</v>
      </c>
      <c r="Q804" s="91"/>
      <c r="R804" s="91" t="s">
        <v>198</v>
      </c>
      <c r="S804" s="91"/>
      <c r="T804" s="91" t="s">
        <v>376</v>
      </c>
      <c r="U804" s="91" t="s">
        <v>269</v>
      </c>
      <c r="V804" s="132" t="s">
        <v>164</v>
      </c>
      <c r="W804" s="132" t="s">
        <v>164</v>
      </c>
    </row>
    <row r="805" spans="1:23" ht="22.5" customHeight="1" thickBot="1">
      <c r="A805" s="30"/>
      <c r="B805" s="36"/>
      <c r="C805" s="94"/>
      <c r="D805" s="68"/>
      <c r="E805" s="68"/>
      <c r="F805" s="68"/>
      <c r="G805" s="68"/>
      <c r="H805" s="68"/>
      <c r="I805" s="68">
        <v>0</v>
      </c>
      <c r="J805" s="68"/>
      <c r="K805" s="68"/>
      <c r="L805" s="14" t="s">
        <v>1363</v>
      </c>
      <c r="M805" s="91"/>
      <c r="N805" s="230"/>
      <c r="O805" s="91" t="s">
        <v>197</v>
      </c>
      <c r="P805" s="91" t="s">
        <v>198</v>
      </c>
      <c r="Q805" s="91"/>
      <c r="R805" s="91" t="s">
        <v>198</v>
      </c>
      <c r="S805" s="91"/>
      <c r="T805" s="91" t="s">
        <v>376</v>
      </c>
      <c r="U805" s="91" t="s">
        <v>269</v>
      </c>
      <c r="V805" s="132" t="s">
        <v>159</v>
      </c>
      <c r="W805" s="210" t="s">
        <v>157</v>
      </c>
    </row>
    <row r="806" spans="1:23" ht="12.75" customHeight="1" thickBot="1">
      <c r="A806" s="30"/>
      <c r="B806" s="36"/>
      <c r="C806" s="94"/>
      <c r="D806" s="68"/>
      <c r="E806" s="68"/>
      <c r="F806" s="68"/>
      <c r="G806" s="68"/>
      <c r="H806" s="68">
        <v>0</v>
      </c>
      <c r="I806" s="68"/>
      <c r="J806" s="68"/>
      <c r="K806" s="68"/>
      <c r="L806" s="14" t="s">
        <v>1364</v>
      </c>
      <c r="M806" s="91"/>
      <c r="N806" s="91" t="s">
        <v>198</v>
      </c>
      <c r="O806" s="91" t="s">
        <v>197</v>
      </c>
      <c r="P806" s="91" t="s">
        <v>198</v>
      </c>
      <c r="Q806" s="91"/>
      <c r="R806" s="91" t="s">
        <v>198</v>
      </c>
      <c r="S806" s="91"/>
      <c r="T806" s="91" t="s">
        <v>376</v>
      </c>
      <c r="U806" s="91" t="s">
        <v>269</v>
      </c>
      <c r="V806" s="132" t="s">
        <v>157</v>
      </c>
      <c r="W806" s="132" t="s">
        <v>157</v>
      </c>
    </row>
    <row r="807" spans="1:23" ht="12.75" customHeight="1" thickBot="1">
      <c r="A807" s="30"/>
      <c r="B807" s="36"/>
      <c r="C807" s="94"/>
      <c r="D807" s="68"/>
      <c r="E807" s="68"/>
      <c r="F807" s="68"/>
      <c r="G807" s="68">
        <v>0</v>
      </c>
      <c r="H807" s="68"/>
      <c r="I807" s="68"/>
      <c r="J807" s="68"/>
      <c r="K807" s="68"/>
      <c r="L807" s="14" t="s">
        <v>1365</v>
      </c>
      <c r="M807" s="91"/>
      <c r="N807" s="91" t="s">
        <v>198</v>
      </c>
      <c r="O807" s="91" t="s">
        <v>197</v>
      </c>
      <c r="P807" s="91" t="s">
        <v>198</v>
      </c>
      <c r="Q807" s="91"/>
      <c r="R807" s="91" t="s">
        <v>198</v>
      </c>
      <c r="S807" s="91"/>
      <c r="T807" s="91" t="s">
        <v>376</v>
      </c>
      <c r="U807" s="91" t="s">
        <v>269</v>
      </c>
      <c r="V807" s="132" t="s">
        <v>157</v>
      </c>
      <c r="W807" s="132" t="s">
        <v>157</v>
      </c>
    </row>
    <row r="808" spans="1:23" ht="12.75" customHeight="1" thickBot="1">
      <c r="A808" s="30"/>
      <c r="B808" s="36"/>
      <c r="C808" s="94"/>
      <c r="D808" s="68"/>
      <c r="E808" s="68"/>
      <c r="F808" s="68">
        <v>0</v>
      </c>
      <c r="G808" s="68"/>
      <c r="H808" s="68"/>
      <c r="I808" s="68"/>
      <c r="J808" s="68"/>
      <c r="K808" s="68"/>
      <c r="L808" s="14" t="s">
        <v>1366</v>
      </c>
      <c r="M808" s="91"/>
      <c r="N808" s="91" t="s">
        <v>198</v>
      </c>
      <c r="O808" s="91" t="s">
        <v>197</v>
      </c>
      <c r="P808" s="91" t="s">
        <v>198</v>
      </c>
      <c r="Q808" s="91"/>
      <c r="R808" s="91" t="s">
        <v>198</v>
      </c>
      <c r="S808" s="91"/>
      <c r="T808" s="91" t="s">
        <v>376</v>
      </c>
      <c r="U808" s="91" t="s">
        <v>269</v>
      </c>
      <c r="V808" s="132" t="s">
        <v>159</v>
      </c>
      <c r="W808" s="132" t="s">
        <v>159</v>
      </c>
    </row>
    <row r="809" spans="1:23" ht="12.75" customHeight="1" thickBot="1">
      <c r="A809" s="30"/>
      <c r="B809" s="36"/>
      <c r="C809" s="94"/>
      <c r="D809" s="68"/>
      <c r="E809" s="68">
        <v>0</v>
      </c>
      <c r="F809" s="68"/>
      <c r="G809" s="68"/>
      <c r="H809" s="68"/>
      <c r="I809" s="68"/>
      <c r="J809" s="68"/>
      <c r="K809" s="68"/>
      <c r="L809" s="14" t="s">
        <v>1367</v>
      </c>
      <c r="M809" s="91"/>
      <c r="N809" s="91" t="s">
        <v>198</v>
      </c>
      <c r="O809" s="91" t="s">
        <v>197</v>
      </c>
      <c r="P809" s="91" t="s">
        <v>198</v>
      </c>
      <c r="Q809" s="91"/>
      <c r="R809" s="91" t="s">
        <v>198</v>
      </c>
      <c r="S809" s="91"/>
      <c r="T809" s="91" t="s">
        <v>376</v>
      </c>
      <c r="U809" s="91" t="s">
        <v>269</v>
      </c>
      <c r="V809" s="132" t="s">
        <v>157</v>
      </c>
      <c r="W809" s="132" t="s">
        <v>157</v>
      </c>
    </row>
    <row r="810" spans="1:23" ht="33.75" customHeight="1" thickBot="1">
      <c r="A810" s="30"/>
      <c r="B810" s="36"/>
      <c r="C810" s="94"/>
      <c r="D810" s="68">
        <v>0</v>
      </c>
      <c r="E810" s="68"/>
      <c r="F810" s="68"/>
      <c r="G810" s="68"/>
      <c r="H810" s="68"/>
      <c r="I810" s="68"/>
      <c r="J810" s="68"/>
      <c r="K810" s="68"/>
      <c r="L810" s="14" t="s">
        <v>1368</v>
      </c>
      <c r="M810" s="91"/>
      <c r="N810" s="91" t="s">
        <v>198</v>
      </c>
      <c r="O810" s="91" t="s">
        <v>197</v>
      </c>
      <c r="P810" s="91" t="s">
        <v>198</v>
      </c>
      <c r="Q810" s="91"/>
      <c r="R810" s="91" t="s">
        <v>198</v>
      </c>
      <c r="S810" s="91"/>
      <c r="T810" s="91" t="s">
        <v>376</v>
      </c>
      <c r="U810" s="91" t="s">
        <v>269</v>
      </c>
      <c r="V810" s="132" t="s">
        <v>157</v>
      </c>
      <c r="W810" s="132" t="s">
        <v>157</v>
      </c>
    </row>
    <row r="811" spans="1:23" ht="13.5" customHeight="1" thickBot="1">
      <c r="A811" s="101" t="s">
        <v>374</v>
      </c>
      <c r="B811" s="36" t="s">
        <v>547</v>
      </c>
      <c r="C811" s="99" t="s">
        <v>548</v>
      </c>
      <c r="D811" s="290"/>
      <c r="E811" s="290"/>
      <c r="F811" s="290"/>
      <c r="G811" s="290"/>
      <c r="H811" s="290"/>
      <c r="I811" s="290"/>
      <c r="J811" s="290"/>
      <c r="K811" s="290"/>
      <c r="L811" s="34" t="s">
        <v>1288</v>
      </c>
      <c r="M811" s="23"/>
      <c r="N811" s="23"/>
      <c r="O811" s="23" t="s">
        <v>197</v>
      </c>
      <c r="P811" s="23" t="s">
        <v>198</v>
      </c>
      <c r="Q811" s="23">
        <v>70</v>
      </c>
      <c r="R811" s="23" t="s">
        <v>198</v>
      </c>
      <c r="S811" s="33"/>
      <c r="T811" s="33" t="s">
        <v>376</v>
      </c>
      <c r="U811" s="33" t="s">
        <v>269</v>
      </c>
      <c r="V811" s="146"/>
      <c r="W811" s="205"/>
    </row>
    <row r="812" spans="1:23" ht="12.75" customHeight="1" thickBot="1">
      <c r="A812" s="69"/>
      <c r="B812" s="36"/>
      <c r="C812" s="94"/>
      <c r="D812" s="68"/>
      <c r="E812" s="68"/>
      <c r="F812" s="68"/>
      <c r="G812" s="68"/>
      <c r="H812" s="68"/>
      <c r="I812" s="68">
        <v>2</v>
      </c>
      <c r="J812" s="68">
        <v>1</v>
      </c>
      <c r="K812" s="68">
        <v>0</v>
      </c>
      <c r="L812" s="17" t="s">
        <v>1289</v>
      </c>
      <c r="M812" s="91" t="s">
        <v>198</v>
      </c>
      <c r="N812" s="91"/>
      <c r="O812" s="91" t="s">
        <v>197</v>
      </c>
      <c r="P812" s="91" t="s">
        <v>198</v>
      </c>
      <c r="Q812" s="91"/>
      <c r="R812" s="91" t="s">
        <v>198</v>
      </c>
      <c r="S812" s="91"/>
      <c r="T812" s="91" t="s">
        <v>376</v>
      </c>
      <c r="U812" s="91" t="s">
        <v>269</v>
      </c>
      <c r="V812" s="132" t="s">
        <v>179</v>
      </c>
      <c r="W812" s="132" t="s">
        <v>179</v>
      </c>
    </row>
    <row r="813" spans="1:23" ht="12.75" customHeight="1" thickBot="1">
      <c r="A813" s="30"/>
      <c r="B813" s="36"/>
      <c r="C813" s="94"/>
      <c r="D813" s="68"/>
      <c r="E813" s="68"/>
      <c r="F813" s="68"/>
      <c r="G813" s="68">
        <v>1</v>
      </c>
      <c r="H813" s="68">
        <v>0</v>
      </c>
      <c r="I813" s="68"/>
      <c r="J813" s="68"/>
      <c r="K813" s="68"/>
      <c r="L813" s="17" t="s">
        <v>1290</v>
      </c>
      <c r="M813" s="91" t="s">
        <v>198</v>
      </c>
      <c r="N813" s="91"/>
      <c r="O813" s="91" t="s">
        <v>197</v>
      </c>
      <c r="P813" s="91" t="s">
        <v>198</v>
      </c>
      <c r="Q813" s="91"/>
      <c r="R813" s="91" t="s">
        <v>198</v>
      </c>
      <c r="S813" s="91"/>
      <c r="T813" s="91" t="s">
        <v>376</v>
      </c>
      <c r="U813" s="91" t="s">
        <v>269</v>
      </c>
      <c r="V813" s="132" t="s">
        <v>164</v>
      </c>
      <c r="W813" s="132" t="s">
        <v>164</v>
      </c>
    </row>
    <row r="814" spans="1:23" ht="12.75" customHeight="1" thickBot="1">
      <c r="A814" s="30"/>
      <c r="B814" s="36"/>
      <c r="C814" s="94"/>
      <c r="D814" s="68"/>
      <c r="E814" s="68">
        <v>1</v>
      </c>
      <c r="F814" s="68">
        <v>0</v>
      </c>
      <c r="G814" s="68"/>
      <c r="H814" s="68"/>
      <c r="I814" s="68"/>
      <c r="J814" s="68"/>
      <c r="K814" s="68"/>
      <c r="L814" s="17" t="s">
        <v>1291</v>
      </c>
      <c r="M814" s="91" t="s">
        <v>198</v>
      </c>
      <c r="N814" s="91"/>
      <c r="O814" s="91" t="s">
        <v>197</v>
      </c>
      <c r="P814" s="91" t="s">
        <v>198</v>
      </c>
      <c r="Q814" s="91"/>
      <c r="R814" s="91" t="s">
        <v>198</v>
      </c>
      <c r="S814" s="91"/>
      <c r="T814" s="91" t="s">
        <v>376</v>
      </c>
      <c r="U814" s="91" t="s">
        <v>269</v>
      </c>
      <c r="V814" s="132" t="s">
        <v>168</v>
      </c>
      <c r="W814" s="132" t="s">
        <v>168</v>
      </c>
    </row>
    <row r="815" spans="1:23" ht="12.75" customHeight="1" thickBot="1">
      <c r="A815" s="30"/>
      <c r="B815" s="36"/>
      <c r="C815" s="94"/>
      <c r="D815" s="68">
        <v>0</v>
      </c>
      <c r="E815" s="68"/>
      <c r="F815" s="68"/>
      <c r="G815" s="68"/>
      <c r="H815" s="68"/>
      <c r="I815" s="68"/>
      <c r="J815" s="68"/>
      <c r="K815" s="68"/>
      <c r="L815" s="17" t="s">
        <v>1292</v>
      </c>
      <c r="M815" s="91"/>
      <c r="N815" s="91" t="s">
        <v>198</v>
      </c>
      <c r="O815" s="91" t="s">
        <v>197</v>
      </c>
      <c r="P815" s="91" t="s">
        <v>198</v>
      </c>
      <c r="Q815" s="91"/>
      <c r="R815" s="91" t="s">
        <v>198</v>
      </c>
      <c r="S815" s="91"/>
      <c r="T815" s="91" t="s">
        <v>376</v>
      </c>
      <c r="U815" s="91" t="s">
        <v>269</v>
      </c>
      <c r="V815" s="132" t="s">
        <v>157</v>
      </c>
      <c r="W815" s="132" t="s">
        <v>157</v>
      </c>
    </row>
    <row r="816" spans="1:23" ht="13.5" customHeight="1" thickBot="1">
      <c r="A816" s="101" t="s">
        <v>374</v>
      </c>
      <c r="B816" s="36" t="s">
        <v>552</v>
      </c>
      <c r="C816" s="99" t="s">
        <v>553</v>
      </c>
      <c r="D816" s="290"/>
      <c r="E816" s="290"/>
      <c r="F816" s="290"/>
      <c r="G816" s="290"/>
      <c r="H816" s="290"/>
      <c r="I816" s="290"/>
      <c r="J816" s="290"/>
      <c r="K816" s="290"/>
      <c r="L816" s="34" t="s">
        <v>1301</v>
      </c>
      <c r="M816" s="23"/>
      <c r="N816" s="23"/>
      <c r="O816" s="23" t="s">
        <v>197</v>
      </c>
      <c r="P816" s="23" t="s">
        <v>198</v>
      </c>
      <c r="Q816" s="23">
        <v>71</v>
      </c>
      <c r="R816" s="23" t="s">
        <v>198</v>
      </c>
      <c r="S816" s="33"/>
      <c r="T816" s="33" t="s">
        <v>376</v>
      </c>
      <c r="U816" s="33" t="s">
        <v>269</v>
      </c>
      <c r="V816" s="146"/>
      <c r="W816" s="205"/>
    </row>
    <row r="817" spans="1:23" ht="12.75" customHeight="1" thickBot="1">
      <c r="A817" s="69"/>
      <c r="B817" s="36"/>
      <c r="C817" s="94"/>
      <c r="D817" s="68"/>
      <c r="E817" s="68"/>
      <c r="F817" s="68"/>
      <c r="G817" s="68"/>
      <c r="H817" s="68"/>
      <c r="I817" s="68">
        <v>2</v>
      </c>
      <c r="J817" s="68">
        <v>1</v>
      </c>
      <c r="K817" s="68">
        <v>0</v>
      </c>
      <c r="L817" s="17" t="s">
        <v>1302</v>
      </c>
      <c r="M817" s="91" t="s">
        <v>198</v>
      </c>
      <c r="N817" s="91"/>
      <c r="O817" s="91" t="s">
        <v>197</v>
      </c>
      <c r="P817" s="91" t="s">
        <v>198</v>
      </c>
      <c r="Q817" s="91"/>
      <c r="R817" s="91" t="s">
        <v>198</v>
      </c>
      <c r="S817" s="91"/>
      <c r="T817" s="91" t="s">
        <v>376</v>
      </c>
      <c r="U817" s="91" t="s">
        <v>269</v>
      </c>
      <c r="V817" s="132" t="s">
        <v>179</v>
      </c>
      <c r="W817" s="132" t="s">
        <v>179</v>
      </c>
    </row>
    <row r="818" spans="1:23" ht="12.75" customHeight="1" thickBot="1">
      <c r="A818" s="30"/>
      <c r="B818" s="36"/>
      <c r="C818" s="94"/>
      <c r="D818" s="68"/>
      <c r="E818" s="68"/>
      <c r="F818" s="68"/>
      <c r="G818" s="68">
        <v>1</v>
      </c>
      <c r="H818" s="68">
        <v>0</v>
      </c>
      <c r="I818" s="68"/>
      <c r="J818" s="68"/>
      <c r="K818" s="68"/>
      <c r="L818" s="17" t="s">
        <v>1303</v>
      </c>
      <c r="M818" s="91" t="s">
        <v>198</v>
      </c>
      <c r="N818" s="91"/>
      <c r="O818" s="91" t="s">
        <v>197</v>
      </c>
      <c r="P818" s="91" t="s">
        <v>198</v>
      </c>
      <c r="Q818" s="91"/>
      <c r="R818" s="91" t="s">
        <v>198</v>
      </c>
      <c r="S818" s="91"/>
      <c r="T818" s="91" t="s">
        <v>376</v>
      </c>
      <c r="U818" s="91" t="s">
        <v>269</v>
      </c>
      <c r="V818" s="132" t="s">
        <v>164</v>
      </c>
      <c r="W818" s="132" t="s">
        <v>164</v>
      </c>
    </row>
    <row r="819" spans="1:23" ht="12.75" customHeight="1" thickBot="1">
      <c r="A819" s="30"/>
      <c r="B819" s="36"/>
      <c r="C819" s="94"/>
      <c r="D819" s="68"/>
      <c r="E819" s="68">
        <v>1</v>
      </c>
      <c r="F819" s="68">
        <v>0</v>
      </c>
      <c r="G819" s="68"/>
      <c r="H819" s="68"/>
      <c r="I819" s="68"/>
      <c r="J819" s="68"/>
      <c r="K819" s="68"/>
      <c r="L819" s="17" t="s">
        <v>1304</v>
      </c>
      <c r="M819" s="91" t="s">
        <v>198</v>
      </c>
      <c r="N819" s="91"/>
      <c r="O819" s="91" t="s">
        <v>197</v>
      </c>
      <c r="P819" s="91" t="s">
        <v>198</v>
      </c>
      <c r="Q819" s="91"/>
      <c r="R819" s="91" t="s">
        <v>198</v>
      </c>
      <c r="S819" s="91"/>
      <c r="T819" s="91" t="s">
        <v>376</v>
      </c>
      <c r="U819" s="91" t="s">
        <v>269</v>
      </c>
      <c r="V819" s="132" t="s">
        <v>168</v>
      </c>
      <c r="W819" s="132" t="s">
        <v>168</v>
      </c>
    </row>
    <row r="820" spans="1:23" ht="12.75" customHeight="1" thickBot="1">
      <c r="A820" s="30"/>
      <c r="B820" s="36"/>
      <c r="C820" s="94"/>
      <c r="D820" s="68">
        <v>0</v>
      </c>
      <c r="E820" s="68"/>
      <c r="F820" s="68"/>
      <c r="G820" s="68"/>
      <c r="H820" s="68"/>
      <c r="I820" s="68"/>
      <c r="J820" s="68"/>
      <c r="K820" s="68"/>
      <c r="L820" s="17" t="s">
        <v>1305</v>
      </c>
      <c r="M820" s="91"/>
      <c r="N820" s="91" t="s">
        <v>198</v>
      </c>
      <c r="O820" s="91" t="s">
        <v>197</v>
      </c>
      <c r="P820" s="91" t="s">
        <v>198</v>
      </c>
      <c r="Q820" s="91"/>
      <c r="R820" s="91" t="s">
        <v>198</v>
      </c>
      <c r="S820" s="91"/>
      <c r="T820" s="91" t="s">
        <v>376</v>
      </c>
      <c r="U820" s="91" t="s">
        <v>269</v>
      </c>
      <c r="V820" s="132" t="s">
        <v>157</v>
      </c>
      <c r="W820" s="132" t="s">
        <v>157</v>
      </c>
    </row>
    <row r="821" spans="1:23" ht="13.5" customHeight="1" thickBot="1">
      <c r="A821" s="101" t="s">
        <v>374</v>
      </c>
      <c r="B821" s="36" t="s">
        <v>557</v>
      </c>
      <c r="C821" s="99" t="s">
        <v>558</v>
      </c>
      <c r="D821" s="290"/>
      <c r="E821" s="290"/>
      <c r="F821" s="290"/>
      <c r="G821" s="290"/>
      <c r="H821" s="290"/>
      <c r="I821" s="290"/>
      <c r="J821" s="290"/>
      <c r="K821" s="290"/>
      <c r="L821" s="34" t="s">
        <v>1306</v>
      </c>
      <c r="M821" s="23"/>
      <c r="N821" s="23"/>
      <c r="O821" s="23" t="s">
        <v>197</v>
      </c>
      <c r="P821" s="23" t="s">
        <v>198</v>
      </c>
      <c r="Q821" s="23">
        <v>72</v>
      </c>
      <c r="R821" s="23" t="s">
        <v>198</v>
      </c>
      <c r="S821" s="33"/>
      <c r="T821" s="33" t="s">
        <v>376</v>
      </c>
      <c r="U821" s="33" t="s">
        <v>269</v>
      </c>
      <c r="V821" s="146"/>
      <c r="W821" s="205"/>
    </row>
    <row r="822" spans="1:23" ht="12.75" customHeight="1" thickBot="1">
      <c r="A822" s="30"/>
      <c r="B822" s="36"/>
      <c r="C822" s="94"/>
      <c r="D822" s="68"/>
      <c r="E822" s="68"/>
      <c r="F822" s="68"/>
      <c r="G822" s="68"/>
      <c r="H822" s="68"/>
      <c r="I822" s="68"/>
      <c r="J822" s="68">
        <v>1</v>
      </c>
      <c r="K822" s="68">
        <v>0</v>
      </c>
      <c r="L822" s="17" t="s">
        <v>1308</v>
      </c>
      <c r="M822" s="91" t="s">
        <v>198</v>
      </c>
      <c r="N822" s="91"/>
      <c r="O822" s="91" t="s">
        <v>197</v>
      </c>
      <c r="P822" s="91" t="s">
        <v>198</v>
      </c>
      <c r="Q822" s="91"/>
      <c r="R822" s="91" t="s">
        <v>198</v>
      </c>
      <c r="S822" s="91"/>
      <c r="T822" s="91" t="s">
        <v>376</v>
      </c>
      <c r="U822" s="91" t="s">
        <v>269</v>
      </c>
      <c r="V822" s="132" t="s">
        <v>164</v>
      </c>
      <c r="W822" s="132" t="s">
        <v>164</v>
      </c>
    </row>
    <row r="823" spans="1:23" ht="12.75" customHeight="1" thickBot="1">
      <c r="A823" s="30"/>
      <c r="B823" s="36"/>
      <c r="C823" s="94"/>
      <c r="D823" s="68"/>
      <c r="E823" s="68"/>
      <c r="F823" s="68"/>
      <c r="G823" s="68"/>
      <c r="H823" s="68">
        <v>1</v>
      </c>
      <c r="I823" s="68">
        <v>0</v>
      </c>
      <c r="J823" s="68"/>
      <c r="K823" s="68"/>
      <c r="L823" s="17" t="s">
        <v>1309</v>
      </c>
      <c r="M823" s="91" t="s">
        <v>198</v>
      </c>
      <c r="N823" s="91"/>
      <c r="O823" s="91" t="s">
        <v>197</v>
      </c>
      <c r="P823" s="91" t="s">
        <v>198</v>
      </c>
      <c r="Q823" s="91"/>
      <c r="R823" s="91" t="s">
        <v>198</v>
      </c>
      <c r="S823" s="91"/>
      <c r="T823" s="91" t="s">
        <v>376</v>
      </c>
      <c r="U823" s="91" t="s">
        <v>269</v>
      </c>
      <c r="V823" s="132" t="s">
        <v>168</v>
      </c>
      <c r="W823" s="132" t="s">
        <v>168</v>
      </c>
    </row>
    <row r="824" spans="1:23" ht="12.75" customHeight="1" thickBot="1">
      <c r="A824" s="69"/>
      <c r="B824" s="36"/>
      <c r="C824" s="94"/>
      <c r="D824" s="68"/>
      <c r="E824" s="68">
        <v>2</v>
      </c>
      <c r="F824" s="68">
        <v>1</v>
      </c>
      <c r="G824" s="68">
        <v>0</v>
      </c>
      <c r="H824" s="68"/>
      <c r="I824" s="68"/>
      <c r="J824" s="68"/>
      <c r="K824" s="68"/>
      <c r="L824" s="17" t="s">
        <v>1310</v>
      </c>
      <c r="M824" s="91" t="s">
        <v>198</v>
      </c>
      <c r="N824" s="91"/>
      <c r="O824" s="91" t="s">
        <v>197</v>
      </c>
      <c r="P824" s="91" t="s">
        <v>198</v>
      </c>
      <c r="Q824" s="91"/>
      <c r="R824" s="91" t="s">
        <v>198</v>
      </c>
      <c r="S824" s="91"/>
      <c r="T824" s="91" t="s">
        <v>376</v>
      </c>
      <c r="U824" s="91" t="s">
        <v>269</v>
      </c>
      <c r="V824" s="132" t="s">
        <v>179</v>
      </c>
      <c r="W824" s="132" t="s">
        <v>179</v>
      </c>
    </row>
    <row r="825" spans="1:23" ht="12.75" customHeight="1" thickBot="1">
      <c r="A825" s="30"/>
      <c r="B825" s="36"/>
      <c r="C825" s="94"/>
      <c r="D825" s="68">
        <v>0</v>
      </c>
      <c r="E825" s="68"/>
      <c r="F825" s="68"/>
      <c r="G825" s="68"/>
      <c r="H825" s="68"/>
      <c r="I825" s="68"/>
      <c r="J825" s="68"/>
      <c r="K825" s="68"/>
      <c r="L825" s="17" t="s">
        <v>1307</v>
      </c>
      <c r="M825" s="91"/>
      <c r="N825" s="91" t="s">
        <v>198</v>
      </c>
      <c r="O825" s="91" t="s">
        <v>197</v>
      </c>
      <c r="P825" s="91" t="s">
        <v>198</v>
      </c>
      <c r="Q825" s="91"/>
      <c r="R825" s="91" t="s">
        <v>198</v>
      </c>
      <c r="S825" s="91"/>
      <c r="T825" s="91" t="s">
        <v>376</v>
      </c>
      <c r="U825" s="91" t="s">
        <v>269</v>
      </c>
      <c r="V825" s="132" t="s">
        <v>157</v>
      </c>
      <c r="W825" s="132" t="s">
        <v>157</v>
      </c>
    </row>
    <row r="826" spans="1:23" ht="13.5" customHeight="1" thickBot="1">
      <c r="A826" s="101" t="s">
        <v>374</v>
      </c>
      <c r="B826" s="36" t="s">
        <v>562</v>
      </c>
      <c r="C826" s="99" t="s">
        <v>563</v>
      </c>
      <c r="D826" s="290"/>
      <c r="E826" s="290"/>
      <c r="F826" s="290"/>
      <c r="G826" s="290"/>
      <c r="H826" s="290"/>
      <c r="I826" s="290"/>
      <c r="J826" s="290"/>
      <c r="K826" s="290"/>
      <c r="L826" s="24" t="s">
        <v>1287</v>
      </c>
      <c r="M826" s="23"/>
      <c r="N826" s="23"/>
      <c r="O826" s="23" t="s">
        <v>197</v>
      </c>
      <c r="P826" s="23" t="s">
        <v>198</v>
      </c>
      <c r="Q826" s="23">
        <v>73</v>
      </c>
      <c r="R826" s="23" t="s">
        <v>198</v>
      </c>
      <c r="S826" s="33"/>
      <c r="T826" s="33" t="s">
        <v>376</v>
      </c>
      <c r="U826" s="33" t="s">
        <v>269</v>
      </c>
      <c r="V826" s="146"/>
      <c r="W826" s="205"/>
    </row>
    <row r="827" spans="1:23" ht="12.75" customHeight="1">
      <c r="A827" s="69"/>
      <c r="B827" s="36"/>
      <c r="C827" s="94"/>
      <c r="D827" s="68"/>
      <c r="E827" s="68"/>
      <c r="F827" s="68"/>
      <c r="G827" s="68"/>
      <c r="H827" s="68"/>
      <c r="I827" s="68"/>
      <c r="J827" s="68">
        <v>1</v>
      </c>
      <c r="K827" s="68">
        <v>0</v>
      </c>
      <c r="L827" s="17" t="s">
        <v>1311</v>
      </c>
      <c r="M827" s="91" t="s">
        <v>198</v>
      </c>
      <c r="N827" s="91"/>
      <c r="O827" s="91" t="s">
        <v>197</v>
      </c>
      <c r="P827" s="91" t="s">
        <v>198</v>
      </c>
      <c r="Q827" s="91"/>
      <c r="R827" s="91" t="s">
        <v>198</v>
      </c>
      <c r="S827" s="91"/>
      <c r="T827" s="91" t="s">
        <v>376</v>
      </c>
      <c r="U827" s="91" t="s">
        <v>269</v>
      </c>
      <c r="V827" s="132" t="s">
        <v>160</v>
      </c>
      <c r="W827" s="132" t="s">
        <v>160</v>
      </c>
    </row>
    <row r="828" spans="1:23" ht="12.75" customHeight="1">
      <c r="A828" s="13"/>
      <c r="B828" s="36"/>
      <c r="C828" s="94"/>
      <c r="D828" s="68"/>
      <c r="E828" s="68"/>
      <c r="F828" s="68"/>
      <c r="G828" s="68"/>
      <c r="H828" s="68">
        <v>1</v>
      </c>
      <c r="I828" s="68">
        <v>0</v>
      </c>
      <c r="J828" s="68"/>
      <c r="K828" s="68"/>
      <c r="L828" s="12" t="s">
        <v>1312</v>
      </c>
      <c r="M828" s="91" t="s">
        <v>198</v>
      </c>
      <c r="N828" s="91"/>
      <c r="O828" s="91" t="s">
        <v>197</v>
      </c>
      <c r="P828" s="91" t="s">
        <v>198</v>
      </c>
      <c r="Q828" s="91"/>
      <c r="R828" s="91" t="s">
        <v>198</v>
      </c>
      <c r="S828" s="91"/>
      <c r="T828" s="91" t="s">
        <v>376</v>
      </c>
      <c r="U828" s="91" t="s">
        <v>269</v>
      </c>
      <c r="V828" s="132" t="s">
        <v>160</v>
      </c>
      <c r="W828" s="132" t="s">
        <v>160</v>
      </c>
    </row>
    <row r="829" spans="1:23" ht="12.75" customHeight="1">
      <c r="A829" s="13"/>
      <c r="B829" s="36"/>
      <c r="C829" s="94"/>
      <c r="D829" s="68"/>
      <c r="E829" s="68"/>
      <c r="F829" s="68">
        <v>1</v>
      </c>
      <c r="G829" s="68">
        <v>0</v>
      </c>
      <c r="H829" s="68"/>
      <c r="I829" s="68"/>
      <c r="J829" s="68"/>
      <c r="K829" s="68"/>
      <c r="L829" s="12" t="s">
        <v>1313</v>
      </c>
      <c r="M829" s="91" t="s">
        <v>198</v>
      </c>
      <c r="N829" s="91"/>
      <c r="O829" s="91" t="s">
        <v>197</v>
      </c>
      <c r="P829" s="91" t="s">
        <v>198</v>
      </c>
      <c r="Q829" s="91"/>
      <c r="R829" s="91" t="s">
        <v>198</v>
      </c>
      <c r="S829" s="91"/>
      <c r="T829" s="91" t="s">
        <v>376</v>
      </c>
      <c r="U829" s="91" t="s">
        <v>269</v>
      </c>
      <c r="V829" s="132" t="s">
        <v>160</v>
      </c>
      <c r="W829" s="132" t="s">
        <v>160</v>
      </c>
    </row>
    <row r="830" spans="1:23" ht="12.75" customHeight="1">
      <c r="A830" s="13"/>
      <c r="B830" s="36"/>
      <c r="C830" s="94"/>
      <c r="D830" s="68">
        <v>1</v>
      </c>
      <c r="E830" s="68">
        <v>0</v>
      </c>
      <c r="F830" s="68"/>
      <c r="G830" s="68"/>
      <c r="H830" s="68"/>
      <c r="I830" s="68"/>
      <c r="J830" s="68"/>
      <c r="K830" s="68"/>
      <c r="L830" s="12" t="s">
        <v>1314</v>
      </c>
      <c r="M830" s="91" t="s">
        <v>198</v>
      </c>
      <c r="N830" s="91"/>
      <c r="O830" s="91" t="s">
        <v>197</v>
      </c>
      <c r="P830" s="91" t="s">
        <v>198</v>
      </c>
      <c r="Q830" s="91"/>
      <c r="R830" s="91" t="s">
        <v>198</v>
      </c>
      <c r="S830" s="91"/>
      <c r="T830" s="91" t="s">
        <v>376</v>
      </c>
      <c r="U830" s="91" t="s">
        <v>269</v>
      </c>
      <c r="V830" s="132" t="s">
        <v>160</v>
      </c>
      <c r="W830" s="132" t="s">
        <v>160</v>
      </c>
    </row>
    <row r="831" spans="1:23" ht="12" customHeight="1" thickBot="1">
      <c r="A831" s="49" t="s">
        <v>374</v>
      </c>
      <c r="B831" s="48" t="s">
        <v>568</v>
      </c>
      <c r="C831" s="47" t="s">
        <v>569</v>
      </c>
      <c r="D831" s="301"/>
      <c r="E831" s="301"/>
      <c r="F831" s="301"/>
      <c r="G831" s="301"/>
      <c r="H831" s="301"/>
      <c r="I831" s="301"/>
      <c r="J831" s="301"/>
      <c r="K831" s="301"/>
      <c r="L831" s="11"/>
      <c r="M831" s="45"/>
      <c r="N831" s="45"/>
      <c r="O831" s="45" t="s">
        <v>197</v>
      </c>
      <c r="P831" s="45" t="s">
        <v>204</v>
      </c>
      <c r="Q831" s="45"/>
      <c r="R831" s="45" t="s">
        <v>198</v>
      </c>
      <c r="S831" s="45"/>
      <c r="T831" s="45" t="s">
        <v>376</v>
      </c>
      <c r="U831" s="45" t="s">
        <v>269</v>
      </c>
      <c r="V831" s="144"/>
      <c r="W831" s="202"/>
    </row>
    <row r="832" spans="1:23" ht="12" customHeight="1">
      <c r="A832" s="43"/>
      <c r="B832" s="48"/>
      <c r="C832" s="75"/>
      <c r="D832" s="44"/>
      <c r="E832" s="44"/>
      <c r="F832" s="44"/>
      <c r="G832" s="44"/>
      <c r="H832" s="44">
        <v>3</v>
      </c>
      <c r="I832" s="44">
        <v>2</v>
      </c>
      <c r="J832" s="44">
        <v>1</v>
      </c>
      <c r="K832" s="10">
        <v>0</v>
      </c>
      <c r="L832" s="9"/>
      <c r="M832" s="8"/>
      <c r="N832" s="8"/>
      <c r="O832" s="8" t="s">
        <v>197</v>
      </c>
      <c r="P832" s="79" t="s">
        <v>204</v>
      </c>
      <c r="Q832" s="79"/>
      <c r="R832" s="79" t="s">
        <v>198</v>
      </c>
      <c r="S832" s="79"/>
      <c r="T832" s="79" t="s">
        <v>376</v>
      </c>
      <c r="U832" s="79" t="s">
        <v>269</v>
      </c>
      <c r="V832" s="134" t="s">
        <v>163</v>
      </c>
      <c r="W832" s="203" t="s">
        <v>163</v>
      </c>
    </row>
    <row r="833" spans="1:23" ht="12" customHeight="1">
      <c r="A833" s="38"/>
      <c r="B833" s="48"/>
      <c r="C833" s="75"/>
      <c r="D833" s="44"/>
      <c r="E833" s="44"/>
      <c r="F833" s="44"/>
      <c r="G833" s="44">
        <v>0</v>
      </c>
      <c r="H833" s="44"/>
      <c r="I833" s="44"/>
      <c r="J833" s="44"/>
      <c r="K833" s="10"/>
      <c r="L833" s="9"/>
      <c r="M833" s="8"/>
      <c r="N833" s="8"/>
      <c r="O833" s="8" t="s">
        <v>197</v>
      </c>
      <c r="P833" s="79" t="s">
        <v>204</v>
      </c>
      <c r="Q833" s="79"/>
      <c r="R833" s="79" t="s">
        <v>198</v>
      </c>
      <c r="S833" s="79"/>
      <c r="T833" s="79" t="s">
        <v>376</v>
      </c>
      <c r="U833" s="79" t="s">
        <v>269</v>
      </c>
      <c r="V833" s="134" t="s">
        <v>157</v>
      </c>
      <c r="W833" s="203" t="s">
        <v>157</v>
      </c>
    </row>
    <row r="834" spans="1:23" ht="12" customHeight="1">
      <c r="A834" s="38"/>
      <c r="B834" s="48"/>
      <c r="C834" s="75"/>
      <c r="D834" s="44"/>
      <c r="E834" s="44"/>
      <c r="F834" s="44">
        <v>0</v>
      </c>
      <c r="G834" s="44"/>
      <c r="H834" s="44"/>
      <c r="I834" s="44"/>
      <c r="J834" s="44"/>
      <c r="K834" s="10"/>
      <c r="L834" s="9"/>
      <c r="M834" s="8"/>
      <c r="N834" s="8"/>
      <c r="O834" s="8" t="s">
        <v>197</v>
      </c>
      <c r="P834" s="79" t="s">
        <v>204</v>
      </c>
      <c r="Q834" s="79"/>
      <c r="R834" s="79" t="s">
        <v>198</v>
      </c>
      <c r="S834" s="79"/>
      <c r="T834" s="79" t="s">
        <v>376</v>
      </c>
      <c r="U834" s="79" t="s">
        <v>269</v>
      </c>
      <c r="V834" s="134" t="s">
        <v>157</v>
      </c>
      <c r="W834" s="203" t="s">
        <v>157</v>
      </c>
    </row>
    <row r="835" spans="1:23" ht="12" customHeight="1">
      <c r="A835" s="38"/>
      <c r="B835" s="48"/>
      <c r="C835" s="75"/>
      <c r="D835" s="44"/>
      <c r="E835" s="44">
        <v>0</v>
      </c>
      <c r="F835" s="44"/>
      <c r="G835" s="44"/>
      <c r="H835" s="44"/>
      <c r="I835" s="44"/>
      <c r="J835" s="44"/>
      <c r="K835" s="10"/>
      <c r="L835" s="9"/>
      <c r="M835" s="8"/>
      <c r="N835" s="8"/>
      <c r="O835" s="8" t="s">
        <v>197</v>
      </c>
      <c r="P835" s="79" t="s">
        <v>204</v>
      </c>
      <c r="Q835" s="79"/>
      <c r="R835" s="79" t="s">
        <v>198</v>
      </c>
      <c r="S835" s="79"/>
      <c r="T835" s="79" t="s">
        <v>376</v>
      </c>
      <c r="U835" s="79" t="s">
        <v>269</v>
      </c>
      <c r="V835" s="134" t="s">
        <v>157</v>
      </c>
      <c r="W835" s="203" t="s">
        <v>157</v>
      </c>
    </row>
    <row r="836" spans="1:23" ht="12" customHeight="1" thickBot="1">
      <c r="A836" s="38"/>
      <c r="B836" s="48"/>
      <c r="C836" s="75"/>
      <c r="D836" s="44">
        <v>0</v>
      </c>
      <c r="E836" s="68"/>
      <c r="F836" s="68"/>
      <c r="G836" s="68"/>
      <c r="H836" s="68"/>
      <c r="I836" s="68"/>
      <c r="J836" s="68"/>
      <c r="K836" s="68"/>
      <c r="L836" s="55"/>
      <c r="M836" s="8"/>
      <c r="N836" s="8"/>
      <c r="O836" s="8" t="s">
        <v>197</v>
      </c>
      <c r="P836" s="79" t="s">
        <v>204</v>
      </c>
      <c r="Q836" s="79"/>
      <c r="R836" s="79" t="s">
        <v>198</v>
      </c>
      <c r="S836" s="79"/>
      <c r="T836" s="79" t="s">
        <v>376</v>
      </c>
      <c r="U836" s="79" t="s">
        <v>269</v>
      </c>
      <c r="V836" s="134" t="s">
        <v>157</v>
      </c>
      <c r="W836" s="203" t="s">
        <v>157</v>
      </c>
    </row>
    <row r="837" spans="1:23" ht="13.5" customHeight="1" thickBot="1">
      <c r="A837" s="101" t="s">
        <v>374</v>
      </c>
      <c r="B837" s="36" t="s">
        <v>570</v>
      </c>
      <c r="C837" s="99" t="s">
        <v>571</v>
      </c>
      <c r="D837" s="290"/>
      <c r="E837" s="290"/>
      <c r="F837" s="290"/>
      <c r="G837" s="290"/>
      <c r="H837" s="290"/>
      <c r="I837" s="290"/>
      <c r="J837" s="290"/>
      <c r="K837" s="290"/>
      <c r="L837" s="24" t="s">
        <v>1315</v>
      </c>
      <c r="M837" s="33"/>
      <c r="N837" s="33"/>
      <c r="O837" s="33" t="s">
        <v>197</v>
      </c>
      <c r="P837" s="33" t="s">
        <v>198</v>
      </c>
      <c r="Q837" s="33">
        <v>74</v>
      </c>
      <c r="R837" s="33" t="s">
        <v>198</v>
      </c>
      <c r="S837" s="33"/>
      <c r="T837" s="33" t="s">
        <v>376</v>
      </c>
      <c r="U837" s="33" t="s">
        <v>269</v>
      </c>
      <c r="V837" s="146"/>
      <c r="W837" s="205"/>
    </row>
    <row r="838" spans="1:23" ht="12.75" customHeight="1">
      <c r="A838" s="69"/>
      <c r="B838" s="36"/>
      <c r="C838" s="94"/>
      <c r="D838" s="68"/>
      <c r="E838" s="68"/>
      <c r="F838" s="68"/>
      <c r="G838" s="68"/>
      <c r="H838" s="68">
        <v>3</v>
      </c>
      <c r="I838" s="68">
        <v>2</v>
      </c>
      <c r="J838" s="68">
        <v>1</v>
      </c>
      <c r="K838" s="68">
        <v>0</v>
      </c>
      <c r="L838" s="17" t="s">
        <v>1316</v>
      </c>
      <c r="M838" s="91" t="s">
        <v>198</v>
      </c>
      <c r="N838" s="91"/>
      <c r="O838" s="91" t="s">
        <v>197</v>
      </c>
      <c r="P838" s="91" t="s">
        <v>198</v>
      </c>
      <c r="Q838" s="91"/>
      <c r="R838" s="91" t="s">
        <v>198</v>
      </c>
      <c r="S838" s="91"/>
      <c r="T838" s="91" t="s">
        <v>376</v>
      </c>
      <c r="U838" s="91" t="s">
        <v>269</v>
      </c>
      <c r="V838" s="132" t="s">
        <v>178</v>
      </c>
      <c r="W838" s="132" t="s">
        <v>178</v>
      </c>
    </row>
    <row r="839" spans="1:23" ht="12.75" customHeight="1">
      <c r="A839" s="54"/>
      <c r="B839" s="36"/>
      <c r="C839" s="94"/>
      <c r="D839" s="68"/>
      <c r="E839" s="68">
        <v>2</v>
      </c>
      <c r="F839" s="68">
        <v>1</v>
      </c>
      <c r="G839" s="68">
        <v>0</v>
      </c>
      <c r="H839" s="35"/>
      <c r="I839" s="68"/>
      <c r="J839" s="68"/>
      <c r="K839" s="68"/>
      <c r="L839" s="12" t="s">
        <v>1422</v>
      </c>
      <c r="M839" s="91"/>
      <c r="N839" s="91" t="s">
        <v>198</v>
      </c>
      <c r="O839" s="91" t="s">
        <v>197</v>
      </c>
      <c r="P839" s="91" t="s">
        <v>198</v>
      </c>
      <c r="Q839" s="91"/>
      <c r="R839" s="91" t="s">
        <v>198</v>
      </c>
      <c r="S839" s="91"/>
      <c r="T839" s="91" t="s">
        <v>376</v>
      </c>
      <c r="U839" s="91" t="s">
        <v>269</v>
      </c>
      <c r="V839" s="132" t="s">
        <v>179</v>
      </c>
      <c r="W839" s="132" t="s">
        <v>179</v>
      </c>
    </row>
    <row r="840" spans="1:23" ht="12.75" customHeight="1" thickBot="1">
      <c r="A840" s="54"/>
      <c r="B840" s="36"/>
      <c r="C840" s="94"/>
      <c r="D840" s="68">
        <v>0</v>
      </c>
      <c r="E840" s="68"/>
      <c r="F840" s="68"/>
      <c r="G840" s="68"/>
      <c r="H840" s="68"/>
      <c r="I840" s="68"/>
      <c r="J840" s="68"/>
      <c r="K840" s="68"/>
      <c r="L840" s="12" t="s">
        <v>1423</v>
      </c>
      <c r="M840" s="91"/>
      <c r="N840" s="91" t="s">
        <v>198</v>
      </c>
      <c r="O840" s="91" t="s">
        <v>197</v>
      </c>
      <c r="P840" s="91" t="s">
        <v>198</v>
      </c>
      <c r="Q840" s="91"/>
      <c r="R840" s="91" t="s">
        <v>198</v>
      </c>
      <c r="S840" s="91"/>
      <c r="T840" s="91" t="s">
        <v>376</v>
      </c>
      <c r="U840" s="91" t="s">
        <v>269</v>
      </c>
      <c r="V840" s="132" t="s">
        <v>157</v>
      </c>
      <c r="W840" s="132" t="s">
        <v>157</v>
      </c>
    </row>
    <row r="841" spans="1:23" ht="13.5" customHeight="1" thickBot="1">
      <c r="A841" s="101" t="s">
        <v>374</v>
      </c>
      <c r="B841" s="36" t="s">
        <v>573</v>
      </c>
      <c r="C841" s="99" t="s">
        <v>574</v>
      </c>
      <c r="D841" s="290"/>
      <c r="E841" s="290"/>
      <c r="F841" s="290"/>
      <c r="G841" s="290"/>
      <c r="H841" s="290"/>
      <c r="I841" s="290"/>
      <c r="J841" s="290"/>
      <c r="K841" s="290"/>
      <c r="L841" s="24" t="s">
        <v>1317</v>
      </c>
      <c r="M841" s="33"/>
      <c r="N841" s="33"/>
      <c r="O841" s="33" t="s">
        <v>197</v>
      </c>
      <c r="P841" s="33" t="s">
        <v>198</v>
      </c>
      <c r="Q841" s="33">
        <v>75</v>
      </c>
      <c r="R841" s="33" t="s">
        <v>198</v>
      </c>
      <c r="S841" s="33"/>
      <c r="T841" s="33" t="s">
        <v>376</v>
      </c>
      <c r="U841" s="33" t="s">
        <v>269</v>
      </c>
      <c r="V841" s="146"/>
      <c r="W841" s="205"/>
    </row>
    <row r="842" spans="1:23" ht="12.75" customHeight="1">
      <c r="A842" s="69"/>
      <c r="B842" s="36"/>
      <c r="C842" s="94"/>
      <c r="D842" s="68"/>
      <c r="E842" s="68"/>
      <c r="F842" s="68"/>
      <c r="G842" s="68"/>
      <c r="H842" s="68"/>
      <c r="I842" s="68"/>
      <c r="J842" s="68"/>
      <c r="K842" s="68">
        <v>0</v>
      </c>
      <c r="L842" s="17" t="s">
        <v>1320</v>
      </c>
      <c r="M842" s="91"/>
      <c r="N842" s="91" t="s">
        <v>198</v>
      </c>
      <c r="O842" s="91" t="s">
        <v>197</v>
      </c>
      <c r="P842" s="91" t="s">
        <v>198</v>
      </c>
      <c r="Q842" s="91"/>
      <c r="R842" s="91" t="s">
        <v>198</v>
      </c>
      <c r="S842" s="91"/>
      <c r="T842" s="91" t="s">
        <v>376</v>
      </c>
      <c r="U842" s="91" t="s">
        <v>269</v>
      </c>
      <c r="V842" s="132" t="s">
        <v>157</v>
      </c>
      <c r="W842" s="132" t="s">
        <v>157</v>
      </c>
    </row>
    <row r="843" spans="1:23" ht="12.75" customHeight="1">
      <c r="A843" s="54"/>
      <c r="B843" s="36"/>
      <c r="C843" s="94"/>
      <c r="D843" s="68"/>
      <c r="E843" s="68"/>
      <c r="F843" s="68"/>
      <c r="G843" s="68"/>
      <c r="H843" s="68"/>
      <c r="I843" s="68">
        <v>1</v>
      </c>
      <c r="J843" s="68">
        <v>0</v>
      </c>
      <c r="K843" s="35"/>
      <c r="L843" s="12" t="s">
        <v>1321</v>
      </c>
      <c r="M843" s="91"/>
      <c r="N843" s="91"/>
      <c r="O843" s="91" t="s">
        <v>197</v>
      </c>
      <c r="P843" s="91" t="s">
        <v>198</v>
      </c>
      <c r="Q843" s="91"/>
      <c r="R843" s="91" t="s">
        <v>198</v>
      </c>
      <c r="S843" s="91"/>
      <c r="T843" s="91" t="s">
        <v>376</v>
      </c>
      <c r="U843" s="91" t="s">
        <v>269</v>
      </c>
      <c r="V843" s="132" t="str">
        <f>INDEX('Additional Details'!O58:O62,MATCH('Additional Details'!C58,'Additional Details'!N58:N62,0))</f>
        <v>2b00</v>
      </c>
      <c r="W843" s="132" t="s">
        <v>156</v>
      </c>
    </row>
    <row r="844" spans="1:23" ht="12.75" customHeight="1">
      <c r="A844" s="54"/>
      <c r="B844" s="36"/>
      <c r="C844" s="94"/>
      <c r="D844" s="68"/>
      <c r="E844" s="68"/>
      <c r="F844" s="68"/>
      <c r="G844" s="68"/>
      <c r="H844" s="68">
        <v>0</v>
      </c>
      <c r="I844" s="35"/>
      <c r="J844" s="68"/>
      <c r="K844" s="68"/>
      <c r="L844" s="12" t="s">
        <v>1322</v>
      </c>
      <c r="M844" s="91"/>
      <c r="N844" s="91" t="s">
        <v>198</v>
      </c>
      <c r="O844" s="91" t="s">
        <v>197</v>
      </c>
      <c r="P844" s="91" t="s">
        <v>198</v>
      </c>
      <c r="Q844" s="91"/>
      <c r="R844" s="91" t="s">
        <v>198</v>
      </c>
      <c r="S844" s="91"/>
      <c r="T844" s="91" t="s">
        <v>376</v>
      </c>
      <c r="U844" s="91" t="s">
        <v>269</v>
      </c>
      <c r="V844" s="132" t="s">
        <v>159</v>
      </c>
      <c r="W844" s="132" t="s">
        <v>159</v>
      </c>
    </row>
    <row r="845" spans="1:23" ht="12.75" customHeight="1">
      <c r="A845" s="13"/>
      <c r="B845" s="36"/>
      <c r="C845" s="94"/>
      <c r="D845" s="68"/>
      <c r="E845" s="68"/>
      <c r="F845" s="68">
        <v>1</v>
      </c>
      <c r="G845" s="68">
        <v>0</v>
      </c>
      <c r="H845" s="68"/>
      <c r="I845" s="68"/>
      <c r="J845" s="68"/>
      <c r="K845" s="68"/>
      <c r="L845" s="12" t="s">
        <v>1318</v>
      </c>
      <c r="M845" s="91" t="s">
        <v>198</v>
      </c>
      <c r="N845" s="91"/>
      <c r="O845" s="91" t="s">
        <v>197</v>
      </c>
      <c r="P845" s="91" t="s">
        <v>198</v>
      </c>
      <c r="Q845" s="91"/>
      <c r="R845" s="91" t="s">
        <v>198</v>
      </c>
      <c r="S845" s="91"/>
      <c r="T845" s="91" t="s">
        <v>376</v>
      </c>
      <c r="U845" s="91" t="s">
        <v>269</v>
      </c>
      <c r="V845" s="133" t="s">
        <v>168</v>
      </c>
      <c r="W845" s="132" t="s">
        <v>160</v>
      </c>
    </row>
    <row r="846" spans="1:23" ht="12.75" customHeight="1" thickBot="1">
      <c r="A846" s="13"/>
      <c r="B846" s="36"/>
      <c r="C846" s="94"/>
      <c r="D846" s="68">
        <v>1</v>
      </c>
      <c r="E846" s="68">
        <v>0</v>
      </c>
      <c r="F846" s="68"/>
      <c r="G846" s="68"/>
      <c r="H846" s="68"/>
      <c r="I846" s="68"/>
      <c r="J846" s="68"/>
      <c r="K846" s="68"/>
      <c r="L846" s="12" t="s">
        <v>1319</v>
      </c>
      <c r="M846" s="91" t="s">
        <v>198</v>
      </c>
      <c r="N846" s="91"/>
      <c r="O846" s="91" t="s">
        <v>197</v>
      </c>
      <c r="P846" s="91" t="s">
        <v>198</v>
      </c>
      <c r="Q846" s="91"/>
      <c r="R846" s="91" t="s">
        <v>198</v>
      </c>
      <c r="S846" s="91"/>
      <c r="T846" s="91" t="s">
        <v>376</v>
      </c>
      <c r="U846" s="91" t="s">
        <v>269</v>
      </c>
      <c r="V846" s="133" t="s">
        <v>168</v>
      </c>
      <c r="W846" s="132" t="s">
        <v>160</v>
      </c>
    </row>
    <row r="847" spans="1:23" ht="12.75" customHeight="1" thickBot="1">
      <c r="A847" s="7" t="s">
        <v>374</v>
      </c>
      <c r="B847" s="48" t="s">
        <v>577</v>
      </c>
      <c r="C847" s="6" t="s">
        <v>578</v>
      </c>
      <c r="D847" s="298"/>
      <c r="E847" s="299"/>
      <c r="F847" s="299"/>
      <c r="G847" s="299"/>
      <c r="H847" s="299"/>
      <c r="I847" s="299"/>
      <c r="J847" s="299"/>
      <c r="K847" s="300"/>
      <c r="L847" s="24" t="s">
        <v>1323</v>
      </c>
      <c r="M847" s="5"/>
      <c r="N847" s="5"/>
      <c r="O847" s="5" t="s">
        <v>197</v>
      </c>
      <c r="P847" s="5" t="s">
        <v>198</v>
      </c>
      <c r="Q847" s="5">
        <v>1</v>
      </c>
      <c r="R847" s="5" t="s">
        <v>198</v>
      </c>
      <c r="S847" s="5"/>
      <c r="T847" s="5" t="s">
        <v>376</v>
      </c>
      <c r="U847" s="5" t="s">
        <v>269</v>
      </c>
      <c r="V847" s="151"/>
      <c r="W847" s="151"/>
    </row>
    <row r="848" spans="1:23" ht="12.75" customHeight="1">
      <c r="A848" s="43"/>
      <c r="B848" s="48"/>
      <c r="C848" s="75"/>
      <c r="D848" s="44"/>
      <c r="E848" s="44"/>
      <c r="F848" s="44"/>
      <c r="G848" s="44"/>
      <c r="H848" s="44">
        <v>3</v>
      </c>
      <c r="I848" s="44">
        <v>2</v>
      </c>
      <c r="J848" s="44">
        <v>1</v>
      </c>
      <c r="K848" s="44">
        <v>0</v>
      </c>
      <c r="L848" s="17" t="s">
        <v>1324</v>
      </c>
      <c r="M848" s="79"/>
      <c r="N848" s="79" t="s">
        <v>198</v>
      </c>
      <c r="O848" s="79" t="s">
        <v>197</v>
      </c>
      <c r="P848" s="79" t="s">
        <v>198</v>
      </c>
      <c r="Q848" s="79"/>
      <c r="R848" s="79" t="s">
        <v>198</v>
      </c>
      <c r="S848" s="79"/>
      <c r="T848" s="79" t="s">
        <v>376</v>
      </c>
      <c r="U848" s="79" t="s">
        <v>269</v>
      </c>
      <c r="V848" s="132" t="s">
        <v>173</v>
      </c>
      <c r="W848" s="132" t="s">
        <v>173</v>
      </c>
    </row>
    <row r="849" spans="1:23" ht="12.75" customHeight="1">
      <c r="A849" s="38"/>
      <c r="B849" s="48"/>
      <c r="C849" s="75"/>
      <c r="D849" s="44"/>
      <c r="E849" s="44">
        <v>2</v>
      </c>
      <c r="F849" s="44">
        <v>1</v>
      </c>
      <c r="G849" s="44">
        <v>0</v>
      </c>
      <c r="H849" s="44"/>
      <c r="I849" s="44"/>
      <c r="J849" s="44"/>
      <c r="K849" s="44"/>
      <c r="L849" s="12" t="s">
        <v>1424</v>
      </c>
      <c r="M849" s="79" t="s">
        <v>198</v>
      </c>
      <c r="N849" s="79"/>
      <c r="O849" s="79" t="s">
        <v>197</v>
      </c>
      <c r="P849" s="79" t="s">
        <v>198</v>
      </c>
      <c r="Q849" s="79"/>
      <c r="R849" s="79" t="s">
        <v>198</v>
      </c>
      <c r="S849" s="79"/>
      <c r="T849" s="79" t="s">
        <v>376</v>
      </c>
      <c r="U849" s="79" t="s">
        <v>269</v>
      </c>
      <c r="V849" s="134" t="s">
        <v>179</v>
      </c>
      <c r="W849" s="134" t="s">
        <v>179</v>
      </c>
    </row>
    <row r="850" spans="1:23" ht="13.5" customHeight="1" thickBot="1">
      <c r="A850" s="16"/>
      <c r="B850" s="48"/>
      <c r="C850" s="75"/>
      <c r="D850" s="44">
        <v>0</v>
      </c>
      <c r="E850" s="55"/>
      <c r="F850" s="55"/>
      <c r="G850" s="44"/>
      <c r="H850" s="44"/>
      <c r="I850" s="44"/>
      <c r="J850" s="44"/>
      <c r="K850" s="44"/>
      <c r="L850" s="12" t="s">
        <v>1425</v>
      </c>
      <c r="M850" s="79"/>
      <c r="N850" s="79" t="s">
        <v>198</v>
      </c>
      <c r="O850" s="79" t="s">
        <v>197</v>
      </c>
      <c r="P850" s="79" t="s">
        <v>198</v>
      </c>
      <c r="Q850" s="79"/>
      <c r="R850" s="79" t="s">
        <v>198</v>
      </c>
      <c r="S850" s="79"/>
      <c r="T850" s="79" t="s">
        <v>376</v>
      </c>
      <c r="U850" s="79" t="s">
        <v>269</v>
      </c>
      <c r="V850" s="132" t="s">
        <v>157</v>
      </c>
      <c r="W850" s="132" t="s">
        <v>157</v>
      </c>
    </row>
    <row r="851" spans="1:23" ht="12.75" customHeight="1">
      <c r="A851" s="49" t="s">
        <v>374</v>
      </c>
      <c r="B851" s="48" t="s">
        <v>582</v>
      </c>
      <c r="C851" s="47" t="s">
        <v>583</v>
      </c>
      <c r="D851" s="298"/>
      <c r="E851" s="299"/>
      <c r="F851" s="299"/>
      <c r="G851" s="299"/>
      <c r="H851" s="299"/>
      <c r="I851" s="299"/>
      <c r="J851" s="299"/>
      <c r="K851" s="300"/>
      <c r="L851" s="34" t="s">
        <v>1325</v>
      </c>
      <c r="M851" s="5"/>
      <c r="N851" s="5"/>
      <c r="O851" s="5" t="s">
        <v>197</v>
      </c>
      <c r="P851" s="5" t="s">
        <v>198</v>
      </c>
      <c r="Q851" s="5">
        <v>2</v>
      </c>
      <c r="R851" s="5" t="s">
        <v>198</v>
      </c>
      <c r="S851" s="5"/>
      <c r="T851" s="5" t="s">
        <v>376</v>
      </c>
      <c r="U851" s="5" t="s">
        <v>269</v>
      </c>
      <c r="V851" s="152"/>
      <c r="W851" s="211"/>
    </row>
    <row r="852" spans="1:23" ht="12.75" customHeight="1">
      <c r="A852" s="38"/>
      <c r="B852" s="48"/>
      <c r="C852" s="75"/>
      <c r="D852" s="44"/>
      <c r="E852" s="70"/>
      <c r="F852" s="70"/>
      <c r="G852" s="44">
        <v>4</v>
      </c>
      <c r="H852" s="44">
        <v>3</v>
      </c>
      <c r="I852" s="44">
        <v>2</v>
      </c>
      <c r="J852" s="44">
        <v>1</v>
      </c>
      <c r="K852" s="44">
        <v>0</v>
      </c>
      <c r="L852" s="17" t="s">
        <v>1326</v>
      </c>
      <c r="M852" s="79" t="s">
        <v>198</v>
      </c>
      <c r="N852" s="79"/>
      <c r="O852" s="79" t="s">
        <v>197</v>
      </c>
      <c r="P852" s="79" t="s">
        <v>198</v>
      </c>
      <c r="Q852" s="79"/>
      <c r="R852" s="79" t="s">
        <v>198</v>
      </c>
      <c r="S852" s="79"/>
      <c r="T852" s="79" t="s">
        <v>376</v>
      </c>
      <c r="U852" s="79" t="s">
        <v>269</v>
      </c>
      <c r="V852" s="132" t="s">
        <v>180</v>
      </c>
      <c r="W852" s="132" t="s">
        <v>180</v>
      </c>
    </row>
    <row r="853" spans="1:23" ht="12.75" customHeight="1">
      <c r="A853" s="38"/>
      <c r="B853" s="48"/>
      <c r="C853" s="75"/>
      <c r="D853" s="44">
        <v>2</v>
      </c>
      <c r="E853" s="44">
        <v>1</v>
      </c>
      <c r="F853" s="44">
        <v>0</v>
      </c>
      <c r="G853" s="44"/>
      <c r="H853" s="44"/>
      <c r="I853" s="44"/>
      <c r="J853" s="44"/>
      <c r="K853" s="44"/>
      <c r="L853" s="17" t="s">
        <v>1327</v>
      </c>
      <c r="M853" s="79"/>
      <c r="N853" s="79" t="s">
        <v>198</v>
      </c>
      <c r="O853" s="79" t="s">
        <v>197</v>
      </c>
      <c r="P853" s="79" t="s">
        <v>198</v>
      </c>
      <c r="Q853" s="79"/>
      <c r="R853" s="79" t="s">
        <v>198</v>
      </c>
      <c r="S853" s="79"/>
      <c r="T853" s="79" t="s">
        <v>376</v>
      </c>
      <c r="U853" s="79" t="s">
        <v>269</v>
      </c>
      <c r="V853" s="132" t="s">
        <v>158</v>
      </c>
      <c r="W853" s="132" t="s">
        <v>158</v>
      </c>
    </row>
    <row r="854" spans="1:23" ht="12.75" customHeight="1" thickBot="1">
      <c r="A854" s="49" t="s">
        <v>374</v>
      </c>
      <c r="B854" s="48" t="s">
        <v>585</v>
      </c>
      <c r="C854" s="47" t="s">
        <v>586</v>
      </c>
      <c r="D854" s="298"/>
      <c r="E854" s="299"/>
      <c r="F854" s="299"/>
      <c r="G854" s="299"/>
      <c r="H854" s="299"/>
      <c r="I854" s="299"/>
      <c r="J854" s="299"/>
      <c r="K854" s="300"/>
      <c r="L854" s="24" t="s">
        <v>1328</v>
      </c>
      <c r="M854" s="5"/>
      <c r="N854" s="5"/>
      <c r="O854" s="5" t="s">
        <v>197</v>
      </c>
      <c r="P854" s="5" t="s">
        <v>198</v>
      </c>
      <c r="Q854" s="5">
        <v>3</v>
      </c>
      <c r="R854" s="5" t="s">
        <v>198</v>
      </c>
      <c r="S854" s="5"/>
      <c r="T854" s="5" t="s">
        <v>376</v>
      </c>
      <c r="U854" s="5" t="s">
        <v>269</v>
      </c>
      <c r="V854" s="152"/>
      <c r="W854" s="211"/>
    </row>
    <row r="855" spans="1:23" ht="12.75" customHeight="1">
      <c r="A855" s="43"/>
      <c r="B855" s="48"/>
      <c r="C855" s="75"/>
      <c r="D855" s="44"/>
      <c r="E855" s="44"/>
      <c r="F855" s="44"/>
      <c r="G855" s="44"/>
      <c r="H855" s="44">
        <v>3</v>
      </c>
      <c r="I855" s="44">
        <v>2</v>
      </c>
      <c r="J855" s="44">
        <v>1</v>
      </c>
      <c r="K855" s="44">
        <v>0</v>
      </c>
      <c r="L855" s="17" t="s">
        <v>1332</v>
      </c>
      <c r="M855" s="79" t="s">
        <v>198</v>
      </c>
      <c r="N855" s="79"/>
      <c r="O855" s="79" t="s">
        <v>197</v>
      </c>
      <c r="P855" s="79" t="s">
        <v>198</v>
      </c>
      <c r="Q855" s="79"/>
      <c r="R855" s="79" t="s">
        <v>198</v>
      </c>
      <c r="S855" s="79"/>
      <c r="T855" s="79" t="s">
        <v>376</v>
      </c>
      <c r="U855" s="79" t="s">
        <v>269</v>
      </c>
      <c r="V855" s="132" t="s">
        <v>178</v>
      </c>
      <c r="W855" s="132" t="s">
        <v>178</v>
      </c>
    </row>
    <row r="856" spans="1:23" ht="12.75" customHeight="1">
      <c r="A856" s="37"/>
      <c r="B856" s="48"/>
      <c r="C856" s="75"/>
      <c r="D856" s="44"/>
      <c r="E856" s="44"/>
      <c r="F856" s="44"/>
      <c r="G856" s="44">
        <v>0</v>
      </c>
      <c r="H856" s="44"/>
      <c r="I856" s="44"/>
      <c r="J856" s="44"/>
      <c r="K856" s="44"/>
      <c r="L856" s="12" t="s">
        <v>1331</v>
      </c>
      <c r="M856" s="79"/>
      <c r="N856" s="79" t="s">
        <v>198</v>
      </c>
      <c r="O856" s="79" t="s">
        <v>197</v>
      </c>
      <c r="P856" s="79" t="s">
        <v>198</v>
      </c>
      <c r="Q856" s="79"/>
      <c r="R856" s="79" t="s">
        <v>198</v>
      </c>
      <c r="S856" s="79"/>
      <c r="T856" s="79" t="s">
        <v>376</v>
      </c>
      <c r="U856" s="79" t="s">
        <v>269</v>
      </c>
      <c r="V856" s="132" t="s">
        <v>157</v>
      </c>
      <c r="W856" s="132" t="s">
        <v>157</v>
      </c>
    </row>
    <row r="857" spans="1:23" ht="12.75" customHeight="1">
      <c r="A857" s="38"/>
      <c r="B857" s="48"/>
      <c r="C857" s="75"/>
      <c r="D857" s="44"/>
      <c r="E857" s="44">
        <v>1</v>
      </c>
      <c r="F857" s="44">
        <v>0</v>
      </c>
      <c r="G857" s="44"/>
      <c r="H857" s="44"/>
      <c r="I857" s="44"/>
      <c r="J857" s="44"/>
      <c r="K857" s="44"/>
      <c r="L857" s="12" t="s">
        <v>1330</v>
      </c>
      <c r="M857" s="79"/>
      <c r="N857" s="79" t="s">
        <v>198</v>
      </c>
      <c r="O857" s="79" t="s">
        <v>197</v>
      </c>
      <c r="P857" s="79" t="s">
        <v>198</v>
      </c>
      <c r="Q857" s="79"/>
      <c r="R857" s="79" t="s">
        <v>198</v>
      </c>
      <c r="S857" s="79"/>
      <c r="T857" s="79" t="s">
        <v>376</v>
      </c>
      <c r="U857" s="79" t="s">
        <v>269</v>
      </c>
      <c r="V857" s="132" t="s">
        <v>156</v>
      </c>
      <c r="W857" s="132" t="s">
        <v>156</v>
      </c>
    </row>
    <row r="858" spans="1:23" ht="12.75" customHeight="1" thickBot="1">
      <c r="A858" s="38"/>
      <c r="B858" s="48"/>
      <c r="C858" s="75"/>
      <c r="D858" s="44">
        <v>0</v>
      </c>
      <c r="E858" s="44"/>
      <c r="F858" s="44"/>
      <c r="G858" s="44"/>
      <c r="H858" s="44"/>
      <c r="I858" s="44"/>
      <c r="J858" s="44"/>
      <c r="K858" s="44"/>
      <c r="L858" s="12" t="s">
        <v>1329</v>
      </c>
      <c r="M858" s="79"/>
      <c r="N858" s="79" t="s">
        <v>198</v>
      </c>
      <c r="O858" s="79" t="s">
        <v>197</v>
      </c>
      <c r="P858" s="79" t="s">
        <v>198</v>
      </c>
      <c r="Q858" s="79"/>
      <c r="R858" s="79" t="s">
        <v>198</v>
      </c>
      <c r="S858" s="79"/>
      <c r="T858" s="79" t="s">
        <v>376</v>
      </c>
      <c r="U858" s="79" t="s">
        <v>269</v>
      </c>
      <c r="V858" s="132" t="s">
        <v>157</v>
      </c>
      <c r="W858" s="132" t="s">
        <v>157</v>
      </c>
    </row>
    <row r="859" spans="1:23" ht="13.5" customHeight="1" thickBot="1">
      <c r="A859" s="101" t="s">
        <v>374</v>
      </c>
      <c r="B859" s="36" t="s">
        <v>588</v>
      </c>
      <c r="C859" s="47" t="s">
        <v>589</v>
      </c>
      <c r="D859" s="290"/>
      <c r="E859" s="290"/>
      <c r="F859" s="290"/>
      <c r="G859" s="290"/>
      <c r="H859" s="290"/>
      <c r="I859" s="290"/>
      <c r="J859" s="290"/>
      <c r="K859" s="290"/>
      <c r="L859" s="24" t="s">
        <v>1333</v>
      </c>
      <c r="M859" s="33"/>
      <c r="N859" s="33"/>
      <c r="O859" s="33" t="s">
        <v>197</v>
      </c>
      <c r="P859" s="33" t="s">
        <v>198</v>
      </c>
      <c r="Q859" s="33">
        <v>4</v>
      </c>
      <c r="R859" s="5" t="s">
        <v>198</v>
      </c>
      <c r="S859" s="5"/>
      <c r="T859" s="5" t="s">
        <v>376</v>
      </c>
      <c r="U859" s="5" t="s">
        <v>269</v>
      </c>
      <c r="V859" s="152"/>
      <c r="W859" s="211"/>
    </row>
    <row r="860" spans="1:23" ht="12.75" customHeight="1">
      <c r="A860" s="69"/>
      <c r="B860" s="36"/>
      <c r="C860" s="94"/>
      <c r="D860" s="68"/>
      <c r="E860" s="68"/>
      <c r="F860" s="68"/>
      <c r="G860" s="68">
        <v>4</v>
      </c>
      <c r="H860" s="68">
        <v>3</v>
      </c>
      <c r="I860" s="68">
        <v>2</v>
      </c>
      <c r="J860" s="68">
        <v>1</v>
      </c>
      <c r="K860" s="68">
        <v>0</v>
      </c>
      <c r="L860" s="17" t="s">
        <v>1336</v>
      </c>
      <c r="M860" s="79" t="s">
        <v>198</v>
      </c>
      <c r="N860" s="79"/>
      <c r="O860" s="79" t="s">
        <v>197</v>
      </c>
      <c r="P860" s="79" t="s">
        <v>198</v>
      </c>
      <c r="Q860" s="91"/>
      <c r="R860" s="91" t="s">
        <v>198</v>
      </c>
      <c r="S860" s="91"/>
      <c r="T860" s="91" t="s">
        <v>376</v>
      </c>
      <c r="U860" s="79" t="s">
        <v>269</v>
      </c>
      <c r="V860" s="134" t="s">
        <v>181</v>
      </c>
      <c r="W860" s="134" t="s">
        <v>181</v>
      </c>
    </row>
    <row r="861" spans="1:23" ht="12.75" customHeight="1" thickBot="1">
      <c r="A861" s="54"/>
      <c r="B861" s="36"/>
      <c r="C861" s="94"/>
      <c r="D861" s="68"/>
      <c r="E861" s="68">
        <v>1</v>
      </c>
      <c r="F861" s="68">
        <v>0</v>
      </c>
      <c r="G861" s="68"/>
      <c r="H861" s="68"/>
      <c r="I861" s="68"/>
      <c r="J861" s="68"/>
      <c r="K861" s="68"/>
      <c r="L861" s="12" t="s">
        <v>1334</v>
      </c>
      <c r="M861" s="79" t="s">
        <v>198</v>
      </c>
      <c r="N861" s="79"/>
      <c r="O861" s="79" t="s">
        <v>197</v>
      </c>
      <c r="P861" s="79" t="s">
        <v>198</v>
      </c>
      <c r="Q861" s="91"/>
      <c r="R861" s="91" t="s">
        <v>198</v>
      </c>
      <c r="S861" s="91"/>
      <c r="T861" s="91" t="s">
        <v>376</v>
      </c>
      <c r="U861" s="79" t="s">
        <v>269</v>
      </c>
      <c r="V861" s="134" t="s">
        <v>164</v>
      </c>
      <c r="W861" s="134" t="s">
        <v>164</v>
      </c>
    </row>
    <row r="862" spans="1:23" ht="12.75" customHeight="1" thickBot="1">
      <c r="A862" s="69"/>
      <c r="B862" s="36"/>
      <c r="C862" s="94"/>
      <c r="D862" s="68">
        <v>0</v>
      </c>
      <c r="E862" s="68"/>
      <c r="F862" s="68"/>
      <c r="G862" s="68"/>
      <c r="H862" s="68"/>
      <c r="I862" s="68"/>
      <c r="J862" s="68"/>
      <c r="K862" s="68"/>
      <c r="L862" s="12" t="s">
        <v>1335</v>
      </c>
      <c r="M862" s="79"/>
      <c r="N862" s="79" t="s">
        <v>198</v>
      </c>
      <c r="O862" s="79" t="s">
        <v>197</v>
      </c>
      <c r="P862" s="79" t="s">
        <v>198</v>
      </c>
      <c r="Q862" s="91"/>
      <c r="R862" s="91" t="s">
        <v>198</v>
      </c>
      <c r="S862" s="91"/>
      <c r="T862" s="91" t="s">
        <v>376</v>
      </c>
      <c r="U862" s="79" t="s">
        <v>269</v>
      </c>
      <c r="V862" s="134" t="s">
        <v>157</v>
      </c>
      <c r="W862" s="203" t="s">
        <v>157</v>
      </c>
    </row>
    <row r="863" spans="1:23" ht="13.5" customHeight="1" thickBot="1">
      <c r="A863" s="101" t="s">
        <v>374</v>
      </c>
      <c r="B863" s="36" t="s">
        <v>592</v>
      </c>
      <c r="C863" s="99" t="s">
        <v>593</v>
      </c>
      <c r="D863" s="290"/>
      <c r="E863" s="290"/>
      <c r="F863" s="290"/>
      <c r="G863" s="290"/>
      <c r="H863" s="290"/>
      <c r="I863" s="290"/>
      <c r="J863" s="290"/>
      <c r="K863" s="290"/>
      <c r="L863" s="24" t="s">
        <v>1337</v>
      </c>
      <c r="M863" s="97"/>
      <c r="N863" s="97"/>
      <c r="O863" s="97" t="s">
        <v>197</v>
      </c>
      <c r="P863" s="97" t="s">
        <v>198</v>
      </c>
      <c r="Q863" s="97">
        <v>76</v>
      </c>
      <c r="R863" s="97" t="s">
        <v>198</v>
      </c>
      <c r="S863" s="97"/>
      <c r="T863" s="97" t="s">
        <v>376</v>
      </c>
      <c r="U863" s="97" t="s">
        <v>269</v>
      </c>
      <c r="V863" s="142"/>
      <c r="W863" s="199"/>
    </row>
    <row r="864" spans="1:23" ht="12.75" customHeight="1">
      <c r="A864" s="53"/>
      <c r="B864" s="36"/>
      <c r="C864" s="94"/>
      <c r="D864" s="68"/>
      <c r="E864" s="68"/>
      <c r="F864" s="68"/>
      <c r="G864" s="68"/>
      <c r="H864" s="68"/>
      <c r="I864" s="68"/>
      <c r="J864" s="68"/>
      <c r="K864" s="68">
        <v>0</v>
      </c>
      <c r="L864" s="17" t="s">
        <v>1338</v>
      </c>
      <c r="M864" s="91"/>
      <c r="N864" s="91" t="s">
        <v>198</v>
      </c>
      <c r="O864" s="91" t="s">
        <v>197</v>
      </c>
      <c r="P864" s="91" t="s">
        <v>198</v>
      </c>
      <c r="Q864" s="91"/>
      <c r="R864" s="91" t="s">
        <v>198</v>
      </c>
      <c r="S864" s="91"/>
      <c r="T864" s="91" t="s">
        <v>376</v>
      </c>
      <c r="U864" s="91" t="s">
        <v>269</v>
      </c>
      <c r="V864" s="132" t="s">
        <v>159</v>
      </c>
      <c r="W864" s="132" t="s">
        <v>159</v>
      </c>
    </row>
    <row r="865" spans="1:23" ht="12.75" customHeight="1">
      <c r="A865" s="53"/>
      <c r="B865" s="36"/>
      <c r="C865" s="94"/>
      <c r="D865" s="68"/>
      <c r="E865" s="68"/>
      <c r="F865" s="68"/>
      <c r="G865" s="68"/>
      <c r="H865" s="68"/>
      <c r="I865" s="68"/>
      <c r="J865" s="68">
        <v>0</v>
      </c>
      <c r="K865" s="68"/>
      <c r="L865" s="12" t="s">
        <v>1342</v>
      </c>
      <c r="M865" s="91"/>
      <c r="N865" s="91" t="s">
        <v>198</v>
      </c>
      <c r="O865" s="91" t="s">
        <v>197</v>
      </c>
      <c r="P865" s="91" t="s">
        <v>198</v>
      </c>
      <c r="Q865" s="91"/>
      <c r="R865" s="91" t="s">
        <v>198</v>
      </c>
      <c r="S865" s="91"/>
      <c r="T865" s="91" t="s">
        <v>376</v>
      </c>
      <c r="U865" s="91" t="s">
        <v>269</v>
      </c>
      <c r="V865" s="132" t="s">
        <v>159</v>
      </c>
      <c r="W865" s="132" t="s">
        <v>159</v>
      </c>
    </row>
    <row r="866" spans="1:23" ht="12.75" customHeight="1">
      <c r="A866" s="53"/>
      <c r="B866" s="36"/>
      <c r="C866" s="94"/>
      <c r="D866" s="68"/>
      <c r="E866" s="68"/>
      <c r="F866" s="68"/>
      <c r="G866" s="68"/>
      <c r="H866" s="68"/>
      <c r="I866" s="68">
        <v>0</v>
      </c>
      <c r="J866" s="68"/>
      <c r="K866" s="68"/>
      <c r="L866" s="12" t="s">
        <v>1343</v>
      </c>
      <c r="M866" s="91"/>
      <c r="N866" s="91" t="s">
        <v>198</v>
      </c>
      <c r="O866" s="91" t="s">
        <v>197</v>
      </c>
      <c r="P866" s="91" t="s">
        <v>198</v>
      </c>
      <c r="Q866" s="91"/>
      <c r="R866" s="91" t="s">
        <v>198</v>
      </c>
      <c r="S866" s="91"/>
      <c r="T866" s="91" t="s">
        <v>376</v>
      </c>
      <c r="U866" s="91" t="s">
        <v>269</v>
      </c>
      <c r="V866" s="132" t="s">
        <v>159</v>
      </c>
      <c r="W866" s="132" t="s">
        <v>159</v>
      </c>
    </row>
    <row r="867" spans="1:23" ht="12.75" customHeight="1">
      <c r="A867" s="53"/>
      <c r="B867" s="36"/>
      <c r="C867" s="94"/>
      <c r="D867" s="68"/>
      <c r="E867" s="68"/>
      <c r="F867" s="68"/>
      <c r="G867" s="68"/>
      <c r="H867" s="68">
        <v>0</v>
      </c>
      <c r="I867" s="68"/>
      <c r="J867" s="68"/>
      <c r="K867" s="68"/>
      <c r="L867" s="12" t="s">
        <v>1339</v>
      </c>
      <c r="M867" s="91"/>
      <c r="N867" s="91" t="s">
        <v>198</v>
      </c>
      <c r="O867" s="91" t="s">
        <v>197</v>
      </c>
      <c r="P867" s="91" t="s">
        <v>198</v>
      </c>
      <c r="Q867" s="91"/>
      <c r="R867" s="91" t="s">
        <v>198</v>
      </c>
      <c r="S867" s="91"/>
      <c r="T867" s="91" t="s">
        <v>376</v>
      </c>
      <c r="U867" s="91" t="s">
        <v>269</v>
      </c>
      <c r="V867" s="132" t="s">
        <v>159</v>
      </c>
      <c r="W867" s="132" t="s">
        <v>159</v>
      </c>
    </row>
    <row r="868" spans="1:23" ht="57" customHeight="1" thickBot="1">
      <c r="A868" s="32"/>
      <c r="B868" s="36"/>
      <c r="C868" s="94"/>
      <c r="D868" s="68"/>
      <c r="E868" s="68"/>
      <c r="F868" s="68">
        <v>1</v>
      </c>
      <c r="G868" s="68">
        <v>0</v>
      </c>
      <c r="H868" s="68"/>
      <c r="I868" s="68"/>
      <c r="J868" s="68"/>
      <c r="K868" s="68"/>
      <c r="L868" s="12" t="s">
        <v>1340</v>
      </c>
      <c r="M868" s="91"/>
      <c r="N868" s="91" t="s">
        <v>198</v>
      </c>
      <c r="O868" s="91" t="s">
        <v>197</v>
      </c>
      <c r="P868" s="91" t="s">
        <v>198</v>
      </c>
      <c r="Q868" s="91"/>
      <c r="R868" s="91" t="s">
        <v>198</v>
      </c>
      <c r="S868" s="91"/>
      <c r="T868" s="91" t="s">
        <v>376</v>
      </c>
      <c r="U868" s="91" t="s">
        <v>269</v>
      </c>
      <c r="V868" s="132" t="s">
        <v>156</v>
      </c>
      <c r="W868" s="132" t="s">
        <v>156</v>
      </c>
    </row>
    <row r="869" spans="1:23" ht="12.75" customHeight="1">
      <c r="A869" s="53"/>
      <c r="B869" s="36"/>
      <c r="C869" s="94"/>
      <c r="D869" s="68">
        <v>1</v>
      </c>
      <c r="E869" s="68">
        <v>0</v>
      </c>
      <c r="F869" s="68"/>
      <c r="G869" s="68"/>
      <c r="H869" s="68"/>
      <c r="I869" s="68"/>
      <c r="J869" s="68"/>
      <c r="K869" s="68"/>
      <c r="L869" s="12" t="s">
        <v>1341</v>
      </c>
      <c r="M869" s="91"/>
      <c r="N869" s="91" t="s">
        <v>198</v>
      </c>
      <c r="O869" s="91" t="s">
        <v>197</v>
      </c>
      <c r="P869" s="91" t="s">
        <v>198</v>
      </c>
      <c r="Q869" s="91"/>
      <c r="R869" s="91" t="s">
        <v>198</v>
      </c>
      <c r="S869" s="91"/>
      <c r="T869" s="91" t="s">
        <v>376</v>
      </c>
      <c r="U869" s="91" t="s">
        <v>269</v>
      </c>
      <c r="V869" s="132" t="s">
        <v>156</v>
      </c>
      <c r="W869" s="132" t="s">
        <v>156</v>
      </c>
    </row>
    <row r="870" spans="1:23" ht="11.25" customHeight="1">
      <c r="A870" s="49" t="s">
        <v>374</v>
      </c>
      <c r="B870" s="48" t="s">
        <v>594</v>
      </c>
      <c r="C870" s="47" t="s">
        <v>595</v>
      </c>
      <c r="D870" s="301"/>
      <c r="E870" s="301"/>
      <c r="F870" s="301"/>
      <c r="G870" s="301"/>
      <c r="H870" s="301"/>
      <c r="I870" s="301"/>
      <c r="J870" s="301"/>
      <c r="K870" s="301"/>
      <c r="L870" s="46"/>
      <c r="M870" s="45"/>
      <c r="N870" s="45"/>
      <c r="O870" s="45" t="s">
        <v>197</v>
      </c>
      <c r="P870" s="45" t="s">
        <v>204</v>
      </c>
      <c r="Q870" s="45"/>
      <c r="R870" s="45" t="s">
        <v>198</v>
      </c>
      <c r="S870" s="45"/>
      <c r="T870" s="45" t="s">
        <v>376</v>
      </c>
      <c r="U870" s="45" t="s">
        <v>269</v>
      </c>
      <c r="V870" s="144"/>
      <c r="W870" s="202"/>
    </row>
    <row r="871" spans="1:23" ht="11.25" customHeight="1">
      <c r="A871" s="38"/>
      <c r="B871" s="48"/>
      <c r="C871" s="75"/>
      <c r="D871" s="44"/>
      <c r="E871" s="44"/>
      <c r="F871" s="44"/>
      <c r="G871" s="44"/>
      <c r="H871" s="44"/>
      <c r="I871" s="44"/>
      <c r="J871" s="44"/>
      <c r="K871" s="44">
        <v>0</v>
      </c>
      <c r="L871" s="58"/>
      <c r="M871" s="79"/>
      <c r="N871" s="79"/>
      <c r="O871" s="79" t="s">
        <v>197</v>
      </c>
      <c r="P871" s="79" t="s">
        <v>204</v>
      </c>
      <c r="Q871" s="79"/>
      <c r="R871" s="79" t="s">
        <v>198</v>
      </c>
      <c r="S871" s="79"/>
      <c r="T871" s="79" t="s">
        <v>376</v>
      </c>
      <c r="U871" s="79" t="s">
        <v>269</v>
      </c>
      <c r="V871" s="134" t="s">
        <v>157</v>
      </c>
      <c r="W871" s="134" t="s">
        <v>157</v>
      </c>
    </row>
    <row r="872" spans="1:23" ht="11.25" customHeight="1">
      <c r="A872" s="38"/>
      <c r="B872" s="48"/>
      <c r="C872" s="75"/>
      <c r="D872" s="44"/>
      <c r="E872" s="44"/>
      <c r="F872" s="44"/>
      <c r="G872" s="44"/>
      <c r="H872" s="44"/>
      <c r="I872" s="44"/>
      <c r="J872" s="44">
        <v>0</v>
      </c>
      <c r="K872" s="44"/>
      <c r="L872" s="58"/>
      <c r="M872" s="79"/>
      <c r="N872" s="79"/>
      <c r="O872" s="79" t="s">
        <v>197</v>
      </c>
      <c r="P872" s="79" t="s">
        <v>204</v>
      </c>
      <c r="Q872" s="79"/>
      <c r="R872" s="79" t="s">
        <v>198</v>
      </c>
      <c r="S872" s="79"/>
      <c r="T872" s="79" t="s">
        <v>376</v>
      </c>
      <c r="U872" s="79" t="s">
        <v>269</v>
      </c>
      <c r="V872" s="134" t="s">
        <v>157</v>
      </c>
      <c r="W872" s="134" t="s">
        <v>157</v>
      </c>
    </row>
    <row r="873" spans="1:23" ht="11.25" customHeight="1">
      <c r="A873" s="38"/>
      <c r="B873" s="48"/>
      <c r="C873" s="75"/>
      <c r="D873" s="44"/>
      <c r="E873" s="44"/>
      <c r="F873" s="44"/>
      <c r="G873" s="44"/>
      <c r="H873" s="44"/>
      <c r="I873" s="44">
        <v>0</v>
      </c>
      <c r="J873" s="44"/>
      <c r="K873" s="44"/>
      <c r="L873" s="58"/>
      <c r="M873" s="79"/>
      <c r="N873" s="79"/>
      <c r="O873" s="79" t="s">
        <v>197</v>
      </c>
      <c r="P873" s="79" t="s">
        <v>204</v>
      </c>
      <c r="Q873" s="79"/>
      <c r="R873" s="79" t="s">
        <v>198</v>
      </c>
      <c r="S873" s="79"/>
      <c r="T873" s="79" t="s">
        <v>376</v>
      </c>
      <c r="U873" s="79" t="s">
        <v>269</v>
      </c>
      <c r="V873" s="134" t="s">
        <v>157</v>
      </c>
      <c r="W873" s="134" t="s">
        <v>157</v>
      </c>
    </row>
    <row r="874" spans="1:23" ht="11.25" customHeight="1">
      <c r="A874" s="38"/>
      <c r="B874" s="48"/>
      <c r="C874" s="75"/>
      <c r="D874" s="44"/>
      <c r="E874" s="44"/>
      <c r="F874" s="44"/>
      <c r="G874" s="44"/>
      <c r="H874" s="44">
        <v>0</v>
      </c>
      <c r="I874" s="44"/>
      <c r="J874" s="44"/>
      <c r="K874" s="44"/>
      <c r="L874" s="58"/>
      <c r="M874" s="79"/>
      <c r="N874" s="79"/>
      <c r="O874" s="79" t="s">
        <v>197</v>
      </c>
      <c r="P874" s="79" t="s">
        <v>204</v>
      </c>
      <c r="Q874" s="79"/>
      <c r="R874" s="79" t="s">
        <v>198</v>
      </c>
      <c r="S874" s="79"/>
      <c r="T874" s="79" t="s">
        <v>376</v>
      </c>
      <c r="U874" s="79" t="s">
        <v>269</v>
      </c>
      <c r="V874" s="134" t="s">
        <v>157</v>
      </c>
      <c r="W874" s="134" t="s">
        <v>157</v>
      </c>
    </row>
    <row r="875" spans="1:23" ht="22.5" customHeight="1" thickBot="1">
      <c r="A875" s="38"/>
      <c r="B875" s="48"/>
      <c r="C875" s="75"/>
      <c r="D875" s="44"/>
      <c r="E875" s="44"/>
      <c r="F875" s="44"/>
      <c r="G875" s="44">
        <v>0</v>
      </c>
      <c r="H875" s="44"/>
      <c r="I875" s="44"/>
      <c r="J875" s="44"/>
      <c r="K875" s="44"/>
      <c r="L875" s="58"/>
      <c r="M875" s="79"/>
      <c r="N875" s="79"/>
      <c r="O875" s="79" t="s">
        <v>197</v>
      </c>
      <c r="P875" s="79" t="s">
        <v>204</v>
      </c>
      <c r="Q875" s="79"/>
      <c r="R875" s="79" t="s">
        <v>198</v>
      </c>
      <c r="S875" s="79"/>
      <c r="T875" s="79" t="s">
        <v>376</v>
      </c>
      <c r="U875" s="79" t="s">
        <v>269</v>
      </c>
      <c r="V875" s="134" t="s">
        <v>157</v>
      </c>
      <c r="W875" s="134" t="s">
        <v>157</v>
      </c>
    </row>
    <row r="876" spans="1:23" ht="11.25" customHeight="1">
      <c r="A876" s="43"/>
      <c r="B876" s="48"/>
      <c r="C876" s="75"/>
      <c r="D876" s="44"/>
      <c r="E876" s="44"/>
      <c r="F876" s="44">
        <v>0</v>
      </c>
      <c r="G876" s="44"/>
      <c r="H876" s="44"/>
      <c r="I876" s="44"/>
      <c r="J876" s="44"/>
      <c r="K876" s="44"/>
      <c r="L876" s="55"/>
      <c r="M876" s="79"/>
      <c r="N876" s="79"/>
      <c r="O876" s="79" t="s">
        <v>197</v>
      </c>
      <c r="P876" s="79" t="s">
        <v>204</v>
      </c>
      <c r="Q876" s="79"/>
      <c r="R876" s="79" t="s">
        <v>198</v>
      </c>
      <c r="S876" s="79"/>
      <c r="T876" s="79" t="s">
        <v>376</v>
      </c>
      <c r="U876" s="79" t="s">
        <v>269</v>
      </c>
      <c r="V876" s="134" t="s">
        <v>157</v>
      </c>
      <c r="W876" s="134" t="s">
        <v>157</v>
      </c>
    </row>
    <row r="877" spans="1:23" ht="11.25" customHeight="1">
      <c r="A877" s="38"/>
      <c r="B877" s="48"/>
      <c r="C877" s="75"/>
      <c r="D877" s="44">
        <v>1</v>
      </c>
      <c r="E877" s="44">
        <v>0</v>
      </c>
      <c r="F877" s="44"/>
      <c r="G877" s="44"/>
      <c r="H877" s="116"/>
      <c r="I877" s="44"/>
      <c r="J877" s="44"/>
      <c r="K877" s="44"/>
      <c r="L877" s="58"/>
      <c r="M877" s="79"/>
      <c r="N877" s="79"/>
      <c r="O877" s="79" t="s">
        <v>197</v>
      </c>
      <c r="P877" s="79" t="s">
        <v>204</v>
      </c>
      <c r="Q877" s="79"/>
      <c r="R877" s="79" t="s">
        <v>198</v>
      </c>
      <c r="S877" s="79"/>
      <c r="T877" s="79" t="s">
        <v>376</v>
      </c>
      <c r="U877" s="79" t="s">
        <v>269</v>
      </c>
      <c r="V877" s="134" t="s">
        <v>156</v>
      </c>
      <c r="W877" s="134" t="s">
        <v>156</v>
      </c>
    </row>
    <row r="878" spans="1:23" ht="11.25" customHeight="1">
      <c r="A878" s="49" t="s">
        <v>374</v>
      </c>
      <c r="B878" s="48" t="s">
        <v>596</v>
      </c>
      <c r="C878" s="47" t="s">
        <v>597</v>
      </c>
      <c r="D878" s="301"/>
      <c r="E878" s="301"/>
      <c r="F878" s="301"/>
      <c r="G878" s="301"/>
      <c r="H878" s="301"/>
      <c r="I878" s="301"/>
      <c r="J878" s="301"/>
      <c r="K878" s="301"/>
      <c r="L878" s="46"/>
      <c r="M878" s="45"/>
      <c r="N878" s="45"/>
      <c r="O878" s="45" t="s">
        <v>197</v>
      </c>
      <c r="P878" s="45" t="s">
        <v>204</v>
      </c>
      <c r="Q878" s="45"/>
      <c r="R878" s="45" t="s">
        <v>198</v>
      </c>
      <c r="S878" s="45"/>
      <c r="T878" s="45" t="s">
        <v>376</v>
      </c>
      <c r="U878" s="45" t="s">
        <v>269</v>
      </c>
      <c r="V878" s="144"/>
      <c r="W878" s="202"/>
    </row>
    <row r="879" spans="1:23" ht="33.75" customHeight="1">
      <c r="A879" s="38"/>
      <c r="B879" s="48"/>
      <c r="C879" s="75"/>
      <c r="D879" s="44"/>
      <c r="E879" s="44"/>
      <c r="F879" s="44"/>
      <c r="G879" s="44"/>
      <c r="H879" s="44"/>
      <c r="I879" s="44"/>
      <c r="J879" s="44">
        <v>1</v>
      </c>
      <c r="K879" s="44">
        <v>0</v>
      </c>
      <c r="L879" s="58"/>
      <c r="M879" s="79"/>
      <c r="N879" s="79"/>
      <c r="O879" s="79" t="s">
        <v>197</v>
      </c>
      <c r="P879" s="79" t="s">
        <v>204</v>
      </c>
      <c r="Q879" s="79"/>
      <c r="R879" s="79" t="s">
        <v>198</v>
      </c>
      <c r="S879" s="79"/>
      <c r="T879" s="79" t="s">
        <v>376</v>
      </c>
      <c r="U879" s="79" t="s">
        <v>269</v>
      </c>
      <c r="V879" s="134" t="s">
        <v>156</v>
      </c>
      <c r="W879" s="134" t="s">
        <v>156</v>
      </c>
    </row>
    <row r="880" spans="1:23" ht="11.25" customHeight="1">
      <c r="A880" s="38"/>
      <c r="B880" s="48"/>
      <c r="C880" s="75"/>
      <c r="D880" s="44"/>
      <c r="E880" s="44"/>
      <c r="F880" s="44"/>
      <c r="G880" s="44"/>
      <c r="H880" s="44">
        <v>1</v>
      </c>
      <c r="I880" s="44">
        <v>0</v>
      </c>
      <c r="J880" s="44"/>
      <c r="K880" s="44"/>
      <c r="L880" s="58"/>
      <c r="M880" s="79"/>
      <c r="N880" s="79"/>
      <c r="O880" s="79" t="s">
        <v>197</v>
      </c>
      <c r="P880" s="79" t="s">
        <v>204</v>
      </c>
      <c r="Q880" s="79"/>
      <c r="R880" s="79" t="s">
        <v>198</v>
      </c>
      <c r="S880" s="79"/>
      <c r="T880" s="79" t="s">
        <v>376</v>
      </c>
      <c r="U880" s="79" t="s">
        <v>269</v>
      </c>
      <c r="V880" s="134" t="s">
        <v>156</v>
      </c>
      <c r="W880" s="134" t="s">
        <v>156</v>
      </c>
    </row>
    <row r="881" spans="1:23" ht="11.25" customHeight="1">
      <c r="A881" s="38"/>
      <c r="B881" s="48"/>
      <c r="C881" s="75"/>
      <c r="D881" s="44"/>
      <c r="E881" s="44"/>
      <c r="F881" s="44">
        <v>1</v>
      </c>
      <c r="G881" s="44">
        <v>0</v>
      </c>
      <c r="H881" s="44"/>
      <c r="I881" s="44"/>
      <c r="J881" s="44"/>
      <c r="K881" s="44"/>
      <c r="L881" s="58"/>
      <c r="M881" s="79"/>
      <c r="N881" s="79"/>
      <c r="O881" s="79" t="s">
        <v>197</v>
      </c>
      <c r="P881" s="79" t="s">
        <v>204</v>
      </c>
      <c r="Q881" s="79"/>
      <c r="R881" s="79" t="s">
        <v>198</v>
      </c>
      <c r="S881" s="79"/>
      <c r="T881" s="79" t="s">
        <v>376</v>
      </c>
      <c r="U881" s="79" t="s">
        <v>269</v>
      </c>
      <c r="V881" s="134" t="s">
        <v>156</v>
      </c>
      <c r="W881" s="134" t="s">
        <v>156</v>
      </c>
    </row>
    <row r="882" spans="1:23" ht="11.25" customHeight="1">
      <c r="A882" s="38"/>
      <c r="B882" s="48"/>
      <c r="C882" s="75"/>
      <c r="D882" s="44"/>
      <c r="E882" s="44">
        <v>0</v>
      </c>
      <c r="F882" s="44"/>
      <c r="G882" s="44"/>
      <c r="H882" s="44"/>
      <c r="I882" s="44"/>
      <c r="J882" s="44"/>
      <c r="K882" s="44"/>
      <c r="L882" s="58"/>
      <c r="M882" s="79"/>
      <c r="N882" s="79"/>
      <c r="O882" s="79" t="s">
        <v>197</v>
      </c>
      <c r="P882" s="79" t="s">
        <v>204</v>
      </c>
      <c r="Q882" s="79"/>
      <c r="R882" s="79" t="s">
        <v>198</v>
      </c>
      <c r="S882" s="79"/>
      <c r="T882" s="79" t="s">
        <v>376</v>
      </c>
      <c r="U882" s="79" t="s">
        <v>269</v>
      </c>
      <c r="V882" s="134" t="s">
        <v>157</v>
      </c>
      <c r="W882" s="134" t="s">
        <v>157</v>
      </c>
    </row>
    <row r="883" spans="1:23" ht="11.25" customHeight="1">
      <c r="A883" s="38"/>
      <c r="B883" s="48"/>
      <c r="C883" s="75"/>
      <c r="D883" s="44">
        <v>0</v>
      </c>
      <c r="E883" s="44"/>
      <c r="F883" s="44"/>
      <c r="G883" s="44"/>
      <c r="H883" s="116"/>
      <c r="I883" s="44"/>
      <c r="J883" s="44"/>
      <c r="K883" s="44"/>
      <c r="L883" s="58"/>
      <c r="M883" s="79"/>
      <c r="N883" s="79"/>
      <c r="O883" s="79" t="s">
        <v>197</v>
      </c>
      <c r="P883" s="79" t="s">
        <v>204</v>
      </c>
      <c r="Q883" s="79"/>
      <c r="R883" s="79" t="s">
        <v>198</v>
      </c>
      <c r="S883" s="79"/>
      <c r="T883" s="79" t="s">
        <v>376</v>
      </c>
      <c r="U883" s="79" t="s">
        <v>269</v>
      </c>
      <c r="V883" s="134" t="s">
        <v>157</v>
      </c>
      <c r="W883" s="134" t="s">
        <v>157</v>
      </c>
    </row>
    <row r="884" spans="1:23" ht="11.25" customHeight="1">
      <c r="A884" s="49" t="s">
        <v>374</v>
      </c>
      <c r="B884" s="48" t="s">
        <v>598</v>
      </c>
      <c r="C884" s="47" t="s">
        <v>599</v>
      </c>
      <c r="D884" s="301"/>
      <c r="E884" s="301"/>
      <c r="F884" s="301"/>
      <c r="G884" s="301"/>
      <c r="H884" s="301"/>
      <c r="I884" s="301"/>
      <c r="J884" s="301"/>
      <c r="K884" s="301"/>
      <c r="L884" s="46"/>
      <c r="M884" s="45"/>
      <c r="N884" s="45"/>
      <c r="O884" s="45" t="s">
        <v>197</v>
      </c>
      <c r="P884" s="45" t="s">
        <v>204</v>
      </c>
      <c r="Q884" s="45"/>
      <c r="R884" s="45" t="s">
        <v>198</v>
      </c>
      <c r="S884" s="45"/>
      <c r="T884" s="45" t="s">
        <v>376</v>
      </c>
      <c r="U884" s="45" t="s">
        <v>269</v>
      </c>
      <c r="V884" s="144"/>
      <c r="W884" s="202"/>
    </row>
    <row r="885" spans="1:23" ht="11.25" customHeight="1">
      <c r="A885" s="38"/>
      <c r="B885" s="48"/>
      <c r="C885" s="75"/>
      <c r="D885" s="44"/>
      <c r="E885" s="44"/>
      <c r="F885" s="44"/>
      <c r="G885" s="44"/>
      <c r="H885" s="44"/>
      <c r="I885" s="44"/>
      <c r="J885" s="44">
        <v>1</v>
      </c>
      <c r="K885" s="44">
        <v>0</v>
      </c>
      <c r="L885" s="58"/>
      <c r="M885" s="79"/>
      <c r="N885" s="79"/>
      <c r="O885" s="79" t="s">
        <v>197</v>
      </c>
      <c r="P885" s="79" t="s">
        <v>204</v>
      </c>
      <c r="Q885" s="79"/>
      <c r="R885" s="79" t="s">
        <v>198</v>
      </c>
      <c r="S885" s="79"/>
      <c r="T885" s="79" t="s">
        <v>376</v>
      </c>
      <c r="U885" s="79" t="s">
        <v>269</v>
      </c>
      <c r="V885" s="134" t="s">
        <v>156</v>
      </c>
      <c r="W885" s="134" t="s">
        <v>156</v>
      </c>
    </row>
    <row r="886" spans="1:23" ht="11.25" customHeight="1">
      <c r="A886" s="38"/>
      <c r="B886" s="48"/>
      <c r="C886" s="75"/>
      <c r="D886" s="44"/>
      <c r="E886" s="44"/>
      <c r="F886" s="44"/>
      <c r="G886" s="44"/>
      <c r="H886" s="44">
        <v>1</v>
      </c>
      <c r="I886" s="44">
        <v>0</v>
      </c>
      <c r="J886" s="44"/>
      <c r="K886" s="44"/>
      <c r="L886" s="58"/>
      <c r="M886" s="79"/>
      <c r="N886" s="79"/>
      <c r="O886" s="79" t="s">
        <v>197</v>
      </c>
      <c r="P886" s="79" t="s">
        <v>204</v>
      </c>
      <c r="Q886" s="79"/>
      <c r="R886" s="79" t="s">
        <v>198</v>
      </c>
      <c r="S886" s="79"/>
      <c r="T886" s="79" t="s">
        <v>376</v>
      </c>
      <c r="U886" s="79" t="s">
        <v>269</v>
      </c>
      <c r="V886" s="134" t="s">
        <v>156</v>
      </c>
      <c r="W886" s="134" t="s">
        <v>156</v>
      </c>
    </row>
    <row r="887" spans="1:23" ht="11.25" customHeight="1">
      <c r="A887" s="38"/>
      <c r="B887" s="48"/>
      <c r="C887" s="75"/>
      <c r="D887" s="44"/>
      <c r="E887" s="44"/>
      <c r="F887" s="44"/>
      <c r="G887" s="44">
        <v>0</v>
      </c>
      <c r="H887" s="44"/>
      <c r="I887" s="44"/>
      <c r="J887" s="44"/>
      <c r="K887" s="44"/>
      <c r="L887" s="58"/>
      <c r="M887" s="79"/>
      <c r="N887" s="79"/>
      <c r="O887" s="79" t="s">
        <v>197</v>
      </c>
      <c r="P887" s="79" t="s">
        <v>204</v>
      </c>
      <c r="Q887" s="79"/>
      <c r="R887" s="79" t="s">
        <v>198</v>
      </c>
      <c r="S887" s="79"/>
      <c r="T887" s="79" t="s">
        <v>376</v>
      </c>
      <c r="U887" s="79" t="s">
        <v>269</v>
      </c>
      <c r="V887" s="134" t="s">
        <v>157</v>
      </c>
      <c r="W887" s="134" t="s">
        <v>157</v>
      </c>
    </row>
    <row r="888" spans="1:23" ht="11.25" customHeight="1">
      <c r="A888" s="38"/>
      <c r="B888" s="48"/>
      <c r="C888" s="75"/>
      <c r="D888" s="44"/>
      <c r="E888" s="44"/>
      <c r="F888" s="44">
        <v>0</v>
      </c>
      <c r="G888" s="44"/>
      <c r="H888" s="44"/>
      <c r="I888" s="44"/>
      <c r="J888" s="44"/>
      <c r="K888" s="44"/>
      <c r="L888" s="58"/>
      <c r="M888" s="79"/>
      <c r="N888" s="79"/>
      <c r="O888" s="79" t="s">
        <v>197</v>
      </c>
      <c r="P888" s="79" t="s">
        <v>204</v>
      </c>
      <c r="Q888" s="79"/>
      <c r="R888" s="79" t="s">
        <v>198</v>
      </c>
      <c r="S888" s="79"/>
      <c r="T888" s="79" t="s">
        <v>376</v>
      </c>
      <c r="U888" s="79" t="s">
        <v>269</v>
      </c>
      <c r="V888" s="134" t="s">
        <v>157</v>
      </c>
      <c r="W888" s="134" t="s">
        <v>157</v>
      </c>
    </row>
    <row r="889" spans="1:23" ht="11.25" customHeight="1">
      <c r="A889" s="38"/>
      <c r="B889" s="48"/>
      <c r="C889" s="75"/>
      <c r="D889" s="44"/>
      <c r="E889" s="44">
        <v>0</v>
      </c>
      <c r="F889" s="44"/>
      <c r="G889" s="44"/>
      <c r="H889" s="70"/>
      <c r="I889" s="44"/>
      <c r="J889" s="44"/>
      <c r="K889" s="44"/>
      <c r="L889" s="55"/>
      <c r="M889" s="79"/>
      <c r="N889" s="79"/>
      <c r="O889" s="79" t="s">
        <v>197</v>
      </c>
      <c r="P889" s="79" t="s">
        <v>204</v>
      </c>
      <c r="Q889" s="79"/>
      <c r="R889" s="79" t="s">
        <v>198</v>
      </c>
      <c r="S889" s="79"/>
      <c r="T889" s="79" t="s">
        <v>376</v>
      </c>
      <c r="U889" s="79" t="s">
        <v>269</v>
      </c>
      <c r="V889" s="134" t="s">
        <v>157</v>
      </c>
      <c r="W889" s="134" t="s">
        <v>157</v>
      </c>
    </row>
    <row r="890" spans="1:23" ht="11.25" customHeight="1">
      <c r="A890" s="38"/>
      <c r="B890" s="48"/>
      <c r="C890" s="75"/>
      <c r="D890" s="44">
        <v>0</v>
      </c>
      <c r="E890" s="44"/>
      <c r="F890" s="44"/>
      <c r="G890" s="44"/>
      <c r="H890" s="70"/>
      <c r="I890" s="44"/>
      <c r="J890" s="44"/>
      <c r="K890" s="44"/>
      <c r="L890" s="55"/>
      <c r="M890" s="79"/>
      <c r="N890" s="79"/>
      <c r="O890" s="79" t="s">
        <v>197</v>
      </c>
      <c r="P890" s="79" t="s">
        <v>204</v>
      </c>
      <c r="Q890" s="79"/>
      <c r="R890" s="79" t="s">
        <v>198</v>
      </c>
      <c r="S890" s="79"/>
      <c r="T890" s="79" t="s">
        <v>376</v>
      </c>
      <c r="U890" s="79" t="s">
        <v>269</v>
      </c>
      <c r="V890" s="134" t="s">
        <v>157</v>
      </c>
      <c r="W890" s="134" t="s">
        <v>157</v>
      </c>
    </row>
    <row r="891" spans="1:23" ht="12.75" customHeight="1">
      <c r="A891" s="49" t="s">
        <v>374</v>
      </c>
      <c r="B891" s="36" t="s">
        <v>600</v>
      </c>
      <c r="C891" s="99" t="s">
        <v>601</v>
      </c>
      <c r="D891" s="290"/>
      <c r="E891" s="290"/>
      <c r="F891" s="290"/>
      <c r="G891" s="290"/>
      <c r="H891" s="290"/>
      <c r="I891" s="290"/>
      <c r="J891" s="290"/>
      <c r="K891" s="290"/>
      <c r="L891" s="24" t="s">
        <v>1344</v>
      </c>
      <c r="M891" s="33"/>
      <c r="N891" s="33"/>
      <c r="O891" s="33" t="s">
        <v>197</v>
      </c>
      <c r="P891" s="33" t="s">
        <v>198</v>
      </c>
      <c r="Q891" s="33">
        <v>77</v>
      </c>
      <c r="R891" s="33" t="s">
        <v>198</v>
      </c>
      <c r="S891" s="33"/>
      <c r="T891" s="33" t="s">
        <v>376</v>
      </c>
      <c r="U891" s="33" t="s">
        <v>269</v>
      </c>
      <c r="V891" s="146"/>
      <c r="W891" s="205"/>
    </row>
    <row r="892" spans="1:23" ht="13" thickBot="1">
      <c r="A892" s="53"/>
      <c r="B892" s="36"/>
      <c r="C892" s="94"/>
      <c r="D892" s="68">
        <v>7</v>
      </c>
      <c r="E892" s="68">
        <v>6</v>
      </c>
      <c r="F892" s="68">
        <v>5</v>
      </c>
      <c r="G892" s="68">
        <v>4</v>
      </c>
      <c r="H892" s="68">
        <v>3</v>
      </c>
      <c r="I892" s="68">
        <v>2</v>
      </c>
      <c r="J892" s="68">
        <v>1</v>
      </c>
      <c r="K892" s="68">
        <v>0</v>
      </c>
      <c r="L892" s="17" t="s">
        <v>1345</v>
      </c>
      <c r="M892" s="91"/>
      <c r="N892" s="91"/>
      <c r="O892" s="91" t="s">
        <v>197</v>
      </c>
      <c r="P892" s="91" t="s">
        <v>198</v>
      </c>
      <c r="Q892" s="91"/>
      <c r="R892" s="91" t="s">
        <v>198</v>
      </c>
      <c r="S892" s="91"/>
      <c r="T892" s="91" t="s">
        <v>376</v>
      </c>
      <c r="U892" s="91" t="s">
        <v>269</v>
      </c>
      <c r="V892" s="221" t="str">
        <f>Overview!J9</f>
        <v>8b00000000</v>
      </c>
      <c r="W892" s="153" t="s">
        <v>166</v>
      </c>
    </row>
    <row r="893" spans="1:23" ht="13.5" customHeight="1" thickBot="1">
      <c r="A893" s="101" t="s">
        <v>374</v>
      </c>
      <c r="B893" s="36" t="s">
        <v>602</v>
      </c>
      <c r="C893" s="99" t="s">
        <v>603</v>
      </c>
      <c r="D893" s="290"/>
      <c r="E893" s="290"/>
      <c r="F893" s="290"/>
      <c r="G893" s="290"/>
      <c r="H893" s="290"/>
      <c r="I893" s="290"/>
      <c r="J893" s="290"/>
      <c r="K893" s="290"/>
      <c r="L893" s="24" t="s">
        <v>1346</v>
      </c>
      <c r="M893" s="33"/>
      <c r="N893" s="33"/>
      <c r="O893" s="33" t="s">
        <v>197</v>
      </c>
      <c r="P893" s="33" t="s">
        <v>198</v>
      </c>
      <c r="Q893" s="33">
        <v>78</v>
      </c>
      <c r="R893" s="33" t="s">
        <v>198</v>
      </c>
      <c r="S893" s="33"/>
      <c r="T893" s="33" t="s">
        <v>376</v>
      </c>
      <c r="U893" s="33" t="s">
        <v>269</v>
      </c>
      <c r="V893" s="146"/>
      <c r="W893" s="205"/>
    </row>
    <row r="894" spans="1:23" ht="13.5" customHeight="1" thickBot="1">
      <c r="A894" s="101"/>
      <c r="B894" s="36"/>
      <c r="C894" s="94"/>
      <c r="D894" s="68"/>
      <c r="E894" s="68"/>
      <c r="F894" s="68"/>
      <c r="G894" s="68"/>
      <c r="H894" s="68">
        <v>3</v>
      </c>
      <c r="I894" s="68">
        <v>2</v>
      </c>
      <c r="J894" s="68">
        <v>1</v>
      </c>
      <c r="K894" s="68">
        <v>0</v>
      </c>
      <c r="L894" s="17" t="s">
        <v>1406</v>
      </c>
      <c r="M894" s="91"/>
      <c r="N894" s="91" t="s">
        <v>198</v>
      </c>
      <c r="O894" s="91" t="s">
        <v>197</v>
      </c>
      <c r="P894" s="91" t="s">
        <v>198</v>
      </c>
      <c r="Q894" s="91"/>
      <c r="R894" s="91" t="s">
        <v>198</v>
      </c>
      <c r="S894" s="91"/>
      <c r="T894" s="91" t="s">
        <v>376</v>
      </c>
      <c r="U894" s="91" t="s">
        <v>269</v>
      </c>
      <c r="V894" s="132" t="s">
        <v>163</v>
      </c>
      <c r="W894" s="132" t="s">
        <v>163</v>
      </c>
    </row>
    <row r="895" spans="1:23" ht="12" customHeight="1" thickBot="1">
      <c r="A895" s="69"/>
      <c r="B895" s="36"/>
      <c r="C895" s="94"/>
      <c r="D895" s="68">
        <v>3</v>
      </c>
      <c r="E895" s="68">
        <v>2</v>
      </c>
      <c r="F895" s="68">
        <v>1</v>
      </c>
      <c r="G895" s="68">
        <v>0</v>
      </c>
      <c r="H895" s="68"/>
      <c r="I895" s="68"/>
      <c r="J895" s="68"/>
      <c r="K895" s="68"/>
      <c r="L895" s="17" t="s">
        <v>1405</v>
      </c>
      <c r="M895" s="91"/>
      <c r="N895" s="91" t="s">
        <v>198</v>
      </c>
      <c r="O895" s="91" t="s">
        <v>206</v>
      </c>
      <c r="P895" s="91" t="s">
        <v>204</v>
      </c>
      <c r="Q895" s="91"/>
      <c r="R895" s="91" t="s">
        <v>198</v>
      </c>
      <c r="S895" s="91"/>
      <c r="T895" s="91" t="s">
        <v>376</v>
      </c>
      <c r="U895" s="91" t="s">
        <v>269</v>
      </c>
      <c r="V895" s="132" t="s">
        <v>163</v>
      </c>
      <c r="W895" s="132" t="s">
        <v>163</v>
      </c>
    </row>
    <row r="896" spans="1:23" ht="13.5" customHeight="1" thickBot="1">
      <c r="A896" s="101" t="s">
        <v>374</v>
      </c>
      <c r="B896" s="36" t="s">
        <v>194</v>
      </c>
      <c r="C896" s="99" t="s">
        <v>604</v>
      </c>
      <c r="D896" s="290"/>
      <c r="E896" s="290"/>
      <c r="F896" s="290"/>
      <c r="G896" s="290"/>
      <c r="H896" s="290"/>
      <c r="I896" s="290"/>
      <c r="J896" s="290"/>
      <c r="K896" s="290"/>
      <c r="L896" s="24" t="s">
        <v>1347</v>
      </c>
      <c r="M896" s="33"/>
      <c r="N896" s="33"/>
      <c r="O896" s="33" t="s">
        <v>197</v>
      </c>
      <c r="P896" s="33" t="s">
        <v>198</v>
      </c>
      <c r="Q896" s="33">
        <v>79</v>
      </c>
      <c r="R896" s="33" t="s">
        <v>198</v>
      </c>
      <c r="S896" s="33"/>
      <c r="T896" s="33" t="s">
        <v>376</v>
      </c>
      <c r="U896" s="33" t="s">
        <v>269</v>
      </c>
      <c r="V896" s="146"/>
      <c r="W896" s="205"/>
    </row>
    <row r="897" spans="1:23" ht="33.75" customHeight="1">
      <c r="A897" s="30"/>
      <c r="B897" s="4"/>
      <c r="C897" s="94"/>
      <c r="D897" s="68"/>
      <c r="E897" s="68"/>
      <c r="F897" s="68"/>
      <c r="G897" s="68">
        <v>4</v>
      </c>
      <c r="H897" s="68">
        <v>3</v>
      </c>
      <c r="I897" s="68">
        <v>2</v>
      </c>
      <c r="J897" s="68">
        <v>1</v>
      </c>
      <c r="K897" s="68">
        <v>0</v>
      </c>
      <c r="L897" s="17" t="s">
        <v>1348</v>
      </c>
      <c r="M897" s="79"/>
      <c r="N897" s="79" t="s">
        <v>198</v>
      </c>
      <c r="O897" s="79" t="s">
        <v>197</v>
      </c>
      <c r="P897" s="79" t="s">
        <v>198</v>
      </c>
      <c r="Q897" s="91"/>
      <c r="R897" s="91" t="s">
        <v>198</v>
      </c>
      <c r="S897" s="91"/>
      <c r="T897" s="91" t="s">
        <v>376</v>
      </c>
      <c r="U897" s="79" t="s">
        <v>269</v>
      </c>
      <c r="V897" s="134" t="s">
        <v>182</v>
      </c>
      <c r="W897" s="134" t="s">
        <v>182</v>
      </c>
    </row>
    <row r="898" spans="1:23" ht="12.75" customHeight="1">
      <c r="A898" s="22"/>
      <c r="B898" s="36"/>
      <c r="C898" s="94"/>
      <c r="D898" s="68"/>
      <c r="E898" s="68">
        <v>1</v>
      </c>
      <c r="F898" s="68">
        <v>0</v>
      </c>
      <c r="G898" s="68"/>
      <c r="H898" s="68"/>
      <c r="I898" s="68"/>
      <c r="J898" s="68"/>
      <c r="K898" s="68"/>
      <c r="L898" s="12" t="s">
        <v>1349</v>
      </c>
      <c r="M898" s="79"/>
      <c r="N898" s="79" t="s">
        <v>198</v>
      </c>
      <c r="O898" s="79" t="s">
        <v>197</v>
      </c>
      <c r="P898" s="79" t="s">
        <v>198</v>
      </c>
      <c r="Q898" s="91"/>
      <c r="R898" s="91" t="s">
        <v>198</v>
      </c>
      <c r="S898" s="91"/>
      <c r="T898" s="91" t="s">
        <v>376</v>
      </c>
      <c r="U898" s="79" t="s">
        <v>269</v>
      </c>
      <c r="V898" s="134" t="s">
        <v>160</v>
      </c>
      <c r="W898" s="203" t="s">
        <v>160</v>
      </c>
    </row>
    <row r="899" spans="1:23" ht="12.75" customHeight="1" thickBot="1">
      <c r="A899" s="22"/>
      <c r="B899" s="36"/>
      <c r="C899" s="94"/>
      <c r="D899" s="68">
        <v>0</v>
      </c>
      <c r="E899" s="68"/>
      <c r="F899" s="68"/>
      <c r="G899" s="68"/>
      <c r="H899" s="68"/>
      <c r="I899" s="68"/>
      <c r="J899" s="68"/>
      <c r="K899" s="68"/>
      <c r="L899" s="12" t="s">
        <v>1350</v>
      </c>
      <c r="M899" s="79"/>
      <c r="N899" s="79" t="s">
        <v>198</v>
      </c>
      <c r="O899" s="79" t="s">
        <v>197</v>
      </c>
      <c r="P899" s="79" t="s">
        <v>198</v>
      </c>
      <c r="Q899" s="91"/>
      <c r="R899" s="91" t="s">
        <v>198</v>
      </c>
      <c r="S899" s="91"/>
      <c r="T899" s="91" t="s">
        <v>376</v>
      </c>
      <c r="U899" s="79" t="s">
        <v>269</v>
      </c>
      <c r="V899" s="134" t="s">
        <v>157</v>
      </c>
      <c r="W899" s="203" t="s">
        <v>157</v>
      </c>
    </row>
    <row r="900" spans="1:23" ht="13.5" customHeight="1" thickBot="1">
      <c r="A900" s="101" t="s">
        <v>374</v>
      </c>
      <c r="B900" s="36" t="s">
        <v>605</v>
      </c>
      <c r="C900" s="99" t="s">
        <v>606</v>
      </c>
      <c r="D900" s="290"/>
      <c r="E900" s="290"/>
      <c r="F900" s="290"/>
      <c r="G900" s="290"/>
      <c r="H900" s="290"/>
      <c r="I900" s="290"/>
      <c r="J900" s="290"/>
      <c r="K900" s="290"/>
      <c r="L900" s="34" t="s">
        <v>1535</v>
      </c>
      <c r="M900" s="33"/>
      <c r="N900" s="33"/>
      <c r="O900" s="33" t="s">
        <v>197</v>
      </c>
      <c r="P900" s="33" t="s">
        <v>198</v>
      </c>
      <c r="Q900" s="33">
        <v>86</v>
      </c>
      <c r="R900" s="33" t="s">
        <v>198</v>
      </c>
      <c r="S900" s="33"/>
      <c r="T900" s="33" t="s">
        <v>376</v>
      </c>
      <c r="U900" s="33" t="s">
        <v>269</v>
      </c>
      <c r="V900" s="146"/>
      <c r="W900" s="205"/>
    </row>
    <row r="901" spans="1:23" ht="12.75" customHeight="1">
      <c r="A901" s="59"/>
      <c r="B901" s="36"/>
      <c r="C901" s="94"/>
      <c r="D901" s="68"/>
      <c r="E901" s="68">
        <v>6</v>
      </c>
      <c r="F901" s="68">
        <v>5</v>
      </c>
      <c r="G901" s="68">
        <v>4</v>
      </c>
      <c r="H901" s="68">
        <v>3</v>
      </c>
      <c r="I901" s="68">
        <v>2</v>
      </c>
      <c r="J901" s="68">
        <v>1</v>
      </c>
      <c r="K901" s="68">
        <v>0</v>
      </c>
      <c r="L901" s="55" t="s">
        <v>1532</v>
      </c>
      <c r="M901" s="91"/>
      <c r="N901" s="91"/>
      <c r="O901" s="91" t="s">
        <v>197</v>
      </c>
      <c r="P901" s="91" t="s">
        <v>198</v>
      </c>
      <c r="Q901" s="91"/>
      <c r="R901" s="91" t="s">
        <v>198</v>
      </c>
      <c r="S901" s="91"/>
      <c r="T901" s="91" t="s">
        <v>376</v>
      </c>
      <c r="U901" s="91" t="s">
        <v>269</v>
      </c>
      <c r="V901" s="132" t="str">
        <f>INDEX('Additional Details'!V43:V169,MATCH('Additional Details'!C62,'Additional Details'!U43:U169,0))</f>
        <v>7b0000000</v>
      </c>
      <c r="W901" s="132" t="s">
        <v>162</v>
      </c>
    </row>
    <row r="902" spans="1:23" ht="33.75" customHeight="1">
      <c r="A902" s="59"/>
      <c r="B902" s="36"/>
      <c r="C902" s="94"/>
      <c r="D902" s="68">
        <v>0</v>
      </c>
      <c r="E902" s="68"/>
      <c r="F902" s="68"/>
      <c r="G902" s="68"/>
      <c r="H902" s="68"/>
      <c r="I902" s="68"/>
      <c r="J902" s="68"/>
      <c r="K902" s="68"/>
      <c r="L902" s="55" t="s">
        <v>1536</v>
      </c>
      <c r="M902" s="91"/>
      <c r="N902" s="91"/>
      <c r="O902" s="91" t="s">
        <v>197</v>
      </c>
      <c r="P902" s="91" t="s">
        <v>198</v>
      </c>
      <c r="Q902" s="91"/>
      <c r="R902" s="91" t="s">
        <v>198</v>
      </c>
      <c r="S902" s="91"/>
      <c r="T902" s="91" t="s">
        <v>376</v>
      </c>
      <c r="U902" s="91" t="s">
        <v>269</v>
      </c>
      <c r="V902" s="132" t="str">
        <f>IF('Additional Details'!C62='Additional Details'!U135,"1b0","1b1")</f>
        <v>1b0</v>
      </c>
      <c r="W902" s="132" t="s">
        <v>157</v>
      </c>
    </row>
  </sheetData>
  <sheetProtection password="CA35" sheet="1" objects="1" scenarios="1"/>
  <autoFilter ref="A1:X902" xr:uid="{00000000-0009-0000-0000-000007000000}"/>
  <mergeCells count="162">
    <mergeCell ref="D900:K900"/>
    <mergeCell ref="D289:K289"/>
    <mergeCell ref="D127:K127"/>
    <mergeCell ref="D151:K151"/>
    <mergeCell ref="D169:K169"/>
    <mergeCell ref="D250:K250"/>
    <mergeCell ref="D259:K259"/>
    <mergeCell ref="D232:K232"/>
    <mergeCell ref="D241:K241"/>
    <mergeCell ref="D214:K214"/>
    <mergeCell ref="D223:K223"/>
    <mergeCell ref="D142:K142"/>
    <mergeCell ref="D277:K277"/>
    <mergeCell ref="D130:K130"/>
    <mergeCell ref="D606:K606"/>
    <mergeCell ref="D613:K613"/>
    <mergeCell ref="D653:K653"/>
    <mergeCell ref="D294:K294"/>
    <mergeCell ref="D303:K303"/>
    <mergeCell ref="D485:K485"/>
    <mergeCell ref="D357:K357"/>
    <mergeCell ref="D354:K354"/>
    <mergeCell ref="D348:K348"/>
    <mergeCell ref="D351:K351"/>
    <mergeCell ref="D65:K65"/>
    <mergeCell ref="D35:K35"/>
    <mergeCell ref="D38:K38"/>
    <mergeCell ref="D44:K44"/>
    <mergeCell ref="D41:K41"/>
    <mergeCell ref="D47:K47"/>
    <mergeCell ref="D53:K53"/>
    <mergeCell ref="D92:K92"/>
    <mergeCell ref="D95:K95"/>
    <mergeCell ref="D77:K77"/>
    <mergeCell ref="D82:K82"/>
    <mergeCell ref="D87:K87"/>
    <mergeCell ref="D71:K71"/>
    <mergeCell ref="D360:K360"/>
    <mergeCell ref="D363:K363"/>
    <mergeCell ref="D366:K366"/>
    <mergeCell ref="D508:K508"/>
    <mergeCell ref="D517:K517"/>
    <mergeCell ref="D466:K466"/>
    <mergeCell ref="D470:K470"/>
    <mergeCell ref="D413:K413"/>
    <mergeCell ref="D312:K312"/>
    <mergeCell ref="D321:K321"/>
    <mergeCell ref="D384:K384"/>
    <mergeCell ref="D390:K390"/>
    <mergeCell ref="D329:K329"/>
    <mergeCell ref="D372:K372"/>
    <mergeCell ref="D375:K375"/>
    <mergeCell ref="D381:K381"/>
    <mergeCell ref="D422:K422"/>
    <mergeCell ref="D428:K428"/>
    <mergeCell ref="D432:K432"/>
    <mergeCell ref="D441:K441"/>
    <mergeCell ref="D447:K447"/>
    <mergeCell ref="D369:K369"/>
    <mergeCell ref="D124:K124"/>
    <mergeCell ref="D100:K100"/>
    <mergeCell ref="D103:K103"/>
    <mergeCell ref="D106:K106"/>
    <mergeCell ref="D109:K109"/>
    <mergeCell ref="D112:K112"/>
    <mergeCell ref="D115:K115"/>
    <mergeCell ref="D118:K118"/>
    <mergeCell ref="D284:K284"/>
    <mergeCell ref="D896:K896"/>
    <mergeCell ref="D403:K403"/>
    <mergeCell ref="D504:K504"/>
    <mergeCell ref="D527:K527"/>
    <mergeCell ref="D536:K536"/>
    <mergeCell ref="D622:K622"/>
    <mergeCell ref="D727:K727"/>
    <mergeCell ref="D851:K851"/>
    <mergeCell ref="D811:K811"/>
    <mergeCell ref="D816:K816"/>
    <mergeCell ref="D826:K826"/>
    <mergeCell ref="D821:K821"/>
    <mergeCell ref="D863:K863"/>
    <mergeCell ref="D870:K870"/>
    <mergeCell ref="D891:K891"/>
    <mergeCell ref="D645:K645"/>
    <mergeCell ref="D641:K641"/>
    <mergeCell ref="D634:K634"/>
    <mergeCell ref="D854:K854"/>
    <mergeCell ref="D479:K479"/>
    <mergeCell ref="D489:K489"/>
    <mergeCell ref="D498:K498"/>
    <mergeCell ref="D460:K460"/>
    <mergeCell ref="D543:K543"/>
    <mergeCell ref="D97:K97"/>
    <mergeCell ref="D138:K138"/>
    <mergeCell ref="D394:K394"/>
    <mergeCell ref="D831:K831"/>
    <mergeCell ref="D837:K837"/>
    <mergeCell ref="D178:K178"/>
    <mergeCell ref="D187:K187"/>
    <mergeCell ref="D160:K160"/>
    <mergeCell ref="D556:K556"/>
    <mergeCell ref="D563:K563"/>
    <mergeCell ref="D568:K568"/>
    <mergeCell ref="D577:K577"/>
    <mergeCell ref="D583:K583"/>
    <mergeCell ref="D336:K336"/>
    <mergeCell ref="D343:K343"/>
    <mergeCell ref="D409:K409"/>
    <mergeCell ref="D196:K196"/>
    <mergeCell ref="D205:K205"/>
    <mergeCell ref="D523:K523"/>
    <mergeCell ref="D735:K735"/>
    <mergeCell ref="D751:K751"/>
    <mergeCell ref="D268:K268"/>
    <mergeCell ref="D451:K451"/>
    <mergeCell ref="D121:K121"/>
    <mergeCell ref="D2:K2"/>
    <mergeCell ref="D5:K5"/>
    <mergeCell ref="D7:K7"/>
    <mergeCell ref="D11:K11"/>
    <mergeCell ref="D23:K23"/>
    <mergeCell ref="D26:K26"/>
    <mergeCell ref="D32:K32"/>
    <mergeCell ref="D59:K59"/>
    <mergeCell ref="D17:K17"/>
    <mergeCell ref="D893:K893"/>
    <mergeCell ref="D757:K757"/>
    <mergeCell ref="D754:K754"/>
    <mergeCell ref="D760:K760"/>
    <mergeCell ref="D765:K765"/>
    <mergeCell ref="D859:K859"/>
    <mergeCell ref="D841:K841"/>
    <mergeCell ref="D744:K744"/>
    <mergeCell ref="D847:K847"/>
    <mergeCell ref="D795:K795"/>
    <mergeCell ref="D798:K798"/>
    <mergeCell ref="D803:K803"/>
    <mergeCell ref="D773:K773"/>
    <mergeCell ref="D776:K776"/>
    <mergeCell ref="D779:K779"/>
    <mergeCell ref="D784:K784"/>
    <mergeCell ref="D878:K878"/>
    <mergeCell ref="D884:K884"/>
    <mergeCell ref="D695:K695"/>
    <mergeCell ref="D698:K698"/>
    <mergeCell ref="D705:K705"/>
    <mergeCell ref="D709:K709"/>
    <mergeCell ref="D717:K717"/>
    <mergeCell ref="D724:K724"/>
    <mergeCell ref="D792:K792"/>
    <mergeCell ref="D547:K547"/>
    <mergeCell ref="D660:K660"/>
    <mergeCell ref="D631:K631"/>
    <mergeCell ref="D663:K663"/>
    <mergeCell ref="D666:K666"/>
    <mergeCell ref="D673:K673"/>
    <mergeCell ref="D677:K677"/>
    <mergeCell ref="D685:K685"/>
    <mergeCell ref="D692:K692"/>
    <mergeCell ref="D587:K587"/>
    <mergeCell ref="D596:K596"/>
    <mergeCell ref="D602:K602"/>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B1:G62"/>
  <sheetViews>
    <sheetView workbookViewId="0">
      <selection activeCell="K12" sqref="K12"/>
    </sheetView>
  </sheetViews>
  <sheetFormatPr defaultRowHeight="14.5"/>
  <cols>
    <col min="3" max="3" width="29.08984375" bestFit="1" customWidth="1"/>
    <col min="5" max="5" width="10.7265625" bestFit="1" customWidth="1"/>
    <col min="6" max="6" width="10.7265625" style="164" bestFit="1" customWidth="1"/>
  </cols>
  <sheetData>
    <row r="1" spans="2:7" ht="51.75" customHeight="1">
      <c r="B1" s="120"/>
      <c r="C1" s="120"/>
      <c r="D1" s="120"/>
      <c r="E1" s="130" t="str">
        <f>'register map'!V3</f>
        <v>Programming
TPS65086100</v>
      </c>
      <c r="F1" s="131" t="s">
        <v>1486</v>
      </c>
      <c r="G1">
        <f>IF(F1=E1,1,0)</f>
        <v>0</v>
      </c>
    </row>
    <row r="2" spans="2:7" ht="26">
      <c r="B2" s="118" t="s">
        <v>723</v>
      </c>
      <c r="C2" s="119" t="s">
        <v>724</v>
      </c>
      <c r="D2" s="118" t="s">
        <v>725</v>
      </c>
      <c r="E2" s="126" t="s">
        <v>749</v>
      </c>
      <c r="F2" s="158" t="s">
        <v>749</v>
      </c>
      <c r="G2" s="117">
        <f t="shared" ref="G2:G62" si="0">IF(F2=E2,1,0)</f>
        <v>1</v>
      </c>
    </row>
    <row r="3" spans="2:7">
      <c r="B3" s="123" t="s">
        <v>584</v>
      </c>
      <c r="C3" s="123" t="s">
        <v>579</v>
      </c>
      <c r="D3" s="121" t="s">
        <v>726</v>
      </c>
      <c r="E3" s="127">
        <v>1.25</v>
      </c>
      <c r="F3" s="159">
        <v>1.25</v>
      </c>
      <c r="G3" s="117">
        <f t="shared" si="0"/>
        <v>1</v>
      </c>
    </row>
    <row r="4" spans="2:7">
      <c r="B4" s="123" t="s">
        <v>580</v>
      </c>
      <c r="C4" s="123" t="s">
        <v>581</v>
      </c>
      <c r="D4" s="121" t="s">
        <v>727</v>
      </c>
      <c r="E4" s="127">
        <v>2</v>
      </c>
      <c r="F4" s="159">
        <v>2</v>
      </c>
      <c r="G4" s="117">
        <f t="shared" si="0"/>
        <v>1</v>
      </c>
    </row>
    <row r="5" spans="2:7">
      <c r="B5" s="123" t="s">
        <v>587</v>
      </c>
      <c r="C5" s="123" t="s">
        <v>728</v>
      </c>
      <c r="D5" s="121" t="s">
        <v>729</v>
      </c>
      <c r="E5" s="127">
        <v>2.25</v>
      </c>
      <c r="F5" s="159">
        <v>2.25</v>
      </c>
      <c r="G5" s="117">
        <f t="shared" si="0"/>
        <v>1</v>
      </c>
    </row>
    <row r="6" spans="2:7">
      <c r="B6" s="123" t="s">
        <v>590</v>
      </c>
      <c r="C6" s="123" t="s">
        <v>730</v>
      </c>
      <c r="D6" s="121" t="s">
        <v>726</v>
      </c>
      <c r="E6" s="127">
        <v>3.3</v>
      </c>
      <c r="F6" s="159">
        <v>3.3</v>
      </c>
      <c r="G6" s="117">
        <f t="shared" si="0"/>
        <v>1</v>
      </c>
    </row>
    <row r="7" spans="2:7">
      <c r="B7" s="123" t="s">
        <v>591</v>
      </c>
      <c r="C7" s="123" t="s">
        <v>731</v>
      </c>
      <c r="D7" s="121" t="s">
        <v>726</v>
      </c>
      <c r="E7" s="127">
        <v>5</v>
      </c>
      <c r="F7" s="159">
        <v>5</v>
      </c>
      <c r="G7" s="117">
        <f t="shared" si="0"/>
        <v>1</v>
      </c>
    </row>
    <row r="8" spans="2:7">
      <c r="B8" s="123" t="s">
        <v>549</v>
      </c>
      <c r="C8" s="123" t="s">
        <v>732</v>
      </c>
      <c r="D8" s="121" t="s">
        <v>726</v>
      </c>
      <c r="E8" s="127">
        <v>1.1499999999999999</v>
      </c>
      <c r="F8" s="159">
        <v>1.1499999999999999</v>
      </c>
      <c r="G8" s="117">
        <f t="shared" si="0"/>
        <v>1</v>
      </c>
    </row>
    <row r="9" spans="2:7">
      <c r="B9" s="123" t="s">
        <v>554</v>
      </c>
      <c r="C9" s="123" t="s">
        <v>733</v>
      </c>
      <c r="D9" s="121" t="s">
        <v>726</v>
      </c>
      <c r="E9" s="127">
        <v>1.2</v>
      </c>
      <c r="F9" s="159">
        <v>1.2</v>
      </c>
      <c r="G9" s="117">
        <f t="shared" si="0"/>
        <v>1</v>
      </c>
    </row>
    <row r="10" spans="2:7">
      <c r="B10" s="123" t="s">
        <v>561</v>
      </c>
      <c r="C10" s="123" t="s">
        <v>734</v>
      </c>
      <c r="D10" s="121" t="s">
        <v>726</v>
      </c>
      <c r="E10" s="127">
        <v>3.3</v>
      </c>
      <c r="F10" s="160">
        <v>3.3</v>
      </c>
      <c r="G10" s="117">
        <f t="shared" si="0"/>
        <v>1</v>
      </c>
    </row>
    <row r="11" spans="2:7">
      <c r="B11" s="122" t="s">
        <v>550</v>
      </c>
      <c r="C11" s="124" t="s">
        <v>735</v>
      </c>
      <c r="D11" s="121" t="s">
        <v>736</v>
      </c>
      <c r="E11" s="127">
        <v>92</v>
      </c>
      <c r="F11" s="159">
        <v>92</v>
      </c>
      <c r="G11" s="117">
        <f t="shared" si="0"/>
        <v>1</v>
      </c>
    </row>
    <row r="12" spans="2:7">
      <c r="B12" s="122" t="s">
        <v>551</v>
      </c>
      <c r="C12" s="124" t="s">
        <v>737</v>
      </c>
      <c r="D12" s="121" t="s">
        <v>736</v>
      </c>
      <c r="E12" s="127">
        <v>108</v>
      </c>
      <c r="F12" s="159">
        <v>108</v>
      </c>
      <c r="G12" s="117">
        <f t="shared" si="0"/>
        <v>1</v>
      </c>
    </row>
    <row r="13" spans="2:7">
      <c r="B13" s="122" t="s">
        <v>555</v>
      </c>
      <c r="C13" s="124" t="s">
        <v>735</v>
      </c>
      <c r="D13" s="121" t="s">
        <v>736</v>
      </c>
      <c r="E13" s="127">
        <v>92</v>
      </c>
      <c r="F13" s="159">
        <v>92</v>
      </c>
      <c r="G13" s="117">
        <f t="shared" si="0"/>
        <v>1</v>
      </c>
    </row>
    <row r="14" spans="2:7">
      <c r="B14" s="122" t="s">
        <v>556</v>
      </c>
      <c r="C14" s="124" t="s">
        <v>737</v>
      </c>
      <c r="D14" s="121" t="s">
        <v>736</v>
      </c>
      <c r="E14" s="127">
        <v>108</v>
      </c>
      <c r="F14" s="159">
        <v>108</v>
      </c>
      <c r="G14" s="117">
        <f t="shared" si="0"/>
        <v>1</v>
      </c>
    </row>
    <row r="15" spans="2:7">
      <c r="B15" s="122" t="s">
        <v>560</v>
      </c>
      <c r="C15" s="124" t="s">
        <v>735</v>
      </c>
      <c r="D15" s="121" t="s">
        <v>736</v>
      </c>
      <c r="E15" s="127">
        <v>92</v>
      </c>
      <c r="F15" s="159">
        <v>92</v>
      </c>
      <c r="G15" s="117">
        <f t="shared" si="0"/>
        <v>1</v>
      </c>
    </row>
    <row r="16" spans="2:7">
      <c r="B16" s="122" t="s">
        <v>559</v>
      </c>
      <c r="C16" s="124" t="s">
        <v>737</v>
      </c>
      <c r="D16" s="121" t="s">
        <v>736</v>
      </c>
      <c r="E16" s="127">
        <v>108</v>
      </c>
      <c r="F16" s="159">
        <v>108</v>
      </c>
      <c r="G16" s="117">
        <f t="shared" si="0"/>
        <v>1</v>
      </c>
    </row>
    <row r="17" spans="2:7">
      <c r="B17" s="122" t="s">
        <v>564</v>
      </c>
      <c r="C17" s="124" t="s">
        <v>735</v>
      </c>
      <c r="D17" s="121" t="s">
        <v>736</v>
      </c>
      <c r="E17" s="127">
        <v>92</v>
      </c>
      <c r="F17" s="159">
        <v>92</v>
      </c>
      <c r="G17" s="117">
        <f t="shared" si="0"/>
        <v>1</v>
      </c>
    </row>
    <row r="18" spans="2:7">
      <c r="B18" s="122" t="s">
        <v>565</v>
      </c>
      <c r="C18" s="124" t="s">
        <v>737</v>
      </c>
      <c r="D18" s="121" t="s">
        <v>736</v>
      </c>
      <c r="E18" s="127">
        <v>108</v>
      </c>
      <c r="F18" s="159">
        <v>108</v>
      </c>
      <c r="G18" s="117">
        <f t="shared" si="0"/>
        <v>1</v>
      </c>
    </row>
    <row r="19" spans="2:7">
      <c r="B19" s="122" t="s">
        <v>566</v>
      </c>
      <c r="C19" s="124" t="s">
        <v>735</v>
      </c>
      <c r="D19" s="121" t="s">
        <v>736</v>
      </c>
      <c r="E19" s="127">
        <v>92</v>
      </c>
      <c r="F19" s="159">
        <v>92</v>
      </c>
      <c r="G19" s="117">
        <f t="shared" si="0"/>
        <v>1</v>
      </c>
    </row>
    <row r="20" spans="2:7">
      <c r="B20" s="122" t="s">
        <v>567</v>
      </c>
      <c r="C20" s="124" t="s">
        <v>737</v>
      </c>
      <c r="D20" s="121" t="s">
        <v>736</v>
      </c>
      <c r="E20" s="127">
        <v>108</v>
      </c>
      <c r="F20" s="159">
        <v>108</v>
      </c>
      <c r="G20" s="117">
        <f t="shared" si="0"/>
        <v>1</v>
      </c>
    </row>
    <row r="21" spans="2:7">
      <c r="B21" s="122" t="s">
        <v>575</v>
      </c>
      <c r="C21" s="124" t="s">
        <v>735</v>
      </c>
      <c r="D21" s="121" t="s">
        <v>736</v>
      </c>
      <c r="E21" s="127">
        <v>92</v>
      </c>
      <c r="F21" s="159">
        <v>92</v>
      </c>
      <c r="G21" s="117">
        <f t="shared" si="0"/>
        <v>1</v>
      </c>
    </row>
    <row r="22" spans="2:7">
      <c r="B22" s="122" t="s">
        <v>576</v>
      </c>
      <c r="C22" s="124" t="s">
        <v>737</v>
      </c>
      <c r="D22" s="121" t="s">
        <v>736</v>
      </c>
      <c r="E22" s="127">
        <v>108</v>
      </c>
      <c r="F22" s="159">
        <v>108</v>
      </c>
      <c r="G22" s="117">
        <f t="shared" si="0"/>
        <v>1</v>
      </c>
    </row>
    <row r="23" spans="2:7">
      <c r="B23" s="123" t="s">
        <v>448</v>
      </c>
      <c r="C23" s="123" t="s">
        <v>738</v>
      </c>
      <c r="D23" s="121" t="s">
        <v>727</v>
      </c>
      <c r="E23" s="127">
        <v>50</v>
      </c>
      <c r="F23" s="159">
        <v>50</v>
      </c>
      <c r="G23" s="117">
        <f t="shared" si="0"/>
        <v>1</v>
      </c>
    </row>
    <row r="24" spans="2:7">
      <c r="B24" s="125" t="s">
        <v>447</v>
      </c>
      <c r="C24" s="123" t="s">
        <v>739</v>
      </c>
      <c r="D24" s="121" t="s">
        <v>740</v>
      </c>
      <c r="E24" s="129">
        <f>IF(Overview!D13="10 mV",800,1100)</f>
        <v>1100</v>
      </c>
      <c r="F24" s="161">
        <v>1100</v>
      </c>
      <c r="G24" s="117">
        <f t="shared" si="0"/>
        <v>1</v>
      </c>
    </row>
    <row r="25" spans="2:7">
      <c r="B25" s="123" t="s">
        <v>454</v>
      </c>
      <c r="C25" s="123" t="s">
        <v>741</v>
      </c>
      <c r="D25" s="121" t="s">
        <v>726</v>
      </c>
      <c r="E25" s="128">
        <f>IF(Overview!C13="Ext FB",0.4,Overview!C13)</f>
        <v>1.8</v>
      </c>
      <c r="F25" s="162">
        <v>0.4</v>
      </c>
      <c r="G25" s="117">
        <f t="shared" si="0"/>
        <v>0</v>
      </c>
    </row>
    <row r="26" spans="2:7">
      <c r="B26" s="123" t="s">
        <v>453</v>
      </c>
      <c r="C26" s="123" t="s">
        <v>739</v>
      </c>
      <c r="D26" s="121" t="s">
        <v>740</v>
      </c>
      <c r="E26" s="127">
        <f>IF(Overview!C13="Ext FB",300,345)</f>
        <v>345</v>
      </c>
      <c r="F26" s="161">
        <v>345</v>
      </c>
      <c r="G26" s="117">
        <f t="shared" si="0"/>
        <v>1</v>
      </c>
    </row>
    <row r="27" spans="2:7">
      <c r="B27" s="123" t="s">
        <v>462</v>
      </c>
      <c r="C27" s="123" t="s">
        <v>742</v>
      </c>
      <c r="D27" s="121" t="s">
        <v>726</v>
      </c>
      <c r="E27" s="127">
        <v>0</v>
      </c>
      <c r="F27" s="159">
        <v>0</v>
      </c>
      <c r="G27" s="117">
        <f t="shared" si="0"/>
        <v>1</v>
      </c>
    </row>
    <row r="28" spans="2:7">
      <c r="B28" s="123" t="s">
        <v>459</v>
      </c>
      <c r="C28" s="123"/>
      <c r="D28" s="121" t="s">
        <v>726</v>
      </c>
      <c r="E28" s="127">
        <v>0</v>
      </c>
      <c r="F28" s="159">
        <v>0</v>
      </c>
      <c r="G28" s="117">
        <f t="shared" si="0"/>
        <v>1</v>
      </c>
    </row>
    <row r="29" spans="2:7">
      <c r="B29" s="123" t="s">
        <v>466</v>
      </c>
      <c r="C29" s="123" t="s">
        <v>738</v>
      </c>
      <c r="D29" s="121" t="s">
        <v>727</v>
      </c>
      <c r="E29" s="127">
        <v>50</v>
      </c>
      <c r="F29" s="159">
        <v>50</v>
      </c>
      <c r="G29" s="117">
        <f t="shared" si="0"/>
        <v>1</v>
      </c>
    </row>
    <row r="30" spans="2:7">
      <c r="B30" s="125" t="s">
        <v>465</v>
      </c>
      <c r="C30" s="123" t="s">
        <v>739</v>
      </c>
      <c r="D30" s="121" t="s">
        <v>740</v>
      </c>
      <c r="E30" s="127">
        <f>IF(Overview!D15="10 mV",800,1100)</f>
        <v>800</v>
      </c>
      <c r="F30" s="159">
        <v>800</v>
      </c>
      <c r="G30" s="117">
        <f t="shared" si="0"/>
        <v>1</v>
      </c>
    </row>
    <row r="31" spans="2:7">
      <c r="B31" s="123" t="s">
        <v>472</v>
      </c>
      <c r="C31" s="123" t="s">
        <v>741</v>
      </c>
      <c r="D31" s="121" t="s">
        <v>726</v>
      </c>
      <c r="E31" s="128">
        <f>IF(Overview!C15="Ext FB",0.4,Overview!C15)</f>
        <v>1</v>
      </c>
      <c r="F31" s="163">
        <v>0.85</v>
      </c>
      <c r="G31" s="117">
        <f t="shared" si="0"/>
        <v>0</v>
      </c>
    </row>
    <row r="32" spans="2:7">
      <c r="B32" s="123" t="s">
        <v>471</v>
      </c>
      <c r="C32" s="123" t="s">
        <v>739</v>
      </c>
      <c r="D32" s="121" t="s">
        <v>740</v>
      </c>
      <c r="E32" s="127">
        <f>IF(Overview!C15="Ext FB",300,345)</f>
        <v>345</v>
      </c>
      <c r="F32" s="159">
        <v>345</v>
      </c>
      <c r="G32" s="117">
        <f t="shared" si="0"/>
        <v>1</v>
      </c>
    </row>
    <row r="33" spans="2:7">
      <c r="B33" s="123" t="s">
        <v>480</v>
      </c>
      <c r="C33" s="123" t="s">
        <v>742</v>
      </c>
      <c r="D33" s="121" t="s">
        <v>726</v>
      </c>
      <c r="E33" s="127">
        <v>0</v>
      </c>
      <c r="F33" s="159">
        <v>0</v>
      </c>
      <c r="G33" s="117">
        <f t="shared" si="0"/>
        <v>1</v>
      </c>
    </row>
    <row r="34" spans="2:7">
      <c r="B34" s="123" t="s">
        <v>477</v>
      </c>
      <c r="C34" s="123"/>
      <c r="D34" s="121" t="s">
        <v>726</v>
      </c>
      <c r="E34" s="127">
        <v>0</v>
      </c>
      <c r="F34" s="159">
        <v>0</v>
      </c>
      <c r="G34" s="117">
        <f t="shared" si="0"/>
        <v>1</v>
      </c>
    </row>
    <row r="35" spans="2:7">
      <c r="B35" s="123" t="s">
        <v>484</v>
      </c>
      <c r="C35" s="123" t="s">
        <v>738</v>
      </c>
      <c r="D35" s="121" t="s">
        <v>727</v>
      </c>
      <c r="E35" s="127">
        <v>50</v>
      </c>
      <c r="F35" s="159">
        <v>50</v>
      </c>
      <c r="G35" s="117">
        <f t="shared" si="0"/>
        <v>1</v>
      </c>
    </row>
    <row r="36" spans="2:7">
      <c r="B36" s="125" t="s">
        <v>483</v>
      </c>
      <c r="C36" s="123" t="s">
        <v>739</v>
      </c>
      <c r="D36" s="121" t="s">
        <v>740</v>
      </c>
      <c r="E36" s="127">
        <f>IF(Overview!D23="10 mV",800,1100)</f>
        <v>800</v>
      </c>
      <c r="F36" s="159">
        <v>1100</v>
      </c>
      <c r="G36" s="117">
        <f t="shared" si="0"/>
        <v>0</v>
      </c>
    </row>
    <row r="37" spans="2:7">
      <c r="B37" s="123" t="s">
        <v>489</v>
      </c>
      <c r="C37" s="123" t="s">
        <v>741</v>
      </c>
      <c r="D37" s="121" t="s">
        <v>726</v>
      </c>
      <c r="E37" s="128">
        <f>IF(Overview!C23="Ext FB",0.4,Overview!C23)</f>
        <v>1.2</v>
      </c>
      <c r="F37" s="163">
        <v>1.8</v>
      </c>
      <c r="G37" s="117">
        <f t="shared" si="0"/>
        <v>0</v>
      </c>
    </row>
    <row r="38" spans="2:7">
      <c r="B38" s="123" t="s">
        <v>488</v>
      </c>
      <c r="C38" s="123" t="s">
        <v>739</v>
      </c>
      <c r="D38" s="121" t="s">
        <v>740</v>
      </c>
      <c r="E38" s="127">
        <f>IF(Overview!C23="Ext FB",300,345)</f>
        <v>345</v>
      </c>
      <c r="F38" s="159">
        <v>345</v>
      </c>
      <c r="G38" s="117">
        <f t="shared" si="0"/>
        <v>1</v>
      </c>
    </row>
    <row r="39" spans="2:7">
      <c r="B39" s="123" t="s">
        <v>497</v>
      </c>
      <c r="C39" s="123" t="s">
        <v>742</v>
      </c>
      <c r="D39" s="121" t="s">
        <v>726</v>
      </c>
      <c r="E39" s="127">
        <v>0</v>
      </c>
      <c r="F39" s="159">
        <v>0</v>
      </c>
      <c r="G39" s="117">
        <f t="shared" si="0"/>
        <v>1</v>
      </c>
    </row>
    <row r="40" spans="2:7">
      <c r="B40" s="123" t="s">
        <v>494</v>
      </c>
      <c r="C40" s="123"/>
      <c r="D40" s="121" t="s">
        <v>726</v>
      </c>
      <c r="E40" s="127">
        <v>0</v>
      </c>
      <c r="F40" s="159">
        <v>0</v>
      </c>
      <c r="G40" s="117">
        <f t="shared" si="0"/>
        <v>1</v>
      </c>
    </row>
    <row r="41" spans="2:7">
      <c r="B41" s="122" t="s">
        <v>506</v>
      </c>
      <c r="C41" s="124" t="s">
        <v>743</v>
      </c>
      <c r="D41" s="121" t="s">
        <v>736</v>
      </c>
      <c r="E41" s="127">
        <v>85</v>
      </c>
      <c r="F41" s="159">
        <v>85</v>
      </c>
      <c r="G41" s="117">
        <f t="shared" si="0"/>
        <v>1</v>
      </c>
    </row>
    <row r="42" spans="2:7">
      <c r="B42" s="122" t="s">
        <v>507</v>
      </c>
      <c r="C42" s="124" t="s">
        <v>744</v>
      </c>
      <c r="D42" s="121" t="s">
        <v>726</v>
      </c>
      <c r="E42" s="128">
        <f>Overview!C17-Overview!C17*0.01</f>
        <v>3.2669999999999999</v>
      </c>
      <c r="F42" s="163">
        <v>1.0820000000000001</v>
      </c>
      <c r="G42" s="117">
        <f t="shared" si="0"/>
        <v>0</v>
      </c>
    </row>
    <row r="43" spans="2:7">
      <c r="B43" s="122" t="s">
        <v>510</v>
      </c>
      <c r="C43" s="124" t="s">
        <v>735</v>
      </c>
      <c r="D43" s="121" t="s">
        <v>736</v>
      </c>
      <c r="E43" s="127">
        <v>92</v>
      </c>
      <c r="F43" s="159">
        <v>92</v>
      </c>
      <c r="G43" s="117">
        <f t="shared" si="0"/>
        <v>1</v>
      </c>
    </row>
    <row r="44" spans="2:7">
      <c r="B44" s="122" t="s">
        <v>509</v>
      </c>
      <c r="C44" s="124" t="s">
        <v>737</v>
      </c>
      <c r="D44" s="121" t="s">
        <v>736</v>
      </c>
      <c r="E44" s="127">
        <v>108</v>
      </c>
      <c r="F44" s="159">
        <v>108</v>
      </c>
      <c r="G44" s="117">
        <f t="shared" si="0"/>
        <v>1</v>
      </c>
    </row>
    <row r="45" spans="2:7">
      <c r="B45" s="122" t="s">
        <v>512</v>
      </c>
      <c r="C45" s="124" t="s">
        <v>745</v>
      </c>
      <c r="D45" s="121" t="s">
        <v>746</v>
      </c>
      <c r="E45" s="127">
        <v>5.2</v>
      </c>
      <c r="F45" s="159">
        <v>5.2</v>
      </c>
      <c r="G45" s="117">
        <f t="shared" si="0"/>
        <v>1</v>
      </c>
    </row>
    <row r="46" spans="2:7">
      <c r="B46" s="123" t="s">
        <v>513</v>
      </c>
      <c r="C46" s="123" t="s">
        <v>747</v>
      </c>
      <c r="D46" s="121" t="s">
        <v>746</v>
      </c>
      <c r="E46" s="127">
        <v>5.7</v>
      </c>
      <c r="F46" s="159">
        <v>5.7</v>
      </c>
      <c r="G46" s="117">
        <f t="shared" si="0"/>
        <v>1</v>
      </c>
    </row>
    <row r="47" spans="2:7">
      <c r="B47" s="123" t="s">
        <v>516</v>
      </c>
      <c r="C47" s="123" t="s">
        <v>748</v>
      </c>
      <c r="D47" s="121" t="s">
        <v>726</v>
      </c>
      <c r="E47" s="127">
        <v>-7</v>
      </c>
      <c r="F47" s="159">
        <v>-7</v>
      </c>
      <c r="G47" s="117">
        <f t="shared" si="0"/>
        <v>1</v>
      </c>
    </row>
    <row r="48" spans="2:7">
      <c r="B48" s="122" t="s">
        <v>519</v>
      </c>
      <c r="C48" s="124" t="s">
        <v>743</v>
      </c>
      <c r="D48" s="121" t="s">
        <v>736</v>
      </c>
      <c r="E48" s="127">
        <v>85</v>
      </c>
      <c r="F48" s="159">
        <v>85</v>
      </c>
      <c r="G48" s="117">
        <f t="shared" si="0"/>
        <v>1</v>
      </c>
    </row>
    <row r="49" spans="2:7">
      <c r="B49" s="122" t="s">
        <v>520</v>
      </c>
      <c r="C49" s="124" t="s">
        <v>744</v>
      </c>
      <c r="D49" s="121" t="s">
        <v>726</v>
      </c>
      <c r="E49" s="128">
        <f>Overview!C19-Overview!C19*0.01</f>
        <v>2.4750000000000001</v>
      </c>
      <c r="F49" s="163">
        <v>3.282</v>
      </c>
      <c r="G49" s="117">
        <f t="shared" si="0"/>
        <v>0</v>
      </c>
    </row>
    <row r="50" spans="2:7">
      <c r="B50" s="122" t="s">
        <v>524</v>
      </c>
      <c r="C50" s="124" t="s">
        <v>735</v>
      </c>
      <c r="D50" s="121" t="s">
        <v>736</v>
      </c>
      <c r="E50" s="127">
        <v>92</v>
      </c>
      <c r="F50" s="159">
        <v>92</v>
      </c>
      <c r="G50" s="117">
        <f t="shared" si="0"/>
        <v>1</v>
      </c>
    </row>
    <row r="51" spans="2:7">
      <c r="B51" s="122" t="s">
        <v>523</v>
      </c>
      <c r="C51" s="124" t="s">
        <v>737</v>
      </c>
      <c r="D51" s="121" t="s">
        <v>736</v>
      </c>
      <c r="E51" s="127">
        <v>108</v>
      </c>
      <c r="F51" s="159">
        <v>108</v>
      </c>
      <c r="G51" s="117">
        <f t="shared" si="0"/>
        <v>1</v>
      </c>
    </row>
    <row r="52" spans="2:7">
      <c r="B52" s="122" t="s">
        <v>527</v>
      </c>
      <c r="C52" s="124" t="s">
        <v>745</v>
      </c>
      <c r="D52" s="121" t="s">
        <v>746</v>
      </c>
      <c r="E52" s="127">
        <v>5.2</v>
      </c>
      <c r="F52" s="159">
        <v>5.2</v>
      </c>
      <c r="G52" s="117">
        <f t="shared" si="0"/>
        <v>1</v>
      </c>
    </row>
    <row r="53" spans="2:7">
      <c r="B53" s="123" t="s">
        <v>528</v>
      </c>
      <c r="C53" s="123" t="s">
        <v>747</v>
      </c>
      <c r="D53" s="121" t="s">
        <v>746</v>
      </c>
      <c r="E53" s="127">
        <v>5.7</v>
      </c>
      <c r="F53" s="159">
        <v>5.7</v>
      </c>
      <c r="G53" s="117">
        <f t="shared" si="0"/>
        <v>1</v>
      </c>
    </row>
    <row r="54" spans="2:7">
      <c r="B54" s="123" t="s">
        <v>531</v>
      </c>
      <c r="C54" s="123" t="s">
        <v>748</v>
      </c>
      <c r="D54" s="121" t="s">
        <v>726</v>
      </c>
      <c r="E54" s="127">
        <v>-7</v>
      </c>
      <c r="F54" s="159">
        <v>-7</v>
      </c>
      <c r="G54" s="117">
        <f t="shared" si="0"/>
        <v>1</v>
      </c>
    </row>
    <row r="55" spans="2:7">
      <c r="B55" s="122" t="s">
        <v>534</v>
      </c>
      <c r="C55" s="124" t="s">
        <v>743</v>
      </c>
      <c r="D55" s="121" t="s">
        <v>736</v>
      </c>
      <c r="E55" s="127">
        <v>85</v>
      </c>
      <c r="F55" s="159">
        <v>85</v>
      </c>
      <c r="G55" s="117">
        <f t="shared" si="0"/>
        <v>1</v>
      </c>
    </row>
    <row r="56" spans="2:7">
      <c r="B56" s="122" t="s">
        <v>535</v>
      </c>
      <c r="C56" s="124" t="s">
        <v>744</v>
      </c>
      <c r="D56" s="121" t="s">
        <v>726</v>
      </c>
      <c r="E56" s="128">
        <f>Overview!C21-Overview!C21*0.01</f>
        <v>0</v>
      </c>
      <c r="F56" s="163">
        <v>1.1819999999999999</v>
      </c>
      <c r="G56" s="117">
        <f t="shared" si="0"/>
        <v>0</v>
      </c>
    </row>
    <row r="57" spans="2:7">
      <c r="B57" s="122" t="s">
        <v>539</v>
      </c>
      <c r="C57" s="124" t="s">
        <v>735</v>
      </c>
      <c r="D57" s="121" t="s">
        <v>736</v>
      </c>
      <c r="E57" s="127">
        <v>92</v>
      </c>
      <c r="F57" s="159">
        <v>92</v>
      </c>
      <c r="G57" s="117">
        <f t="shared" si="0"/>
        <v>1</v>
      </c>
    </row>
    <row r="58" spans="2:7">
      <c r="B58" s="122" t="s">
        <v>538</v>
      </c>
      <c r="C58" s="124" t="s">
        <v>737</v>
      </c>
      <c r="D58" s="121" t="s">
        <v>736</v>
      </c>
      <c r="E58" s="127">
        <v>108</v>
      </c>
      <c r="F58" s="159">
        <v>108</v>
      </c>
      <c r="G58" s="117">
        <f t="shared" si="0"/>
        <v>1</v>
      </c>
    </row>
    <row r="59" spans="2:7">
      <c r="B59" s="122" t="s">
        <v>542</v>
      </c>
      <c r="C59" s="124" t="s">
        <v>745</v>
      </c>
      <c r="D59" s="121" t="s">
        <v>746</v>
      </c>
      <c r="E59" s="127">
        <v>5.2</v>
      </c>
      <c r="F59" s="159">
        <v>5.2</v>
      </c>
      <c r="G59" s="117">
        <f t="shared" si="0"/>
        <v>1</v>
      </c>
    </row>
    <row r="60" spans="2:7">
      <c r="B60" s="123" t="s">
        <v>543</v>
      </c>
      <c r="C60" s="123" t="s">
        <v>747</v>
      </c>
      <c r="D60" s="121" t="s">
        <v>746</v>
      </c>
      <c r="E60" s="127">
        <v>5.7</v>
      </c>
      <c r="F60" s="159">
        <v>5.7</v>
      </c>
      <c r="G60" s="117">
        <f t="shared" si="0"/>
        <v>1</v>
      </c>
    </row>
    <row r="61" spans="2:7">
      <c r="B61" s="123" t="s">
        <v>546</v>
      </c>
      <c r="C61" s="123" t="s">
        <v>748</v>
      </c>
      <c r="D61" s="121" t="s">
        <v>726</v>
      </c>
      <c r="E61" s="127">
        <v>-7</v>
      </c>
      <c r="F61" s="159">
        <v>-7</v>
      </c>
      <c r="G61" s="117">
        <f t="shared" si="0"/>
        <v>1</v>
      </c>
    </row>
    <row r="62" spans="2:7">
      <c r="B62" s="122" t="s">
        <v>572</v>
      </c>
      <c r="C62" s="124" t="s">
        <v>744</v>
      </c>
      <c r="D62" s="121" t="s">
        <v>726</v>
      </c>
      <c r="E62" s="127">
        <v>0.6</v>
      </c>
      <c r="F62" s="159">
        <v>0.6</v>
      </c>
      <c r="G62" s="117">
        <f t="shared" si="0"/>
        <v>1</v>
      </c>
    </row>
  </sheetData>
  <conditionalFormatting sqref="G1:G62">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9669DF079A2E9449A1B323DD997A018" ma:contentTypeVersion="0" ma:contentTypeDescription="Create a new document." ma:contentTypeScope="" ma:versionID="fe350bcc1e6186ea8db3c7902db69aa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56B452-0EFA-4BFC-8894-D4A3F8BE185B}">
  <ds:schemaRefs>
    <ds:schemaRef ds:uri="http://schemas.microsoft.com/sharepoint/v3/contenttype/forms"/>
  </ds:schemaRefs>
</ds:datastoreItem>
</file>

<file path=customXml/itemProps2.xml><?xml version="1.0" encoding="utf-8"?>
<ds:datastoreItem xmlns:ds="http://schemas.openxmlformats.org/officeDocument/2006/customXml" ds:itemID="{7E1BC1BD-8E4A-4ECE-B907-F14A4CB3367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F6EB88EC-2E36-429E-8471-A509E0B1F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Overview</vt:lpstr>
      <vt:lpstr>Sequencing</vt:lpstr>
      <vt:lpstr>Additional Details</vt:lpstr>
      <vt:lpstr>Programming Board Setup</vt:lpstr>
      <vt:lpstr>Script Generator</vt:lpstr>
      <vt:lpstr>VID Tables</vt:lpstr>
      <vt:lpstr>register map</vt:lpstr>
      <vt:lpstr>Device Trims</vt:lpstr>
      <vt:lpstr>Logical Group Generator</vt:lpstr>
      <vt:lpstr>'Programming Board Setup'!list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LaRosa, Kevin</dc:creator>
  <cp:lastModifiedBy>Divya G</cp:lastModifiedBy>
  <cp:lastPrinted>2016-08-20T13:29:58Z</cp:lastPrinted>
  <dcterms:created xsi:type="dcterms:W3CDTF">2016-02-11T19:51:28Z</dcterms:created>
  <dcterms:modified xsi:type="dcterms:W3CDTF">2022-03-22T04:37:06Z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0x010100F9669DF079A2E9449A1B323DD997A018</vt:lpwstr>
  </property>
</Properties>
</file>